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contoWS" sheetId="1" r:id="rId5"/>
    <sheet state="visible" name="WS_JASMINE_ANDRIANO" sheetId="2" r:id="rId6"/>
    <sheet state="visible" name="OC_AMBERALDRIN" sheetId="3" r:id="rId7"/>
    <sheet state="visible" name="WS_DIA_EN_CUBA" sheetId="4" r:id="rId8"/>
    <sheet state="visible" name="OC_ANAHITA" sheetId="5" r:id="rId9"/>
    <sheet state="visible" name="WS_EMANUELLO" sheetId="6" r:id="rId10"/>
    <sheet state="visible" name="WS_ALESSIOCAVALIERE" sheetId="7" r:id="rId11"/>
    <sheet state="visible" name="SOLO SERATA_FESTA NATALE" sheetId="8" r:id="rId12"/>
    <sheet state="visible" name="WS_FESTA NATALE" sheetId="9" r:id="rId13"/>
    <sheet state="visible" name="WS_NEREA" sheetId="10" r:id="rId14"/>
    <sheet state="visible" name="WS_LELI" sheetId="11" r:id="rId15"/>
    <sheet state="visible" name="WS_DEBORAHESPOSITO" sheetId="12" r:id="rId16"/>
    <sheet state="visible" name="WS_KUMO" sheetId="13" r:id="rId17"/>
    <sheet state="hidden" name="WS_LULU" sheetId="14" r:id="rId18"/>
    <sheet state="visible" name="WS_TIMOR" sheetId="15" r:id="rId19"/>
    <sheet state="visible" name="WS_DEANGELIS" sheetId="16" r:id="rId20"/>
    <sheet state="visible" name="WS_BANANA" sheetId="17" r:id="rId21"/>
    <sheet state="visible" name="RIEPILOGO ISCRITTI WS" sheetId="18" r:id="rId22"/>
    <sheet state="visible" name="WS_2slot_danza" sheetId="19" r:id="rId23"/>
    <sheet state="visible" name="WS_3slot_danza" sheetId="20" r:id="rId24"/>
    <sheet state="visible" name="WS_3slot_ballo" sheetId="21" r:id="rId25"/>
    <sheet state="visible" name="test_WS_QUOTE" sheetId="22" r:id="rId26"/>
    <sheet state="visible" name="test_WS_PROMO e codici" sheetId="23" r:id="rId27"/>
    <sheet state="visible" name="elenchi" sheetId="24" r:id="rId28"/>
    <sheet state="visible" name="elenchi2" sheetId="25" r:id="rId29"/>
    <sheet state="visible" name="elenchi3" sheetId="26" r:id="rId30"/>
    <sheet state="visible" name="ordini_WS" sheetId="27" r:id="rId3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tc={cd0d5139-4134-4325-b84c-6864070c6936}</author>
  </authors>
  <commentList>
    <comment authorId="0" xr:uid="{cd0d5139-4134-4325-b84c-6864070c6936}" ref="A1">
      <text>
        <t xml:space="preserve">[Threaded comment]
 Your version of Excel allows you to read this threaded comment; however, any edits to it will get removed if the file is opened in a newer version of Excel. Learn more: https://go.microsoft.com/fwlink/?linkid=870924
Comment:
	CHIARA CARRIERA VIENE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tc={7f75d3ed-5b9a-4929-b383-1849c91de474}</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 authorId="1" xr:uid="{7f75d3ed-5b9a-4929-b383-1849c91de474}" ref="E7">
      <text>
        <t xml:space="preserve">[Threaded comment]
 Your version of Excel allows you to read this threaded comment; however, any edits to it will get removed if the file is opened in a newer version of Excel. Learn more: https://go.microsoft.com/fwlink/?linkid=870924
Comment:
	chiedere a estefany se effettivamente entrato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tc={678e160c-a869-4f31-8976-895b8f980294}</author>
    <author>tc={a454a64c-9eb4-49f8-a4ef-c18f244e2b7a}</author>
    <author>tc={e9626a8f-be8b-446a-a962-00678ba5ed7f}</author>
    <author>tc={f532ff91-156c-45ed-b5d9-c5545305b942}</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6">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4">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262">
      <text>
        <t xml:space="preserve">gae 22nov2025
ℹ️ WS3 – Dati e riepilogo
Dati iscritti WS3: righe 178–257, IMPORTO FINALE in colonna M.
Riga 259:
da F259 a O259 → “LISTA PREZZI WS3”, generata in automatico dagli importi finali M178:M257.
Righe 260–263: riepilogo WS3 per fascia di prezzo:
260 = PERSONE SEDE per ogni prezzo
261 = subTOTALE SEDE per ogni prezzo
262 = PERSONE ONLINE per ogni prezzo
263 = subTOTALE ONLINE per ogni prezzo
Q259 e Q262 sommano i subtotali di WS3; formule del tipo:
Q259 =SE(SOMMA(F261:O261)=0;"";SOMMA(F261:O261))
Q262=SE(SOMMA(F263:O263)=0;"";SOMMA(F263:O263))
U263 → cella di verifica WS3: mostra “OK” se i totali WS3 coincidono con la somma degli IMPORTI FINALI (M84:M171:M258), altrimenti “ERRORE”.</t>
      </text>
    </comment>
    <comment authorId="0" ref="D267">
      <text>
        <t xml:space="preserve">gae 22nov2025
ℹ️ TOTALI 1, 2, 3 WS (per prezzo)
Per ogni prezzo in F264:O264 (listino combinato):
Riga 265 → n. PERSONE SEDE (WS1 + WS2 + WS3) per quel prezzo (testo “X da €Y”).
Riga 266 → subTOTALE € SEDE (WS1 + WS2 + WS3) per quel prezzo.
Riga 267 → n. PERSONE ONLINE (WS1 + WS2 + WS3) per quel prezzo.
Riga 268 → subTOTALE € ONLINE (WS1 + WS2 + WS3) per quel prezzo.
Le formule usano sempre la colonna M (IMPORTO FINALE) e lasciano le celle vuote se non ci sono importi.</t>
      </text>
    </comment>
    <comment authorId="0" ref="E267">
      <text>
        <t xml:space="preserve">gae 22nov2025
ℹ️ Listino prezzi combinato WS1+WS2 + WS3
La riga 264, da F264 a O264, elenca automaticamente tutti i prezzi diversi usati negli IMPORTI FINALI (M4:M83 e M91:M170 e M178:M257).
Formula (protetta con SE.ERRORE):
=SE.ERRORE(TRASPONI(ORDINA(UNICI(FILTRO({$M$4:$M$83;$M$91:$M$170;$M$178:$M$257};{$M$4:$M$83;$M$91:$M$170;$M$178:$M$257}&lt;&gt;"" ))));"")
👉 Non modificare questa riga: alimenta i totali combinati WS1+WS2+WS3.</t>
      </text>
    </comment>
    <comment authorId="0" ref="R267">
      <text>
        <t xml:space="preserve">gae 22nov2025
ℹ️ TOTALE GENERALE ENTRATE (S178)
La cella S264 somma i totali WS1, WS2 e WS3 (SEDE + ONLINE) usando Q264 + Q267:
=SE(SOMMA(Q264;Q267)=0;"";SOMMA(Q264;Q267))
Se non ci sono vendite → S264 resta vuota.
Se ci sono vendite → S264 mostra il totale complessivo di tutte le entrate del file (WS1 + WS2 + WS3).</t>
      </text>
    </comment>
    <comment authorId="1" xr:uid="{678e160c-a869-4f31-8976-895b8f980294}" ref="E222">
      <text>
        <t xml:space="preserve">[Threaded comment]
 Your version of Excel allows you to read this threaded comment; however, any edits to it will get removed if the file is opened in a newer version of Excel. Learn more: https://go.microsoft.com/fwlink/?linkid=870924
Comment:
	AVARINO  LUCIANA
</t>
      </text>
    </comment>
    <comment authorId="2" xr:uid="{a454a64c-9eb4-49f8-a4ef-c18f244e2b7a}" ref="E144">
      <text>
        <t xml:space="preserve">[Threaded comment]
 Your version of Excel allows you to read this threaded comment; however, any edits to it will get removed if the file is opened in a newer version of Excel. Learn more: https://go.microsoft.com/fwlink/?linkid=870924
Comment:
	Cutti Jessica ha ceduto a questo ragazzo il Voucher vinto al Bobino domenica 08/03
</t>
      </text>
    </comment>
    <comment authorId="3" xr:uid="{e9626a8f-be8b-446a-a962-00678ba5ed7f}" ref="B269">
      <text>
        <t xml:space="preserve">[Threaded comment]
 Your version of Excel allows you to read this threaded comment; however, any edits to it will get removed if the file is opened in a newer version of Excel. Learn more: https://go.microsoft.com/fwlink/?linkid=870924
Comment:
	NON CALCOLARE
</t>
      </text>
    </comment>
    <comment authorId="4" xr:uid="{f532ff91-156c-45ed-b5d9-c5545305b942}" ref="E9">
      <text>
        <t xml:space="preserve">[Threaded comment]
 Your version of Excel allows you to read this threaded comment; however, any edits to it will get removed if the file is opened in a newer version of Excel. Learn more: https://go.microsoft.com/fwlink/?linkid=870924
Comment:
	VIENE CHIARA CARRIERA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tc={0d784efe-3ef5-4748-8859-360af6544d9a}</author>
    <author>tc={45a64ab8-e338-46ca-b921-039c7c24ffd9}</author>
    <author>tc={58de1440-bdb1-4567-8400-80f40701c66f}</author>
    <author>tc={636918c4-f0e5-4c8b-a3c3-e3024ee33dd7}</author>
    <author>tc={b67d40ba-6eba-4323-8e92-079d3b930f32}</author>
    <author>tc={e5f8a4bc-d5ac-47a7-8d13-f3243f70bc6e}</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 authorId="1" xr:uid="{0d784efe-3ef5-4748-8859-360af6544d9a}" ref="E41">
      <text>
        <t xml:space="preserve">[Threaded comment]
 Your version of Excel allows you to read this threaded comment; however, any edits to it will get removed if the file is opened in a newer version of Excel. Learn more: https://go.microsoft.com/fwlink/?linkid=870924
Comment:
	@estefany@studio-gem.it manca il codice univoco per fare la fattura
Attività assegnata a estefany@studio-gem.it
Reply:
	91032530171 non so dove si inserisce
Reply:
	quello non è il codice univoco è la partita iva, mi serve il codice univoco per la fatturazione elettronica
</t>
      </text>
    </comment>
    <comment authorId="2" xr:uid="{45a64ab8-e338-46ca-b921-039c7c24ffd9}" ref="P10">
      <text>
        <t xml:space="preserve">[Threaded comment]
 Your version of Excel allows you to read this threaded comment; however, any edits to it will get removed if the file is opened in a newer version of Excel. Learn more: https://go.microsoft.com/fwlink/?linkid=870924
Comment:
	@amminstrazione@studio-gem.it
Attività assegnata a amminstrazione@studio-gem.it
</t>
      </text>
    </comment>
    <comment authorId="3" xr:uid="{58de1440-bdb1-4567-8400-80f40701c66f}" ref="P10">
      <text>
        <t xml:space="preserve">[Threaded comment]
 Your version of Excel allows you to read this threaded comment; however, any edits to it will get removed if the file is opened in a newer version of Excel. Learn more: https://go.microsoft.com/fwlink/?linkid=870924
Comment:
	@amministrazione@studio-gem.it
Attività assegnata a amministrazione@studio-gem.it
</t>
      </text>
    </comment>
    <comment authorId="4" xr:uid="{636918c4-f0e5-4c8b-a3c3-e3024ee33dd7}" ref="F39">
      <text>
        <t xml:space="preserve">[Threaded comment]
 Your version of Excel allows you to read this threaded comment; however, any edits to it will get removed if the file is opened in a newer version of Excel. Learn more: https://go.microsoft.com/fwlink/?linkid=870924
Comment:
	CHLOE
</t>
      </text>
    </comment>
    <comment authorId="5" xr:uid="{b67d40ba-6eba-4323-8e92-079d3b930f32}" ref="I104">
      <text>
        <t xml:space="preserve">[Threaded comment]
 Your version of Excel allows you to read this threaded comment; however, any edits to it will get removed if the file is opened in a newer version of Excel. Learn more: https://go.microsoft.com/fwlink/?linkid=870924
Comment:
	dati richiesti
</t>
      </text>
    </comment>
    <comment authorId="6" xr:uid="{e5f8a4bc-d5ac-47a7-8d13-f3243f70bc6e}" ref="E39">
      <text>
        <t xml:space="preserve">[Threaded comment]
 Your version of Excel allows you to read this threaded comment; however, any edits to it will get removed if the file is opened in a newer version of Excel. Learn more: https://go.microsoft.com/fwlink/?linkid=870924
Comment:
	DIAZ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tc={02b7c780-793e-40cf-b022-7c54aead88af}</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 authorId="1" xr:uid="{02b7c780-793e-40cf-b022-7c54aead88af}" ref="E23">
      <text>
        <t xml:space="preserve">[Threaded comment]
 Your version of Excel allows you to read this threaded comment; however, any edits to it will get removed if the file is opened in a newer version of Excel. Learn more: https://go.microsoft.com/fwlink/?linkid=870924
Comment:
	GUGLIELMINI MANUELA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tc={025858ff-a1a5-4693-bc82-911522d5fde1}</author>
    <author>tc={1ec37995-bd21-44c2-8176-85d173f743a5}</author>
    <author>tc={ada2eebf-ab31-4405-b225-f42b77b80a75}</author>
  </authors>
  <commentList>
    <comment authorId="0" ref="E259">
      <text>
        <t xml:space="preserve">IMPORTANTE: per modificare i prezzi utilizzare solo questa cella "Prezzi WS" e non toccare le formule inserite  nei vari totali.</t>
      </text>
    </comment>
    <comment authorId="1" xr:uid="{025858ff-a1a5-4693-bc82-911522d5fde1}" ref="D218">
      <text>
        <t xml:space="preserve">[Threaded comment]
 Your version of Excel allows you to read this threaded comment; however, any edits to it will get removed if the file is opened in a newer version of Excel. Learn more: https://go.microsoft.com/fwlink/?linkid=870924
Comment:
	aveva pagato per due
</t>
      </text>
    </comment>
    <comment authorId="2" xr:uid="{1ec37995-bd21-44c2-8176-85d173f743a5}" ref="G7">
      <text>
        <t xml:space="preserve">[Threaded comment]
 Your version of Excel allows you to read this threaded comment; however, any edits to it will get removed if the file is opened in a newer version of Excel. Learn more: https://go.microsoft.com/fwlink/?linkid=870924
Comment:
	MANDERA' una mail nei prossimi giorni con tutti i dati che ci servono
</t>
      </text>
    </comment>
    <comment authorId="3" xr:uid="{ada2eebf-ab31-4405-b225-f42b77b80a75}" ref="G140">
      <text>
        <t xml:space="preserve">[Threaded comment]
 Your version of Excel allows you to read this threaded comment; however, any edits to it will get removed if the file is opened in a newer version of Excel. Learn more: https://go.microsoft.com/fwlink/?linkid=870924
Comment:
	MANDERA' una mail nei prossimi giorni con tutti i dati che ci servono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tc={407f5c90-ff4c-43ad-9d87-4df9d6d692c3}</author>
    <author>tc={40cbea76-ca31-485f-8923-18c05376d556}</author>
    <author>tc={56a0b2bb-b4be-416e-9f62-9a5dcbb8a507}</author>
    <author>tc={5841d4ce-a96e-451f-8761-cb78dfd7c87a}</author>
    <author>tc={61e8e0c3-5b7e-4a9d-83f6-1e33f0293a4a}</author>
    <author>tc={99386dd9-f6fe-44cb-a763-6aa7ce2b2b82}</author>
    <author>tc={bf390d84-32a0-4541-841a-68ce3973948f}</author>
    <author>tc={c32bc640-60c2-4d76-ac17-432ec729351b}</author>
  </authors>
  <commentList>
    <comment authorId="0" ref="E172">
      <text>
        <t xml:space="preserve">IMPORTANTE: per modificare i prezzi utilizzare solo questa cella "Prezzi WS" e non toccare le formule inserite  nei vari totali.</t>
      </text>
    </comment>
    <comment authorId="1" xr:uid="{407f5c90-ff4c-43ad-9d87-4df9d6d692c3}" ref="D58">
      <text>
        <t xml:space="preserve">[Threaded comment]
 Your version of Excel allows you to read this threaded comment; however, any edits to it will get removed if the file is opened in a newer version of Excel. Learn more: https://go.microsoft.com/fwlink/?linkid=870924
Comment:
	ESTEFANY DA SISTEMARE
</t>
      </text>
    </comment>
    <comment authorId="2" xr:uid="{40cbea76-ca31-485f-8923-18c05376d556}" ref="O127">
      <text>
        <t xml:space="preserve">[Threaded comment]
 Your version of Excel allows you to read this threaded comment; however, any edits to it will get removed if the file is opened in a newer version of Excel. Learn more: https://go.microsoft.com/fwlink/?linkid=870924
Comment:
	@estefany@studio-gem.it
Attività assegnata a estefany@studio-gem.it
Reply:
	Gli ho fatto solo la ricevuta dei €30, manca ricevuta dei €20 pagati online
</t>
      </text>
    </comment>
    <comment authorId="3" xr:uid="{56a0b2bb-b4be-416e-9f62-9a5dcbb8a507}" ref="D43">
      <text>
        <t xml:space="preserve">[Threaded comment]
 Your version of Excel allows you to read this threaded comment; however, any edits to it will get removed if the file is opened in a newer version of Excel. Learn more: https://go.microsoft.com/fwlink/?linkid=870924
Comment:
	@estefany@studio-gem.it fare ricevuta istituzionale
Attività assegnata a estefany@studio-gem.it
</t>
      </text>
    </comment>
    <comment authorId="4" xr:uid="{5841d4ce-a96e-451f-8761-cb78dfd7c87a}" ref="D121">
      <text>
        <t xml:space="preserve">[Threaded comment]
 Your version of Excel allows you to read this threaded comment; however, any edits to it will get removed if the file is opened in a newer version of Excel. Learn more: https://go.microsoft.com/fwlink/?linkid=870924
Comment:
	ricevuta da fare
</t>
      </text>
    </comment>
    <comment authorId="5" xr:uid="{61e8e0c3-5b7e-4a9d-83f6-1e33f0293a4a}" ref="G106">
      <text>
        <t xml:space="preserve">[Threaded comment]
 Your version of Excel allows you to read this threaded comment; however, any edits to it will get removed if the file is opened in a newer version of Excel. Learn more: https://go.microsoft.com/fwlink/?linkid=870924
Comment:
	attesa dati
</t>
      </text>
    </comment>
    <comment authorId="6" xr:uid="{99386dd9-f6fe-44cb-a763-6aa7ce2b2b82}" ref="D43">
      <text>
        <t xml:space="preserve">[Threaded comment]
 Your version of Excel allows you to read this threaded comment; however, any edits to it will get removed if the file is opened in a newer version of Excel. Learn more: https://go.microsoft.com/fwlink/?linkid=870924
Comment:
	non può più venire. Se chiede qualcuno inserirla al suo posto.
</t>
      </text>
    </comment>
    <comment authorId="7" xr:uid="{bf390d84-32a0-4541-841a-68ce3973948f}" ref="D43">
      <text>
        <t xml:space="preserve">[Threaded comment]
 Your version of Excel allows you to read this threaded comment; however, any edits to it will get removed if the file is opened in a newer version of Excel. Learn more: https://go.microsoft.com/fwlink/?linkid=870924
Comment:
	inserita al posto di Maryam Zareie
</t>
      </text>
    </comment>
    <comment authorId="8" xr:uid="{c32bc640-60c2-4d76-ac17-432ec729351b}" ref="G38">
      <text>
        <t xml:space="preserve">[Threaded comment]
 Your version of Excel allows you to read this threaded comment; however, any edits to it will get removed if the file is opened in a newer version of Excel. Learn more: https://go.microsoft.com/fwlink/?linkid=870924
Comment:
	attesa dati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tc={07b0c0c6-8fbf-4ed3-80a9-7b4c2ac2fc00}</author>
    <author>tc={3feaa420-3ecf-4043-b240-85924c1b94f9}</author>
  </authors>
  <commentList>
    <comment authorId="0" ref="C2">
      <text>
        <t xml:space="preserve">DATA RICEVIMENTO EMAIL
</t>
      </text>
    </comment>
    <comment authorId="0" ref="I2">
      <text>
        <t xml:space="preserve">UGUALE A DATA INSERIMENTO/RICHIESTA</t>
      </text>
    </comment>
    <comment authorId="0" ref="E153">
      <text>
        <t xml:space="preserve">IMPORTANTE: per modificare i prezzi utilizzare solo questa cella "Prezzi WS" e non toccare le formule inserite  nei vari totali.</t>
      </text>
    </comment>
    <comment authorId="1" xr:uid="{07b0c0c6-8fbf-4ed3-80a9-7b4c2ac2fc00}" ref="F4">
      <text>
        <t xml:space="preserve">[Threaded comment]
 Your version of Excel allows you to read this threaded comment; however, any edits to it will get removed if the file is opened in a newer version of Excel. Learn more: https://go.microsoft.com/fwlink/?linkid=870924
Comment:
	Nr 1
</t>
      </text>
    </comment>
    <comment authorId="2" xr:uid="{3feaa420-3ecf-4043-b240-85924c1b94f9}" ref="D88">
      <text>
        <t xml:space="preserve">[Threaded comment]
 Your version of Excel allows you to read this threaded comment; however, any edits to it will get removed if the file is opened in a newer version of Excel. Learn more: https://go.microsoft.com/fwlink/?linkid=870924
Comment:
	SPOSTATA DAI WS FESTA DI NATALE E INSERITA CON NEREA. HA PAGATO UNA DIFFERENZA DI 2 EURO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tc={f353c289-0410-40dd-a2da-9a2c7fa2fb3f}</author>
  </authors>
  <commentList>
    <comment authorId="0" ref="C2">
      <text>
        <t xml:space="preserve">DATA RICEVIMENTO EMAIL
</t>
      </text>
    </comment>
    <comment authorId="0" ref="I2">
      <text>
        <t xml:space="preserve">UGUALE A DATA INSERIMENTO/RICHIESTA</t>
      </text>
    </comment>
    <comment authorId="0" ref="E153">
      <text>
        <t xml:space="preserve">IMPORTANTE: per modificare i prezzi utilizzare solo questa cella "Prezzi WS" e non toccare le formule inserite  nei vari totali.</t>
      </text>
    </comment>
    <comment authorId="1" xr:uid="{f353c289-0410-40dd-a2da-9a2c7fa2fb3f}" ref="D9">
      <text>
        <t xml:space="preserve">[Threaded comment]
 Your version of Excel allows you to read this threaded comment; however, any edits to it will get removed if the file is opened in a newer version of Excel. Learn more: https://go.microsoft.com/fwlink/?linkid=870924
Comment:
	HA PAGATO X2 IN ATETSA DATI
Reply:
	FATTA UNA FATTURA UNICA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tc={0a9fdd50-c0da-43dd-bccd-49284e996e98}</author>
    <author>tc={7cfc3cf9-ad73-4e31-a35f-4ed7b953ed38}</author>
    <author>tc={9913eaea-3cfb-423f-ae46-12b06f13ab48}</author>
    <author>tc={bd14f32f-e5bf-4c55-9ebd-ea0a55b79be0}</author>
    <author>tc={d91d0972-5b0e-44c4-8f53-120c5fda5bdd}</author>
    <author>tc={da8765c7-bef5-444e-9ca4-2e2178f9ec17}</author>
  </authors>
  <commentList>
    <comment authorId="0" ref="C2">
      <text>
        <t xml:space="preserve">DATA RICEVIMENTO EMAIL
</t>
      </text>
    </comment>
    <comment authorId="0" ref="I2">
      <text>
        <t xml:space="preserve">UGUALE A DATA INSERIMENTO/RICHIESTA</t>
      </text>
    </comment>
    <comment authorId="0" ref="E153">
      <text>
        <t xml:space="preserve">IMPORTANTE: per modificare i prezzi utilizzare solo questa cella "Prezzi WS" e non toccare le formule inserite  nei vari totali.</t>
      </text>
    </comment>
    <comment authorId="1" xr:uid="{0a9fdd50-c0da-43dd-bccd-49284e996e98}" ref="D14">
      <text>
        <t xml:space="preserve">[Threaded comment]
 Your version of Excel allows you to read this threaded comment; however, any edits to it will get removed if the file is opened in a newer version of Excel. Learn more: https://go.microsoft.com/fwlink/?linkid=870924
Comment:
	@alexandra@studio-gem.it sistemare sede?cash?online?ricevuta fatta?partecipazione?
Attività assegnata a alexandra@studio-gem.it
</t>
      </text>
    </comment>
    <comment authorId="2" xr:uid="{7cfc3cf9-ad73-4e31-a35f-4ed7b953ed38}" ref="D61">
      <text>
        <t xml:space="preserve">[Threaded comment]
 Your version of Excel allows you to read this threaded comment; however, any edits to it will get removed if the file is opened in a newer version of Excel. Learn more: https://go.microsoft.com/fwlink/?linkid=870924
Comment:
	Attesa dati
</t>
      </text>
    </comment>
    <comment authorId="3" xr:uid="{9913eaea-3cfb-423f-ae46-12b06f13ab48}" ref="D13">
      <text>
        <t xml:space="preserve">[Threaded comment]
 Your version of Excel allows you to read this threaded comment; however, any edits to it will get removed if the file is opened in a newer version of Excel. Learn more: https://go.microsoft.com/fwlink/?linkid=870924
Comment:
	@estefany@studio-gem.it mancano i dati su athena
Attività assegnata a estefany@studio-gem.it
</t>
      </text>
    </comment>
    <comment authorId="4" xr:uid="{bd14f32f-e5bf-4c55-9ebd-ea0a55b79be0}" ref="D13">
      <text>
        <t xml:space="preserve">[Threaded comment]
 Your version of Excel allows you to read this threaded comment; however, any edits to it will get removed if the file is opened in a newer version of Excel. Learn more: https://go.microsoft.com/fwlink/?linkid=870924
Comment:
	@nura@studio-gem.it  sistemare sede?cash?online?ricevuta fatta?
Attività assegnata a nura@studio-gem.it
</t>
      </text>
    </comment>
    <comment authorId="5" xr:uid="{d91d0972-5b0e-44c4-8f53-120c5fda5bdd}" ref="S75">
      <text>
        <t xml:space="preserve">[Threaded comment]
 Your version of Excel allows you to read this threaded comment; however, any edits to it will get removed if the file is opened in a newer version of Excel. Learn more: https://go.microsoft.com/fwlink/?linkid=870924
Comment:
	Il totale è corretto ma per mancanza di spazio dove poter scrivere l'impostazione dei prezzi, dà errore
</t>
      </text>
    </comment>
    <comment authorId="6" xr:uid="{da8765c7-bef5-444e-9ca4-2e2178f9ec17}" ref="L46">
      <text>
        <t xml:space="preserve">[Threaded comment]
 Your version of Excel allows you to read this threaded comment; however, any edits to it will get removed if the file is opened in a newer version of Excel. Learn more: https://go.microsoft.com/fwlink/?linkid=870924
Comment:
	gaetano@studio-gem.it puoi aggiungere il codice 2526WS.STAFF20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tc={1236c7e5-f33a-4e7d-9324-1f5b673b06ad}</author>
    <author>tc={1599b80b-2eb7-4321-90c1-c3b48849869a}</author>
    <author>tc={3b7b6574-dc04-4582-96c4-13e618e2c0d9}</author>
    <author>tc={694dc29b-668e-4b4d-9f7f-ff382a6c6517}</author>
    <author>tc={8a0513d9-833b-4fb9-8228-4b2ba1635528}</author>
    <author>tc={900ebe56-05d5-4f00-82f9-cc2c8d2f2f7c}</author>
    <author>tc={a734554a-6d4b-4d1b-80fa-8e03ba82ad4a}</author>
    <author>tc={a92011fd-3166-4a8f-8530-73ed791e1e52}</author>
    <author>tc={b67dc0ae-1e50-42bf-9a93-9ba5398e238f}</author>
    <author>tc={c6ee599a-5cf2-4e51-9163-ffdcbec87775}</author>
    <author>tc={eb1b8c75-0265-4ee1-9102-bf40ba509f42}</author>
  </authors>
  <commentList>
    <comment authorId="0" ref="C2">
      <text>
        <t xml:space="preserve">DATA RICEVIMENTO EMAIL
</t>
      </text>
    </comment>
    <comment authorId="0" ref="I2">
      <text>
        <t xml:space="preserve">UGUALE A DATA INSERIMENTO/RICHIESTA</t>
      </text>
    </comment>
    <comment authorId="0" ref="D27">
      <text>
        <t xml:space="preserve">fatto la fattura da 74€ X 2</t>
      </text>
    </comment>
    <comment authorId="0" ref="D40">
      <text>
        <t xml:space="preserve">fatta fattura da 111€ X 3 </t>
      </text>
    </comment>
    <comment authorId="0" ref="E153">
      <text>
        <t xml:space="preserve">IMPORTANTE: per modificare i prezzi utilizzare solo questa cella "Prezzi WS" e non toccare le formule inserite  nei vari totali.</t>
      </text>
    </comment>
    <comment authorId="1" xr:uid="{1236c7e5-f33a-4e7d-9324-1f5b673b06ad}" ref="J64">
      <text>
        <t xml:space="preserve">[Threaded comment]
 Your version of Excel allows you to read this threaded comment; however, any edits to it will get removed if the file is opened in a newer version of Excel. Learn more: https://go.microsoft.com/fwlink/?linkid=870924
Comment:
	@alexandra@studio-gem.it Come mai non c'è il pagamento?
Attività assegnata a alexandra@studio-gem.it
Reply:
	sistemato
</t>
      </text>
    </comment>
    <comment authorId="2" xr:uid="{1599b80b-2eb7-4321-90c1-c3b48849869a}" ref="D40">
      <text>
        <t xml:space="preserve">[Threaded comment]
 Your version of Excel allows you to read this threaded comment; however, any edits to it will get removed if the file is opened in a newer version of Excel. Learn more: https://go.microsoft.com/fwlink/?linkid=870924
Comment:
	chiedere info per le altre persone a cui ha pagato
</t>
      </text>
    </comment>
    <comment authorId="3" xr:uid="{3b7b6574-dc04-4582-96c4-13e618e2c0d9}" ref="L7">
      <text>
        <t xml:space="preserve">[Threaded comment]
 Your version of Excel allows you to read this threaded comment; however, any edits to it will get removed if the file is opened in a newer version of Excel. Learn more: https://go.microsoft.com/fwlink/?linkid=870924
Comment:
	IN ATTESA AGGIORNAMENTO PER VEDERE CODICE
</t>
      </text>
    </comment>
    <comment authorId="4" xr:uid="{694dc29b-668e-4b4d-9f7f-ff382a6c6517}" ref="G13">
      <text>
        <t xml:space="preserve">[Threaded comment]
 Your version of Excel allows you to read this threaded comment; however, any edits to it will get removed if the file is opened in a newer version of Excel. Learn more: https://go.microsoft.com/fwlink/?linkid=870924
Comment:
	errato in attesa corretto
</t>
      </text>
    </comment>
    <comment authorId="5" xr:uid="{8a0513d9-833b-4fb9-8228-4b2ba1635528}" ref="A2">
      <text>
        <t xml:space="preserve">[Threaded comment]
 Your version of Excel allows you to read this threaded comment; however, any edits to it will get removed if the file is opened in a newer version of Excel. Learn more: https://go.microsoft.com/fwlink/?linkid=870924
Comment:
	@gaechacha@gmail.com Gae c'è qualcosa di sbagliato perché al posto dei nostri nomi in questa colonna ci sono degli orari
Attività assegnata a gaechacha@gmail.com
Reply:
	@joel@studio-gem.it Risolto
</t>
      </text>
    </comment>
    <comment authorId="6" xr:uid="{900ebe56-05d5-4f00-82f9-cc2c8d2f2f7c}" ref="D37">
      <text>
        <t xml:space="preserve">[Threaded comment]
 Your version of Excel allows you to read this threaded comment; however, any edits to it will get removed if the file is opened in a newer version of Excel. Learn more: https://go.microsoft.com/fwlink/?linkid=870924
Comment:
	@estefany@studio-gem.it dati su athena incompleti
Attività assegnata a estefany@studio-gem.it
</t>
      </text>
    </comment>
    <comment authorId="7" xr:uid="{a734554a-6d4b-4d1b-80fa-8e03ba82ad4a}" ref="D41">
      <text>
        <t xml:space="preserve">[Threaded comment]
 Your version of Excel allows you to read this threaded comment; however, any edits to it will get removed if the file is opened in a newer version of Excel. Learn more: https://go.microsoft.com/fwlink/?linkid=870924
Comment:
	chiedere info per le altre persone a cui ha pagato
</t>
      </text>
    </comment>
    <comment authorId="8" xr:uid="{a92011fd-3166-4a8f-8530-73ed791e1e52}" ref="A4">
      <text>
        <t xml:space="preserve">[Threaded comment]
 Your version of Excel allows you to read this threaded comment; however, any edits to it will get removed if the file is opened in a newer version of Excel. Learn more: https://go.microsoft.com/fwlink/?linkid=870924
Comment:
	Estefany
Attività assegnata a gaechacha@gmail.com
</t>
      </text>
    </comment>
    <comment authorId="9" xr:uid="{b67dc0ae-1e50-42bf-9a93-9ba5398e238f}" ref="D27">
      <text>
        <t xml:space="preserve">[Threaded comment]
 Your version of Excel allows you to read this threaded comment; however, any edits to it will get removed if the file is opened in a newer version of Excel. Learn more: https://go.microsoft.com/fwlink/?linkid=870924
Comment:
	Ha pagato per due persone, in attesa dati
</t>
      </text>
    </comment>
    <comment authorId="10" xr:uid="{c6ee599a-5cf2-4e51-9163-ffdcbec87775}" ref="J65">
      <text>
        <t xml:space="preserve">[Threaded comment]
 Your version of Excel allows you to read this threaded comment; however, any edits to it will get removed if the file is opened in a newer version of Excel. Learn more: https://go.microsoft.com/fwlink/?linkid=870924
Comment:
	@alexandra@studio-gem.it Come mai non c'è il pagamento?
Attività assegnata a alexandra@studio-gem.it
Reply:
	sul file vendita non si vedeva  il numero di transazione, adesso lo vedo
</t>
      </text>
    </comment>
    <comment authorId="11" xr:uid="{eb1b8c75-0265-4ee1-9102-bf40ba509f42}" ref="G18">
      <text>
        <t xml:space="preserve">[Threaded comment]
 Your version of Excel allows you to read this threaded comment; however, any edits to it will get removed if the file is opened in a newer version of Excel. Learn more: https://go.microsoft.com/fwlink/?linkid=870924
Comment:
	IN ATTESA C.F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tc={424d2cb1-60c1-477c-a9e4-eb1688fdbd26}</author>
    <author>tc={4b64db84-6927-4d33-84a5-37e51171d6c8}</author>
    <author>tc={5784e658-3929-4dda-ac00-68f89ff80a57}</author>
    <author>tc={5b8bfd51-4eb9-4059-be06-5cda8bf8886d}</author>
    <author>tc={8147e667-92ef-46d7-b0cb-f59299d7e45f}</author>
    <author>tc={bb468eda-44c9-47a4-bc11-8c7b22aad84c}</author>
  </authors>
  <commentList>
    <comment authorId="0" ref="C2">
      <text>
        <t xml:space="preserve">DATA RICEVIMENTO EMAIL
</t>
      </text>
    </comment>
    <comment authorId="0" ref="I2">
      <text>
        <t xml:space="preserve">UGUALE A DATA INSERIMENTO/RICHIESTA</t>
      </text>
    </comment>
    <comment authorId="0" ref="E153">
      <text>
        <t xml:space="preserve">IMPORTANTE: per modificare i prezzi utilizzare solo questa cella "Prezzi WS" e non toccare le formule inserite  nei vari totali.</t>
      </text>
    </comment>
    <comment authorId="1" xr:uid="{424d2cb1-60c1-477c-a9e4-eb1688fdbd26}" ref="D25">
      <text>
        <t xml:space="preserve">[Threaded comment]
 Your version of Excel allows you to read this threaded comment; however, any edits to it will get removed if the file is opened in a newer version of Excel. Learn more: https://go.microsoft.com/fwlink/?linkid=870924
Comment:
	@estefany@studio-gem.it mancano i dati su athena
Attività assegnata a estefany@studio-gem.it
</t>
      </text>
    </comment>
    <comment authorId="2" xr:uid="{4b64db84-6927-4d33-84a5-37e51171d6c8}" ref="F58">
      <text>
        <t xml:space="preserve">[Threaded comment]
 Your version of Excel allows you to read this threaded comment; however, any edits to it will get removed if the file is opened in a newer version of Excel. Learn more: https://go.microsoft.com/fwlink/?linkid=870924
Comment:
	@estefany@studio-gem.it
Attività assegnata a estefany@studio-gem.it
</t>
      </text>
    </comment>
    <comment authorId="3" xr:uid="{5784e658-3929-4dda-ac00-68f89ff80a57}" ref="D24">
      <text>
        <t xml:space="preserve">[Threaded comment]
 Your version of Excel allows you to read this threaded comment; however, any edits to it will get removed if the file is opened in a newer version of Excel. Learn more: https://go.microsoft.com/fwlink/?linkid=870924
Comment:
	ha pagato x2 in attesa dati
Reply:
	fatta una fattura unica
</t>
      </text>
    </comment>
    <comment authorId="4" xr:uid="{5b8bfd51-4eb9-4059-be06-5cda8bf8886d}" ref="D49">
      <text>
        <t xml:space="preserve">[Threaded comment]
 Your version of Excel allows you to read this threaded comment; however, any edits to it will get removed if the file is opened in a newer version of Excel. Learn more: https://go.microsoft.com/fwlink/?linkid=870924
Comment:
	@estefany@studio-gem.it mancano i dati su athena
Attività assegnata a estefany@studio-gem.it
</t>
      </text>
    </comment>
    <comment authorId="5" xr:uid="{8147e667-92ef-46d7-b0cb-f59299d7e45f}" ref="B49">
      <text>
        <t xml:space="preserve">[Threaded comment]
 Your version of Excel allows you to read this threaded comment; however, any edits to it will get removed if the file is opened in a newer version of Excel. Learn more: https://go.microsoft.com/fwlink/?linkid=870924
Comment:
	sono stati mandati per fare il B/B perche non è riuscita a fare il pagamento online, ha provato più di 3 volte
Reply:
	bonifico fatto
</t>
      </text>
    </comment>
    <comment authorId="6" xr:uid="{bb468eda-44c9-47a4-bc11-8c7b22aad84c}" ref="D6">
      <text>
        <t xml:space="preserve">[Threaded comment]
 Your version of Excel allows you to read this threaded comment; however, any edits to it will get removed if the file is opened in a newer version of Excel. Learn more: https://go.microsoft.com/fwlink/?linkid=870924
Comment:
	verificare se è entrato il pagamento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tc={0e05a834-010f-49f0-bc1b-65308e28e0d4}</author>
    <author>tc={19810703-539a-4732-bfc6-6ab6dab68e84}</author>
    <author>tc={1a3d4f08-b617-474d-acd7-9a4746a8ff2b}</author>
    <author>tc={231352b0-41d1-4c1b-baae-ae015aaa9248}</author>
    <author>tc={2419eaa5-002f-4323-9eeb-4bb20d28789f}</author>
    <author>tc={2e25cff8-572a-40b9-b80e-f6edd37b653f}</author>
    <author>tc={3b138005-54d9-40d8-9f78-389c6af194c1}</author>
    <author>tc={5a7de387-577a-4216-a9b0-233b57497487}</author>
    <author>tc={6a749b67-225c-41cb-9dea-9407818e52c7}</author>
    <author>tc={87c8e593-b116-4ee8-979e-f70b1ae22cf0}</author>
    <author>tc={8fcde05b-0a06-4932-a10f-d537fd990782}</author>
    <author>tc={9c248748-efe6-4386-a4cb-84233d5e817e}</author>
    <author>tc={9dfa1c04-96a5-45b3-9b67-36fe007ef6a5}</author>
    <author>tc={9e3c3fe0-1317-45d1-96d6-6acc6df46b74}</author>
    <author>tc={aafee620-6c87-4f65-9af2-c77aa44bae17}</author>
    <author>tc={ba67fe8e-be79-4cea-b052-1e2439b52bb2}</author>
    <author>tc={cb345d85-63e5-4967-b4f0-03c752d43c57}</author>
    <author>tc={d13e98f0-7f03-4976-ac46-9a17d4122bc3}</author>
    <author>tc={d64fbca4-ce90-4887-bb7a-5b04605cf805}</author>
    <author>tc={da91fdc5-fac3-4d81-ad64-c7a362aebe7b}</author>
    <author>tc={feb2bd55-05c5-4c88-9fb0-7771bb497ff9}</author>
  </authors>
  <commentList>
    <comment authorId="0" ref="C2">
      <text>
        <t xml:space="preserve">DATA RICEVIMENTO EMAIL
</t>
      </text>
    </comment>
    <comment authorId="0" ref="I2">
      <text>
        <t xml:space="preserve">UGUALE A DATA INSERIMENTO/RICHIESTA</t>
      </text>
    </comment>
    <comment authorId="0" ref="J44">
      <text>
        <t xml:space="preserve">fatta fattura da 90€ a Carrara Shiri</t>
      </text>
    </comment>
    <comment authorId="0" ref="M66">
      <text>
        <t xml:space="preserve">satispay</t>
      </text>
    </comment>
    <comment authorId="0" ref="E175">
      <text>
        <t xml:space="preserve">IMPORTANTE: per modificare i prezzi utilizzare solo questa cella "Prezzi WS" e non toccare le formule inserite  nei vari totali.</t>
      </text>
    </comment>
    <comment authorId="1" xr:uid="{0e05a834-010f-49f0-bc1b-65308e28e0d4}" ref="J43">
      <text>
        <t xml:space="preserve">[Threaded comment]
 Your version of Excel allows you to read this threaded comment; however, any edits to it will get removed if the file is opened in a newer version of Excel. Learn more: https://go.microsoft.com/fwlink/?linkid=870924
Comment:
	@santo@studio-gem.it Questa persona ha pagato €90 in realtà: €45 per sè e €45 per la sua amica Vanessa Alborghetti. Fare fattura di €90
Attività assegnata a santo@studio-gem.it
</t>
      </text>
    </comment>
    <comment authorId="2" xr:uid="{19810703-539a-4732-bfc6-6ab6dab68e84}" ref="B170">
      <text>
        <t xml:space="preserve">[Threaded comment]
 Your version of Excel allows you to read this threaded comment; however, any edits to it will get removed if the file is opened in a newer version of Excel. Learn more: https://go.microsoft.com/fwlink/?linkid=870924
Comment:
	@gaechacha@gmail.com Manca la formula in tutta la riga
Attività assegnata a gaechacha@gmail.com
</t>
      </text>
    </comment>
    <comment authorId="3" xr:uid="{1a3d4f08-b617-474d-acd7-9a4746a8ff2b}" ref="K54">
      <text>
        <t xml:space="preserve">[Threaded comment]
 Your version of Excel allows you to read this threaded comment; however, any edits to it will get removed if the file is opened in a newer version of Excel. Learn more: https://go.microsoft.com/fwlink/?linkid=870924
Comment:
	@amministrazione@studio-gem.it @office@studio-gem.it  in attesa di ricevere la conferma di bonifico
Attività assegnata a office@studio-gem.it
Reply:
	bonifico fatto
</t>
      </text>
    </comment>
    <comment authorId="4" xr:uid="{231352b0-41d1-4c1b-baae-ae015aaa9248}" ref="D15">
      <text>
        <t xml:space="preserve">[Threaded comment]
 Your version of Excel allows you to read this threaded comment; however, any edits to it will get removed if the file is opened in a newer version of Excel. Learn more: https://go.microsoft.com/fwlink/?linkid=870924
Comment:
	@estefany@studio-gem.it mancano dati su athena
Attività assegnata a estefany@studio-gem.it
</t>
      </text>
    </comment>
    <comment authorId="5" xr:uid="{2419eaa5-002f-4323-9eeb-4bb20d28789f}" ref="J44">
      <text>
        <t xml:space="preserve">[Threaded comment]
 Your version of Excel allows you to read this threaded comment; however, any edits to it will get removed if the file is opened in a newer version of Excel. Learn more: https://go.microsoft.com/fwlink/?linkid=870924
Comment:
	@santo@studio-gem.it Per lei ha pagato Shiri Carrara
Attività assegnata a santo@studio-gem.it
</t>
      </text>
    </comment>
    <comment authorId="6" xr:uid="{2e25cff8-572a-40b9-b80e-f6edd37b653f}" ref="K33">
      <text>
        <t xml:space="preserve">[Threaded comment]
 Your version of Excel allows you to read this threaded comment; however, any edits to it will get removed if the file is opened in a newer version of Excel. Learn more: https://go.microsoft.com/fwlink/?linkid=870924
Comment:
	Transazione non andata a buon fine, ragazza iscritta anche ad un altro WS ed ha avuto problemi anche con quell'iscrizione.
</t>
      </text>
    </comment>
    <comment authorId="7" xr:uid="{3b138005-54d9-40d8-9f78-389c6af194c1}" ref="B54">
      <text>
        <t xml:space="preserve">[Threaded comment]
 Your version of Excel allows you to read this threaded comment; however, any edits to it will get removed if the file is opened in a newer version of Excel. Learn more: https://go.microsoft.com/fwlink/?linkid=870924
Comment:
	Mail per effettuare il bonifico mandata
Reply:
	bonifico fatto
</t>
      </text>
    </comment>
    <comment authorId="8" xr:uid="{5a7de387-577a-4216-a9b0-233b57497487}" ref="D52">
      <text>
        <t xml:space="preserve">[Threaded comment]
 Your version of Excel allows you to read this threaded comment; however, any edits to it will get removed if the file is opened in a newer version of Excel. Learn more: https://go.microsoft.com/fwlink/?linkid=870924
Comment:
	@estefany@studio-gem.it dati su athena incompleti
Attività assegnata a estefany@studio-gem.it
</t>
      </text>
    </comment>
    <comment authorId="9" xr:uid="{6a749b67-225c-41cb-9dea-9407818e52c7}" ref="D19">
      <text>
        <t xml:space="preserve">[Threaded comment]
 Your version of Excel allows you to read this threaded comment; however, any edits to it will get removed if the file is opened in a newer version of Excel. Learn more: https://go.microsoft.com/fwlink/?linkid=870924
Comment:
	HA PAGATO PER 2 IN ATTESA DATI
Reply:
	ho fatto una fattura sola da 90€
</t>
      </text>
    </comment>
    <comment authorId="10" xr:uid="{87c8e593-b116-4ee8-979e-f70b1ae22cf0}" ref="O51">
      <text>
        <t xml:space="preserve">[Threaded comment]
 Your version of Excel allows you to read this threaded comment; however, any edits to it will get removed if the file is opened in a newer version of Excel. Learn more: https://go.microsoft.com/fwlink/?linkid=870924
Comment:
	@estefany@studio-gem.it Chi è la seconda persona per cui ha pagato?
Attività assegnata a estefany@studio-gem.it
</t>
      </text>
    </comment>
    <comment authorId="11" xr:uid="{8fcde05b-0a06-4932-a10f-d537fd990782}" ref="B172">
      <text>
        <t xml:space="preserve">[Threaded comment]
 Your version of Excel allows you to read this threaded comment; however, any edits to it will get removed if the file is opened in a newer version of Excel. Learn more: https://go.microsoft.com/fwlink/?linkid=870924
Comment:
	@gaechacha@gmail.com Manca la formula
Attività assegnata a gaechacha@gmail.com
</t>
      </text>
    </comment>
    <comment authorId="12" xr:uid="{9c248748-efe6-4386-a4cb-84233d5e817e}" ref="I54">
      <text>
        <t xml:space="preserve">[Threaded comment]
 Your version of Excel allows you to read this threaded comment; however, any edits to it will get removed if the file is opened in a newer version of Excel. Learn more: https://go.microsoft.com/fwlink/?linkid=870924
Comment:
	aggiornare la colonna I quando il pagamento è entrato. @amministrazione@studio-gem.it
Attività assegnata a amministrazione@studio-gem.it
Reply:
	per i bonifici non inserisco qui la data , riporto l'entrata del bonifico nel file Bonifici-IN
Reply:
	Ok grazie
</t>
      </text>
    </comment>
    <comment authorId="13" xr:uid="{9dfa1c04-96a5-45b3-9b67-36fe007ef6a5}" ref="D51">
      <text>
        <t xml:space="preserve">[Threaded comment]
 Your version of Excel allows you to read this threaded comment; however, any edits to it will get removed if the file is opened in a newer version of Excel. Learn more: https://go.microsoft.com/fwlink/?linkid=870924
Comment:
	@estefany@studio-gem.it  dati su athena incompleti
Attività assegnata a estefany@studio-gem.it
</t>
      </text>
    </comment>
    <comment authorId="14" xr:uid="{9e3c3fe0-1317-45d1-96d6-6acc6df46b74}" ref="S43">
      <text>
        <t xml:space="preserve">[Threaded comment]
 Your version of Excel allows you to read this threaded comment; however, any edits to it will get removed if the file is opened in a newer version of Excel. Learn more: https://go.microsoft.com/fwlink/?linkid=870924
Comment:
	@santo@studio-gem.it Vedi cella J43
Attività assegnata a santo@studio-gem.it
</t>
      </text>
    </comment>
    <comment authorId="15" xr:uid="{aafee620-6c87-4f65-9af2-c77aa44bae17}" ref="S44">
      <text>
        <t xml:space="preserve">[Threaded comment]
 Your version of Excel allows you to read this threaded comment; however, any edits to it will get removed if the file is opened in a newer version of Excel. Learn more: https://go.microsoft.com/fwlink/?linkid=870924
Comment:
	@santo@studio-gem.it Vedi cella J44
Attività assegnata a santo@studio-gem.it
</t>
      </text>
    </comment>
    <comment authorId="16" xr:uid="{ba67fe8e-be79-4cea-b052-1e2439b52bb2}" ref="D37">
      <text>
        <t xml:space="preserve">[Threaded comment]
 Your version of Excel allows you to read this threaded comment; however, any edits to it will get removed if the file is opened in a newer version of Excel. Learn more: https://go.microsoft.com/fwlink/?linkid=870924
Comment:
	@estefany@studio-gem.it non c'è il flag " ricevuta " mi verifichi se è stata fatta ?
Attività assegnata a estefany@studio-gem.it
</t>
      </text>
    </comment>
    <comment authorId="17" xr:uid="{cb345d85-63e5-4967-b4f0-03c752d43c57}" ref="J34">
      <text>
        <t xml:space="preserve">[Threaded comment]
 Your version of Excel allows you to read this threaded comment; however, any edits to it will get removed if the file is opened in a newer version of Excel. Learn more: https://go.microsoft.com/fwlink/?linkid=870924
Comment:
	PAGAMENTO NON ANDATO A BUON FINE, CONTATTARE PER RIFARE IL PAGAMENTO (SUL FILE VENDITA NON C'E ID TRANSAZIONE)
</t>
      </text>
    </comment>
    <comment authorId="18" xr:uid="{d13e98f0-7f03-4976-ac46-9a17d4122bc3}" ref="D69">
      <text>
        <t xml:space="preserve">[Threaded comment]
 Your version of Excel allows you to read this threaded comment; however, any edits to it will get removed if the file is opened in a newer version of Excel. Learn more: https://go.microsoft.com/fwlink/?linkid=870924
Comment:
	@estefany@studio-gem.it mancani i dati su athena
</t>
      </text>
    </comment>
    <comment authorId="19" xr:uid="{d64fbca4-ce90-4887-bb7a-5b04605cf805}" ref="S88">
      <text>
        <t xml:space="preserve">[Threaded comment]
 Your version of Excel allows you to read this threaded comment; however, any edits to it will get removed if the file is opened in a newer version of Excel. Learn more: https://go.microsoft.com/fwlink/?linkid=870924
Comment:
	@gaechacha@gmail.com Come mai se inserisco 45 nella colonna J o 43 nella colonna K esce errore qui? In basso, nella griglia dei prezzi, o inserito i prezzi (F153 e F154 come mi hai detto di fare tu)
Attività assegnata a gaechacha@gmail.com
</t>
      </text>
    </comment>
    <comment authorId="20" xr:uid="{da91fdc5-fac3-4d81-ad64-c7a362aebe7b}" ref="B171">
      <text>
        <t xml:space="preserve">[Threaded comment]
 Your version of Excel allows you to read this threaded comment; however, any edits to it will get removed if the file is opened in a newer version of Excel. Learn more: https://go.microsoft.com/fwlink/?linkid=870924
Comment:
	@gaechacha@gmail.com Manca la formula
Attività assegnata a gaechacha@gmail.com
</t>
      </text>
    </comment>
    <comment authorId="21" xr:uid="{feb2bd55-05c5-4c88-9fb0-7771bb497ff9}" ref="D54">
      <text>
        <t xml:space="preserve">[Threaded comment]
 Your version of Excel allows you to read this threaded comment; however, any edits to it will get removed if the file is opened in a newer version of Excel. Learn more: https://go.microsoft.com/fwlink/?linkid=870924
Comment:
	@estefany@studio-gem.it mancano i dati su athena
Attività assegnata a estefany@studio-gem.it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tc={3012b20f-b149-443b-b894-42c1099b7fb6}</author>
  </authors>
  <commentList>
    <comment authorId="0" ref="C2">
      <text>
        <t xml:space="preserve">DATA RICEVIMENTO EMAIL
</t>
      </text>
    </comment>
    <comment authorId="0" ref="I2">
      <text>
        <t xml:space="preserve">UGUALE A DATA INSERIMENTO/RICHIESTA</t>
      </text>
    </comment>
    <comment authorId="0" ref="E154">
      <text>
        <t xml:space="preserve">IMPORTANTE: per modificare i prezzi utilizzare solo questa cella "Prezzi WS" e non toccare le formule inserite  nei vari totali.</t>
      </text>
    </comment>
    <comment authorId="1" xr:uid="{3012b20f-b149-443b-b894-42c1099b7fb6}" ref="D7">
      <text>
        <t xml:space="preserve">[Threaded comment]
 Your version of Excel allows you to read this threaded comment; however, any edits to it will get removed if the file is opened in a newer version of Excel. Learn more: https://go.microsoft.com/fwlink/?linkid=870924
Comment:
	@estefany@studio-gem.it verificare ricevuta non c'è il flag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tc={24c08f05-7ba4-4520-8d0a-8b7e5120361c}</author>
    <author>tc={4353df50-e5f0-4fa8-a9fc-8626e54017c8}</author>
    <author>tc={49e946e5-d9b2-4a3b-836c-7920eb48e05b}</author>
    <author>tc={5373e2be-56cd-4d86-875a-44e288b052a5}</author>
    <author>tc={634db5db-b61c-436d-9546-e582b06902a5}</author>
    <author>tc={772238b9-1ce1-4d22-93ba-661bf1e193da}</author>
    <author>tc={a9d69ca4-b01f-4c93-8a2a-e3b37b58ab86}</author>
    <author>tc={b6ddfec6-8fca-4eb8-848e-3395d5b6b439}</author>
    <author>tc={dc091b9e-accd-4fe1-a48f-7d44ba111a0f}</author>
    <author>tc={ec9e105f-2468-4cf4-915b-0f77d4556f1a}</author>
  </authors>
  <commentList>
    <comment authorId="0" ref="C2">
      <text>
        <t xml:space="preserve">DATA RICEVIMENTO EMAIL
</t>
      </text>
    </comment>
    <comment authorId="0" ref="I2">
      <text>
        <t xml:space="preserve">UGUALE A DATA INSERIMENTO/RICHIESTA</t>
      </text>
    </comment>
    <comment authorId="0" ref="E175">
      <text>
        <t xml:space="preserve">IMPORTANTE: per modificare i prezzi utilizzare solo questa cella "Prezzi WS" e non toccare le formule inserite  nei vari totali.</t>
      </text>
    </comment>
    <comment authorId="1" xr:uid="{24c08f05-7ba4-4520-8d0a-8b7e5120361c}" ref="E35">
      <text>
        <t xml:space="preserve">[Threaded comment]
 Your version of Excel allows you to read this threaded comment; however, any edits to it will get removed if the file is opened in a newer version of Excel. Learn more: https://go.microsoft.com/fwlink/?linkid=870924
Comment:
	ha pagato per 3 in attesa dati partecipanti
Reply:
	ho fatto un'inca fattura a Rocca
</t>
      </text>
    </comment>
    <comment authorId="2" xr:uid="{4353df50-e5f0-4fa8-a9fc-8626e54017c8}" ref="K37">
      <text>
        <t xml:space="preserve">[Threaded comment]
 Your version of Excel allows you to read this threaded comment; however, any edits to it will get removed if the file is opened in a newer version of Excel. Learn more: https://go.microsoft.com/fwlink/?linkid=870924
Comment:
	@alexandra@studio-gem.it Per Ale: questa ragazza pagherà €35 in via eccezionale con codice estefany. Inoltre, dovrà pagare Timor + Deborah
Attività assegnata a alexandra@studio-gem.it
</t>
      </text>
    </comment>
    <comment authorId="3" xr:uid="{49e946e5-d9b2-4a3b-836c-7920eb48e05b}" ref="D77">
      <text>
        <t xml:space="preserve">[Threaded comment]
 Your version of Excel allows you to read this threaded comment; however, any edits to it will get removed if the file is opened in a newer version of Excel. Learn more: https://go.microsoft.com/fwlink/?linkid=870924
Comment:
	NEL FILE VENDITA VEDO UN ENTRATA DI 111€ PRESUMO ABBIA PAGATO PER TRE
</t>
      </text>
    </comment>
    <comment authorId="4" xr:uid="{5373e2be-56cd-4d86-875a-44e288b052a5}" ref="A4">
      <text>
        <t xml:space="preserve">[Threaded comment]
 Your version of Excel allows you to read this threaded comment; however, any edits to it will get removed if the file is opened in a newer version of Excel. Learn more: https://go.microsoft.com/fwlink/?linkid=870924
Comment:
	estefany
</t>
      </text>
    </comment>
    <comment authorId="5" xr:uid="{634db5db-b61c-436d-9546-e582b06902a5}" ref="G32">
      <text>
        <t xml:space="preserve">[Threaded comment]
 Your version of Excel allows you to read this threaded comment; however, any edits to it will get removed if the file is opened in a newer version of Excel. Learn more: https://go.microsoft.com/fwlink/?linkid=870924
Comment:
	chiedere se davvero non ha un CF se no chiedere dati per calcolarlo
</t>
      </text>
    </comment>
    <comment authorId="6" xr:uid="{772238b9-1ce1-4d22-93ba-661bf1e193da}" ref="E5">
      <text>
        <t xml:space="preserve">[Threaded comment]
 Your version of Excel allows you to read this threaded comment; however, any edits to it will get removed if the file is opened in a newer version of Excel. Learn more: https://go.microsoft.com/fwlink/?linkid=870924
Comment:
	VERRA GAIA FORMAGGINI
</t>
      </text>
    </comment>
    <comment authorId="7" xr:uid="{a9d69ca4-b01f-4c93-8a2a-e3b37b58ab86}" ref="D76">
      <text>
        <t xml:space="preserve">[Threaded comment]
 Your version of Excel allows you to read this threaded comment; however, any edits to it will get removed if the file is opened in a newer version of Excel. Learn more: https://go.microsoft.com/fwlink/?linkid=870924
Comment:
	NEL FILE VENDITA VEDO UN ENTRATA DI 111€ PRESUMO ABBIA PAGATO PER TRE
</t>
      </text>
    </comment>
    <comment authorId="8" xr:uid="{b6ddfec6-8fca-4eb8-848e-3395d5b6b439}" ref="A5">
      <text>
        <t xml:space="preserve">[Threaded comment]
 Your version of Excel allows you to read this threaded comment; however, any edits to it will get removed if the file is opened in a newer version of Excel. Learn more: https://go.microsoft.com/fwlink/?linkid=870924
Comment:
	estefany
</t>
      </text>
    </comment>
    <comment authorId="9" xr:uid="{dc091b9e-accd-4fe1-a48f-7d44ba111a0f}" ref="D13">
      <text>
        <t xml:space="preserve">[Threaded comment]
 Your version of Excel allows you to read this threaded comment; however, any edits to it will get removed if the file is opened in a newer version of Excel. Learn more: https://go.microsoft.com/fwlink/?linkid=870924
Comment:
	arrivata qui controllo
</t>
      </text>
    </comment>
    <comment authorId="10" xr:uid="{ec9e105f-2468-4cf4-915b-0f77d4556f1a}" ref="D20">
      <text>
        <t xml:space="preserve">[Threaded comment]
 Your version of Excel allows you to read this threaded comment; however, any edits to it will get removed if the file is opened in a newer version of Excel. Learn more: https://go.microsoft.com/fwlink/?linkid=870924
Comment:
	arrivata qui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tc={0a05ea05-3366-4e19-b8ed-293ada56509a}</author>
    <author>tc={11914f77-2943-4981-9475-fedd0aa6fe1c}</author>
    <author>tc={ead05a93-e0bc-4601-9d8e-a8e1b4cc3113}</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177">
      <text>
        <t xml:space="preserve">gae 22nov2025
ℹ️ TOTALI 1 e 2 WS (per prezzo)
Per ogni prezzo in F177:O177 (listino combinato):
Riga 178 → n. PERSONE SEDE (WS1 + WS2) per quel prezzo (testo “X da €Y”).
Riga 179 → subTOTALE € SEDE (WS1 + WS2) per quel prezzo.
Riga 180 → n. PERSONE ONLINE (WS1 + WS2) per quel prezzo.
Riga 181 → subTOTALE € ONLINE (WS1 + WS2) per quel prezzo.
Le formule usano sempre la colonna M (IMPORTO FINALE) e lasciano le celle vuote se non ci sono importi.</t>
      </text>
    </comment>
    <comment authorId="0" ref="E177">
      <text>
        <t xml:space="preserve">gae 22nov2025
ℹ️ Listino prezzi combinato WS1+WS2
La riga 177, da F177 a O177, elenca automaticamente tutti i prezzi diversi usati negli IMPORTI FINALI (M4:M83 e M91:M170).
Formula (protetta con SE.ERRORE):
=SE.ERRORE(TRASPONI(ORDINA(UNICI(FILTRO({$M$4:$M$83;$M$91:$M$170};{$M$4:$M$83;$M$91:$M$170}&lt;&gt;"" ))));"")
👉 Non modificare questa riga: alimenta i totali combinati WS1+WS2.</t>
      </text>
    </comment>
    <comment authorId="0" ref="R177">
      <text>
        <t xml:space="preserve">gae 22nov2025
ℹ️ TOTALE GENERALE ENTRATE (S178)
La cella S178 somma i totali WS1 e WS2 (SEDE + ONLINE) usando Q178 + Q180:
=SE(SOMMA(Q178;Q180)=0;"";SOMMA(Q178;Q180))
Se non ci sono vendite → S178 resta vuota.
Se ci sono vendite → S178 mostra il totale complessivo di tutte le entrate del file (WS1 + WS2).</t>
      </text>
    </comment>
    <comment authorId="1" xr:uid="{0a05ea05-3366-4e19-b8ed-293ada56509a}" ref="N2">
      <text>
        <t xml:space="preserve">[Threaded comment]
 Your version of Excel allows you to read this threaded comment; however, any edits to it will get removed if the file is opened in a newer version of Excel. Learn more: https://go.microsoft.com/fwlink/?linkid=870924
Comment:
	@gaechacha@gmail.com è possibile aggiungere le voci "CARTA-TESSERATO" e "CARTA-NON TESSERATO"?
perché io ricordo che cash era per sia contanti che carta fatti in sede mentre Digitale era solo per chi acquistava online. Mi diceva Santo però che trovava difficoltà al momento di fare fattura non sapendo effettivamente se hanno pagato in contanti o carta
Attività assegnata a gaechacha@gmail.com
</t>
      </text>
    </comment>
    <comment authorId="2" xr:uid="{11914f77-2943-4981-9475-fedd0aa6fe1c}" ref="N2">
      <text>
        <t xml:space="preserve">[Threaded comment]
 Your version of Excel allows you to read this threaded comment; however, any edits to it will get removed if the file is opened in a newer version of Excel. Learn more: https://go.microsoft.com/fwlink/?linkid=870924
Comment:
	@gaechacha@gmail.com CORREGGERE LA DESCRIZIONE DI QUESTA CELLA N2 in "DIGIT/CASH - TESS/NON TESS"
Attività assegnata a gaechacha@gmail.com
Reply:
	FATTO
</t>
      </text>
    </comment>
    <comment authorId="3" xr:uid="{ead05a93-e0bc-4601-9d8e-a8e1b4cc3113}" ref="D2">
      <text>
        <t xml:space="preserve">[Threaded comment]
 Your version of Excel allows you to read this threaded comment; however, any edits to it will get removed if the file is opened in a newer version of Excel. Learn more: https://go.microsoft.com/fwlink/?linkid=870924
Comment:
	@gaechacha@gmail.com dobbiamo copiare l'ID anagrafica dal File Master? e se non sono tesserati come facciamo?
Attività assegnata a gaechacha@gmail.com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5">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2">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259">
      <text>
        <t xml:space="preserve">gae 22nov2025
ℹ️ WS3 – Dati e riepilogo
Dati iscritti WS3: righe 178–257, IMPORTO FINALE in colonna M.
Riga 259:
da F259 a O259 → “LISTA PREZZI WS3”, generata in automatico dagli importi finali M178:M257.
Righe 260–263: riepilogo WS3 per fascia di prezzo:
260 = PERSONE SEDE per ogni prezzo
261 = subTOTALE SEDE per ogni prezzo
262 = PERSONE ONLINE per ogni prezzo
263 = subTOTALE ONLINE per ogni prezzo
Q259 e Q262 sommano i subtotali di WS3; formule del tipo:
Q259 =SE(SOMMA(F261:O261)=0;"";SOMMA(F261:O261))
Q262=SE(SOMMA(F263:O263)=0;"";SOMMA(F263:O263))
U263 → cella di verifica WS3: mostra “OK” se i totali WS3 coincidono con la somma degli IMPORTI FINALI (M84:M171:M258), altrimenti “ERRORE”.</t>
      </text>
    </comment>
    <comment authorId="0" ref="D264">
      <text>
        <t xml:space="preserve">gae 22nov2025
ℹ️ TOTALI 1, 2, 3 WS (per prezzo)
Per ogni prezzo in F264:O264 (listino combinato):
Riga 265 → n. PERSONE SEDE (WS1 + WS2 + WS3) per quel prezzo (testo “X da €Y”).
Riga 266 → subTOTALE € SEDE (WS1 + WS2 + WS3) per quel prezzo.
Riga 267 → n. PERSONE ONLINE (WS1 + WS2 + WS3) per quel prezzo.
Riga 268 → subTOTALE € ONLINE (WS1 + WS2 + WS3) per quel prezzo.
Le formule usano sempre la colonna M (IMPORTO FINALE) e lasciano le celle vuote se non ci sono importi.</t>
      </text>
    </comment>
    <comment authorId="0" ref="E264">
      <text>
        <t xml:space="preserve">gae 22nov2025
ℹ️ Listino prezzi combinato WS1+WS2 + WS3
La riga 264, da F264 a O264, elenca automaticamente tutti i prezzi diversi usati negli IMPORTI FINALI (M4:M83 e M91:M170 e M178:M257).
Formula (protetta con SE.ERRORE):
=SE.ERRORE(TRASPONI(ORDINA(UNICI(FILTRO({$M$4:$M$83;$M$91:$M$170;$M$178:$M$257};{$M$4:$M$83;$M$91:$M$170;$M$178:$M$257}&lt;&gt;"" ))));"")
👉 Non modificare questa riga: alimenta i totali combinati WS1+WS2+WS3.</t>
      </text>
    </comment>
    <comment authorId="0" ref="R264">
      <text>
        <t xml:space="preserve">gae 22nov2025
ℹ️ TOTALE GENERALE ENTRATE (S178)
La cella S264 somma i totali WS1, WS2 e WS3 (SEDE + ONLINE) usando Q264 + Q267:
=SE(SOMMA(Q264;Q267)=0;"";SOMMA(Q264;Q267))
Se non ci sono vendite → S264 resta vuota.
Se ci sono vendite → S264 mostra il totale complessivo di tutte le entrate del file (WS1 + WS2 + WS3).</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DATA RICEVIMENTO EMAIL
</t>
      </text>
    </comment>
    <comment authorId="0" ref="J2">
      <text>
        <t xml:space="preserve">UGUALE A DATA INSERIMENTO/RICHIESTA</t>
      </text>
    </comment>
    <comment authorId="0" ref="L2">
      <text>
        <t xml:space="preserve">gae22nov2025
ℹ️ Formato codici sconto
I codici sconto funzionano così:
NURA02WS → sconto in euro (es. 02 = 2 € di sconto).
NURA-02WS → sconto in percentuale (es. -02 = 2% di sconto).
Struttura: 4 lettere iniziali (es. NURA) + parte numerica (con o senza “-”) + WS.
La colonna M (IMPORTO FINALE) calcola automaticamente l’importo dopo lo sconto.</t>
      </text>
    </comment>
    <comment authorId="0" ref="M2">
      <text>
        <t xml:space="preserve">gae 22nov2025
ℹ️ Gestione prezzi e sconti
Colonna J – QUOTA: inserire il prezzo del workshop valido al momento della vendita (in base agli scalettati).
Colonna K – CODICE SCONTO: selezionare/inserire il codice sconto (se presente).
Colonna M – IMPORTO FINALE: si calcola in automatico con una formula, partendo dalla QUOTA (J) e applicando lo sconto di K.
👉 Non scrivere mai a mano in M: modificare solo J (quota) e K (codice sconto).</t>
      </text>
    </comment>
    <comment authorId="0" ref="D86">
      <text>
        <t xml:space="preserve">gae 22nov2025
ℹ️ WS1 – Dati e riepilogo
Dati iscritti WS1: righe 4–83, IMPORTO FINALE in colonna M.
Riga 85:
da K85 a Q85 → “LISTA PREZZI WS1”, generata in automatico dagli importi finali M4:M83.
Righe 86–89: riepilogo WS1 per fascia di prezzo:
86 = PERSONE SEDE per ogni prezzo
87 = subTOTALE SEDE per ogni prezzo
88 = PERSONE ONLINE per ogni prezzo
89 = subTOTALE ONLINE per ogni prezzo
Q86 e Q88 sommano i subtotali di WS1; le formule sono del tipo:
Q86 =SE(SOMMA(F87:O87)=0;"";SOMMA(F87:O87))
Q88 =SE(SOMMA(F89:O89)=0;"";SOMMA(F89:O89))
U89 → cella di verifica WS1: mostra “OK” se i totali WS1 coincidono con la somma degli IMPORTI FINALI (M4:M83), altrimenti “ERRORE”.</t>
      </text>
    </comment>
    <comment authorId="0" ref="D174">
      <text>
        <t xml:space="preserve">gae 22nov2025
ℹ️ WS2 – Dati e riepilogo
Dati iscritti WS2: righe 91–170, IMPORTO FINALE in colonna M.
Riga 172:
da K172 a Q172 → “LISTA PREZZI WS2”, generata in automatico dagli importi finali M91:M170.
Righe 173–176: riepilogo WS2 per fascia di prezzo:
173 = PERSONE SEDE per ogni prezzo
174 = subTOTALE SEDE per ogni prezzo
175 = PERSONE ONLINE per ogni prezzo
176 = subTOTALE ONLINE per ogni prezzo
Q173 e Q175 sommano i subtotali di WS2; formule del tipo:
Q173 =SE(SOMMA(F174:O174)=0;"";SOMMA(F174:O174))
Q175 =SE(SOMMA(F176:O176)=0;"";SOMMA(F176:O176))
U176 → cella di verifica WS2: mostra “OK” se i totali WS2 coincidono con la somma degli IMPORTI FINALI (M91:M170), altrimenti “ERRORE”.</t>
      </text>
    </comment>
    <comment authorId="0" ref="D262">
      <text>
        <t xml:space="preserve">gae 22nov2025
ℹ️ WS3 – Dati e riepilogo
Dati iscritti WS3: righe 178–257, IMPORTO FINALE in colonna M.
Riga 259:
da F259 a O259 → “LISTA PREZZI WS3”, generata in automatico dagli importi finali M178:M257.
Righe 260–263: riepilogo WS3 per fascia di prezzo:
260 = PERSONE SEDE per ogni prezzo
261 = subTOTALE SEDE per ogni prezzo
262 = PERSONE ONLINE per ogni prezzo
263 = subTOTALE ONLINE per ogni prezzo
Q259 e Q262 sommano i subtotali di WS3; formule del tipo:
Q259 =SE(SOMMA(F261:O261)=0;"";SOMMA(F261:O261))
Q262=SE(SOMMA(F263:O263)=0;"";SOMMA(F263:O263))
U263 → cella di verifica WS3: mostra “OK” se i totali WS3 coincidono con la somma degli IMPORTI FINALI (M84:M171:M258), altrimenti “ERRORE”.</t>
      </text>
    </comment>
    <comment authorId="0" ref="D267">
      <text>
        <t xml:space="preserve">gae 22nov2025
ℹ️ TOTALI 1, 2, 3 WS (per prezzo)
Per ogni prezzo in F264:O264 (listino combinato):
Riga 265 → n. PERSONE SEDE (WS1 + WS2 + WS3) per quel prezzo (testo “X da €Y”).
Riga 266 → subTOTALE € SEDE (WS1 + WS2 + WS3) per quel prezzo.
Riga 267 → n. PERSONE ONLINE (WS1 + WS2 + WS3) per quel prezzo.
Riga 268 → subTOTALE € ONLINE (WS1 + WS2 + WS3) per quel prezzo.
Le formule usano sempre la colonna M (IMPORTO FINALE) e lasciano le celle vuote se non ci sono importi.</t>
      </text>
    </comment>
    <comment authorId="0" ref="E267">
      <text>
        <t xml:space="preserve">gae 22nov2025
ℹ️ Listino prezzi combinato WS1+WS2 + WS3
La riga 264, da F264 a O264, elenca automaticamente tutti i prezzi diversi usati negli IMPORTI FINALI (M4:M83 e M91:M170 e M178:M257).
Formula (protetta con SE.ERRORE):
=SE.ERRORE(TRASPONI(ORDINA(UNICI(FILTRO({$M$4:$M$83;$M$91:$M$170;$M$178:$M$257};{$M$4:$M$83;$M$91:$M$170;$M$178:$M$257}&lt;&gt;"" ))));"")
👉 Non modificare questa riga: alimenta i totali combinati WS1+WS2+WS3.</t>
      </text>
    </comment>
    <comment authorId="0" ref="R267">
      <text>
        <t xml:space="preserve">gae 22nov2025
ℹ️ TOTALE GENERALE ENTRATE (S178)
La cella S264 somma i totali WS1, WS2 e WS3 (SEDE + ONLINE) usando Q264 + Q267:
=SE(SOMMA(Q264;Q267)=0;"";SOMMA(Q264;Q267))
Se non ci sono vendite → S264 resta vuota.
Se ci sono vendite → S264 mostra il totale complessivo di tutte le entrate del file (WS1 + WS2 + WS3).</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collegato al foglio QUOTE CORSI</t>
      </text>
    </comment>
    <comment authorId="0" ref="AE1">
      <text>
        <t xml:space="preserve">alcune delle celle "codici sconto" sono collegate alle celle delle Promo (intervallo </t>
      </text>
    </comment>
    <comment authorId="0" ref="D4">
      <text>
        <t xml:space="preserve">29apr2025
NOPROMO - Inserire il testo sempre senza spazi
In tutte le celle bianche si possono aggiungere importi fissi o con percentuali</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14mar2025
collegato al file "25_26_Calendario MASTER uso SEGRETERIA (CON LINK)"
dal ???apr2025 viene aggiornato con lo script ogni ora</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Ci sono più stati
Pending pagato
Completed pagato
Failed non pagato
Processed pagato
Dipende dal sistema di pagamento che usano
</t>
      </text>
    </comment>
  </commentList>
</comments>
</file>

<file path=xl/sharedStrings.xml><?xml version="1.0" encoding="utf-8"?>
<sst xmlns="http://schemas.openxmlformats.org/spreadsheetml/2006/main" count="9713" uniqueCount="3011">
  <si>
    <t>ALEXANDRA</t>
  </si>
  <si>
    <t>ESTEFANY</t>
  </si>
  <si>
    <t>GIUDITTA</t>
  </si>
  <si>
    <t>NURA</t>
  </si>
  <si>
    <t>JOEL</t>
  </si>
  <si>
    <t>aa</t>
  </si>
  <si>
    <t>SANTO</t>
  </si>
  <si>
    <t>SARA</t>
  </si>
  <si>
    <t>MASSI</t>
  </si>
  <si>
    <t>STAFF</t>
  </si>
  <si>
    <t>STAFF2</t>
  </si>
  <si>
    <t>ANAHITA</t>
  </si>
  <si>
    <t>ANDREA</t>
  </si>
  <si>
    <t>CINZIA</t>
  </si>
  <si>
    <t>FERGIE</t>
  </si>
  <si>
    <t>CARLOS</t>
  </si>
  <si>
    <t>DATA EVENTO</t>
  </si>
  <si>
    <t>DESCRIZIONE</t>
  </si>
  <si>
    <t>Sede</t>
  </si>
  <si>
    <t>Codice</t>
  </si>
  <si>
    <t>TOTALE
Sede e Codice</t>
  </si>
  <si>
    <t>Bonus
Team Vendita</t>
  </si>
  <si>
    <t>WS_BANANA</t>
  </si>
  <si>
    <t>WS_TIMOR</t>
  </si>
  <si>
    <t>WS_LULU</t>
  </si>
  <si>
    <t>WS_KUMO</t>
  </si>
  <si>
    <t>WS_LELI</t>
  </si>
  <si>
    <t>WS_DEBORAHESPOSITO</t>
  </si>
  <si>
    <t>WS_DEANGELIS</t>
  </si>
  <si>
    <t>WS_NEREA</t>
  </si>
  <si>
    <t>WS_FESTA NATALE</t>
  </si>
  <si>
    <t>SOLO SERATA_FESTA NATALE</t>
  </si>
  <si>
    <t>WS_ALESSIOCAVALIERE</t>
  </si>
  <si>
    <t>WS_EMANUELLO</t>
  </si>
  <si>
    <t>OC_ANAHITA</t>
  </si>
  <si>
    <t>WS_DIA_EN_CUBA</t>
  </si>
  <si>
    <t>OC_AMBERALDRIN</t>
  </si>
  <si>
    <t>WS_JASMINE_ANDRIANO</t>
  </si>
  <si>
    <t>punti TOTALE</t>
  </si>
  <si>
    <t>subTOTALE</t>
  </si>
  <si>
    <t>TOTALE</t>
  </si>
  <si>
    <t>Legenda:</t>
  </si>
  <si>
    <t>1 sede = € 1,50</t>
  </si>
  <si>
    <t>1 codice = € 1,00</t>
  </si>
  <si>
    <t>1 bonus Team = €1,00</t>
  </si>
  <si>
    <t>1 bonus Staff (nome) = €3,00</t>
  </si>
  <si>
    <t>Il saldo verrà liquidato a metà luglio 2025 in contanti</t>
  </si>
  <si>
    <t>SEDE:</t>
  </si>
  <si>
    <t>la colonna SEDE conta solo se un nome si trova nella colonna che si chiama VENDITA e PAGAMENTO di qualsiasi file collegato a questo Resoconto</t>
  </si>
  <si>
    <t>CODICE:</t>
  </si>
  <si>
    <t>la colonna CODICE conta solo se un nome si trova nella colonna che si chiama CODICE SCONTO di qualsiasi file collegato a questo Resoconto</t>
  </si>
  <si>
    <t>WS_JASMINE ANDRIANO_19APR2026</t>
  </si>
  <si>
    <t>CHI SCRIVE</t>
  </si>
  <si>
    <t>VENDITA</t>
  </si>
  <si>
    <t>DATA 
INSERIMENTO
/RICHIESTA</t>
  </si>
  <si>
    <t>ID ANAGRAFICA</t>
  </si>
  <si>
    <t>COGNOME</t>
  </si>
  <si>
    <t>NOME</t>
  </si>
  <si>
    <t>TELEFONO</t>
  </si>
  <si>
    <t xml:space="preserve">CODICE FISCALE </t>
  </si>
  <si>
    <t>EMAIL</t>
  </si>
  <si>
    <t>DATA 
PAGAMENTO
/RICEVUTA</t>
  </si>
  <si>
    <t>QUOTA</t>
  </si>
  <si>
    <t>CODICE SCONTO</t>
  </si>
  <si>
    <t>IMPORTO
FINALE</t>
  </si>
  <si>
    <t>DIGIT/CASH - TESS/NON TESS</t>
  </si>
  <si>
    <t>PRESENZA</t>
  </si>
  <si>
    <t>NOTE</t>
  </si>
  <si>
    <t>INSERITO SU ATHENA</t>
  </si>
  <si>
    <t>RICEVUTA
FATTA</t>
  </si>
  <si>
    <t>FATTURA 
FATTA</t>
  </si>
  <si>
    <t>VERIFICA
PAGAMENTO</t>
  </si>
  <si>
    <t>14:30-16:00_COMMERCIAL (€32 entro il 18 Marzo compreso → €37 dal 19 Marzo al 18 Aprile compreso → €42 il giorno stesso)</t>
  </si>
  <si>
    <t>Estefany</t>
  </si>
  <si>
    <t>ONLINE</t>
  </si>
  <si>
    <t>CARRIERA</t>
  </si>
  <si>
    <t>MARTA</t>
  </si>
  <si>
    <t>CRRMRT00P67G388G</t>
  </si>
  <si>
    <t>mcarriera27@gmail.com</t>
  </si>
  <si>
    <t>ALEXANDRA02WS</t>
  </si>
  <si>
    <t>DIGIT - NON TESSERATO</t>
  </si>
  <si>
    <t>INSERITO</t>
  </si>
  <si>
    <t>KOSTANECKA</t>
  </si>
  <si>
    <t>ALEKSANDRA</t>
  </si>
  <si>
    <t>KSTLSN05A68Z127Q</t>
  </si>
  <si>
    <t>ola.kostanecka2005@gmail.com</t>
  </si>
  <si>
    <t>LUNGHI</t>
  </si>
  <si>
    <t>REBECCA</t>
  </si>
  <si>
    <t>LNGRCC05R48B300Y</t>
  </si>
  <si>
    <t>rebeccalunghi@gmail.com</t>
  </si>
  <si>
    <t>ESPINOZA</t>
  </si>
  <si>
    <t>CAMILLA</t>
  </si>
  <si>
    <t>SPNSLY03B44Z605H</t>
  </si>
  <si>
    <t>ce200304@gmail.com</t>
  </si>
  <si>
    <t>SEDE Estefany</t>
  </si>
  <si>
    <t>CAMPAGNA</t>
  </si>
  <si>
    <t>ALESSIO</t>
  </si>
  <si>
    <t>CMPLSS98A21H501J</t>
  </si>
  <si>
    <t>alessiotcgtrade@gmail.com</t>
  </si>
  <si>
    <t>ESTEFANY02WS</t>
  </si>
  <si>
    <t>DIGIT - TESSERATO</t>
  </si>
  <si>
    <t>Nura</t>
  </si>
  <si>
    <t>SEDE Nura</t>
  </si>
  <si>
    <t>MAMMANO</t>
  </si>
  <si>
    <t>MMMSRA06R61F205O</t>
  </si>
  <si>
    <t>carlotta.contina01@gmail.com</t>
  </si>
  <si>
    <t>NURA02WS</t>
  </si>
  <si>
    <t>SITNIKOVA</t>
  </si>
  <si>
    <t>SOFIIA</t>
  </si>
  <si>
    <t>STNSFO06R59Z138C</t>
  </si>
  <si>
    <t>sitnikovasofiia42@gmail.com</t>
  </si>
  <si>
    <t>ALVARADO</t>
  </si>
  <si>
    <t>ANTONELL</t>
  </si>
  <si>
    <t>LVRNNL03D61Z511D</t>
  </si>
  <si>
    <t>antonella.alvarado13@gmail.com</t>
  </si>
  <si>
    <t>SMS E MAIL INVIATE</t>
  </si>
  <si>
    <t xml:space="preserve">TOTALE </t>
  </si>
  <si>
    <t>SEDE</t>
  </si>
  <si>
    <t>TOTALI WS 1</t>
  </si>
  <si>
    <t>LISTA PREZZI</t>
  </si>
  <si>
    <t>Verifica</t>
  </si>
  <si>
    <t>PERSONE SEDE</t>
  </si>
  <si>
    <t>subTOTALE SEDE</t>
  </si>
  <si>
    <t>PERSONE ONLINE</t>
  </si>
  <si>
    <t>subTOTALE ONLINE</t>
  </si>
  <si>
    <t>LISTA D'ATTESA oppure [ORARIO]_[GENERE] (€X entro il XX/XX compreso → €Y entro il YY/YY compreso → €Z il giorno stesso)</t>
  </si>
  <si>
    <t>TOTALI WS 2</t>
  </si>
  <si>
    <t>TOTALE SEDE</t>
  </si>
  <si>
    <t xml:space="preserve">TOTALI WS 1 e 2 </t>
  </si>
  <si>
    <t>TOTALE PREZZI</t>
  </si>
  <si>
    <t>TOTALE GENERALE ENTRATE</t>
  </si>
  <si>
    <t>TOTALE ONLINE</t>
  </si>
  <si>
    <t>TOTALE 
PERSONE SEDE</t>
  </si>
  <si>
    <t>TOTALE ISCRITTI</t>
  </si>
  <si>
    <t>TOTALE NON TESSERATI</t>
  </si>
  <si>
    <t>TOTALE 
PERSONE ONLINE</t>
  </si>
  <si>
    <t>TOTALE TESSERATI</t>
  </si>
  <si>
    <t>OC_AMBERALDRIN_15MAR2026</t>
  </si>
  <si>
    <t>14:30-16:30_URBAN COREOGRAFICO (€32 entro il 14/03 compreso → €37 il giorno stesso)</t>
  </si>
  <si>
    <t>ID-000398</t>
  </si>
  <si>
    <t>BRUZZESE</t>
  </si>
  <si>
    <t>ALISEA</t>
  </si>
  <si>
    <t>BRZLSA96L57F205J</t>
  </si>
  <si>
    <t>alisea.bruzzese@gmail.com</t>
  </si>
  <si>
    <t>ID-000137</t>
  </si>
  <si>
    <t>RAMBALDI</t>
  </si>
  <si>
    <t>ROBERTA</t>
  </si>
  <si>
    <t>RMBRRT96T64F205N</t>
  </si>
  <si>
    <t>rambaldi.roberta6@gmail.com</t>
  </si>
  <si>
    <t>ID-000760</t>
  </si>
  <si>
    <t>BINARELLI</t>
  </si>
  <si>
    <t>BEATRICE</t>
  </si>
  <si>
    <t>BNRBRC09B57H501G</t>
  </si>
  <si>
    <t>chiarabiselli@hotmail.com</t>
  </si>
  <si>
    <t>REYES RODRIGUEZ</t>
  </si>
  <si>
    <t>CHRISTIAN MICHEL</t>
  </si>
  <si>
    <t>RYSCRS90C08Z514J</t>
  </si>
  <si>
    <t>Michel.9017@libero.it</t>
  </si>
  <si>
    <t>ID-000109</t>
  </si>
  <si>
    <t>GALARDO</t>
  </si>
  <si>
    <t>GLRCLL09M57B354T</t>
  </si>
  <si>
    <t>perillimarta@gmail.com</t>
  </si>
  <si>
    <t>CASH - TESSERATO</t>
  </si>
  <si>
    <t>ID-000440</t>
  </si>
  <si>
    <t>CRIPPA</t>
  </si>
  <si>
    <t>GIULIA</t>
  </si>
  <si>
    <t>CRPGLI95E70A944Q</t>
  </si>
  <si>
    <t>giuliacrippa0@icloud.com</t>
  </si>
  <si>
    <t>TAGLIAVENTO</t>
  </si>
  <si>
    <t>TGLGLI98L51H211P</t>
  </si>
  <si>
    <t>giuliatagliavento98@gmail.com</t>
  </si>
  <si>
    <t>PAOLO</t>
  </si>
  <si>
    <t>ROCCO</t>
  </si>
  <si>
    <t>RCCPLA70E23H264S</t>
  </si>
  <si>
    <t>castore@live.it</t>
  </si>
  <si>
    <t>ASIA</t>
  </si>
  <si>
    <t>BRZSAI03A41F205V</t>
  </si>
  <si>
    <t>asiabruzzese@gmail.com</t>
  </si>
  <si>
    <t>ID-000803</t>
  </si>
  <si>
    <t>PARATI</t>
  </si>
  <si>
    <t>SOFIA</t>
  </si>
  <si>
    <t>PRTSFO10L62I577J</t>
  </si>
  <si>
    <t>sara.garlati@gmail.com</t>
  </si>
  <si>
    <t>ID-000479</t>
  </si>
  <si>
    <t>VENTURA</t>
  </si>
  <si>
    <t>GINEVRA</t>
  </si>
  <si>
    <t>VNTGVR10T50F205J</t>
  </si>
  <si>
    <t>chiaravenvi@gmail.com</t>
  </si>
  <si>
    <t>CUELA</t>
  </si>
  <si>
    <t>ANTONIA</t>
  </si>
  <si>
    <t>CLUNNC02P55Z129J</t>
  </si>
  <si>
    <t>antoniaculea3@gmail.com</t>
  </si>
  <si>
    <t>ID-002534</t>
  </si>
  <si>
    <t>DE PANDIS</t>
  </si>
  <si>
    <t>DPNBRC06S46B157K</t>
  </si>
  <si>
    <t>beadepa@virgilio.it</t>
  </si>
  <si>
    <t>MENGYUN</t>
  </si>
  <si>
    <t>LARIA</t>
  </si>
  <si>
    <t>MNGLRA03A54Z210M</t>
  </si>
  <si>
    <t>13642196573@163.com</t>
  </si>
  <si>
    <t>KANG</t>
  </si>
  <si>
    <t>YIAN</t>
  </si>
  <si>
    <t>KNGYNI96P44Z217R</t>
  </si>
  <si>
    <t>anki0904@gmail.com</t>
  </si>
  <si>
    <t>LIU</t>
  </si>
  <si>
    <t>YIRAN</t>
  </si>
  <si>
    <t>LIUYRN02D66Z210G</t>
  </si>
  <si>
    <t>lyiran077@gmail.com</t>
  </si>
  <si>
    <t>TORRES GOMEZ</t>
  </si>
  <si>
    <t>JHISSEL</t>
  </si>
  <si>
    <t>TRRJSS03H68Z506V</t>
  </si>
  <si>
    <t>chaveznini26@gmail.com</t>
  </si>
  <si>
    <t>WS_DIA EN CUBA_15MAR2026</t>
  </si>
  <si>
    <t>1° WS - YANEDIS - orario 14:30/15:30_GESTUALITA FEMMINILE (€32 entro il 14/02 compreso → €37 entro il 15/03 compreso)</t>
  </si>
  <si>
    <t>PRESENZA DONNE</t>
  </si>
  <si>
    <t>ID-001250</t>
  </si>
  <si>
    <t>SCIPIONI</t>
  </si>
  <si>
    <t>CLAUDIA</t>
  </si>
  <si>
    <t>SCPCLD64D42D749C</t>
  </si>
  <si>
    <t>claudia.scipioni@comune.milano.it</t>
  </si>
  <si>
    <t>ID-000087</t>
  </si>
  <si>
    <t>ROUVIERE</t>
  </si>
  <si>
    <t>SANDRA</t>
  </si>
  <si>
    <t>RVRSDR79R62Z110V</t>
  </si>
  <si>
    <t>sandra.rouviere123@gmail.com</t>
  </si>
  <si>
    <t>ID-002969</t>
  </si>
  <si>
    <t>REDFERN</t>
  </si>
  <si>
    <t>JADE LISA</t>
  </si>
  <si>
    <t>RDFJLS04H45I577J</t>
  </si>
  <si>
    <t>jadelisaredfern@gmail.com</t>
  </si>
  <si>
    <t>ID-001804</t>
  </si>
  <si>
    <t>MELIDE</t>
  </si>
  <si>
    <t>CRPMLD99M70E507E</t>
  </si>
  <si>
    <t>crippamelide@gmail.com</t>
  </si>
  <si>
    <t>ID-001550</t>
  </si>
  <si>
    <t>LATINI GUICCIARDI</t>
  </si>
  <si>
    <t>LUDOVICA</t>
  </si>
  <si>
    <t>LTNLVC95T66H501R</t>
  </si>
  <si>
    <t>ludo.latini@gmail.com</t>
  </si>
  <si>
    <t>Giuditta</t>
  </si>
  <si>
    <t>SEDE Giuditta</t>
  </si>
  <si>
    <t>BIANCHI</t>
  </si>
  <si>
    <t>ANGELA</t>
  </si>
  <si>
    <t>BNCNGL82P59L483M</t>
  </si>
  <si>
    <t>angela.19.bianchi.82@gmail.com</t>
  </si>
  <si>
    <t>GIUDITTA02WS</t>
  </si>
  <si>
    <t>GENTILI</t>
  </si>
  <si>
    <t>IRENE</t>
  </si>
  <si>
    <t>GNTRNI91T56E783X</t>
  </si>
  <si>
    <t>gentili.irene@gmail.com</t>
  </si>
  <si>
    <t>GRAMEGNA</t>
  </si>
  <si>
    <t>VALERIA</t>
  </si>
  <si>
    <t>GRMPML82S65F205N</t>
  </si>
  <si>
    <t>pamelagramegna@gmail.com</t>
  </si>
  <si>
    <t>ID-000898</t>
  </si>
  <si>
    <t>PRECERUTTI</t>
  </si>
  <si>
    <t>MANUELA</t>
  </si>
  <si>
    <t>PRCMNL64P64F205Y</t>
  </si>
  <si>
    <t>manuela.precerutti@cchellenic.com</t>
  </si>
  <si>
    <t>ID-001745</t>
  </si>
  <si>
    <t>CARRIERO</t>
  </si>
  <si>
    <t>DANIELA ANTONELLA</t>
  </si>
  <si>
    <t>CRRDLN65D53F205I</t>
  </si>
  <si>
    <t>Danielacarriero@yahoo.it</t>
  </si>
  <si>
    <t>ID-000348</t>
  </si>
  <si>
    <t>BUA</t>
  </si>
  <si>
    <t>LETIZIA</t>
  </si>
  <si>
    <t>BUALTZ01L58F205U</t>
  </si>
  <si>
    <t>perrie2013@libero.it</t>
  </si>
  <si>
    <t>ID-001366</t>
  </si>
  <si>
    <t>MARASCHI</t>
  </si>
  <si>
    <t>PADMINI</t>
  </si>
  <si>
    <t>MRSPMN99H61Z222B</t>
  </si>
  <si>
    <t>paddy.mx9@gmail.com</t>
  </si>
  <si>
    <t>ID-002259</t>
  </si>
  <si>
    <t>ELEUTERI</t>
  </si>
  <si>
    <t>LTRGLI06H52A944N</t>
  </si>
  <si>
    <t>giulia.eleuteri06@gmail.com</t>
  </si>
  <si>
    <t>ID-000113</t>
  </si>
  <si>
    <t>LACAGNINA</t>
  </si>
  <si>
    <t>LCGRRT81A57G273D</t>
  </si>
  <si>
    <t>roberta.lacagnina@gmail.com</t>
  </si>
  <si>
    <t>UNDIAENCUBA05</t>
  </si>
  <si>
    <t>ID-001314</t>
  </si>
  <si>
    <t>INGEGNERI</t>
  </si>
  <si>
    <t>VIRGINIA</t>
  </si>
  <si>
    <t>NGGVGN91E55A059K</t>
  </si>
  <si>
    <t>virginiaingegneri@gmail.com</t>
  </si>
  <si>
    <t>ID-000814</t>
  </si>
  <si>
    <t>MARIANI</t>
  </si>
  <si>
    <t>MRNRRT87R46F205T</t>
  </si>
  <si>
    <t>Roberta_Mariani@hotmail.it</t>
  </si>
  <si>
    <t>ID-000788</t>
  </si>
  <si>
    <t>TOSCANO</t>
  </si>
  <si>
    <t>CHIARA</t>
  </si>
  <si>
    <t>TSCCHR88C50A053U</t>
  </si>
  <si>
    <t>chiaratoscano@tiscali.it</t>
  </si>
  <si>
    <t>GASPARRONI</t>
  </si>
  <si>
    <t>SERENA</t>
  </si>
  <si>
    <t>GSPSRN84R61E783S</t>
  </si>
  <si>
    <t>s.gasparroni@gmail.com</t>
  </si>
  <si>
    <t>HA PAGATO X2</t>
  </si>
  <si>
    <t>NOVAES SANTOS</t>
  </si>
  <si>
    <t>LAILA</t>
  </si>
  <si>
    <t>NVSLLA88T68Z602X</t>
  </si>
  <si>
    <t>novaes.laila@gmail.com</t>
  </si>
  <si>
    <t>ID-002822</t>
  </si>
  <si>
    <t>MARSEGLIA</t>
  </si>
  <si>
    <t>SABINA</t>
  </si>
  <si>
    <t>MRSSBN70T50F205I</t>
  </si>
  <si>
    <t>sabrina.marseglia@gmail.com</t>
  </si>
  <si>
    <t>D'ORIA</t>
  </si>
  <si>
    <t>LAURA</t>
  </si>
  <si>
    <t>DROLRA70H63H264Y</t>
  </si>
  <si>
    <t>laura.doria1970@gmail.com</t>
  </si>
  <si>
    <t>LUKASOVA</t>
  </si>
  <si>
    <t>KATERINA</t>
  </si>
  <si>
    <t>LKSKRN75R42Z156L</t>
  </si>
  <si>
    <t>katerinalksv@gmail.com</t>
  </si>
  <si>
    <t>CANNIZZARO</t>
  </si>
  <si>
    <t>CNNGLI00S55B300S</t>
  </si>
  <si>
    <t>giulia00cannizzaro@gmail.com</t>
  </si>
  <si>
    <t>MEUCCI</t>
  </si>
  <si>
    <t>EMANUELA EMILIA</t>
  </si>
  <si>
    <t>MCCMLM83M43F205X</t>
  </si>
  <si>
    <t>emanuela.meucci@gmail.com</t>
  </si>
  <si>
    <t>MARITATO</t>
  </si>
  <si>
    <t>MONICA ANNA</t>
  </si>
  <si>
    <t>MRTMCN77L58C002J</t>
  </si>
  <si>
    <t>MARITATO.MONICA@VIRGILIO.IT</t>
  </si>
  <si>
    <t>SORESEN</t>
  </si>
  <si>
    <t>SRNSMR91T65Z116Q</t>
  </si>
  <si>
    <t>sara.m.sorensen@gmail.com</t>
  </si>
  <si>
    <t>CAMPOLUNGO</t>
  </si>
  <si>
    <t>CMPSRA91S66A271J</t>
  </si>
  <si>
    <t>sara.campolungo@tiscali.it</t>
  </si>
  <si>
    <t>ID-003270</t>
  </si>
  <si>
    <t>SORIA</t>
  </si>
  <si>
    <t>ANNA</t>
  </si>
  <si>
    <t>SRONFL88R66Z404U</t>
  </si>
  <si>
    <t>annafeliciavs@gmail.com</t>
  </si>
  <si>
    <t>ID-001944</t>
  </si>
  <si>
    <t>KARA</t>
  </si>
  <si>
    <t>SERAP</t>
  </si>
  <si>
    <t>KRASRP97E63Z243W</t>
  </si>
  <si>
    <t>serap.karaa97@gmail.com</t>
  </si>
  <si>
    <t>MORETTI</t>
  </si>
  <si>
    <t>PATRIZIA</t>
  </si>
  <si>
    <t>MRTPRZ74B45H827Y</t>
  </si>
  <si>
    <t>patriziamoretti@tiscali.it</t>
  </si>
  <si>
    <t xml:space="preserve">CONTE </t>
  </si>
  <si>
    <t>ELENA</t>
  </si>
  <si>
    <t>CNTLNE75S61F205A</t>
  </si>
  <si>
    <t>ele.conte75@gmail.com</t>
  </si>
  <si>
    <t>NO</t>
  </si>
  <si>
    <t>PRESENZA UOMINI</t>
  </si>
  <si>
    <t>DONNE</t>
  </si>
  <si>
    <t>UOMINI</t>
  </si>
  <si>
    <t>1° WS - DUDLEY - orario 14:30/15:30_GESTUALITA MASCHILE (€32 entro il 14/02 compreso → €37 entro il 15/03 compreso)</t>
  </si>
  <si>
    <t>HERRERA PARRA</t>
  </si>
  <si>
    <t>JOHNNY ALEXIS</t>
  </si>
  <si>
    <t>HRRJNN83A21Z604C</t>
  </si>
  <si>
    <t>JOHNNY1280@HOTMAIL.COM</t>
  </si>
  <si>
    <t>ID-001327</t>
  </si>
  <si>
    <t>PIANGERELLI</t>
  </si>
  <si>
    <t>SIMONE</t>
  </si>
  <si>
    <t>PNGSMN79E08D007Z</t>
  </si>
  <si>
    <t>simone.piangerelli@gmail.com</t>
  </si>
  <si>
    <t>Alexandra</t>
  </si>
  <si>
    <t>SEDE Alexandra</t>
  </si>
  <si>
    <t>ID-003337</t>
  </si>
  <si>
    <t>BERICI</t>
  </si>
  <si>
    <t>TIZIANO</t>
  </si>
  <si>
    <t>3275760447</t>
  </si>
  <si>
    <t>BRCTZN62B05F205A</t>
  </si>
  <si>
    <t>tiziano.ber@hotmail.com</t>
  </si>
  <si>
    <t>ID-000531</t>
  </si>
  <si>
    <t>PALUMBO</t>
  </si>
  <si>
    <t>KEVIN</t>
  </si>
  <si>
    <t>PLMKVN93A14I441R</t>
  </si>
  <si>
    <t>kevin.palumbo93@gmail.com</t>
  </si>
  <si>
    <t>GERLI</t>
  </si>
  <si>
    <t>LETTERIO</t>
  </si>
  <si>
    <t>GRLLTR50T28F158Z</t>
  </si>
  <si>
    <t>letteriogerli@gmail.com</t>
  </si>
  <si>
    <t>BRUNELLO</t>
  </si>
  <si>
    <t>JHON BRUNO</t>
  </si>
  <si>
    <t>BRNJNB67B20F205L</t>
  </si>
  <si>
    <t>john.b.brunello@gmail.com</t>
  </si>
  <si>
    <t>ID-001642</t>
  </si>
  <si>
    <t>BUSNARI</t>
  </si>
  <si>
    <t>GIANCARLO</t>
  </si>
  <si>
    <t>BSNGCR60E31F205M</t>
  </si>
  <si>
    <t>g.busnari@gmail.com</t>
  </si>
  <si>
    <t>JOEL02WS</t>
  </si>
  <si>
    <t>ID-004116</t>
  </si>
  <si>
    <t>BRIONI</t>
  </si>
  <si>
    <t>JACOPO</t>
  </si>
  <si>
    <t>BRNJCP96H11H501B</t>
  </si>
  <si>
    <t>jacopus1996@hotmail.it</t>
  </si>
  <si>
    <t>ID-000491</t>
  </si>
  <si>
    <t>CAMISA</t>
  </si>
  <si>
    <t>FABIO</t>
  </si>
  <si>
    <t>CMSFBA73B18F205T</t>
  </si>
  <si>
    <t>FCamisa73@gmail.com</t>
  </si>
  <si>
    <t>ID-000333</t>
  </si>
  <si>
    <t>TAMIGI</t>
  </si>
  <si>
    <t>MARCO</t>
  </si>
  <si>
    <t>TMGMRC68H27F205P</t>
  </si>
  <si>
    <t>djtigi@yahoo.it</t>
  </si>
  <si>
    <t>ID-001431</t>
  </si>
  <si>
    <t>SHAVICK</t>
  </si>
  <si>
    <t>ALEX MATTHEW</t>
  </si>
  <si>
    <t>SHVLMT94A07Z114Z</t>
  </si>
  <si>
    <t>alex.shavick@gmail.com</t>
  </si>
  <si>
    <t>IN ATTESA DATI CORRETTI</t>
  </si>
  <si>
    <t>MATEOS</t>
  </si>
  <si>
    <t>GABRIEL</t>
  </si>
  <si>
    <t>MTSDDG95R11Z611L</t>
  </si>
  <si>
    <t>gabrielx995@gmail.com</t>
  </si>
  <si>
    <t>MONTAGNA GRANADO</t>
  </si>
  <si>
    <t>LUCA</t>
  </si>
  <si>
    <t>MNTLCU89L07F839W</t>
  </si>
  <si>
    <t>montax89@yahoo.it</t>
  </si>
  <si>
    <t>OMAGGIO BOBINO</t>
  </si>
  <si>
    <t>ID-003055</t>
  </si>
  <si>
    <t>MILANESE</t>
  </si>
  <si>
    <t>ALBERTO</t>
  </si>
  <si>
    <t>MLNLRT91C20L407Y</t>
  </si>
  <si>
    <t>albertomilanese.md@gmail.com</t>
  </si>
  <si>
    <t>CONCAS</t>
  </si>
  <si>
    <t>LUCIANO</t>
  </si>
  <si>
    <t>CNCLCN66P15B354I</t>
  </si>
  <si>
    <t>FUMAGALLI</t>
  </si>
  <si>
    <t>FILIPPO</t>
  </si>
  <si>
    <t>FMGFPP00P11E507Y</t>
  </si>
  <si>
    <t>melincecrippa99@gmail.com</t>
  </si>
  <si>
    <t>VECCHIOLLA</t>
  </si>
  <si>
    <t>VCCPLA94E20D643Y</t>
  </si>
  <si>
    <t>biccari94@gmail.com</t>
  </si>
  <si>
    <t>ID-000512</t>
  </si>
  <si>
    <t>GARUFO</t>
  </si>
  <si>
    <t>GAETANO LEANDRO</t>
  </si>
  <si>
    <t>GRFGNL95B09G273Y</t>
  </si>
  <si>
    <t>leo.garufo@gmail.com</t>
  </si>
  <si>
    <t>GIANGRASSO</t>
  </si>
  <si>
    <t>VINCENZO</t>
  </si>
  <si>
    <t>GNGVCN96R14F205U</t>
  </si>
  <si>
    <t>vincenzitos@hotmail.it</t>
  </si>
  <si>
    <t>CASH - NON TESSERATO</t>
  </si>
  <si>
    <t>2° WS - DONNE - orario 15:30/16:30_RUEDA (€32 entro il 14/02 compreso → €37 entro il 15/03 compreso)</t>
  </si>
  <si>
    <t>IN ATTESA</t>
  </si>
  <si>
    <t>2° WS - UOMINI - orario 15:30/16:30_RUEDA (€32 entro il 14/02 compreso → €37 entro il 15/03 compreso)</t>
  </si>
  <si>
    <t>johnny1280@hotmail.com</t>
  </si>
  <si>
    <t>TOTALI WS 3</t>
  </si>
  <si>
    <t xml:space="preserve">TOTALI WS 1, 2, 3 </t>
  </si>
  <si>
    <t>OC_ANAHITA_01MAR2026</t>
  </si>
  <si>
    <t>14:30-16:00_HEELS (€22 entro il 15/02 compreso → €27 dal 16/02 all'01/03 compreso)</t>
  </si>
  <si>
    <t>ID-002165</t>
  </si>
  <si>
    <t>VENTURINI</t>
  </si>
  <si>
    <t>LISA</t>
  </si>
  <si>
    <t>VNTLSI98M43I608M</t>
  </si>
  <si>
    <t>lisa03venturini@gmail.com</t>
  </si>
  <si>
    <t>ESPOSTI</t>
  </si>
  <si>
    <t>ALESSIA</t>
  </si>
  <si>
    <t>SPSLSS04S69B639I</t>
  </si>
  <si>
    <t>alessiaesposti04@gmail.com</t>
  </si>
  <si>
    <t>FERRANDINO</t>
  </si>
  <si>
    <t>MATTEO</t>
  </si>
  <si>
    <t>FRRMTT99E26B729Y</t>
  </si>
  <si>
    <t>matteoferrandino@hotmail.it</t>
  </si>
  <si>
    <t>NAVA</t>
  </si>
  <si>
    <t>ALESSANDRA</t>
  </si>
  <si>
    <t>NVALSN98D66M052C</t>
  </si>
  <si>
    <t>alessandranava100@gmail.com</t>
  </si>
  <si>
    <t>ID-000222</t>
  </si>
  <si>
    <t>FONTE</t>
  </si>
  <si>
    <t>FNTSFO05D53H224D</t>
  </si>
  <si>
    <t>sofiafonte2005@gmail.com</t>
  </si>
  <si>
    <t>ID-002131</t>
  </si>
  <si>
    <t>FERHATTI</t>
  </si>
  <si>
    <t>MERSSI</t>
  </si>
  <si>
    <t>FRHMSS99R61L840M</t>
  </si>
  <si>
    <t>ferhatimerssi@hotmail.com</t>
  </si>
  <si>
    <t>ID-000744</t>
  </si>
  <si>
    <t>DIPINTO</t>
  </si>
  <si>
    <t>DPNSRA06L53F205K</t>
  </si>
  <si>
    <t>dipi.sara13@gmail.com</t>
  </si>
  <si>
    <t>TARANTINI</t>
  </si>
  <si>
    <t>TRNGLI00A57D542O</t>
  </si>
  <si>
    <t>giulia.tarantini01@gmail.com</t>
  </si>
  <si>
    <t>GANDOLFO</t>
  </si>
  <si>
    <t>MARTINA</t>
  </si>
  <si>
    <t>GNDMTN00E60D969M</t>
  </si>
  <si>
    <t>marty.gandalf@gmail.com</t>
  </si>
  <si>
    <t>RAIMONDI</t>
  </si>
  <si>
    <t>FRANCESCA</t>
  </si>
  <si>
    <t>RMNFNC92H54L400M</t>
  </si>
  <si>
    <t>francy140692@gmail.com</t>
  </si>
  <si>
    <t>ID-000108</t>
  </si>
  <si>
    <t>DESERTI</t>
  </si>
  <si>
    <t>DSRCHR07C64I577M</t>
  </si>
  <si>
    <t>desertichiara@gmail.com</t>
  </si>
  <si>
    <t>MARTINUCCI</t>
  </si>
  <si>
    <t>MRTFNC01C58L049O</t>
  </si>
  <si>
    <t>francesca.martinucci18@gmail.com</t>
  </si>
  <si>
    <t>MARTINUCCIA</t>
  </si>
  <si>
    <t>MRTSRA03C50L049X</t>
  </si>
  <si>
    <t>sara.martinucci03@gmail.com</t>
  </si>
  <si>
    <t>SORTINO</t>
  </si>
  <si>
    <t>VITTORIA</t>
  </si>
  <si>
    <t>SRTVTR91P53B428H</t>
  </si>
  <si>
    <t>vittoriasortino@hotmal.it</t>
  </si>
  <si>
    <t>RASELLI</t>
  </si>
  <si>
    <t>RSLMTN04T43M109C</t>
  </si>
  <si>
    <t>rasellimartina@gmail.com</t>
  </si>
  <si>
    <t>ID-001028</t>
  </si>
  <si>
    <t>DI NALLO</t>
  </si>
  <si>
    <t>DNLGLI91D58G482T</t>
  </si>
  <si>
    <t>giuliadinallo@gmail.com</t>
  </si>
  <si>
    <t>SPIRIDENKO</t>
  </si>
  <si>
    <t>EKATERINA</t>
  </si>
  <si>
    <t>SPRKRN86D66Z135E</t>
  </si>
  <si>
    <t>spiridenko.caterina@gmail.com</t>
  </si>
  <si>
    <t>KOVA</t>
  </si>
  <si>
    <t>OLEKSANDRA</t>
  </si>
  <si>
    <t>KVLLSN05S56Z138S</t>
  </si>
  <si>
    <t>alekovak55@gmail.com</t>
  </si>
  <si>
    <t>NACUCCHI</t>
  </si>
  <si>
    <t>PAOLA</t>
  </si>
  <si>
    <t>NCCPLA01M49A048L</t>
  </si>
  <si>
    <t>aolanacu01@gmail.com</t>
  </si>
  <si>
    <t>ID-001585</t>
  </si>
  <si>
    <t>GEORGIEVA</t>
  </si>
  <si>
    <t>PLAMENA</t>
  </si>
  <si>
    <t>GRGPMN94H43Z104Y</t>
  </si>
  <si>
    <t>plamena.georgieva3@yahoo.com</t>
  </si>
  <si>
    <t>FORNACIARI MEDANICH</t>
  </si>
  <si>
    <t>AURORA MARIA</t>
  </si>
  <si>
    <t>FRNRMR95R69G337O</t>
  </si>
  <si>
    <t>Aurimfm@gmail.com</t>
  </si>
  <si>
    <t>KAKIZAKI</t>
  </si>
  <si>
    <t>ITZUKI</t>
  </si>
  <si>
    <t>KKZTSK77S50Z219O</t>
  </si>
  <si>
    <t>itsukikakizaki@gmail.com</t>
  </si>
  <si>
    <t>ID-000935</t>
  </si>
  <si>
    <t>ZILIO</t>
  </si>
  <si>
    <t>MICAELA</t>
  </si>
  <si>
    <t>ZLIMCL98S66F205K</t>
  </si>
  <si>
    <t>ziliomicaela@gmail.com</t>
  </si>
  <si>
    <t>CAMPANA</t>
  </si>
  <si>
    <t>CARMEN</t>
  </si>
  <si>
    <t>CMPCMN92R69A783N</t>
  </si>
  <si>
    <t>psicologa.carmencampana@gmail.com</t>
  </si>
  <si>
    <t>ID-000963</t>
  </si>
  <si>
    <t>MICHELI</t>
  </si>
  <si>
    <t>LINDA</t>
  </si>
  <si>
    <t>MCHLND03L41C816Q</t>
  </si>
  <si>
    <t>lindamicheli@icloud.com</t>
  </si>
  <si>
    <t>SEMPRINI</t>
  </si>
  <si>
    <t>MATHILDA</t>
  </si>
  <si>
    <t>SMPMHL03H58F205F</t>
  </si>
  <si>
    <t>matthyhs@gmail.com</t>
  </si>
  <si>
    <t>PIANEZZE</t>
  </si>
  <si>
    <t>PNZSRA06A56F205M</t>
  </si>
  <si>
    <t>sara.pianezze06@gmail.com</t>
  </si>
  <si>
    <t>ID-000159</t>
  </si>
  <si>
    <t>MIKAELA</t>
  </si>
  <si>
    <t>SMPMKL99D59F205I</t>
  </si>
  <si>
    <t>mikaelamiky99@gmail.com</t>
  </si>
  <si>
    <t>ID-002211</t>
  </si>
  <si>
    <t>BERTOCCHI</t>
  </si>
  <si>
    <t>DIANA</t>
  </si>
  <si>
    <t>BRTDNI01M63D969Q</t>
  </si>
  <si>
    <t>la.reverberi@gmail.com</t>
  </si>
  <si>
    <t>ID-000129</t>
  </si>
  <si>
    <t>PIVA</t>
  </si>
  <si>
    <t>PVIGLI04R64F205I</t>
  </si>
  <si>
    <t>giulia.piva2024@gmail.com</t>
  </si>
  <si>
    <t>GAMANNOSSI</t>
  </si>
  <si>
    <t>ARIANNA</t>
  </si>
  <si>
    <t>GMNRNN96S44A564V</t>
  </si>
  <si>
    <t>agamannossi@gmail.com</t>
  </si>
  <si>
    <t>ID-000263</t>
  </si>
  <si>
    <t>AMAGUAY</t>
  </si>
  <si>
    <t>CAMILA</t>
  </si>
  <si>
    <t>MGYCLV06R66Z605I</t>
  </si>
  <si>
    <t>munozvalentina445@gmail.com</t>
  </si>
  <si>
    <t>ROGNINI</t>
  </si>
  <si>
    <t>CAROLINA</t>
  </si>
  <si>
    <t>RGNCLN01B51E897F</t>
  </si>
  <si>
    <t>carolina.2001@icloud.com</t>
  </si>
  <si>
    <t>BOLOGNINI</t>
  </si>
  <si>
    <t>MICHELLE</t>
  </si>
  <si>
    <t>BLGMHL00P59E897P</t>
  </si>
  <si>
    <t>michelle00bolognini@gmail.com</t>
  </si>
  <si>
    <t>ENRIQUEZ</t>
  </si>
  <si>
    <t>ERIKA JOY</t>
  </si>
  <si>
    <t>NRQRJY00T41H224R</t>
  </si>
  <si>
    <t>Eerikajoy@yahoo.it</t>
  </si>
  <si>
    <t>BOUDRAR</t>
  </si>
  <si>
    <t>AYA</t>
  </si>
  <si>
    <t>BDRYAA03H50Z330V</t>
  </si>
  <si>
    <t>ayaboudrar0@gmail.com</t>
  </si>
  <si>
    <t>GRETA</t>
  </si>
  <si>
    <t>BLGGRT06T44E897M</t>
  </si>
  <si>
    <t>gretabolognini06@libero.it</t>
  </si>
  <si>
    <t>GAVIRAGHI</t>
  </si>
  <si>
    <t>CATERINA</t>
  </si>
  <si>
    <t>GVRCRN00H69M052F</t>
  </si>
  <si>
    <t>categaviraghi@gmail.com</t>
  </si>
  <si>
    <t>Joel</t>
  </si>
  <si>
    <t>SEDE Joel</t>
  </si>
  <si>
    <t>ID-002128</t>
  </si>
  <si>
    <t>DELLA CA'</t>
  </si>
  <si>
    <t>DLLMTN94R67B300W</t>
  </si>
  <si>
    <t>martina.dellaca@gmail.com</t>
  </si>
  <si>
    <t>ID-004328</t>
  </si>
  <si>
    <t>FORNARI</t>
  </si>
  <si>
    <t>EMMA</t>
  </si>
  <si>
    <t>FRNMME00D59C573R</t>
  </si>
  <si>
    <t>emmafornari@gmail.com</t>
  </si>
  <si>
    <t>WS_EMANUEL LO_22FEBB2026</t>
  </si>
  <si>
    <t>14:00-15:45_HIPHOP (€45)</t>
  </si>
  <si>
    <t>VIGONE</t>
  </si>
  <si>
    <t>VGNMRT10B41F952L</t>
  </si>
  <si>
    <t>pasquale.saggiomo90@gmail.com</t>
  </si>
  <si>
    <t>ID-003764</t>
  </si>
  <si>
    <t>JHISSEL NOHELI</t>
  </si>
  <si>
    <t>ID-000004</t>
  </si>
  <si>
    <t>CORBETTA</t>
  </si>
  <si>
    <t>CRBLVC08R71G388F</t>
  </si>
  <si>
    <t>roberta.villa@grandi11law.com</t>
  </si>
  <si>
    <t>ID-000301</t>
  </si>
  <si>
    <t>CLIMA</t>
  </si>
  <si>
    <t>ALICE</t>
  </si>
  <si>
    <t>CLMLCA04D42F205Q</t>
  </si>
  <si>
    <t>aliceclima1@gmail.com</t>
  </si>
  <si>
    <t>LODATO</t>
  </si>
  <si>
    <t>LDTRCC12E64B729I</t>
  </si>
  <si>
    <t>carolquici@gmail.com</t>
  </si>
  <si>
    <r>
      <rPr>
        <rFont val="Arial"/>
        <b/>
        <color rgb="FF000000"/>
        <sz val="10.0"/>
      </rPr>
      <t>su ok gae (b/b)</t>
    </r>
    <r>
      <rPr>
        <rFont val="Arial"/>
        <color rgb="FF000000"/>
        <sz val="10.0"/>
      </rPr>
      <t xml:space="preserve">
Q.D.A. Quici Dance Art asd
Via Milano, 34 - 20835 Muggiò (MB)
P.Iva: 07131830965
CF. 94619150157</t>
    </r>
  </si>
  <si>
    <t>MANFREDINI</t>
  </si>
  <si>
    <t>ILARIA</t>
  </si>
  <si>
    <t>MNFLRI12L48F704B</t>
  </si>
  <si>
    <t>su ok gae (b/b)</t>
  </si>
  <si>
    <t>SARTOR</t>
  </si>
  <si>
    <t>NOEMI</t>
  </si>
  <si>
    <t>SRTNMO12B60F704Y</t>
  </si>
  <si>
    <t>ZAPPAROLI</t>
  </si>
  <si>
    <t>LARA</t>
  </si>
  <si>
    <t>ZPPLRA12H47F205T</t>
  </si>
  <si>
    <t>FACCOLI</t>
  </si>
  <si>
    <t>ROSSELLA</t>
  </si>
  <si>
    <t>FCCRSL12M54F205N</t>
  </si>
  <si>
    <t>GENITONI</t>
  </si>
  <si>
    <t>GNTSF013S62D286O</t>
  </si>
  <si>
    <t xml:space="preserve">QUICI </t>
  </si>
  <si>
    <t>QCUCLN79R46I690Z</t>
  </si>
  <si>
    <t>ID-000594</t>
  </si>
  <si>
    <t>MAIORINO</t>
  </si>
  <si>
    <t>MRNMTN98E57F205V</t>
  </si>
  <si>
    <t>martilove17@live.it</t>
  </si>
  <si>
    <t>ID-000738</t>
  </si>
  <si>
    <t xml:space="preserve">COLLARILE </t>
  </si>
  <si>
    <t>ILEANA</t>
  </si>
  <si>
    <t>CLLLNI81D42F205O</t>
  </si>
  <si>
    <t>ilecolla@hotmail.com</t>
  </si>
  <si>
    <t>pagato per Caiola Marisol</t>
  </si>
  <si>
    <t>SISTI</t>
  </si>
  <si>
    <t>SARA ARIEL</t>
  </si>
  <si>
    <t>SSTSRL10D56E801B</t>
  </si>
  <si>
    <t>valsecchiarianna74@gmail.com</t>
  </si>
  <si>
    <t>ha pagato la mamma Arianna Valsecchi</t>
  </si>
  <si>
    <t>DORIA</t>
  </si>
  <si>
    <t>MELISSA</t>
  </si>
  <si>
    <t>DROMSS98A48F205X</t>
  </si>
  <si>
    <t>melissa.doria98@gmail.com</t>
  </si>
  <si>
    <t>FONTANA</t>
  </si>
  <si>
    <t>FNTNNA12A49C638K</t>
  </si>
  <si>
    <t>voltolina.valentina@gmail.com</t>
  </si>
  <si>
    <t>ha pagato la mamma Voltolina Valentina</t>
  </si>
  <si>
    <t>CREDENDINO</t>
  </si>
  <si>
    <t xml:space="preserve">MARIA ROSARIA </t>
  </si>
  <si>
    <t>CRDMRS91T41A024P</t>
  </si>
  <si>
    <t>credendinomaria.rosaria@gmail.com</t>
  </si>
  <si>
    <t>FUSCO</t>
  </si>
  <si>
    <t>ARIANNA DERIS</t>
  </si>
  <si>
    <t>FSCRND03A52F205K</t>
  </si>
  <si>
    <t>francesco.fusco18@icloud.com</t>
  </si>
  <si>
    <t>PONZI</t>
  </si>
  <si>
    <t>RACHELE</t>
  </si>
  <si>
    <t>PNZRHL08A48G337U</t>
  </si>
  <si>
    <t>adele.giovannetti.77@gmail.com</t>
  </si>
  <si>
    <t xml:space="preserve">NON puo' partecipare mail inviata dicendo di comunicare per un altra perona </t>
  </si>
  <si>
    <t>CAMERA</t>
  </si>
  <si>
    <t>CMRRCC11S46G337K</t>
  </si>
  <si>
    <t>cameraraffaele.cr75@gmail.com</t>
  </si>
  <si>
    <t>FARANO</t>
  </si>
  <si>
    <t>MARGHERITA</t>
  </si>
  <si>
    <t xml:space="preserve">mail inviata </t>
  </si>
  <si>
    <t>margherita.farano@gmail.com</t>
  </si>
  <si>
    <t xml:space="preserve">LUPO </t>
  </si>
  <si>
    <t>VALENTINA</t>
  </si>
  <si>
    <t>LPUVNT01M52C933C</t>
  </si>
  <si>
    <t>lupo_valentina@outlook.it</t>
  </si>
  <si>
    <t>RANIERI</t>
  </si>
  <si>
    <t>RNRRCC07B53G337C</t>
  </si>
  <si>
    <t>RANIERI.REBECCA.2007@GMAIL.COM</t>
  </si>
  <si>
    <t>COLOSIMO</t>
  </si>
  <si>
    <t>CLSLSS05S43D912Y</t>
  </si>
  <si>
    <t>alessiacolosimo8@gmail.com</t>
  </si>
  <si>
    <t>VATALARO</t>
  </si>
  <si>
    <t>AURORA</t>
  </si>
  <si>
    <t>VTLRRA10D62Z133H</t>
  </si>
  <si>
    <t>vatalaroaurora22@gmail.com</t>
  </si>
  <si>
    <t>COVI</t>
  </si>
  <si>
    <t>ELETTRA</t>
  </si>
  <si>
    <t>CVOLTR12H64E648Z</t>
  </si>
  <si>
    <t>karinborromeo@gmail.com</t>
  </si>
  <si>
    <t>CHIAPPONI</t>
  </si>
  <si>
    <t>JENNIFER</t>
  </si>
  <si>
    <t>CHPJNF12A55G337Z</t>
  </si>
  <si>
    <t>alineparma84@gmail.com</t>
  </si>
  <si>
    <t>HA PAGATO ALINE RODRIGUES</t>
  </si>
  <si>
    <t>RICCIALDI</t>
  </si>
  <si>
    <t>TANIA</t>
  </si>
  <si>
    <t>DGRLXA06L11L219D</t>
  </si>
  <si>
    <t>triccialdi@gmail.com</t>
  </si>
  <si>
    <t>COLOMBO</t>
  </si>
  <si>
    <t>ANGELICA</t>
  </si>
  <si>
    <t>CLMNLC12R41D869M</t>
  </si>
  <si>
    <t>robysax77@yahoo.it</t>
  </si>
  <si>
    <t>LO FURNO</t>
  </si>
  <si>
    <t>LFRLNE91H56E063Z</t>
  </si>
  <si>
    <t>lofurnoelena@gmail.com</t>
  </si>
  <si>
    <t>FASSINA</t>
  </si>
  <si>
    <t>CRISTINA</t>
  </si>
  <si>
    <t>FSSCST73L71G388R</t>
  </si>
  <si>
    <t>cristinafassina@libero.it</t>
  </si>
  <si>
    <t>NON FATTURARE IN ATTESA DI DATI GIUSTI</t>
  </si>
  <si>
    <t>MASTROFRANCESCO</t>
  </si>
  <si>
    <t>GIUSEPPE</t>
  </si>
  <si>
    <t>MSTGPP61B24A323N</t>
  </si>
  <si>
    <t>pino.mastrofrancesco@alice.it</t>
  </si>
  <si>
    <t xml:space="preserve">cloe diaz </t>
  </si>
  <si>
    <t>NOHMAN</t>
  </si>
  <si>
    <t>NHMCLD05E69A290H</t>
  </si>
  <si>
    <t>claudia.nohman@gmail.com</t>
  </si>
  <si>
    <t>ASD</t>
  </si>
  <si>
    <t>RnV</t>
  </si>
  <si>
    <t>rnv.asd@gmail.com</t>
  </si>
  <si>
    <t>COLIA</t>
  </si>
  <si>
    <t>CLORNN12P60F205I</t>
  </si>
  <si>
    <t>alessandrasevesi@hotmail.com</t>
  </si>
  <si>
    <t>GUGLIOTTA</t>
  </si>
  <si>
    <t>GGLFBA00H10H163S</t>
  </si>
  <si>
    <t>fabiogugliotta.00@gmail.com</t>
  </si>
  <si>
    <t>DANTE</t>
  </si>
  <si>
    <t>DNTSMN07M23F704T</t>
  </si>
  <si>
    <t>simonstar07@gmail.com</t>
  </si>
  <si>
    <t>MARZANATTI</t>
  </si>
  <si>
    <t>MRZNDR08B17I441N</t>
  </si>
  <si>
    <t>alessandro.marzanatti@fastwebnet.it</t>
  </si>
  <si>
    <t>BALLANZA</t>
  </si>
  <si>
    <t>EMANUELA</t>
  </si>
  <si>
    <t>BLLMNL83L49L219R</t>
  </si>
  <si>
    <t>emanuela.ballanza@gmail.com</t>
  </si>
  <si>
    <t>MIRANDOLA</t>
  </si>
  <si>
    <t xml:space="preserve">SARA </t>
  </si>
  <si>
    <t>MRNSRA03A55L781K</t>
  </si>
  <si>
    <t>michael.fish003@gmail.com</t>
  </si>
  <si>
    <t>CRISTAUDO</t>
  </si>
  <si>
    <t>AGNESE</t>
  </si>
  <si>
    <t>CRSGNS96A45C352M</t>
  </si>
  <si>
    <t>cristaudoagnese@gmail.com</t>
  </si>
  <si>
    <t>GRANDE</t>
  </si>
  <si>
    <t>GIORGIA</t>
  </si>
  <si>
    <t>GRNGRG05P41F704M</t>
  </si>
  <si>
    <t>giorgiagrande3@gmail.com</t>
  </si>
  <si>
    <t>GRNGLI03P67F704B</t>
  </si>
  <si>
    <t>grandeegiulia03@gmail.com</t>
  </si>
  <si>
    <t>GIOELE</t>
  </si>
  <si>
    <t>GRNGLI11R27F704Z</t>
  </si>
  <si>
    <t>monicapolichetti@libero.it</t>
  </si>
  <si>
    <t>MARZI</t>
  </si>
  <si>
    <t>TIZIANA</t>
  </si>
  <si>
    <t>MRZTZN75P65E388N</t>
  </si>
  <si>
    <t>tizianamarz75@gmail.com</t>
  </si>
  <si>
    <t>TERENZIO</t>
  </si>
  <si>
    <t>TRNSAI13S58L872D</t>
  </si>
  <si>
    <t>elenaguya.barbera@gmail.com</t>
  </si>
  <si>
    <t>BELTRAME</t>
  </si>
  <si>
    <t>ERIKA</t>
  </si>
  <si>
    <t>BLTRKE03H52B791C</t>
  </si>
  <si>
    <t>erikabeltra112@gmail.com</t>
  </si>
  <si>
    <t>VIGNOLO</t>
  </si>
  <si>
    <t>ELEONORA</t>
  </si>
  <si>
    <t>VGNLNR11P60A182E</t>
  </si>
  <si>
    <t>agataoci38@gmail.com</t>
  </si>
  <si>
    <t>MELE</t>
  </si>
  <si>
    <t>MLELSN04M45L219W</t>
  </si>
  <si>
    <t>alessandramele2004@gmail.com</t>
  </si>
  <si>
    <t>REGALIN</t>
  </si>
  <si>
    <t>RGLLVC98A51F257E</t>
  </si>
  <si>
    <t>ludovica.regalin@gmail.com</t>
  </si>
  <si>
    <t>DONETTO</t>
  </si>
  <si>
    <t>DNTCHR04C63L219B</t>
  </si>
  <si>
    <t>chijara23@gmail.com</t>
  </si>
  <si>
    <t>ID-004083</t>
  </si>
  <si>
    <t>TEMIRBAYEVA</t>
  </si>
  <si>
    <t>ALINOUR</t>
  </si>
  <si>
    <t>TMRLNR92P60Z255H</t>
  </si>
  <si>
    <t>atemirbayeva77@gmail.com</t>
  </si>
  <si>
    <t>SIMUNNO</t>
  </si>
  <si>
    <t>SMNRRA15T47D286K</t>
  </si>
  <si>
    <t>vania.zum@gmail.com</t>
  </si>
  <si>
    <t>ZINAGHI</t>
  </si>
  <si>
    <t>CLOE</t>
  </si>
  <si>
    <t>ZNGCLO16B46B729H</t>
  </si>
  <si>
    <t>ida.costabile@gmail.com</t>
  </si>
  <si>
    <t>BULFARO</t>
  </si>
  <si>
    <t>BLFNMO07T58G388Z</t>
  </si>
  <si>
    <t>noemi.bulfaro@bordoni.edu.it</t>
  </si>
  <si>
    <t>RIBONI</t>
  </si>
  <si>
    <t>MICHELA</t>
  </si>
  <si>
    <t>SVALYS14R46M102F</t>
  </si>
  <si>
    <t>michelariboni@yahoo.it</t>
  </si>
  <si>
    <t>QUINTO</t>
  </si>
  <si>
    <t>LEONIE</t>
  </si>
  <si>
    <t>QNTLNE07T42G674G</t>
  </si>
  <si>
    <t>vanessa.quinto@alice.it</t>
  </si>
  <si>
    <t>à</t>
  </si>
  <si>
    <t>SOLDATI</t>
  </si>
  <si>
    <t>SLDLRA04P41I726Z</t>
  </si>
  <si>
    <t>laurasoldati4@gmail.com</t>
  </si>
  <si>
    <t>CARUSO</t>
  </si>
  <si>
    <t>CRSPRZ11L29C628S</t>
  </si>
  <si>
    <t>patrizia1205@yahoo.it</t>
  </si>
  <si>
    <t>SINESI</t>
  </si>
  <si>
    <t>ANTONIO</t>
  </si>
  <si>
    <t>SNSNTN76R21F205D</t>
  </si>
  <si>
    <t>ponigo21@gmail.com</t>
  </si>
  <si>
    <t>BERGAMO</t>
  </si>
  <si>
    <t>BRGLSS11T52F205R</t>
  </si>
  <si>
    <t>alessia1212@live.com</t>
  </si>
  <si>
    <t>DAGNINO</t>
  </si>
  <si>
    <t>DGNGRT03D51F351V</t>
  </si>
  <si>
    <t>gretadagnino@gmail.com</t>
  </si>
  <si>
    <t>DURANTE</t>
  </si>
  <si>
    <t>DRNMTN10T61F205W</t>
  </si>
  <si>
    <t>durantmartina2@gmail.con</t>
  </si>
  <si>
    <t>RINALDI</t>
  </si>
  <si>
    <t>RNLGPP99L10G273G</t>
  </si>
  <si>
    <t>giusepperinaldi99@libero.it</t>
  </si>
  <si>
    <t>ROVEDONI</t>
  </si>
  <si>
    <t>RVDMME15D56F205V</t>
  </si>
  <si>
    <t>nausica.gallucci@gmail.com</t>
  </si>
  <si>
    <t>BETTONI</t>
  </si>
  <si>
    <t>BTTLND80T56H910U</t>
  </si>
  <si>
    <t>linda.bettoni@gmail.com</t>
  </si>
  <si>
    <t>MARIANELLA</t>
  </si>
  <si>
    <t>MRNLTZ06R45C627R</t>
  </si>
  <si>
    <t>letizia.marianella@gmail.com</t>
  </si>
  <si>
    <t>VILLA</t>
  </si>
  <si>
    <t>BRANDO</t>
  </si>
  <si>
    <t>VLLBND06T18E730L</t>
  </si>
  <si>
    <t>Brandovilla2000@gmail.com</t>
  </si>
  <si>
    <t>MARONGIU</t>
  </si>
  <si>
    <t>AMELIA</t>
  </si>
  <si>
    <t>MRNMLA10B50A794I</t>
  </si>
  <si>
    <t>adrianaamelia6810@gmail.com</t>
  </si>
  <si>
    <t>ALICE NICOLE</t>
  </si>
  <si>
    <t>SMNLNC02A57Z404Q</t>
  </si>
  <si>
    <t>ZIPOLI</t>
  </si>
  <si>
    <t>DANIELA</t>
  </si>
  <si>
    <t>ZPLDNL76M58F205I</t>
  </si>
  <si>
    <t>zipoli.daniela@gmail.com</t>
  </si>
  <si>
    <t>MIRABELLO</t>
  </si>
  <si>
    <t>MRBJCP14M25F205U</t>
  </si>
  <si>
    <t>veronicagoodhelp@gmail.com</t>
  </si>
  <si>
    <t>CARIELLO</t>
  </si>
  <si>
    <t>CRLMTN02H54D286A</t>
  </si>
  <si>
    <t>cariello.martina@icloud.com</t>
  </si>
  <si>
    <t>DELLON</t>
  </si>
  <si>
    <t>LORENZO</t>
  </si>
  <si>
    <t>DLLLNZ12T14F205X</t>
  </si>
  <si>
    <t>emanuelavitali3@gmail.com</t>
  </si>
  <si>
    <t>ID-000943</t>
  </si>
  <si>
    <t>CAMPANER</t>
  </si>
  <si>
    <t>FEDERICO</t>
  </si>
  <si>
    <t>CMPFRC97T23E648Y</t>
  </si>
  <si>
    <t>federico.campaner@fastwebnet.it</t>
  </si>
  <si>
    <t>si è spostato dal primo turno al secondo</t>
  </si>
  <si>
    <t>COMOLLI</t>
  </si>
  <si>
    <t>ANNA MARIA</t>
  </si>
  <si>
    <t>CMLNMR98M48B729Y</t>
  </si>
  <si>
    <t>annacomolli98@gmail.com</t>
  </si>
  <si>
    <t>CICENIA</t>
  </si>
  <si>
    <t>GABRIELLA</t>
  </si>
  <si>
    <t>CCNGRL83R67F205Y</t>
  </si>
  <si>
    <t>gabriella.cicenia@gmail.com</t>
  </si>
  <si>
    <t>SARA02WS</t>
  </si>
  <si>
    <t>VALERIO</t>
  </si>
  <si>
    <t>CARLOTTA</t>
  </si>
  <si>
    <t>VLRCLT09B48L682W</t>
  </si>
  <si>
    <t>lorycarly@hotmail.it</t>
  </si>
  <si>
    <t>JULIA</t>
  </si>
  <si>
    <t>kasatkina.jb@gmail.com</t>
  </si>
  <si>
    <t>MARTINO</t>
  </si>
  <si>
    <t>michelasdn@googlemail.com</t>
  </si>
  <si>
    <t>LUCANTO</t>
  </si>
  <si>
    <t>FEDERICA</t>
  </si>
  <si>
    <t>ok.</t>
  </si>
  <si>
    <t>lucantofederica@gmail.com</t>
  </si>
  <si>
    <t>michelapelassa@libero.it</t>
  </si>
  <si>
    <t>GALOTTI</t>
  </si>
  <si>
    <t>chiaragallotti12@gmail.com</t>
  </si>
  <si>
    <t>WS_ALESSIO CAVALIERE_01FEBB2026</t>
  </si>
  <si>
    <t>14:00-15:30_URBAN (€37 entro il 31/01 compreso → €42 il giorno stesso)</t>
  </si>
  <si>
    <t>ANTONELLI</t>
  </si>
  <si>
    <t>FEDERICA ALESSANDRA</t>
  </si>
  <si>
    <t>NTNFRC06M59F205S</t>
  </si>
  <si>
    <t>Alessandraantonelli2006@gmail.com</t>
  </si>
  <si>
    <t>SPERANZA</t>
  </si>
  <si>
    <t>SPRCNZ01A43A271E</t>
  </si>
  <si>
    <t>c.speranza04@gmail.com</t>
  </si>
  <si>
    <t>ONER</t>
  </si>
  <si>
    <t>ECE</t>
  </si>
  <si>
    <t>NROCEE95B63Z243N</t>
  </si>
  <si>
    <t>eceoner1459@hotmail.com</t>
  </si>
  <si>
    <t>ARTITA</t>
  </si>
  <si>
    <t>DEAN LORENZ</t>
  </si>
  <si>
    <t>RTTDLR06C04F205F</t>
  </si>
  <si>
    <t>lorenzartita06@gmail.com</t>
  </si>
  <si>
    <t>x2</t>
  </si>
  <si>
    <t>GRIECO</t>
  </si>
  <si>
    <t>GRCRRA01T49G388N</t>
  </si>
  <si>
    <t>auroragrieco94@gmail.com</t>
  </si>
  <si>
    <t>DE NUZZO</t>
  </si>
  <si>
    <t>ANTONELLA</t>
  </si>
  <si>
    <t>DNZNNL89H50F205F</t>
  </si>
  <si>
    <t>leea89@hotmail.it</t>
  </si>
  <si>
    <t>PINI</t>
  </si>
  <si>
    <t>JUAN</t>
  </si>
  <si>
    <t>PNIJNU06T18Z604S</t>
  </si>
  <si>
    <t>juan.pini0618@gmail.com</t>
  </si>
  <si>
    <t>RAVASI</t>
  </si>
  <si>
    <t>RVSCLN08H52Z133B</t>
  </si>
  <si>
    <t>manuela.ravasi@bluewin.ch</t>
  </si>
  <si>
    <t>BRANCHI</t>
  </si>
  <si>
    <t>BRNLNE06L49M052B</t>
  </si>
  <si>
    <t>elenabranchi.06@gmail.com</t>
  </si>
  <si>
    <t>Eşelioğlu</t>
  </si>
  <si>
    <t>YASEMIN</t>
  </si>
  <si>
    <t>SLGYMN06T44Z243M</t>
  </si>
  <si>
    <t>yasemineselioglu01@icloud.com</t>
  </si>
  <si>
    <t>FUSCO DERIS</t>
  </si>
  <si>
    <t>arideris12@gmail.com</t>
  </si>
  <si>
    <t xml:space="preserve"> FESTA DI NATALE_CARAIBICO_14DIC25_SOLO SERATA</t>
  </si>
  <si>
    <t>CONTROLLO</t>
  </si>
  <si>
    <t>DATA 
INSERIMENTO</t>
  </si>
  <si>
    <t>QUOTA 
piena</t>
  </si>
  <si>
    <t>QUOTA ridotta</t>
  </si>
  <si>
    <t>ABBONAMENTO TESSERATO</t>
  </si>
  <si>
    <t>PRESENZE</t>
  </si>
  <si>
    <t>DONNE (€25)</t>
  </si>
  <si>
    <t>TOSI</t>
  </si>
  <si>
    <t>TSOPLA95R51F205U</t>
  </si>
  <si>
    <t>paola.tosi.11@gmail.com</t>
  </si>
  <si>
    <t>SANTO05NATALE</t>
  </si>
  <si>
    <t>BERNARDI</t>
  </si>
  <si>
    <t>MONICA</t>
  </si>
  <si>
    <t>BRNMNC88L46G479I</t>
  </si>
  <si>
    <t>bernardimonica2@gmail.com</t>
  </si>
  <si>
    <t>LOMBARDI</t>
  </si>
  <si>
    <t>LMBNMO94R71A783D</t>
  </si>
  <si>
    <t>noemi.lombardi@yahoo.it</t>
  </si>
  <si>
    <t>CHIELI</t>
  </si>
  <si>
    <t>CHLRNN71M46C745B</t>
  </si>
  <si>
    <t>scrivi@ariannachieli.com</t>
  </si>
  <si>
    <t>ESTEFANY05NATALE</t>
  </si>
  <si>
    <t>MURILLO</t>
  </si>
  <si>
    <t>PAUL</t>
  </si>
  <si>
    <t>MRLPLX86M05Z611W</t>
  </si>
  <si>
    <t>pa_murillo_zea@hotmail.com</t>
  </si>
  <si>
    <t>NURA05NATALE</t>
  </si>
  <si>
    <t>SORRENTINO</t>
  </si>
  <si>
    <t>HILDE</t>
  </si>
  <si>
    <t>SRRHLD81C61L259U</t>
  </si>
  <si>
    <t>hildesorrentino@gmail.com</t>
  </si>
  <si>
    <t>MILANO</t>
  </si>
  <si>
    <t>LUNA</t>
  </si>
  <si>
    <t>MLNLNU96L51F205D</t>
  </si>
  <si>
    <t>luna.milano.lm@gmail.com</t>
  </si>
  <si>
    <t>AUGUET</t>
  </si>
  <si>
    <t>AMBRE</t>
  </si>
  <si>
    <t>GTAMRS97S49Z110J</t>
  </si>
  <si>
    <t>ambre.auguet@gmail.com</t>
  </si>
  <si>
    <t>VASTA</t>
  </si>
  <si>
    <t>MARIA GRAZIA</t>
  </si>
  <si>
    <t>VSTMGR93A45C351M</t>
  </si>
  <si>
    <t>marziavasta@virgilio.it</t>
  </si>
  <si>
    <t>ALEXANDRA05NATALE</t>
  </si>
  <si>
    <t>BARTUCCI</t>
  </si>
  <si>
    <t>MICHELE</t>
  </si>
  <si>
    <t>BRTMHL73B01D612L</t>
  </si>
  <si>
    <t>mikebart73@hotmail.it</t>
  </si>
  <si>
    <t>ROTOLI</t>
  </si>
  <si>
    <t>OTTAVIA</t>
  </si>
  <si>
    <t>RTLTTV00A66F205B</t>
  </si>
  <si>
    <t>ottaviarotoli@gmail.com</t>
  </si>
  <si>
    <t>GIUDITTA05NATALE</t>
  </si>
  <si>
    <t>PORCHERA</t>
  </si>
  <si>
    <t>STEFANO</t>
  </si>
  <si>
    <t>PRCSFN00E16F205O</t>
  </si>
  <si>
    <t>porchera@me.com</t>
  </si>
  <si>
    <t>SUTERA</t>
  </si>
  <si>
    <t>LOREDANA</t>
  </si>
  <si>
    <t>STRLDN79S54E974H</t>
  </si>
  <si>
    <t>loredanasutera79@gmail.com</t>
  </si>
  <si>
    <t>CURZIO</t>
  </si>
  <si>
    <t>CRZCST95M64G309P</t>
  </si>
  <si>
    <t>cristianacurzio@gmail.com</t>
  </si>
  <si>
    <t>ANGIULI</t>
  </si>
  <si>
    <t>NGLSRN89S47A662A</t>
  </si>
  <si>
    <t>serean89@yahoo.it</t>
  </si>
  <si>
    <t>DADDATO</t>
  </si>
  <si>
    <t>DORA</t>
  </si>
  <si>
    <t>DDDDLR59R54A669X</t>
  </si>
  <si>
    <t>doradaddi59@gmail.com</t>
  </si>
  <si>
    <t>PIROVANO</t>
  </si>
  <si>
    <t>ELISA</t>
  </si>
  <si>
    <t>PRVLSE69L52F704W</t>
  </si>
  <si>
    <t>elisaela@hotmail.it</t>
  </si>
  <si>
    <t>ELISA100</t>
  </si>
  <si>
    <t>AMM-NE</t>
  </si>
  <si>
    <t xml:space="preserve">CRISTOFALO </t>
  </si>
  <si>
    <t xml:space="preserve">MARIA  </t>
  </si>
  <si>
    <t>DI MATTEO</t>
  </si>
  <si>
    <t>DMTMTN90B64F205B</t>
  </si>
  <si>
    <t>marty_dimatteo@hotmail.it</t>
  </si>
  <si>
    <t>CIMMATI</t>
  </si>
  <si>
    <t>ANDREA GIORGIA</t>
  </si>
  <si>
    <t>CMMNRG95E48F205N</t>
  </si>
  <si>
    <t>Cimmati.a@gmail.com</t>
  </si>
  <si>
    <t>FERRO</t>
  </si>
  <si>
    <t>GIORDANA</t>
  </si>
  <si>
    <t>FRRGDN80C45Z112G</t>
  </si>
  <si>
    <t>giordana.ferro@gmail.com</t>
  </si>
  <si>
    <t>BOFFI</t>
  </si>
  <si>
    <t>BFFLNR96C44E958E</t>
  </si>
  <si>
    <t>eleonoraboffi1996@gmail.com</t>
  </si>
  <si>
    <t>JOEL05NATALE</t>
  </si>
  <si>
    <t>STARACE</t>
  </si>
  <si>
    <t>STRPLA95C42F839Q</t>
  </si>
  <si>
    <t>pao.starace@gmail.com</t>
  </si>
  <si>
    <t>MORMANNI</t>
  </si>
  <si>
    <t>MRMDNL85D56L259Y</t>
  </si>
  <si>
    <t>daniela85mor@gmail.com</t>
  </si>
  <si>
    <t>DA DALT</t>
  </si>
  <si>
    <t>VERONICA</t>
  </si>
  <si>
    <t>DDLVNC98T49H501P</t>
  </si>
  <si>
    <t>vero.dadalt@gmail.com</t>
  </si>
  <si>
    <t>MIRTO</t>
  </si>
  <si>
    <t>MRTMNC99D49B963Y</t>
  </si>
  <si>
    <t>monica_mirto@libero.it</t>
  </si>
  <si>
    <t>ABATE</t>
  </si>
  <si>
    <t>BTANNA98T57I829M</t>
  </si>
  <si>
    <t>annabate98@gmail.com</t>
  </si>
  <si>
    <t>MANNARELLI</t>
  </si>
  <si>
    <t>MNNFRC94E49L109B</t>
  </si>
  <si>
    <t>fede.mannarelli@hotmail.it</t>
  </si>
  <si>
    <t>FRANCIONE</t>
  </si>
  <si>
    <t>FRNFRC93T70F052X</t>
  </si>
  <si>
    <t>thesocialfede@gmail.com</t>
  </si>
  <si>
    <t>IACCA</t>
  </si>
  <si>
    <t>3294029022</t>
  </si>
  <si>
    <t>CCILRI95A60L049U</t>
  </si>
  <si>
    <t>ilaria.iacca@hotmail.com</t>
  </si>
  <si>
    <t>Estefany, Joel</t>
  </si>
  <si>
    <t>MUGGEO</t>
  </si>
  <si>
    <t>MGGRRT91C69F205E</t>
  </si>
  <si>
    <t>hermionegranger29@virgilio.it</t>
  </si>
  <si>
    <t>SAGLIOCCO</t>
  </si>
  <si>
    <t>SGLCHR90H45F205G</t>
  </si>
  <si>
    <t>chiara.sagliocco@hotmail.it</t>
  </si>
  <si>
    <t>LUCCA</t>
  </si>
  <si>
    <t>GAIA</t>
  </si>
  <si>
    <t>LCCGAI95R70E734X</t>
  </si>
  <si>
    <t>l.gaia@libero.it</t>
  </si>
  <si>
    <t xml:space="preserve">MENDOZA </t>
  </si>
  <si>
    <t>MNDGRL80T46Z514H</t>
  </si>
  <si>
    <t>mendozarohde@gmail.com</t>
  </si>
  <si>
    <t>HA PAGATOX2</t>
  </si>
  <si>
    <t>ZANCHETTA</t>
  </si>
  <si>
    <t>ZNCGLI95H59F205V</t>
  </si>
  <si>
    <t>giulizanchetta@gmail.com</t>
  </si>
  <si>
    <t>MASSI05NATALE</t>
  </si>
  <si>
    <t>DE NICOLA</t>
  </si>
  <si>
    <t>DNCLSS00R51F839Y</t>
  </si>
  <si>
    <t>dn.alessia00@gmail.com</t>
  </si>
  <si>
    <t>PEPE</t>
  </si>
  <si>
    <t>PPEFNC03B47A662B</t>
  </si>
  <si>
    <t>francescapepe0702@gmail.com</t>
  </si>
  <si>
    <t>FERRIGNO</t>
  </si>
  <si>
    <t>SIMONA</t>
  </si>
  <si>
    <t>FRRSMN88T67C361K</t>
  </si>
  <si>
    <t>simonaferrigno@hotmail.it</t>
  </si>
  <si>
    <t>BALLONE</t>
  </si>
  <si>
    <t>BLLLVC96M56G482B</t>
  </si>
  <si>
    <t>ludoballone@libero.it</t>
  </si>
  <si>
    <t>MARALDO</t>
  </si>
  <si>
    <t>CECILIA</t>
  </si>
  <si>
    <t>MRLCCL96A48H769D</t>
  </si>
  <si>
    <t>cecilia.maraldo@gmail.com</t>
  </si>
  <si>
    <t>BARBIANO DI BELGIOIOSO</t>
  </si>
  <si>
    <t>CASSANDRA</t>
  </si>
  <si>
    <t>BRBCSN90M56G388N</t>
  </si>
  <si>
    <t>cassy90@live.it</t>
  </si>
  <si>
    <t>CASTANIA</t>
  </si>
  <si>
    <t>LILIA</t>
  </si>
  <si>
    <t>CSTLLI99R70C351Q</t>
  </si>
  <si>
    <t>lilia.castania@gmail.com</t>
  </si>
  <si>
    <t>HUYUK</t>
  </si>
  <si>
    <t>MERVE</t>
  </si>
  <si>
    <t>HYKMRV94B51Z243Z</t>
  </si>
  <si>
    <t>merve.huyuk@gmail.com</t>
  </si>
  <si>
    <t>JADE</t>
  </si>
  <si>
    <t>MEMOLLARI</t>
  </si>
  <si>
    <t>XHESIKA</t>
  </si>
  <si>
    <t>MMLXSK96S51Z100T</t>
  </si>
  <si>
    <t>jessica.memollari11@gmail.com</t>
  </si>
  <si>
    <t>ROSATI</t>
  </si>
  <si>
    <t>RSTRRT86R67L182I</t>
  </si>
  <si>
    <t>rosatiroberta86@gmail.com</t>
  </si>
  <si>
    <t>PISANI</t>
  </si>
  <si>
    <t>PSNCRN97S67B201D</t>
  </si>
  <si>
    <t>caterina.pisani01@gmail.com</t>
  </si>
  <si>
    <t>GALLO</t>
  </si>
  <si>
    <t>GLLLNE99T45F205T</t>
  </si>
  <si>
    <t>elegaar@gmail.com</t>
  </si>
  <si>
    <t>BERTIN</t>
  </si>
  <si>
    <t>BRTLND98B55D442D</t>
  </si>
  <si>
    <t>lindabertin7@gmail.com</t>
  </si>
  <si>
    <t>BRAKA</t>
  </si>
  <si>
    <t>DORENTINA</t>
  </si>
  <si>
    <t>BRKDNT80S66Z100J</t>
  </si>
  <si>
    <t>milanomary557@gmail.com</t>
  </si>
  <si>
    <t>BAZZONI</t>
  </si>
  <si>
    <t>BZZNNL75M59F205Z</t>
  </si>
  <si>
    <t>antonella.bazzoni75@gmail.com</t>
  </si>
  <si>
    <t>PETRINGA</t>
  </si>
  <si>
    <t>CLARISSA</t>
  </si>
  <si>
    <t>PTRCRS01H49F205V</t>
  </si>
  <si>
    <t>clarissapetringa@gmail.com</t>
  </si>
  <si>
    <t>SEVERONI</t>
  </si>
  <si>
    <t>SVRSRA87A68F205M</t>
  </si>
  <si>
    <t>sara.severoni@hotmail.it</t>
  </si>
  <si>
    <t>SCROFANI</t>
  </si>
  <si>
    <t>SCRFRC90P58H163B</t>
  </si>
  <si>
    <t>federica.scrofani@gmail.com</t>
  </si>
  <si>
    <t>AIELLO</t>
  </si>
  <si>
    <t>LLALSS95S49C129P</t>
  </si>
  <si>
    <t>alessiaaiello11@gmail.com</t>
  </si>
  <si>
    <t>combo 52 nerea+festa</t>
  </si>
  <si>
    <t>KATIA</t>
  </si>
  <si>
    <t>CRRKTA77P46L049H</t>
  </si>
  <si>
    <t>katcarriero@me.com</t>
  </si>
  <si>
    <t>CUNDARI</t>
  </si>
  <si>
    <t>CNDVNC99P67D086V</t>
  </si>
  <si>
    <t>veronica.cundari@gmail.com</t>
  </si>
  <si>
    <t>PETRASSO</t>
  </si>
  <si>
    <t>PTRNNL83H54D086Y</t>
  </si>
  <si>
    <t>anto_muss@hotmail.it</t>
  </si>
  <si>
    <t>RIOLO</t>
  </si>
  <si>
    <t>RLICLD90P62G273D</t>
  </si>
  <si>
    <t>claudia.riolo22@gmail.com</t>
  </si>
  <si>
    <t>KUSTOL</t>
  </si>
  <si>
    <t>YANA</t>
  </si>
  <si>
    <t>KSTYNA95A69Z138X</t>
  </si>
  <si>
    <t>msyanakustol@gmail.com</t>
  </si>
  <si>
    <t>MANFRE</t>
  </si>
  <si>
    <t>MNFCNZ90T676273S</t>
  </si>
  <si>
    <t>cinziamanfre90@gmail.com</t>
  </si>
  <si>
    <t>MIRANDA</t>
  </si>
  <si>
    <t>MRNVNT84T54L738I</t>
  </si>
  <si>
    <t>valentina.miranda@hotmail.it</t>
  </si>
  <si>
    <t>BOCHICCHIO</t>
  </si>
  <si>
    <t>BCHCST98B52L682A</t>
  </si>
  <si>
    <t>CRISTIE60C@GMAIL.COM</t>
  </si>
  <si>
    <t>ALBERGONI</t>
  </si>
  <si>
    <t>SILVIA</t>
  </si>
  <si>
    <t>LBRSLV95D60L400N</t>
  </si>
  <si>
    <t>albergoni.silvia@gmail.com</t>
  </si>
  <si>
    <t>ZAMBONI</t>
  </si>
  <si>
    <t>ZMBMCR00M71L736L</t>
  </si>
  <si>
    <t>cristina.zambon51@gmail.com</t>
  </si>
  <si>
    <t>COEN</t>
  </si>
  <si>
    <t>CNOVNT69H43E625T</t>
  </si>
  <si>
    <t>valentinacoen@gmail.com</t>
  </si>
  <si>
    <t>MILOTTA</t>
  </si>
  <si>
    <t xml:space="preserve">ELEONORA </t>
  </si>
  <si>
    <t>MLTLNR97A54I577X</t>
  </si>
  <si>
    <t>milotta.eleonora14@gmail.com</t>
  </si>
  <si>
    <t>FORLANI</t>
  </si>
  <si>
    <t>FRLBRC87R55F205Q</t>
  </si>
  <si>
    <t>avv.forlani.beatrice@gmail.com</t>
  </si>
  <si>
    <t>NEREA + FESTA</t>
  </si>
  <si>
    <t>MOYSIDOU</t>
  </si>
  <si>
    <t>EIRINI</t>
  </si>
  <si>
    <t>MYSRNE92S68Z115M</t>
  </si>
  <si>
    <t>EIRINIM92@HOTMAIL.COM</t>
  </si>
  <si>
    <t>MAPELLI</t>
  </si>
  <si>
    <t>MPLMGH57A65F205E</t>
  </si>
  <si>
    <t>generica 2955(RIF. PACE SISTO)</t>
  </si>
  <si>
    <t>DI MARTINO</t>
  </si>
  <si>
    <t>LUCIA</t>
  </si>
  <si>
    <t>DMRLCU72A69G230V</t>
  </si>
  <si>
    <t>lucia.de.martino@snam.it</t>
  </si>
  <si>
    <t>BRAGHO</t>
  </si>
  <si>
    <t>BRGBRC85T47Z114H</t>
  </si>
  <si>
    <t>beatricebragho@hotmail.com</t>
  </si>
  <si>
    <t>MAREGA</t>
  </si>
  <si>
    <t>VERONIKA</t>
  </si>
  <si>
    <t>MRGVNK95M65A944Q</t>
  </si>
  <si>
    <t>veronikamarega@gmail.com</t>
  </si>
  <si>
    <t xml:space="preserve">TORRES </t>
  </si>
  <si>
    <t>TRRCMN01E58Z131F</t>
  </si>
  <si>
    <t>CARMENTORRESMAR12@GMAIL.COM</t>
  </si>
  <si>
    <t>MISCIA</t>
  </si>
  <si>
    <t>MARIA SOFIA</t>
  </si>
  <si>
    <t>MSCMSF97B67H501L</t>
  </si>
  <si>
    <t>mariasofiamiscia@gmail.com</t>
  </si>
  <si>
    <t>Questa persona è stata spostata dal workshop di nerea, e si ferma a mangiare la pizza su ok di sara massi e santo (Nura)</t>
  </si>
  <si>
    <t>CLEMENTE</t>
  </si>
  <si>
    <t>ISABELLA</t>
  </si>
  <si>
    <t>CLMSLL97L49A783A</t>
  </si>
  <si>
    <t>ISABELLA.CLEMENTE09@GMAIL.COM</t>
  </si>
  <si>
    <t>NUVOLI</t>
  </si>
  <si>
    <t>NVLLNE93P63F205N</t>
  </si>
  <si>
    <t>ele_n93@hotmail.it</t>
  </si>
  <si>
    <t>MORRONE</t>
  </si>
  <si>
    <t>STEFANIA</t>
  </si>
  <si>
    <t>MRRSFN89L67H579I</t>
  </si>
  <si>
    <t>stefania.morrone.sm@gmail.com</t>
  </si>
  <si>
    <t>DESANTIS</t>
  </si>
  <si>
    <t>DOMIZIANA</t>
  </si>
  <si>
    <t>DSNDZN91A60L746F</t>
  </si>
  <si>
    <t>domi.desantis@gmail.com</t>
  </si>
  <si>
    <t>COPPOLA</t>
  </si>
  <si>
    <t>CPPGRG99M53F205W</t>
  </si>
  <si>
    <t>copg99@gmail.com</t>
  </si>
  <si>
    <t>SCARTEDDU</t>
  </si>
  <si>
    <t>SCRGLI96P65E004Z</t>
  </si>
  <si>
    <t>giulia.scart@gmail.com</t>
  </si>
  <si>
    <t>MENICHELLI</t>
  </si>
  <si>
    <t>MNCMNL77B42L191C</t>
  </si>
  <si>
    <t>manu.menichelli@gmail.com</t>
  </si>
  <si>
    <t>BISIGHIN</t>
  </si>
  <si>
    <t>BSGCHR90D46E512J</t>
  </si>
  <si>
    <t>c.bisighin@gmail.com</t>
  </si>
  <si>
    <t>CONGIU</t>
  </si>
  <si>
    <t>MARIA CLAUDIA</t>
  </si>
  <si>
    <t>CNGMCL95H54F205L</t>
  </si>
  <si>
    <t>claudia_congiu@yahoo.it</t>
  </si>
  <si>
    <t>VAREGLIANO</t>
  </si>
  <si>
    <t>CARMELA</t>
  </si>
  <si>
    <t>VRGCML94L62C136D</t>
  </si>
  <si>
    <t>carmela.varegliano@gmail.com</t>
  </si>
  <si>
    <t>SEVERINO</t>
  </si>
  <si>
    <t>SVRMME03M43D969D</t>
  </si>
  <si>
    <t>emma.servino383@gmail.com</t>
  </si>
  <si>
    <t>BIANI</t>
  </si>
  <si>
    <t>BNILRI92P53L500S</t>
  </si>
  <si>
    <t>ilaria.biani9@gmail.com</t>
  </si>
  <si>
    <t>CADDEO</t>
  </si>
  <si>
    <t>CDDFRC98C67B354F</t>
  </si>
  <si>
    <t>fede.caddeo98@gmail.com</t>
  </si>
  <si>
    <t>DEL CASTILLO</t>
  </si>
  <si>
    <t>DLCSLV91H42E063C</t>
  </si>
  <si>
    <t>xtealex@yahoo.it</t>
  </si>
  <si>
    <t>FINORE</t>
  </si>
  <si>
    <t>FNRFRC91T58G482H</t>
  </si>
  <si>
    <t>FEDERICA.FINORE@GMAIL.COM</t>
  </si>
  <si>
    <t>ULETTO</t>
  </si>
  <si>
    <t>LTTLRI99A46E783U</t>
  </si>
  <si>
    <t>ulettoilaria@gmail.com</t>
  </si>
  <si>
    <t>DEVE RINNOVARE IL TESSERAMENTO</t>
  </si>
  <si>
    <t>Joel, Alexandra</t>
  </si>
  <si>
    <t>PELUSI</t>
  </si>
  <si>
    <t>PLSBRC98T47E058A</t>
  </si>
  <si>
    <t>beatricepelusi@gmail.com</t>
  </si>
  <si>
    <t>BENCINI</t>
  </si>
  <si>
    <t>BNCGAI97H41G752L</t>
  </si>
  <si>
    <t>gaia.bencini97@gmail.com</t>
  </si>
  <si>
    <t>CORRA</t>
  </si>
  <si>
    <t>CRRFRC88L62G224F</t>
  </si>
  <si>
    <t>corra.federica@gmail.com</t>
  </si>
  <si>
    <t>CALCAGNO</t>
  </si>
  <si>
    <t>NORMA</t>
  </si>
  <si>
    <t>CLCNRM97P70F205M</t>
  </si>
  <si>
    <t>NORMA.CALCAGNO97@GMAIL.COM</t>
  </si>
  <si>
    <t>MURE</t>
  </si>
  <si>
    <t>MRULCU86D52I754M</t>
  </si>
  <si>
    <t>lucia.mure@gmail.com</t>
  </si>
  <si>
    <t>LOUKAKIS</t>
  </si>
  <si>
    <t>IPHIGENIE MARIE</t>
  </si>
  <si>
    <t>LKKPGN96E55Z110K</t>
  </si>
  <si>
    <t>iphigenieloukakis@gmail.com</t>
  </si>
  <si>
    <t>FARHANGHI</t>
  </si>
  <si>
    <t>FRHSRA97S60B300Z</t>
  </si>
  <si>
    <t>farhanghisara@gmail.com</t>
  </si>
  <si>
    <t>FILELLA</t>
  </si>
  <si>
    <t>NICOLETTA</t>
  </si>
  <si>
    <t>FLLNLT82H66G388H</t>
  </si>
  <si>
    <t>nicoletta.filella@gmail.com</t>
  </si>
  <si>
    <t>PATELLI</t>
  </si>
  <si>
    <t>PTLDNL79R64F205C</t>
  </si>
  <si>
    <t>Patelli@icscopernico.it</t>
  </si>
  <si>
    <t>GALZOTE</t>
  </si>
  <si>
    <t xml:space="preserve">GLENDA MARIE </t>
  </si>
  <si>
    <t>GLZGND97T41H199F</t>
  </si>
  <si>
    <t>glendamariegalzote@gmail.com</t>
  </si>
  <si>
    <t>SANTACROCE</t>
  </si>
  <si>
    <t>MARIACHIARA</t>
  </si>
  <si>
    <t>SNTMCH91D63G878A</t>
  </si>
  <si>
    <t>mariachiara.santacroce@gmail.com</t>
  </si>
  <si>
    <t>PETTITI</t>
  </si>
  <si>
    <t>PTTLSE94C49D205J</t>
  </si>
  <si>
    <t>eli.pettiti94@gmail.com</t>
  </si>
  <si>
    <t>UOMINI (€25)</t>
  </si>
  <si>
    <t>BISOGNO</t>
  </si>
  <si>
    <t>PIERPAOLO</t>
  </si>
  <si>
    <t>BSGPPL89L08C361Y</t>
  </si>
  <si>
    <t>pierpaolo-bisogno@virgilio.it</t>
  </si>
  <si>
    <t>PISAPIA</t>
  </si>
  <si>
    <t>DANIELE</t>
  </si>
  <si>
    <t>PSPDNL89R11F912X</t>
  </si>
  <si>
    <t>daniele9891@hotmail.com</t>
  </si>
  <si>
    <t xml:space="preserve">ROSA </t>
  </si>
  <si>
    <t>MAURO</t>
  </si>
  <si>
    <t>RSOMRA60R25F205O</t>
  </si>
  <si>
    <t>rosaotticamauro@gmail.com</t>
  </si>
  <si>
    <t>CIMO</t>
  </si>
  <si>
    <t>ELIA</t>
  </si>
  <si>
    <t>CMILEI88H25F205Q</t>
  </si>
  <si>
    <t>eliascimo@gmail.com</t>
  </si>
  <si>
    <t>PASTORE</t>
  </si>
  <si>
    <t>PSTGPP79R03A509E</t>
  </si>
  <si>
    <t>giuseppepastore1979@gmail.com</t>
  </si>
  <si>
    <t>TESSARI</t>
  </si>
  <si>
    <t>TSSMTT95P30A459B</t>
  </si>
  <si>
    <t>tessari_matteo@hotmail.it</t>
  </si>
  <si>
    <t>LIZZERI</t>
  </si>
  <si>
    <t>LZZLSS84H15I452S</t>
  </si>
  <si>
    <t>alessio.lizzeri@gmail.com</t>
  </si>
  <si>
    <t>CESTOLA</t>
  </si>
  <si>
    <t xml:space="preserve">LORENZO </t>
  </si>
  <si>
    <t>CSTLNZ92D26C770L</t>
  </si>
  <si>
    <t>lorenzo.cestola26@gmail.com</t>
  </si>
  <si>
    <t>RUBECCHI</t>
  </si>
  <si>
    <t>MATTIA</t>
  </si>
  <si>
    <t>RBCMTT96L27F205C</t>
  </si>
  <si>
    <t>rubendtia@gmail.com</t>
  </si>
  <si>
    <t>ROSALIO</t>
  </si>
  <si>
    <t>RSLGPP77S14M102N</t>
  </si>
  <si>
    <t>giusepperosalio@gmail.com</t>
  </si>
  <si>
    <t>BRAVI</t>
  </si>
  <si>
    <t>BRVMTT90M06I775P</t>
  </si>
  <si>
    <t>mattia.bravi13@gmail.com</t>
  </si>
  <si>
    <t>LONARDI</t>
  </si>
  <si>
    <t>RICCARDO</t>
  </si>
  <si>
    <t>LNRRCR87L05C933K</t>
  </si>
  <si>
    <t>riccardo.lonardi@hotmail.it</t>
  </si>
  <si>
    <t>BINACCHI</t>
  </si>
  <si>
    <t>UGO ALBERTO</t>
  </si>
  <si>
    <t>BNCGBR88C13F205A</t>
  </si>
  <si>
    <t>ugo.binacchi@me.com</t>
  </si>
  <si>
    <t xml:space="preserve">INCAMPO </t>
  </si>
  <si>
    <t>DOMENICO</t>
  </si>
  <si>
    <t xml:space="preserve">BARBIERI </t>
  </si>
  <si>
    <t>MARIO</t>
  </si>
  <si>
    <t>FRISANI</t>
  </si>
  <si>
    <t>RUGGIERO</t>
  </si>
  <si>
    <t>FRSRGR80S27C514K</t>
  </si>
  <si>
    <t>frisani@yahoo.it</t>
  </si>
  <si>
    <t>FRANCIOSO</t>
  </si>
  <si>
    <t>PAMELA</t>
  </si>
  <si>
    <t>FRNPML92L66F205J</t>
  </si>
  <si>
    <t>franciuoso3@icloud.com</t>
  </si>
  <si>
    <t>VIETTI</t>
  </si>
  <si>
    <t>GIORGIO</t>
  </si>
  <si>
    <t>VTTGGG90B25G674N</t>
  </si>
  <si>
    <t>giorgio.g.vietti@gmail.com</t>
  </si>
  <si>
    <t xml:space="preserve">GAGNO </t>
  </si>
  <si>
    <t>GGNLCU96A09L736Q</t>
  </si>
  <si>
    <t>lucagagno@gmail.com</t>
  </si>
  <si>
    <t>TURINA</t>
  </si>
  <si>
    <t>TRNMTT81M04L781X</t>
  </si>
  <si>
    <t>turinamatteo@gmail.com</t>
  </si>
  <si>
    <t>ROTUNNO</t>
  </si>
  <si>
    <t>MAURIZIO</t>
  </si>
  <si>
    <t>RTNMZL64P19F205E</t>
  </si>
  <si>
    <t>rotunno64@libero.it</t>
  </si>
  <si>
    <t>ROSSI SARTI</t>
  </si>
  <si>
    <t>NICOLO</t>
  </si>
  <si>
    <t>RSSNCL94M05F205Q</t>
  </si>
  <si>
    <t>niccolo-nick@hotmail.it</t>
  </si>
  <si>
    <t>GIAMMARUTO</t>
  </si>
  <si>
    <t>LUIGI</t>
  </si>
  <si>
    <t>FRADA VIEIRA</t>
  </si>
  <si>
    <t>VASCO</t>
  </si>
  <si>
    <t>FRDVSC96R10Z128Z</t>
  </si>
  <si>
    <t>vascofradavieira@hotmail.com</t>
  </si>
  <si>
    <t>CAFARO</t>
  </si>
  <si>
    <t>CFRMRC81M02E514G</t>
  </si>
  <si>
    <t>marcocafaro81@gmail.com</t>
  </si>
  <si>
    <t>MAJRANI</t>
  </si>
  <si>
    <t>MJRFRC97B06G388D</t>
  </si>
  <si>
    <t>fede.majrani@gmail.com</t>
  </si>
  <si>
    <t>GULIENETTI</t>
  </si>
  <si>
    <t>ALESSANDRO</t>
  </si>
  <si>
    <t>GLNLSN97B24H501L</t>
  </si>
  <si>
    <t>guly97@hotmail.it</t>
  </si>
  <si>
    <t>MAGNANI</t>
  </si>
  <si>
    <t>MARCELLO</t>
  </si>
  <si>
    <t>MGNMCL92A18C573P</t>
  </si>
  <si>
    <t>marcello.magnani2@gmail.com</t>
  </si>
  <si>
    <t>RTNMTT97D07F205L</t>
  </si>
  <si>
    <t>Mattiarotunno97@gmail.com</t>
  </si>
  <si>
    <t>FACCHINI</t>
  </si>
  <si>
    <t>ENRICO</t>
  </si>
  <si>
    <t>FCCNRC82D10A965J</t>
  </si>
  <si>
    <t>enricofacchini82@gmail.com</t>
  </si>
  <si>
    <t>PIRRI</t>
  </si>
  <si>
    <t>CARLO</t>
  </si>
  <si>
    <t>PRRCRL89T13F205S</t>
  </si>
  <si>
    <t>carlo_pirri@yahoo.it</t>
  </si>
  <si>
    <t>TREDDENTI</t>
  </si>
  <si>
    <t>TRDMRA95P21C632K</t>
  </si>
  <si>
    <t>treddentimauro@gmail.com</t>
  </si>
  <si>
    <t>SANTI</t>
  </si>
  <si>
    <t>LEONARDO</t>
  </si>
  <si>
    <t>SNTLRD97R01A182G</t>
  </si>
  <si>
    <t>leonardosanti97@gmail.com</t>
  </si>
  <si>
    <t>RINDONE</t>
  </si>
  <si>
    <t>RNDNDR93R13E536K</t>
  </si>
  <si>
    <t>ANDREA.RINDONE@TISCALI.IT</t>
  </si>
  <si>
    <t>RATTI</t>
  </si>
  <si>
    <t>PIERO</t>
  </si>
  <si>
    <t>RTTPRI78P29F205Q</t>
  </si>
  <si>
    <t>piero_ratti@alice.it</t>
  </si>
  <si>
    <t>VADALA</t>
  </si>
  <si>
    <t>ROBERTO</t>
  </si>
  <si>
    <t>VDLRRT76R02F205Q</t>
  </si>
  <si>
    <t>r.vadal76@gmail.com</t>
  </si>
  <si>
    <t>PELLEGRINI</t>
  </si>
  <si>
    <t>PLLLRT85D08B988Z</t>
  </si>
  <si>
    <t>albertopellegrini85@gmail.com</t>
  </si>
  <si>
    <t>TASSARI</t>
  </si>
  <si>
    <t>PANTALONI</t>
  </si>
  <si>
    <t>GIANLUCA</t>
  </si>
  <si>
    <t>PNTGLC96H26D773H</t>
  </si>
  <si>
    <t>GIANLUCAPANTALONI96@GMAIL.COM</t>
  </si>
  <si>
    <t>BERETTA</t>
  </si>
  <si>
    <t>BRRGPP98R02Z133W</t>
  </si>
  <si>
    <t>giuseppe.barretta@hotmail.com</t>
  </si>
  <si>
    <t>MANCINO</t>
  </si>
  <si>
    <t>DANILO</t>
  </si>
  <si>
    <t>MANCA CHIEDERE</t>
  </si>
  <si>
    <t>danilomancino6@gmail.com</t>
  </si>
  <si>
    <t>ANGELINI</t>
  </si>
  <si>
    <t>NGLLRT64L06F712E</t>
  </si>
  <si>
    <t>albertongln@gmail.com</t>
  </si>
  <si>
    <t>VENERUSO</t>
  </si>
  <si>
    <t>VNRLSN97D07F839L</t>
  </si>
  <si>
    <t>veneruso.alessandro@icloud.com</t>
  </si>
  <si>
    <t>HONG</t>
  </si>
  <si>
    <t>RUI HUI</t>
  </si>
  <si>
    <t>HNGRHU94L28H501N</t>
  </si>
  <si>
    <t>simone.hong28@hmail.com</t>
  </si>
  <si>
    <t>SAPIENZA</t>
  </si>
  <si>
    <t>SPNFRC95H20F704J</t>
  </si>
  <si>
    <t>fesap95@gmail.com</t>
  </si>
  <si>
    <t>AGUILAR SANCHEZ</t>
  </si>
  <si>
    <t>JENMY RUMY</t>
  </si>
  <si>
    <t>GLRJMY96H24Z611Z</t>
  </si>
  <si>
    <t>sanchez_ag24@hotmail.com</t>
  </si>
  <si>
    <t>PACE</t>
  </si>
  <si>
    <t>SISTO</t>
  </si>
  <si>
    <t>PCASST66C24H783B</t>
  </si>
  <si>
    <t>sisto.pace@libero.it</t>
  </si>
  <si>
    <t>SGLSMN89H20F205M</t>
  </si>
  <si>
    <t>simone.sagliocco@yahoo.it</t>
  </si>
  <si>
    <t>DI CARO</t>
  </si>
  <si>
    <t>WALTER</t>
  </si>
  <si>
    <t>DCRWTR77M18G273B</t>
  </si>
  <si>
    <t>walter.dicaro@fastweb.it</t>
  </si>
  <si>
    <t>PISANO</t>
  </si>
  <si>
    <t>PSNDNL87A19F205R</t>
  </si>
  <si>
    <t>dpisano248@gmail.com</t>
  </si>
  <si>
    <t>BUDRIESI</t>
  </si>
  <si>
    <t>BDRLSS98M20A944G</t>
  </si>
  <si>
    <t>alessiobudriesi@gmail.com</t>
  </si>
  <si>
    <t>MINGRINO</t>
  </si>
  <si>
    <t>MNGLCU97H19L219F</t>
  </si>
  <si>
    <t>luca.mingrino@gmail.com</t>
  </si>
  <si>
    <t>IANNETTA</t>
  </si>
  <si>
    <t>FRANCESCO</t>
  </si>
  <si>
    <t>NNTFNC01P11H703H</t>
  </si>
  <si>
    <t>francescoiannetta.2001@gmail.com</t>
  </si>
  <si>
    <t>PEZZINI</t>
  </si>
  <si>
    <t>DANNY</t>
  </si>
  <si>
    <t>PZZDNY90C15I690P</t>
  </si>
  <si>
    <t>dannypzz03@gmail.com</t>
  </si>
  <si>
    <t>ABBRACCIAVENTO</t>
  </si>
  <si>
    <t>BBRFNC93M26E205N</t>
  </si>
  <si>
    <t>francesco.abbraccia@gmail.com</t>
  </si>
  <si>
    <t>ROJAS GRANADOS</t>
  </si>
  <si>
    <t>ANDREE JHEYSON</t>
  </si>
  <si>
    <t>RJSNRJ92T03Z611O</t>
  </si>
  <si>
    <t>andre_r_g@hotmail.com</t>
  </si>
  <si>
    <t>NICOLA</t>
  </si>
  <si>
    <t>NNTNCL98E05H703C</t>
  </si>
  <si>
    <t>nicola.iannetta98@gmail.com</t>
  </si>
  <si>
    <t>ESPOSITO</t>
  </si>
  <si>
    <t>GAETANO</t>
  </si>
  <si>
    <t>SPSGTN93M06F784M</t>
  </si>
  <si>
    <t>ge.gaetano.esposito@gmail.com</t>
  </si>
  <si>
    <t>VITALE</t>
  </si>
  <si>
    <t>COSIMO</t>
  </si>
  <si>
    <t>VTLCMD96C05F205U</t>
  </si>
  <si>
    <t>cosimovitale96@gmail.com</t>
  </si>
  <si>
    <t>CHIANTELLO</t>
  </si>
  <si>
    <t>CHNNDR95M30F335P</t>
  </si>
  <si>
    <t>andreachiante10@gmail.com</t>
  </si>
  <si>
    <t>CANNATA</t>
  </si>
  <si>
    <t>ANGELO</t>
  </si>
  <si>
    <t>CNNNGL73H20D286S</t>
  </si>
  <si>
    <t>tatan67@yahoo.it</t>
  </si>
  <si>
    <t>ASSIANI</t>
  </si>
  <si>
    <t>SSNFPP86C31F205Z</t>
  </si>
  <si>
    <t>filippoassiani@libero.it</t>
  </si>
  <si>
    <t>HOSSEINZADEH</t>
  </si>
  <si>
    <t>NAMI</t>
  </si>
  <si>
    <t>HSSNMA91A24F205F</t>
  </si>
  <si>
    <t>nami2491@icloud.com</t>
  </si>
  <si>
    <t>MESSA</t>
  </si>
  <si>
    <t>MSSRRT67T04F205E</t>
  </si>
  <si>
    <t>roberto.messa@sap.com</t>
  </si>
  <si>
    <t>RACITO</t>
  </si>
  <si>
    <t>RCTFNC82C16M088D</t>
  </si>
  <si>
    <t>f.racito@gmail.com</t>
  </si>
  <si>
    <t>PIZZOCARO</t>
  </si>
  <si>
    <t>PZZNRS63S27F205G</t>
  </si>
  <si>
    <t>andreapizzocaro@yahoo.com</t>
  </si>
  <si>
    <t>VITARELLI</t>
  </si>
  <si>
    <t>IVAN</t>
  </si>
  <si>
    <t>VTRVNI84D22E716E</t>
  </si>
  <si>
    <t>GOTTARDI</t>
  </si>
  <si>
    <t>TOMMASO</t>
  </si>
  <si>
    <t>GTTTMS82H22F205P</t>
  </si>
  <si>
    <t>tommasogottardi@gmail.com</t>
  </si>
  <si>
    <t>CAPUTO</t>
  </si>
  <si>
    <t>CPTLCU98T26F205X</t>
  </si>
  <si>
    <t>LUCA-CAP@LIVE.IT</t>
  </si>
  <si>
    <t>COLPO</t>
  </si>
  <si>
    <t>CLPMRC96S22A326H</t>
  </si>
  <si>
    <t>marco.colpo@gmail.com</t>
  </si>
  <si>
    <t>ZOFFOLI</t>
  </si>
  <si>
    <t>ZFFFNC91A24C573B</t>
  </si>
  <si>
    <t>makers.f@gmail.com</t>
  </si>
  <si>
    <t>DELLA CHA</t>
  </si>
  <si>
    <t>LEOPOLDO</t>
  </si>
  <si>
    <t>DLLLLD96L31F205T</t>
  </si>
  <si>
    <t>dellachaleopoldo@gmail.com</t>
  </si>
  <si>
    <t>ELDALIL</t>
  </si>
  <si>
    <t>FADY</t>
  </si>
  <si>
    <t>LDLFYM95L30Z336G</t>
  </si>
  <si>
    <t>fady.eldalil@gmail.com</t>
  </si>
  <si>
    <t>PINTO</t>
  </si>
  <si>
    <t>PNTNGL01C10A662A</t>
  </si>
  <si>
    <t>angelopinto72@gmail.com</t>
  </si>
  <si>
    <t>PREATONI</t>
  </si>
  <si>
    <t>GERMAN</t>
  </si>
  <si>
    <t>PRTGMN80E17Z601B</t>
  </si>
  <si>
    <t>german.preatoni@gmail.com</t>
  </si>
  <si>
    <t xml:space="preserve">CANSEL </t>
  </si>
  <si>
    <t>GURSOY</t>
  </si>
  <si>
    <t>GRSCSL98A63Z243X</t>
  </si>
  <si>
    <t>canselgrsoy@gmail.com</t>
  </si>
  <si>
    <t>MARINO</t>
  </si>
  <si>
    <t>LUIGIPAOLO</t>
  </si>
  <si>
    <t>MRNLPL94L12I805Z</t>
  </si>
  <si>
    <t>luigipaolomarino@gmail.com</t>
  </si>
  <si>
    <t>Prezzi WS</t>
  </si>
  <si>
    <t>TOTALE SEDE 
(serata)</t>
  </si>
  <si>
    <t>TOTALE ONLINE 
(serata)</t>
  </si>
  <si>
    <t xml:space="preserve"> FESTA DI NATALE_WS CARAIBICO_14DIC25_16:00-19:00</t>
  </si>
  <si>
    <t>DONNE (€55)</t>
  </si>
  <si>
    <t>AIROLDI</t>
  </si>
  <si>
    <t>RLDLNE94T56E507Y</t>
  </si>
  <si>
    <t>elena.airoldi94@gmail.com</t>
  </si>
  <si>
    <t xml:space="preserve">MARIANI </t>
  </si>
  <si>
    <t>GRISI</t>
  </si>
  <si>
    <t>GRSBRC92H49L400L</t>
  </si>
  <si>
    <t>bea.grisi92@gmail.com</t>
  </si>
  <si>
    <t>RISTANI</t>
  </si>
  <si>
    <t>RSTCLD95H43F027Y</t>
  </si>
  <si>
    <t>claudia.ristani95@gmail.com</t>
  </si>
  <si>
    <t>NEGRISOLI</t>
  </si>
  <si>
    <t>MARA</t>
  </si>
  <si>
    <t>NGRMRA63P65F205N</t>
  </si>
  <si>
    <t>NEGRISOLI.MARA@GMAIL.COM</t>
  </si>
  <si>
    <t>ARGENTIN</t>
  </si>
  <si>
    <t>MICOL</t>
  </si>
  <si>
    <t>RGNMCL95P54C111E</t>
  </si>
  <si>
    <t>MICOL.ARGENTIN@OUTLOOK.IT</t>
  </si>
  <si>
    <t>PALADINI</t>
  </si>
  <si>
    <t>MARIA CHIARA</t>
  </si>
  <si>
    <t>PLDMCH89L68B180I</t>
  </si>
  <si>
    <t>mariachiarapaladini@gmail.com</t>
  </si>
  <si>
    <t>GHETTI</t>
  </si>
  <si>
    <t>GHTGLI72A54D458U</t>
  </si>
  <si>
    <t>giulia.ghetti72@gmail.com</t>
  </si>
  <si>
    <t>BOMBINI</t>
  </si>
  <si>
    <t>ANNALISA</t>
  </si>
  <si>
    <t>BMBNLS72R68A883D</t>
  </si>
  <si>
    <t>annalisa.bombini@icloud.com</t>
  </si>
  <si>
    <t>CARNEVALI</t>
  </si>
  <si>
    <t>CRNLCA86T45F205H</t>
  </si>
  <si>
    <t>carnevali.alice@gmail.com</t>
  </si>
  <si>
    <t>CURTO</t>
  </si>
  <si>
    <t>CRTLSE97A64E801A</t>
  </si>
  <si>
    <t>elisa.curto97@gmail.com</t>
  </si>
  <si>
    <t>BARNABA</t>
  </si>
  <si>
    <t>BRNLSN96A60A662E</t>
  </si>
  <si>
    <t>alexbar96@hotmail.it</t>
  </si>
  <si>
    <t>BONILLA</t>
  </si>
  <si>
    <t>SONIA</t>
  </si>
  <si>
    <t>BNLSBG92T46Z605U</t>
  </si>
  <si>
    <t>sonia_abigail@hotmail.it</t>
  </si>
  <si>
    <t>SELDERI</t>
  </si>
  <si>
    <t>SAMIRA</t>
  </si>
  <si>
    <t>SLDSMR03P53A123H</t>
  </si>
  <si>
    <t>samiraselde03@gmail.com</t>
  </si>
  <si>
    <t>FERRAI</t>
  </si>
  <si>
    <t>GIORGIA EMILIA</t>
  </si>
  <si>
    <t>FRRGGM74S62F205I</t>
  </si>
  <si>
    <t>giorgiaferrari74@gmail.com</t>
  </si>
  <si>
    <t>TUMMINIA</t>
  </si>
  <si>
    <t>MARIA PATRIZIA</t>
  </si>
  <si>
    <t>TMMMPT63H70G273Q</t>
  </si>
  <si>
    <t>tuminiapatrizia63@gmail.com</t>
  </si>
  <si>
    <t>SOLITO</t>
  </si>
  <si>
    <t>AGATA</t>
  </si>
  <si>
    <t>SLTGTA98L41I690X</t>
  </si>
  <si>
    <t>agata.solito@outlook.it</t>
  </si>
  <si>
    <t>URAS</t>
  </si>
  <si>
    <t>RSULRI00A55I851</t>
  </si>
  <si>
    <t>ilariauras00@gmail.com</t>
  </si>
  <si>
    <t>GAUDIOSO</t>
  </si>
  <si>
    <t>GDSLRA96B62B563K</t>
  </si>
  <si>
    <t>laura.gaudioso96@gmail.com</t>
  </si>
  <si>
    <t>NUZZO</t>
  </si>
  <si>
    <t>NZZLSE85C62B157C</t>
  </si>
  <si>
    <t>elisa.nuzzo@icloud.com</t>
  </si>
  <si>
    <t>DEL GENIO</t>
  </si>
  <si>
    <t>BIANCA</t>
  </si>
  <si>
    <t>DLGBNC70E55A509E</t>
  </si>
  <si>
    <t>bdelgenio@gmail.com</t>
  </si>
  <si>
    <t>VECCHIO</t>
  </si>
  <si>
    <t>VCCCLT99P59F158A</t>
  </si>
  <si>
    <t>carlottavecchio@gmail.com</t>
  </si>
  <si>
    <t>RONCALDIER</t>
  </si>
  <si>
    <t>RNCFNC66D48F205X</t>
  </si>
  <si>
    <t>roncaldier@gmail.com</t>
  </si>
  <si>
    <t>CANONICO</t>
  </si>
  <si>
    <t>LEONARDA</t>
  </si>
  <si>
    <t>CNNLRD85D48A783Q</t>
  </si>
  <si>
    <t>leac85@libero.it</t>
  </si>
  <si>
    <t>SARO</t>
  </si>
  <si>
    <t>SRALNE93E65I577G</t>
  </si>
  <si>
    <t>elena.saro@hotmail.it</t>
  </si>
  <si>
    <t>MIETTO</t>
  </si>
  <si>
    <t>MTTMGH97R61L219J</t>
  </si>
  <si>
    <t>marghe.miez@gmail.com</t>
  </si>
  <si>
    <t>GARAVAGLIA</t>
  </si>
  <si>
    <t>BENEDETTA</t>
  </si>
  <si>
    <t>GRVBDT99S47F205Z</t>
  </si>
  <si>
    <t>ben.garavaglia@gmail.com</t>
  </si>
  <si>
    <t>IUNGO</t>
  </si>
  <si>
    <t>NGILSN95A70C514L</t>
  </si>
  <si>
    <t>alessandraiungo95@gmail.com</t>
  </si>
  <si>
    <t>ANDRIOTTO</t>
  </si>
  <si>
    <t>NDRSRA90T42H620W</t>
  </si>
  <si>
    <t>sara.andriotto@gmail.com</t>
  </si>
  <si>
    <t>TRALCE</t>
  </si>
  <si>
    <t>BRUNELLA</t>
  </si>
  <si>
    <t>TRLBNL86M70H926H</t>
  </si>
  <si>
    <t>BRUNELLATRALCE@GMAIL.COM</t>
  </si>
  <si>
    <t>GHANEM</t>
  </si>
  <si>
    <t>MARYZ</t>
  </si>
  <si>
    <t>GHNMRS91R59Z229H</t>
  </si>
  <si>
    <t>a.jacquier@hotmail.fr</t>
  </si>
  <si>
    <t>ha pagato x lei JACQUIER</t>
  </si>
  <si>
    <t>ANSELMI</t>
  </si>
  <si>
    <t>ILENIA</t>
  </si>
  <si>
    <t>NSLYLN95L62A271G</t>
  </si>
  <si>
    <t>ylenia.anselmi@gmail.com</t>
  </si>
  <si>
    <t>RUSSO</t>
  </si>
  <si>
    <t>RSSNNA99H69F924A</t>
  </si>
  <si>
    <t>annarusso4600@gmail.com</t>
  </si>
  <si>
    <t>MARCHEL</t>
  </si>
  <si>
    <t>MRCGLI04A42L378N</t>
  </si>
  <si>
    <t>giulietta.marchel@gmail.com</t>
  </si>
  <si>
    <t>INGROSSO</t>
  </si>
  <si>
    <t>REGINA</t>
  </si>
  <si>
    <t>NGRRGN80D41I119J</t>
  </si>
  <si>
    <t>regina.ingrosso@gmail.com</t>
  </si>
  <si>
    <t>PADILLA RABANAL</t>
  </si>
  <si>
    <t>ANDREA STEFANIA</t>
  </si>
  <si>
    <t>PDLNRS93A63Z611Y</t>
  </si>
  <si>
    <t>andreapadillara@gmail.com</t>
  </si>
  <si>
    <t>PACINI</t>
  </si>
  <si>
    <t>PCNLRI90B44D969H</t>
  </si>
  <si>
    <t>ilaria.pacini1990@gmail.com</t>
  </si>
  <si>
    <t>FEDERICI</t>
  </si>
  <si>
    <t>FDRLCA95C44G479X</t>
  </si>
  <si>
    <t>alicefederici95@gmail.com</t>
  </si>
  <si>
    <t>BERTONAZZI</t>
  </si>
  <si>
    <t>BRTMTN03S61I577H</t>
  </si>
  <si>
    <t>martina.bertonazzi@gmail.com</t>
  </si>
  <si>
    <t>COMETTI</t>
  </si>
  <si>
    <t>CMTGLC92M62F205O</t>
  </si>
  <si>
    <t>comettigiulia@gmail.com</t>
  </si>
  <si>
    <t>FASCIANO</t>
  </si>
  <si>
    <t>MARIANTONIETTA</t>
  </si>
  <si>
    <t>FSCMNT90L51B619Z</t>
  </si>
  <si>
    <t>mariant.fasciano@gmail.com</t>
  </si>
  <si>
    <t>POZZI</t>
  </si>
  <si>
    <t>PZZMTN01P50F205U</t>
  </si>
  <si>
    <t>POZZIM2001@GMAIL.COM</t>
  </si>
  <si>
    <t>DALLA MONTA</t>
  </si>
  <si>
    <t>DLLGAI94D59A515S</t>
  </si>
  <si>
    <t>gaiadallamonta@hotmail.it</t>
  </si>
  <si>
    <t>POLENTANI</t>
  </si>
  <si>
    <t>PLNSLV96L64H501N</t>
  </si>
  <si>
    <t>silviapolentani@gmail.com</t>
  </si>
  <si>
    <t>CECCONI</t>
  </si>
  <si>
    <t>CCCRNI94L44F205S</t>
  </si>
  <si>
    <t>cecconi.ire@gmail.com</t>
  </si>
  <si>
    <t>BIANCOFIORE</t>
  </si>
  <si>
    <t>MARIAGIOVANNA</t>
  </si>
  <si>
    <t>BNCMGV89E53A662L</t>
  </si>
  <si>
    <t>mg.biancofiore@hotmail.com</t>
  </si>
  <si>
    <t>GOBBI</t>
  </si>
  <si>
    <t>GBBBRC90L70F257O</t>
  </si>
  <si>
    <t>Beagobbi@gmail.com</t>
  </si>
  <si>
    <t>RISI</t>
  </si>
  <si>
    <t>RSIMNL81A66L219M</t>
  </si>
  <si>
    <t>emarisi81@gmail.com</t>
  </si>
  <si>
    <t>DAI</t>
  </si>
  <si>
    <t>PING</t>
  </si>
  <si>
    <t>DAIPNG71A59Z210O</t>
  </si>
  <si>
    <t>dconsultinggroup@gmail.com</t>
  </si>
  <si>
    <t>CORVESE</t>
  </si>
  <si>
    <t>ASSUNTA</t>
  </si>
  <si>
    <t>CRVSNT75D65H501B</t>
  </si>
  <si>
    <t>assunta.corvese@gmail.com</t>
  </si>
  <si>
    <t>RUIZ</t>
  </si>
  <si>
    <t>NATALIA</t>
  </si>
  <si>
    <t>RZRNTL99S44Z514A</t>
  </si>
  <si>
    <t>vaccarisimone.vs@gmail.com</t>
  </si>
  <si>
    <t>su ok di massi</t>
  </si>
  <si>
    <t>DE PELLEGRIN</t>
  </si>
  <si>
    <t>DPLCST70L58F205X</t>
  </si>
  <si>
    <t>cris70dpg@gmail.com</t>
  </si>
  <si>
    <t xml:space="preserve">su ok di santo </t>
  </si>
  <si>
    <t>daniela.carriero@yahoo.it</t>
  </si>
  <si>
    <t>UOMINI  (€55)</t>
  </si>
  <si>
    <t>BERTUZZI</t>
  </si>
  <si>
    <t>BRTPMR78A23D286R</t>
  </si>
  <si>
    <t>peter.berto78@yellowhug.it</t>
  </si>
  <si>
    <t>DEPLANO</t>
  </si>
  <si>
    <t>DPLLSS92L07A326F</t>
  </si>
  <si>
    <t>alessio.deplano.92@outlook.it</t>
  </si>
  <si>
    <t>TEMPORIN</t>
  </si>
  <si>
    <t>TMPNDR91S13H620D</t>
  </si>
  <si>
    <t>tempo.andrea.10@gmail.com</t>
  </si>
  <si>
    <t>SUPPA</t>
  </si>
  <si>
    <t>SPPLSN89H13F205M</t>
  </si>
  <si>
    <t>alessandro.suppa06@gmail.com</t>
  </si>
  <si>
    <t>GIORGI</t>
  </si>
  <si>
    <t>GIORDANO</t>
  </si>
  <si>
    <t>GRGGDN80B25C286H</t>
  </si>
  <si>
    <t>giorgigiordano80@gmail.com</t>
  </si>
  <si>
    <t>MARANI</t>
  </si>
  <si>
    <t>ERMANNO</t>
  </si>
  <si>
    <t>MRNRNN67H20F205O</t>
  </si>
  <si>
    <t>ermannomarani059@gmail.com</t>
  </si>
  <si>
    <t>CARIZZONI</t>
  </si>
  <si>
    <t>CRZSMN69R01M052T</t>
  </si>
  <si>
    <t>mastersimonecarizzoni@gmail.com</t>
  </si>
  <si>
    <t>RUBINO</t>
  </si>
  <si>
    <t>RAFFAELE</t>
  </si>
  <si>
    <t>RBNRFL92T30E205D</t>
  </si>
  <si>
    <t>raffaele.rubino1992@gmail.com</t>
  </si>
  <si>
    <t>MELANI</t>
  </si>
  <si>
    <t>MLNFRC91M15D969N</t>
  </si>
  <si>
    <t>ky.federico@yahoo.it</t>
  </si>
  <si>
    <t>SANGINETTO</t>
  </si>
  <si>
    <t>SNGRRT90E13D869P</t>
  </si>
  <si>
    <t>robert.sangineto@gmail.com</t>
  </si>
  <si>
    <t>SANTAMARIA</t>
  </si>
  <si>
    <t>MASSIMILIANO</t>
  </si>
  <si>
    <t>SNTMSM89L25F205P</t>
  </si>
  <si>
    <t>massimiliano.santamaria@outlook.it</t>
  </si>
  <si>
    <t>VECCHIOLA</t>
  </si>
  <si>
    <t>DA VIA</t>
  </si>
  <si>
    <t>MAX</t>
  </si>
  <si>
    <t>DVAMXA72L18B157C</t>
  </si>
  <si>
    <t>mdavia@gmail.com</t>
  </si>
  <si>
    <t>ANDREONI</t>
  </si>
  <si>
    <t>MASSIMO</t>
  </si>
  <si>
    <t>NDRMSM71R23B157V</t>
  </si>
  <si>
    <t>ma.and@tiscali.it</t>
  </si>
  <si>
    <t>IAMPIETRO</t>
  </si>
  <si>
    <t>MPTNTN94A26A783G</t>
  </si>
  <si>
    <t>antonioiamp94@libero.it</t>
  </si>
  <si>
    <t>RONCHI</t>
  </si>
  <si>
    <t>RNCLCU86T25F205J</t>
  </si>
  <si>
    <t>luca.ronchi1@gmail.com</t>
  </si>
  <si>
    <t>GAGLIARDO</t>
  </si>
  <si>
    <t>GGLMRC81S11F839Y</t>
  </si>
  <si>
    <t>marco.gagliardi81@gmail.com</t>
  </si>
  <si>
    <t>MELONI</t>
  </si>
  <si>
    <t>MLNLRT67S08F205H</t>
  </si>
  <si>
    <t>TORRONI</t>
  </si>
  <si>
    <t>TRRMHL73H29C424F</t>
  </si>
  <si>
    <t>micheletorroni@yahoo.co.uk</t>
  </si>
  <si>
    <t>NOTTIANI</t>
  </si>
  <si>
    <t>NTTRRT92E21A475E</t>
  </si>
  <si>
    <t>nott92@icloud.com</t>
  </si>
  <si>
    <t>CASCINO</t>
  </si>
  <si>
    <t>ANTONINO</t>
  </si>
  <si>
    <t>CSCNNN95E11H700F</t>
  </si>
  <si>
    <t>antonino.cascino9511@gmail.com</t>
  </si>
  <si>
    <t>JACQUIER</t>
  </si>
  <si>
    <t>AIRELIEN</t>
  </si>
  <si>
    <t>JCQRLN91M12Z110G</t>
  </si>
  <si>
    <t>a. jacquier@hotmail.fr</t>
  </si>
  <si>
    <t xml:space="preserve">Ha pagato per altri due </t>
  </si>
  <si>
    <t>BERGER</t>
  </si>
  <si>
    <t>FLORIAN</t>
  </si>
  <si>
    <t>BRGFRN90R22Z110R</t>
  </si>
  <si>
    <t>ha pagato JACQUIER X LUI</t>
  </si>
  <si>
    <t>MAROTTA</t>
  </si>
  <si>
    <t>MRTGLC98R07L424Q</t>
  </si>
  <si>
    <t>gianlucaminolout@gmail.com</t>
  </si>
  <si>
    <t>fabio.camisa@libero.it</t>
  </si>
  <si>
    <t>LAPEGNA</t>
  </si>
  <si>
    <t>DIEGO</t>
  </si>
  <si>
    <t>LPGDGI89R21B160C</t>
  </si>
  <si>
    <t>lapegnad@gmail.com</t>
  </si>
  <si>
    <t>RICCI</t>
  </si>
  <si>
    <t>RCCRRT92D13B963C</t>
  </si>
  <si>
    <t>rr.robertoricci@icloud.com</t>
  </si>
  <si>
    <t>MOTTA</t>
  </si>
  <si>
    <t>MTTJCP94P29E648R</t>
  </si>
  <si>
    <t>motta.jacopo@virgilio.it</t>
  </si>
  <si>
    <t>FABBI</t>
  </si>
  <si>
    <t>FABBIO</t>
  </si>
  <si>
    <t>FBBFBA72H10B819V</t>
  </si>
  <si>
    <t>fabio.fabbi@gmail.com</t>
  </si>
  <si>
    <t>RCCGPP74H24L049V</t>
  </si>
  <si>
    <t>GIUSEPPEROCCO04@YAHOO.IT</t>
  </si>
  <si>
    <t>GIOVANNI</t>
  </si>
  <si>
    <t>PRCGNN62M07F205J</t>
  </si>
  <si>
    <t>PZZNCL01P10F205G</t>
  </si>
  <si>
    <t>nicopozzi2001@gmail.com</t>
  </si>
  <si>
    <t>VITALI</t>
  </si>
  <si>
    <t>VTLLNZ00R20A785J</t>
  </si>
  <si>
    <t>vitali.lorenzo20@gmail.com</t>
  </si>
  <si>
    <t>DI NAPOLI</t>
  </si>
  <si>
    <t>DNPLSS84R16A940H</t>
  </si>
  <si>
    <t>dinapolialessio@gmail.com</t>
  </si>
  <si>
    <t>MONTAGNA GRANATO</t>
  </si>
  <si>
    <t>RICCARDI</t>
  </si>
  <si>
    <t>RCCMTT75B12D969J</t>
  </si>
  <si>
    <t>matteo.riccardi@tin.it</t>
  </si>
  <si>
    <t>PYMAN</t>
  </si>
  <si>
    <t>HSSPMN98A22F205X</t>
  </si>
  <si>
    <t>pyho1998@gmail.com</t>
  </si>
  <si>
    <t>MASI</t>
  </si>
  <si>
    <t>MSAMSM72T04F205I</t>
  </si>
  <si>
    <t>MASSIMOMF.MAS10@GMAIL.COM</t>
  </si>
  <si>
    <t>MAGGI</t>
  </si>
  <si>
    <t>SAMUELE</t>
  </si>
  <si>
    <t>MGGSML79T13F205B</t>
  </si>
  <si>
    <t>samuele.maggi@gmail.com</t>
  </si>
  <si>
    <t>INFANTINO</t>
  </si>
  <si>
    <t>NFNNDR97R03A089Z</t>
  </si>
  <si>
    <t>andreainf7@gmail.com</t>
  </si>
  <si>
    <t>ONLINE HA FATTO L'ISCRIZIONE PER LA SERATA  QUINDI OGGI HA SALDATO LA DIFFERENZA</t>
  </si>
  <si>
    <t>MITRUCCIO</t>
  </si>
  <si>
    <t>PIERLUIGI</t>
  </si>
  <si>
    <t>MTRPLG94P18L049Z</t>
  </si>
  <si>
    <t>pierl94@libero.it</t>
  </si>
  <si>
    <t>GUGLIELMINI</t>
  </si>
  <si>
    <t>GGLLCU98B24H816N</t>
  </si>
  <si>
    <t>guglie98@gmail.com</t>
  </si>
  <si>
    <t xml:space="preserve">Ha pagato €20 online e ha saldato €30 in sede. </t>
  </si>
  <si>
    <t>GOBBINI</t>
  </si>
  <si>
    <t>GBBPLG90L23D65B</t>
  </si>
  <si>
    <t>eugeen951@gmail.com</t>
  </si>
  <si>
    <t>OSTROVAN</t>
  </si>
  <si>
    <t>EUGENIO</t>
  </si>
  <si>
    <t>STRGNE96A04Z140G</t>
  </si>
  <si>
    <t>MELILLO (melella)</t>
  </si>
  <si>
    <t>MLLCSM92E26H703J</t>
  </si>
  <si>
    <t>cosimo.melella92@gmail.com</t>
  </si>
  <si>
    <t>GIGANTIELLO</t>
  </si>
  <si>
    <t>GIACOMO</t>
  </si>
  <si>
    <t>GGNGCM71B16I158A</t>
  </si>
  <si>
    <t>gigagiac@icloud.com</t>
  </si>
  <si>
    <t>VACCARI</t>
  </si>
  <si>
    <t>VCCSMN01B11H223M</t>
  </si>
  <si>
    <t>SCARFATI</t>
  </si>
  <si>
    <t xml:space="preserve">GIORGIO </t>
  </si>
  <si>
    <t>SCRGRG86L17I483R</t>
  </si>
  <si>
    <t>scarfati.giorgio@gmail.com</t>
  </si>
  <si>
    <t>BOLOGNA</t>
  </si>
  <si>
    <t>BLGNNN87L07I625B</t>
  </si>
  <si>
    <t>tonib87@libero.it</t>
  </si>
  <si>
    <t xml:space="preserve"> FESTA DI NATALE_WS [GENERE]_[DATA]_[ORARIO]</t>
  </si>
  <si>
    <t>subTOTALE SEDE (WS CARAIBICO E WS COMMERCIAL)</t>
  </si>
  <si>
    <t>TOTALE SEDE 
(WS CARAIBICO E WS COMMERCIAL)</t>
  </si>
  <si>
    <t>TOTALE GENERALE</t>
  </si>
  <si>
    <t>subTOTALE ONLINE (WS CARAIBICO E WS COMMERCIAL)</t>
  </si>
  <si>
    <t>TOTALE ONLINE 
(WS CARAIBICO E WS COMMERCIAL)</t>
  </si>
  <si>
    <t>WS_NEREA_14DIC25</t>
  </si>
  <si>
    <t>QUOTA 
ridotta</t>
  </si>
  <si>
    <t>15:00-16:30_SALSA FLAMENCO (€27 entro il 13/11 compreso → €32 entro il 13/12 compreso → €37 il giorno stesso)</t>
  </si>
  <si>
    <t xml:space="preserve"> </t>
  </si>
  <si>
    <t>TOTALI 1 WS</t>
  </si>
  <si>
    <t>16:30-18.00_PASITOS (€27 entro il 13/11 compreso → €32 entro il 13/12 compreso → €37 il giorno stesso)</t>
  </si>
  <si>
    <t>SPANO</t>
  </si>
  <si>
    <t>SPNVLR94D58A662P</t>
  </si>
  <si>
    <t>valerie.spano3@gmail.com</t>
  </si>
  <si>
    <t>VALLARDI</t>
  </si>
  <si>
    <t>VLLFNC53M63F205S</t>
  </si>
  <si>
    <t>dolcedormire2012@gmail.com</t>
  </si>
  <si>
    <t xml:space="preserve">DE LA CRUZ </t>
  </si>
  <si>
    <t>MELINA</t>
  </si>
  <si>
    <t>DLCMLN94C65Z505W</t>
  </si>
  <si>
    <t>m.dlacruz@gmail.com</t>
  </si>
  <si>
    <t>ITKONEN</t>
  </si>
  <si>
    <t>LAURA MARKETTA</t>
  </si>
  <si>
    <t>TKNLMR80P45Z109T</t>
  </si>
  <si>
    <t>markettaitkonen@gmail.com</t>
  </si>
  <si>
    <t>GUENDALINA</t>
  </si>
  <si>
    <t>LEIGDL91E69F839B</t>
  </si>
  <si>
    <t>eliaguendalina@gmail.com</t>
  </si>
  <si>
    <t>MASSI02WS</t>
  </si>
  <si>
    <t>favallivirginia@gmail.com</t>
  </si>
  <si>
    <t>SERATA</t>
  </si>
  <si>
    <t>MRTCST65P58F205W</t>
  </si>
  <si>
    <t>crimoret@iol.it</t>
  </si>
  <si>
    <t>MORGESE</t>
  </si>
  <si>
    <t>MARIA ELENA</t>
  </si>
  <si>
    <t>MRGMLN89C43F205Q</t>
  </si>
  <si>
    <t>elena.morgese@gmail.com</t>
  </si>
  <si>
    <t>TOTALI 2 WS</t>
  </si>
  <si>
    <t>TOTALI 1 e 2 WS</t>
  </si>
  <si>
    <t>WS_LELI_09NOV25</t>
  </si>
  <si>
    <t>14:00-15:30_INDIAN FUSION (€27 entro l’8/10 compreso → €32 entro l'8/11 compreso → €37 il giorno stesso)</t>
  </si>
  <si>
    <t>DESNUS</t>
  </si>
  <si>
    <t>MYRIAM</t>
  </si>
  <si>
    <t>DSNMRM77S57Z110G</t>
  </si>
  <si>
    <t>myriam.desnus@wanadoo.fr</t>
  </si>
  <si>
    <t>BNCCHR93P68A010F</t>
  </si>
  <si>
    <t>chiarabnch@gmail.com</t>
  </si>
  <si>
    <t>MARCHETTI</t>
  </si>
  <si>
    <t>MRCFRC81L62Z602F</t>
  </si>
  <si>
    <t>federicamarchetti@hotmail.com</t>
  </si>
  <si>
    <t>AVARINO</t>
  </si>
  <si>
    <t>LUCIANA</t>
  </si>
  <si>
    <t>VRNLCU50S46M088L</t>
  </si>
  <si>
    <t>ellevrn@libero.it</t>
  </si>
  <si>
    <t>PADNIMI</t>
  </si>
  <si>
    <t>MASSA</t>
  </si>
  <si>
    <t>MSSGRG89B57L219A</t>
  </si>
  <si>
    <t>giorgia.massa@hotmail.it</t>
  </si>
  <si>
    <t>HA PAGATO X2 54€</t>
  </si>
  <si>
    <t xml:space="preserve">CLAUDIA </t>
  </si>
  <si>
    <t>claudia.scipioni64@gmail.com</t>
  </si>
  <si>
    <t>MARTINELLI</t>
  </si>
  <si>
    <t>MRTCHR91P57F205Z</t>
  </si>
  <si>
    <t>chiara.marti123@gmail.com</t>
  </si>
  <si>
    <t>BROZZELLI</t>
  </si>
  <si>
    <t>BRZLSE84B47L117K</t>
  </si>
  <si>
    <t>elisa.brozzelli@libero.it</t>
  </si>
  <si>
    <t>CONTROLLATO</t>
  </si>
  <si>
    <t>LISTA D'ATTESA</t>
  </si>
  <si>
    <t>WS_DEBORAH_ESPOSITO_16NOV25</t>
  </si>
  <si>
    <t>15:00-16:30_HEELS (€32 entro il 15/10 compreso → €37 entro il 15/11 compreso → €42 il giorno stesso)</t>
  </si>
  <si>
    <t>MRNCLN97M62F205Y</t>
  </si>
  <si>
    <t>carolinamarino1997@gmail.com</t>
  </si>
  <si>
    <t>ccbuccarella@gmail.com</t>
  </si>
  <si>
    <t>OJALA</t>
  </si>
  <si>
    <t>VEERA</t>
  </si>
  <si>
    <t>JLOVKT92E63Z109U</t>
  </si>
  <si>
    <t>veera.k.ojala@gmail.com</t>
  </si>
  <si>
    <t>ZENI</t>
  </si>
  <si>
    <t>ALICE MORGANA</t>
  </si>
  <si>
    <t>ZNELMR00D60F205Z</t>
  </si>
  <si>
    <t>Alice.zeni00@gmail.com</t>
  </si>
  <si>
    <t>LAERA</t>
  </si>
  <si>
    <t>MATILDE</t>
  </si>
  <si>
    <t>LRAMLD05P63H264M</t>
  </si>
  <si>
    <t>laeramatilde@gmail.com</t>
  </si>
  <si>
    <t>SCAMPORLINO</t>
  </si>
  <si>
    <t>SCMVTR06R45C351A</t>
  </si>
  <si>
    <t>vittoria.scaporlino@icloud.com</t>
  </si>
  <si>
    <t>Sara</t>
  </si>
  <si>
    <t>GALLIVANONE</t>
  </si>
  <si>
    <t>GLLLCA89L48I577Q</t>
  </si>
  <si>
    <t>alice.dancebeat@gmail.com</t>
  </si>
  <si>
    <t>SEMERARO</t>
  </si>
  <si>
    <t>SMRCHR06R67B180M</t>
  </si>
  <si>
    <t>chiarasemeraro@gmail.com</t>
  </si>
  <si>
    <t>AVEROLDI</t>
  </si>
  <si>
    <t>ANGLICA</t>
  </si>
  <si>
    <t>VRLNLC95M43B157Y</t>
  </si>
  <si>
    <t>averoldi.angelica@gmail.com</t>
  </si>
  <si>
    <t>POPPA</t>
  </si>
  <si>
    <t>NICOLE</t>
  </si>
  <si>
    <t>PPPNLS03M52G674V</t>
  </si>
  <si>
    <t>nicolepoppa03@gmail.com</t>
  </si>
  <si>
    <t>PNIFNC96T69F205X</t>
  </si>
  <si>
    <t>francesca.pini303@gmail.com</t>
  </si>
  <si>
    <t>CERRITO</t>
  </si>
  <si>
    <t>MAFALDA</t>
  </si>
  <si>
    <t>CRRMLD97B60B729V</t>
  </si>
  <si>
    <t>cerrito.mafalda.978@gmail.com</t>
  </si>
  <si>
    <t>BRIZZOLARA</t>
  </si>
  <si>
    <t>BRZLCU94T65C621X</t>
  </si>
  <si>
    <t>lu.brizzolara@gmail.com</t>
  </si>
  <si>
    <t>DERIVI</t>
  </si>
  <si>
    <t>DRVSFO04S41D286B</t>
  </si>
  <si>
    <t>sofiaderivi04@gmail.com</t>
  </si>
  <si>
    <t xml:space="preserve">DI VITO </t>
  </si>
  <si>
    <t>DVTSRN05L48F205H</t>
  </si>
  <si>
    <t>Enadivito@gmail.com</t>
  </si>
  <si>
    <t>PALMIERI</t>
  </si>
  <si>
    <t>PLMLSN99S46D286E</t>
  </si>
  <si>
    <t>ale.palmieri99@outlook.it</t>
  </si>
  <si>
    <t>MANETTI</t>
  </si>
  <si>
    <t>MNTCLD98P47F656R</t>
  </si>
  <si>
    <t>claudia.manetti@libero.it</t>
  </si>
  <si>
    <t>MOLINARO</t>
  </si>
  <si>
    <t>GAIA MARIE</t>
  </si>
  <si>
    <t>MLNGRL06A63Z110S</t>
  </si>
  <si>
    <t>gaia.molinaro@icloud.com</t>
  </si>
  <si>
    <t>CAMMARATA</t>
  </si>
  <si>
    <t>CMMLNE92E61G273D</t>
  </si>
  <si>
    <t>cammarataelena@gmail.com</t>
  </si>
  <si>
    <t>FARRUGGIO</t>
  </si>
  <si>
    <t>FRRVLR00P56B729P</t>
  </si>
  <si>
    <t>valeriafar09@hotmail.it</t>
  </si>
  <si>
    <t>RIZZO</t>
  </si>
  <si>
    <t>RZZMME00S60F964V</t>
  </si>
  <si>
    <t>emmarizzo00@gmail.com</t>
  </si>
  <si>
    <t>SICIGNANO</t>
  </si>
  <si>
    <t>MARILENE</t>
  </si>
  <si>
    <t>SCGMLN90B63E063G</t>
  </si>
  <si>
    <t>marilene.s@libero.it</t>
  </si>
  <si>
    <t>TELLINI</t>
  </si>
  <si>
    <t>TLLLNE90B42G284S</t>
  </si>
  <si>
    <t>tellini.elena@gmail.com</t>
  </si>
  <si>
    <t>CHOFRE CATALAN</t>
  </si>
  <si>
    <t>CHFLRA05E70Z131R</t>
  </si>
  <si>
    <t>laurachofre2@gmail.com</t>
  </si>
  <si>
    <t>CHITTARO</t>
  </si>
  <si>
    <t>CHTVNC90M46L483G</t>
  </si>
  <si>
    <t>veronicachittaro1@gmail.com</t>
  </si>
  <si>
    <t>ORSINI</t>
  </si>
  <si>
    <t>RSNMNC94L70A182A</t>
  </si>
  <si>
    <t>monica.o@hotmail.it</t>
  </si>
  <si>
    <t>YASMIN</t>
  </si>
  <si>
    <t>MSSYMN01M70F965U</t>
  </si>
  <si>
    <t>massayasmine@gmail.com</t>
  </si>
  <si>
    <t>CERINA</t>
  </si>
  <si>
    <t>CRNFRC95S60B354U</t>
  </si>
  <si>
    <t>fede.cerina@yahoo.it</t>
  </si>
  <si>
    <t>brunellatralce@gmail.com</t>
  </si>
  <si>
    <t>DE BARTOLI</t>
  </si>
  <si>
    <t>GLORIA</t>
  </si>
  <si>
    <t>DBRGLR03S41D912P</t>
  </si>
  <si>
    <t>deba.gloria7@gmail.com</t>
  </si>
  <si>
    <t xml:space="preserve">	ERIKA JOY</t>
  </si>
  <si>
    <t>eerikajoy@yahoo.it</t>
  </si>
  <si>
    <t>BATTAGLIA</t>
  </si>
  <si>
    <t>BTTNDR98E20A794Q</t>
  </si>
  <si>
    <t>andrea.98lsa@gmail.com</t>
  </si>
  <si>
    <t>CANNITO</t>
  </si>
  <si>
    <t>CNNGRG99B62F205S</t>
  </si>
  <si>
    <t>giorgia.cannito@outlook.it</t>
  </si>
  <si>
    <t>CHIRICO</t>
  </si>
  <si>
    <t>SUSI</t>
  </si>
  <si>
    <t>CHRSNT97C52F839M</t>
  </si>
  <si>
    <t>am.chirico@libero.it</t>
  </si>
  <si>
    <t>MOLON</t>
  </si>
  <si>
    <t>MLNGLI95T42E472L</t>
  </si>
  <si>
    <t>giulia.molon95@gmail.com</t>
  </si>
  <si>
    <t>SCORZA</t>
  </si>
  <si>
    <t>SCRGRT97H56H579M</t>
  </si>
  <si>
    <t>gretascorza16@gmail.com</t>
  </si>
  <si>
    <t>CIANI</t>
  </si>
  <si>
    <t>GAYA</t>
  </si>
  <si>
    <t>CNIGYA01C52F205D</t>
  </si>
  <si>
    <t>cianigaya@gmail.com</t>
  </si>
  <si>
    <t>2526WS.ST4FF20</t>
  </si>
  <si>
    <t>PAGANELLI</t>
  </si>
  <si>
    <t>PGNLRA00E70F205L</t>
  </si>
  <si>
    <t>paganelli.lara@gmail.com</t>
  </si>
  <si>
    <t>DI BERARDINO</t>
  </si>
  <si>
    <t>DBRCHR97B49I348N</t>
  </si>
  <si>
    <t>chiara.diberardino97@gmail.com</t>
  </si>
  <si>
    <t>MASCIA</t>
  </si>
  <si>
    <t>MSCFNC98S66G113O</t>
  </si>
  <si>
    <t>francesca.mascia01@gmail.com</t>
  </si>
  <si>
    <t>NENARTOVIC</t>
  </si>
  <si>
    <t>VIKTORIJA</t>
  </si>
  <si>
    <t>viktorija.nenart@gmail.com</t>
  </si>
  <si>
    <t>MENDES</t>
  </si>
  <si>
    <t>VALQUIRA</t>
  </si>
  <si>
    <t>RBRVQR83R57Z602C</t>
  </si>
  <si>
    <t>mandepraval@gmail.com</t>
  </si>
  <si>
    <t>FERRARI</t>
  </si>
  <si>
    <t>TERESA</t>
  </si>
  <si>
    <t>FRRTRS98P59B729A</t>
  </si>
  <si>
    <t>teresaferrari98@gmail.com</t>
  </si>
  <si>
    <t>GIAMBELLI</t>
  </si>
  <si>
    <t>GMBGLI02M53M052X</t>
  </si>
  <si>
    <t>giuliagiambelli2002@gmail.com</t>
  </si>
  <si>
    <t>BRASILERO</t>
  </si>
  <si>
    <t>ISABELA</t>
  </si>
  <si>
    <t>BRSSBL88D66Z602C</t>
  </si>
  <si>
    <t>mirkoisabela@gamil.com</t>
  </si>
  <si>
    <t>BARROS</t>
  </si>
  <si>
    <t>JULIANE</t>
  </si>
  <si>
    <t>DSLJNP83S69Z602X</t>
  </si>
  <si>
    <t>julianeschneider@hotmail.com</t>
  </si>
  <si>
    <t>ROSI</t>
  </si>
  <si>
    <t>RSOMTN91S69G478W</t>
  </si>
  <si>
    <t>rosi.martina.91@gmail.com</t>
  </si>
  <si>
    <t>DAMIANI</t>
  </si>
  <si>
    <t>NORIS</t>
  </si>
  <si>
    <t>DMNNRS88T67E205I</t>
  </si>
  <si>
    <t>kisslyjoy@gmail.com</t>
  </si>
  <si>
    <t>BIANCHERA</t>
  </si>
  <si>
    <t>SYRIA</t>
  </si>
  <si>
    <t>alessianadalini@libero.it</t>
  </si>
  <si>
    <t>TORTORICI</t>
  </si>
  <si>
    <t>cly.tortorici@gmail.com</t>
  </si>
  <si>
    <t>MANETTA</t>
  </si>
  <si>
    <t>MNTLRA87H45F205R</t>
  </si>
  <si>
    <t>GARCIA</t>
  </si>
  <si>
    <t>JANETTE</t>
  </si>
  <si>
    <t>VLLJNT84L71Z112I</t>
  </si>
  <si>
    <t>WS_KUMO_09NOV25</t>
  </si>
  <si>
    <t>14:30-16:30_URBAN (€32 entro l’8/10 compreso → €37 entro l'8/11 compreso → €42 il giorno stesso)</t>
  </si>
  <si>
    <t>RIU</t>
  </si>
  <si>
    <t>RIUSRA85L58F704L</t>
  </si>
  <si>
    <t>gnoranza@gmail.com</t>
  </si>
  <si>
    <t xml:space="preserve">NTNFRC06M59F205S </t>
  </si>
  <si>
    <t>alessandraantonelli2006@gmail.com</t>
  </si>
  <si>
    <t>MILENA</t>
  </si>
  <si>
    <t>RCCMLN01L43C816U</t>
  </si>
  <si>
    <t>milena01rocco@gmail.com</t>
  </si>
  <si>
    <t>AGOSTO</t>
  </si>
  <si>
    <t>JESSICA</t>
  </si>
  <si>
    <t>GSTJSC05B44E507T</t>
  </si>
  <si>
    <t>agostojessica05@gmail.com</t>
  </si>
  <si>
    <t>DI GIROLAMO</t>
  </si>
  <si>
    <t>GABRIELE</t>
  </si>
  <si>
    <t>DGRGRL04E21F205H</t>
  </si>
  <si>
    <t>digigabriele103@gmail.com</t>
  </si>
  <si>
    <t>FANINE EL IDRISSI</t>
  </si>
  <si>
    <t>ZIAD</t>
  </si>
  <si>
    <t>FNNZDI99T02H330X</t>
  </si>
  <si>
    <t>ziadfaninelavoro@gmail.com</t>
  </si>
  <si>
    <t>HA PAGATO PER COPPOLA ALESSIA</t>
  </si>
  <si>
    <t>FARAONE</t>
  </si>
  <si>
    <t>FRNNCL02S52G942K</t>
  </si>
  <si>
    <t>nicolefaraone12@gmail.com</t>
  </si>
  <si>
    <t>GOYT</t>
  </si>
  <si>
    <t>GYTCLL03R65F105U</t>
  </si>
  <si>
    <t>camigoyt@gmail.com</t>
  </si>
  <si>
    <t xml:space="preserve">ALICE </t>
  </si>
  <si>
    <t>STORMHYR</t>
  </si>
  <si>
    <t>DOMINGA</t>
  </si>
  <si>
    <t>STRDNG04P46Z603M</t>
  </si>
  <si>
    <t>dstormyhr@gmail.com</t>
  </si>
  <si>
    <t>BONFANTE</t>
  </si>
  <si>
    <t>ESTER</t>
  </si>
  <si>
    <t>BNFMSM61P14F205K</t>
  </si>
  <si>
    <t>esterbonfante09@gmail.com</t>
  </si>
  <si>
    <t>LENTINI</t>
  </si>
  <si>
    <t>LNTLRA87H64D391X</t>
  </si>
  <si>
    <t>laura.lentini87@gmail.com</t>
  </si>
  <si>
    <t>PICCIOLI</t>
  </si>
  <si>
    <t>PCCCLN05D61D612U</t>
  </si>
  <si>
    <t>carolina.piccioli@icloud.com</t>
  </si>
  <si>
    <t>LAFFRANCHI</t>
  </si>
  <si>
    <t>LFFRCC06S48B157H</t>
  </si>
  <si>
    <t>laffranchi06@gmail.com</t>
  </si>
  <si>
    <t>ARDIGO</t>
  </si>
  <si>
    <t>RDGSRA01L50D150V</t>
  </si>
  <si>
    <t>saraardigo2001@gmail.com</t>
  </si>
  <si>
    <t>AMARENA</t>
  </si>
  <si>
    <t>THOMAS</t>
  </si>
  <si>
    <t>MRNTMS10C10F205K</t>
  </si>
  <si>
    <t>deborahmercurio.art@gmail.com</t>
  </si>
  <si>
    <t>ZUBOVA</t>
  </si>
  <si>
    <t>EMILIA</t>
  </si>
  <si>
    <t>ZBVMLE06H58Z154L</t>
  </si>
  <si>
    <t>zubova.emilia@gmail.com</t>
  </si>
  <si>
    <t>MANNO</t>
  </si>
  <si>
    <t>MNNLRA73E46G674Z</t>
  </si>
  <si>
    <t>Lara.manno@libero.it</t>
  </si>
  <si>
    <t>ADUM</t>
  </si>
  <si>
    <t>DMCNML04M52Z605W</t>
  </si>
  <si>
    <t>camilaadumcoello@yahoo.com</t>
  </si>
  <si>
    <t>BASTIANELLO</t>
  </si>
  <si>
    <t>BSTBRC02E53A290E</t>
  </si>
  <si>
    <t>beatricebastianello@gmail.com</t>
  </si>
  <si>
    <t>STEFANI</t>
  </si>
  <si>
    <t>STFLNR03M62I496K</t>
  </si>
  <si>
    <t>elli.stefani3@gmail.com</t>
  </si>
  <si>
    <t>MORANDI</t>
  </si>
  <si>
    <t>MRNMTN01P64B819A</t>
  </si>
  <si>
    <t>martymorandi@gmail.com</t>
  </si>
  <si>
    <t>TACCHELLA</t>
  </si>
  <si>
    <t>TCCLRI04C55F965R</t>
  </si>
  <si>
    <t>ila.tacchella@gmail.com</t>
  </si>
  <si>
    <t>durantmartina2@gmail.com</t>
  </si>
  <si>
    <t>ROLDAN</t>
  </si>
  <si>
    <t>FERNANDO</t>
  </si>
  <si>
    <t>RLDFNN86E24Z600U</t>
  </si>
  <si>
    <t>cfroldan@yahoo.com.atl</t>
  </si>
  <si>
    <t>FRNMNY90M55F205E</t>
  </si>
  <si>
    <t>melany_serena@hotmail.it</t>
  </si>
  <si>
    <t>VERGINE</t>
  </si>
  <si>
    <t>MARPESSA</t>
  </si>
  <si>
    <t>VRGMPS05L53F205Q</t>
  </si>
  <si>
    <t>marpevergine@gmail.com</t>
  </si>
  <si>
    <t>CIVA</t>
  </si>
  <si>
    <t>VIOLA</t>
  </si>
  <si>
    <t>CVIVLI03L71F463Q</t>
  </si>
  <si>
    <t>violaxciva@gmail.com</t>
  </si>
  <si>
    <t>KHAIBILLINA</t>
  </si>
  <si>
    <t>KHBYMN00S69Z255W</t>
  </si>
  <si>
    <t>yasminkhaybullina@mail.ru</t>
  </si>
  <si>
    <t>MAZZONI</t>
  </si>
  <si>
    <t>MZZSFN99H68G388O</t>
  </si>
  <si>
    <t>stefania.mazzoni99@gmail.com</t>
  </si>
  <si>
    <t>HA PAGATO X3 TOT 111</t>
  </si>
  <si>
    <t>HA PAGATO X2 TOT 74</t>
  </si>
  <si>
    <t>DIACO</t>
  </si>
  <si>
    <t>SIRIA</t>
  </si>
  <si>
    <t>DCISRI97S64F205K</t>
  </si>
  <si>
    <t>siriadiaco@hotmail.it</t>
  </si>
  <si>
    <t>MARTELLA</t>
  </si>
  <si>
    <t>MRTLRA00A64F356N</t>
  </si>
  <si>
    <t>lara.martella24@gmail.com</t>
  </si>
  <si>
    <t>GHIRLANDI</t>
  </si>
  <si>
    <t>GHRSRN91E63F205G</t>
  </si>
  <si>
    <t>serenaghirlandi@gmail.com</t>
  </si>
  <si>
    <t>TORSELLO</t>
  </si>
  <si>
    <t>MIRIAM</t>
  </si>
  <si>
    <t>TRSMRM05T71D883J</t>
  </si>
  <si>
    <t>miriamtorsello2005@gmail.com</t>
  </si>
  <si>
    <t>CHIRIACO</t>
  </si>
  <si>
    <t>CHRNDR08C14D286I</t>
  </si>
  <si>
    <t>chiriaco.andre@gmail.com</t>
  </si>
  <si>
    <t>ZAGARIA</t>
  </si>
  <si>
    <t>ZGRCHR06R70E801P</t>
  </si>
  <si>
    <t>chiara06.zaga@gmail.com</t>
  </si>
  <si>
    <t>SMIRNE</t>
  </si>
  <si>
    <t>SMRCLN06D62F205V</t>
  </si>
  <si>
    <t>smirne2006@gmail.com</t>
  </si>
  <si>
    <t>LORENZINI</t>
  </si>
  <si>
    <t>LRNSRA99M57F205E</t>
  </si>
  <si>
    <t>slorenzini7@gmail.com</t>
  </si>
  <si>
    <t>BUONO</t>
  </si>
  <si>
    <t>BNUFRC97M47F839D</t>
  </si>
  <si>
    <t>b.feffa@gmail.com</t>
  </si>
  <si>
    <t>LEROUX</t>
  </si>
  <si>
    <t>LRXLSF03R56Z131E</t>
  </si>
  <si>
    <t>elenalerouxgon@gmail.com</t>
  </si>
  <si>
    <t>MUCIACCIA</t>
  </si>
  <si>
    <t>MCCRCC96H51L049F</t>
  </si>
  <si>
    <t>rebeccamuciaccia2096@gmail.com</t>
  </si>
  <si>
    <t>GARNOBBIO</t>
  </si>
  <si>
    <t>GRNGAI06M66G388X</t>
  </si>
  <si>
    <t>garnobbiog@gmail.com</t>
  </si>
  <si>
    <t>BAMBINI</t>
  </si>
  <si>
    <t>BMBLRD10A13C816C</t>
  </si>
  <si>
    <t>leobambini2@gmail.com</t>
  </si>
  <si>
    <t>VITI</t>
  </si>
  <si>
    <t>VTIRNN00A43H501B</t>
  </si>
  <si>
    <t>arianna_viti@libero.it</t>
  </si>
  <si>
    <t>TAGLIABUE</t>
  </si>
  <si>
    <t>TGLNNA93P50B729B</t>
  </si>
  <si>
    <t>tagliabue.anna@hotmail.it</t>
  </si>
  <si>
    <t>VISCONTI</t>
  </si>
  <si>
    <t>ANNACHIARA</t>
  </si>
  <si>
    <t>VSCNCH03S57G317X</t>
  </si>
  <si>
    <t>viscontiannachiara46@gmail.com</t>
  </si>
  <si>
    <t>RNCLRA06E65F133R</t>
  </si>
  <si>
    <t>ronchilara2006@gmail.com</t>
  </si>
  <si>
    <t>PICCOLI</t>
  </si>
  <si>
    <t>PCCCHR94L60E648U</t>
  </si>
  <si>
    <t>chiarapiccoli2.0@gmail.com</t>
  </si>
  <si>
    <t>CHACON</t>
  </si>
  <si>
    <t>CHCRRD86M18Z611T</t>
  </si>
  <si>
    <t>gaiach009@gmail.com</t>
  </si>
  <si>
    <t>Demchuk</t>
  </si>
  <si>
    <t>DMCSFO09E60F205O</t>
  </si>
  <si>
    <t>sofia.demchuk20@gmail.com</t>
  </si>
  <si>
    <t>Savchyna</t>
  </si>
  <si>
    <t>MARINA</t>
  </si>
  <si>
    <t>SVCMYN08B60Z138U</t>
  </si>
  <si>
    <t>dina.minenko03@gmail.com</t>
  </si>
  <si>
    <t xml:space="preserve">CONTROLLATO </t>
  </si>
  <si>
    <t>WS_LULU_26OTT25</t>
  </si>
  <si>
    <t>14:30-16:00_HEELS FUSION (€32 entro il 25/09 compreso → €37 entro il 25/10 compreso → €42 il giorno stesso)</t>
  </si>
  <si>
    <t xml:space="preserve">FONTE </t>
  </si>
  <si>
    <t>sf.florix@gmail.com</t>
  </si>
  <si>
    <t>TORRE</t>
  </si>
  <si>
    <t>COSTANZA</t>
  </si>
  <si>
    <t>TRRCST88H62Z600M</t>
  </si>
  <si>
    <t>Constanzatorre@hotmail.com</t>
  </si>
  <si>
    <t>KINAŞ</t>
  </si>
  <si>
    <t>ECE BEREN</t>
  </si>
  <si>
    <t>KNSCRN93T51Z243E</t>
  </si>
  <si>
    <t>eceberenkinas@icloud.com</t>
  </si>
  <si>
    <t>IVANEZ</t>
  </si>
  <si>
    <t>AIDA</t>
  </si>
  <si>
    <t>VNZDAI93D67Z131K</t>
  </si>
  <si>
    <t>aida.ivanez@gmail.com</t>
  </si>
  <si>
    <t>GALLIERA</t>
  </si>
  <si>
    <t>MARIA OLGA</t>
  </si>
  <si>
    <t>GLLMLG90M59G687H</t>
  </si>
  <si>
    <t>mariaolga.galliera@gmail.com</t>
  </si>
  <si>
    <t>CAPELLI</t>
  </si>
  <si>
    <t>CONSUELO</t>
  </si>
  <si>
    <t>CPLCSL82R47E801S</t>
  </si>
  <si>
    <t>consukiz@gmail.com</t>
  </si>
  <si>
    <t>ALISJA LORETO</t>
  </si>
  <si>
    <t>VANESSA</t>
  </si>
  <si>
    <t>LRTVSS98S51Z112H</t>
  </si>
  <si>
    <t>vanessaloreto98@gmail.com</t>
  </si>
  <si>
    <t>GENTA</t>
  </si>
  <si>
    <t>LORENZA</t>
  </si>
  <si>
    <t>GNTLNZ00M68I628E</t>
  </si>
  <si>
    <t>lore.genta.lg@gmail.com</t>
  </si>
  <si>
    <t>FERRARESE</t>
  </si>
  <si>
    <t>BARBARA</t>
  </si>
  <si>
    <t>FRRBBR00M56F952B</t>
  </si>
  <si>
    <t>barbaraferrarese2000@gmail.com</t>
  </si>
  <si>
    <t>DONATI</t>
  </si>
  <si>
    <t>LILIANA</t>
  </si>
  <si>
    <t>DNTLLN94P68C357Q</t>
  </si>
  <si>
    <t>donatililiana94@gmail.com</t>
  </si>
  <si>
    <t>HARO</t>
  </si>
  <si>
    <t>GLADYS</t>
  </si>
  <si>
    <t>HRYGDY69D69Z605Y</t>
  </si>
  <si>
    <t>gharoayala@yahoo.com</t>
  </si>
  <si>
    <t>SAXER NOVA</t>
  </si>
  <si>
    <t>DAIANA</t>
  </si>
  <si>
    <t>SXRDNA00P45Z133S</t>
  </si>
  <si>
    <t>daianasaxernova@gmail.com</t>
  </si>
  <si>
    <t>EL HILALI</t>
  </si>
  <si>
    <t>SARAH</t>
  </si>
  <si>
    <t>N/A</t>
  </si>
  <si>
    <t>Sarahhilali1@outlook.com</t>
  </si>
  <si>
    <t>MANCINI</t>
  </si>
  <si>
    <t>MNCVNT87B55D912O</t>
  </si>
  <si>
    <t>vavamancia@gmail.com</t>
  </si>
  <si>
    <t>BARROS PAREDES</t>
  </si>
  <si>
    <t>MARIA</t>
  </si>
  <si>
    <t>BRRMRA86H57Z131H</t>
  </si>
  <si>
    <t>maria.barros@hotmail.it</t>
  </si>
  <si>
    <t>GOLOVCO</t>
  </si>
  <si>
    <t>STELLA</t>
  </si>
  <si>
    <t>GLVSTL94T60Z140Z</t>
  </si>
  <si>
    <t>stelutik@gmail.com</t>
  </si>
  <si>
    <t>BATRAKOVA</t>
  </si>
  <si>
    <t>KSENIA</t>
  </si>
  <si>
    <t>Y2097927L</t>
  </si>
  <si>
    <t>ksy1999tash@gmail.com</t>
  </si>
  <si>
    <t>NIKOLIAN</t>
  </si>
  <si>
    <t>ASIMINA</t>
  </si>
  <si>
    <t>NKLSMN91R43Z115H</t>
  </si>
  <si>
    <t>semi.naki@hotmail.com</t>
  </si>
  <si>
    <t>ha pagato 64€</t>
  </si>
  <si>
    <t>SHAIKHMIDEN</t>
  </si>
  <si>
    <t>DARIA</t>
  </si>
  <si>
    <t>SHKDRA01R69Z255N</t>
  </si>
  <si>
    <t>dariash29@gmail.com</t>
  </si>
  <si>
    <t>KUZNETSOVA</t>
  </si>
  <si>
    <t>ANASTASIA</t>
  </si>
  <si>
    <t>KZNNTS90T70Z135U</t>
  </si>
  <si>
    <t>kuznetsova.anastasia443@gmail.com</t>
  </si>
  <si>
    <t>ABBATISTA</t>
  </si>
  <si>
    <t>BBTSMN73E65F205F</t>
  </si>
  <si>
    <t>simona.abbatista@virgilio.it</t>
  </si>
  <si>
    <t>SOUMAORO</t>
  </si>
  <si>
    <t>MARIAM</t>
  </si>
  <si>
    <t>SMRMRM02B55A246F</t>
  </si>
  <si>
    <t>Mariamsou00@gmail.com</t>
  </si>
  <si>
    <t>DENTELLA</t>
  </si>
  <si>
    <t>DNTLRI03S58A794G</t>
  </si>
  <si>
    <t>ilaria.dentella1@gmail.com</t>
  </si>
  <si>
    <t>BRESCHI</t>
  </si>
  <si>
    <t>BRSMRT91S48F257B</t>
  </si>
  <si>
    <t>marta.breschi@gmail.com</t>
  </si>
  <si>
    <t>KARKHUT</t>
  </si>
  <si>
    <t>VIKTORIA</t>
  </si>
  <si>
    <t>KRKVTR96C6Z138D</t>
  </si>
  <si>
    <t>karkhutv@gmail.com</t>
  </si>
  <si>
    <t>MASSALONGO</t>
  </si>
  <si>
    <t>MSSSRA89E43L781C</t>
  </si>
  <si>
    <t>sara.massalongo@hotmail.it</t>
  </si>
  <si>
    <t>D'ALESSIO</t>
  </si>
  <si>
    <t>DLSSFO89S45F704H</t>
  </si>
  <si>
    <t>sofiadalessio89@gmail.com</t>
  </si>
  <si>
    <t>GUZALLIAN</t>
  </si>
  <si>
    <t>GZLVNC74A55A794G</t>
  </si>
  <si>
    <t>veroshant@yahoo.com</t>
  </si>
  <si>
    <t>ZHAMBYL</t>
  </si>
  <si>
    <t>NAZYMA</t>
  </si>
  <si>
    <t>ZHMNYM93L52Z255B</t>
  </si>
  <si>
    <t>nazyma1207@gmail.com</t>
  </si>
  <si>
    <t>PARODI</t>
  </si>
  <si>
    <t>PRDFNC93A47F205T</t>
  </si>
  <si>
    <t>franca.prd@gmail.com</t>
  </si>
  <si>
    <t>KUCHER</t>
  </si>
  <si>
    <t>KCHVTI83L49Z138G</t>
  </si>
  <si>
    <t>Vikki9k@gmail.com</t>
  </si>
  <si>
    <t>BULGARELLI</t>
  </si>
  <si>
    <t>BLGNCL00E51A794B</t>
  </si>
  <si>
    <t>nicolebulgarelli@gmail.com</t>
  </si>
  <si>
    <t>OSTRICONI</t>
  </si>
  <si>
    <t>STRVLR91R56H264C</t>
  </si>
  <si>
    <t>v.ostriconi@gmail.com</t>
  </si>
  <si>
    <t>STRSFN91R56H264E</t>
  </si>
  <si>
    <t>s.ostriconi@gmail.com</t>
  </si>
  <si>
    <t>TORTAROLO</t>
  </si>
  <si>
    <t>TRTVSS04L71I480I</t>
  </si>
  <si>
    <t>vanessatortarolo@gmail.com</t>
  </si>
  <si>
    <t>B/B</t>
  </si>
  <si>
    <t>CHERENKOVA</t>
  </si>
  <si>
    <t>VALERIIA</t>
  </si>
  <si>
    <t>CHRVLR03M47Z138W</t>
  </si>
  <si>
    <t>valeriecherenkova@gmail.com</t>
  </si>
  <si>
    <t>ALINURA</t>
  </si>
  <si>
    <t>ALVAREZ PUJADA</t>
  </si>
  <si>
    <t>AKEMY VALERIA</t>
  </si>
  <si>
    <t>LVRKYV05E49Z611N</t>
  </si>
  <si>
    <t>ake.ap0923@gmail.com</t>
  </si>
  <si>
    <t>BARRAK</t>
  </si>
  <si>
    <t>NADIA</t>
  </si>
  <si>
    <t>BRRNDA93E61Z330Q</t>
  </si>
  <si>
    <t>nadiabarrak93@gmail.com</t>
  </si>
  <si>
    <t>LLALSS95S49C129I</t>
  </si>
  <si>
    <t>CHTVNC90M46L493G</t>
  </si>
  <si>
    <t>GROTTOLA</t>
  </si>
  <si>
    <t>ELISABETTA</t>
  </si>
  <si>
    <t>GRTLBT98M41C136R</t>
  </si>
  <si>
    <t>grottolapalagiano1998@gmail.com</t>
  </si>
  <si>
    <t>WS_TIMOR_26OTT25</t>
  </si>
  <si>
    <t>15:30-17:00_COMMERCIAL (€45)</t>
  </si>
  <si>
    <t>RVSMNL76B42E951Q</t>
  </si>
  <si>
    <t>DEBENI</t>
  </si>
  <si>
    <t>VALERIE</t>
  </si>
  <si>
    <t>DBNVLR99P61B296J</t>
  </si>
  <si>
    <t>valeriedebeni99@gmail.com</t>
  </si>
  <si>
    <t>ARRIGONI</t>
  </si>
  <si>
    <t>RRGSRA89R45F205M</t>
  </si>
  <si>
    <t>sara.arrigoni@live.it</t>
  </si>
  <si>
    <t>FABIANO</t>
  </si>
  <si>
    <t>FBNRRA09P51C351N</t>
  </si>
  <si>
    <t>v.gibilisco@virgilio.it</t>
  </si>
  <si>
    <t>MANTOVANI</t>
  </si>
  <si>
    <t>MNTCCL02E53L500I</t>
  </si>
  <si>
    <t>ceciolia1302@gmail.com</t>
  </si>
  <si>
    <t>GALDI</t>
  </si>
  <si>
    <t>GLDLCA00H69F205N</t>
  </si>
  <si>
    <t>alice.galdi2000@gmail.com</t>
  </si>
  <si>
    <t>CERLIANI</t>
  </si>
  <si>
    <t>CRLRRA97S46D286L</t>
  </si>
  <si>
    <t>aurora.cerliani@hotmail.it</t>
  </si>
  <si>
    <t>CLSNCH98A55B639L</t>
  </si>
  <si>
    <t>colosimoannachiara@gmail.com</t>
  </si>
  <si>
    <t>RNCGRT97C56B639W</t>
  </si>
  <si>
    <t>gretaronchi16@gmail.com</t>
  </si>
  <si>
    <t>GALLI</t>
  </si>
  <si>
    <t>GLLRNN96H69G535E</t>
  </si>
  <si>
    <t>ariannagalli05@gmail.com</t>
  </si>
  <si>
    <t>HA PAGATO X2 90€</t>
  </si>
  <si>
    <t>GRIMALDI</t>
  </si>
  <si>
    <t>GRMLSN86T62F119H</t>
  </si>
  <si>
    <t>alessandragrimaldi@hotmail.it</t>
  </si>
  <si>
    <t>REYES</t>
  </si>
  <si>
    <t>MICHEL</t>
  </si>
  <si>
    <t>GHERPELLI</t>
  </si>
  <si>
    <t>GHRCLL07L52F205O</t>
  </si>
  <si>
    <t>camillagherpelli@gmail.com</t>
  </si>
  <si>
    <t>FRANCESE</t>
  </si>
  <si>
    <t>LIBERA</t>
  </si>
  <si>
    <t>FRNLRT90M62L40D</t>
  </si>
  <si>
    <t>liby.90@hotmail.it</t>
  </si>
  <si>
    <t>riga19</t>
  </si>
  <si>
    <t>PRATIS PALAZZO</t>
  </si>
  <si>
    <t>PRTMRC05E04L219O</t>
  </si>
  <si>
    <t>marco.pratis@gmail.com</t>
  </si>
  <si>
    <t xml:space="preserve">MUCIACCIA </t>
  </si>
  <si>
    <t>ALFIERI</t>
  </si>
  <si>
    <t>LFRSRA92S58L781I</t>
  </si>
  <si>
    <t>sara.alfieri181192@gmail.com</t>
  </si>
  <si>
    <t>SCHIAVON</t>
  </si>
  <si>
    <t>SCHGAI07A71F8610</t>
  </si>
  <si>
    <t>g3101.schiavon@gmail.com</t>
  </si>
  <si>
    <t>SCAJOLA</t>
  </si>
  <si>
    <t>SCJGVR97H66D969D</t>
  </si>
  <si>
    <t>scajolaginevra@gmail.com</t>
  </si>
  <si>
    <t>CUSENTINO</t>
  </si>
  <si>
    <t>CSNGRG06B63F205C</t>
  </si>
  <si>
    <t>cusentino.g@gmail.com</t>
  </si>
  <si>
    <t>RIGANELLI</t>
  </si>
  <si>
    <t>RGNRCR05A21D451V</t>
  </si>
  <si>
    <t>riccardoriganelli@icloud.com</t>
  </si>
  <si>
    <t>BERTONE</t>
  </si>
  <si>
    <t>BRTCLD80M48L219I</t>
  </si>
  <si>
    <t>claudia.bertone@yahoo.it</t>
  </si>
  <si>
    <t>BERTOLOTTI</t>
  </si>
  <si>
    <t>BRTGLI05T67F205L</t>
  </si>
  <si>
    <t>giuliabertolottipink@gmail.com</t>
  </si>
  <si>
    <t>DI STANI</t>
  </si>
  <si>
    <t>NICCOLO</t>
  </si>
  <si>
    <t>DSTNCL91D17E463L</t>
  </si>
  <si>
    <t>nivodista@gmail.com</t>
  </si>
  <si>
    <t>ULUNQUE</t>
  </si>
  <si>
    <t>LNQNTL00A71Z601G</t>
  </si>
  <si>
    <t>grace.xarts@gmail.com</t>
  </si>
  <si>
    <t>BERTINOTTI</t>
  </si>
  <si>
    <t>BRTFBA94S28A429W</t>
  </si>
  <si>
    <t>speed1994@tiscali.it</t>
  </si>
  <si>
    <t>CARRARA</t>
  </si>
  <si>
    <t>SHIRI</t>
  </si>
  <si>
    <t>CRRSHR04S59A246T</t>
  </si>
  <si>
    <t>shiricarrara19@gmail.com</t>
  </si>
  <si>
    <t>ha pagato x2 tot 90€</t>
  </si>
  <si>
    <t>Vanealbo2001@libero.it</t>
  </si>
  <si>
    <t>PROIETTO</t>
  </si>
  <si>
    <t>FLAVIO</t>
  </si>
  <si>
    <t>PRTFLV08S11A028E</t>
  </si>
  <si>
    <t>flavioproiettosalanitri@gmail.com</t>
  </si>
  <si>
    <t xml:space="preserve">Ragazzo di modulo, verificato con santo è entrato dopo un paio di ore ma nel file vendita non risulta la transaction id </t>
  </si>
  <si>
    <t>BORDUNALE</t>
  </si>
  <si>
    <t>BRDLCA08P51G674Q</t>
  </si>
  <si>
    <t>gisimona74@gmail.com</t>
  </si>
  <si>
    <t>3270464071</t>
  </si>
  <si>
    <t>FNTGRG09H47F205B</t>
  </si>
  <si>
    <t>mary.pescara68@gmail.com</t>
  </si>
  <si>
    <t>FURRIOLO</t>
  </si>
  <si>
    <t>JASMINE</t>
  </si>
  <si>
    <t>FRRJMN99M44F205G</t>
  </si>
  <si>
    <t>furriolo.jasmine@gmail.com</t>
  </si>
  <si>
    <t>ROMANO</t>
  </si>
  <si>
    <t>RMNMTT08B12G674H</t>
  </si>
  <si>
    <t>matty.romano2008@gmail.com</t>
  </si>
  <si>
    <t>b/b ha pagato x 2</t>
  </si>
  <si>
    <t>NCLSFO08P55G674I</t>
  </si>
  <si>
    <t>nicolasofia1509@gmail.com</t>
  </si>
  <si>
    <t>LUPO</t>
  </si>
  <si>
    <t>TROVATO</t>
  </si>
  <si>
    <t>TRVSRA06B60F205A</t>
  </si>
  <si>
    <t>DELL'ORTO</t>
  </si>
  <si>
    <t>DLLVGN99A66D286Y</t>
  </si>
  <si>
    <t>virginiadellorto99@gmail.com</t>
  </si>
  <si>
    <t>VIDO</t>
  </si>
  <si>
    <t>VDICLL96T57I829G</t>
  </si>
  <si>
    <t>camillavidi24@gmail.com</t>
  </si>
  <si>
    <t>NANA</t>
  </si>
  <si>
    <t>GIADA</t>
  </si>
  <si>
    <t>NNAGDI99S54I829F</t>
  </si>
  <si>
    <t>giady1499@libero.it</t>
  </si>
  <si>
    <t>LO MONACO</t>
  </si>
  <si>
    <t>LMNGLI02D19A564K</t>
  </si>
  <si>
    <t>gioelegio68@yahoo.it</t>
  </si>
  <si>
    <t>SCHIAVONE</t>
  </si>
  <si>
    <t>NICOL</t>
  </si>
  <si>
    <t>SCHNCL95L49I577E</t>
  </si>
  <si>
    <t>nicol.schiavoni@gmail.com</t>
  </si>
  <si>
    <t>LANGENS</t>
  </si>
  <si>
    <t>KRIS</t>
  </si>
  <si>
    <t>LNGKRS05B57Z404J</t>
  </si>
  <si>
    <t>kris.langens@gmail.com</t>
  </si>
  <si>
    <t>BELLAY</t>
  </si>
  <si>
    <t>DAVID</t>
  </si>
  <si>
    <t>BLLDDL81A28Z110B</t>
  </si>
  <si>
    <t>davidbellay@gmail.com</t>
  </si>
  <si>
    <t>BARBERINI</t>
  </si>
  <si>
    <t>BRBSLV96H51F257L</t>
  </si>
  <si>
    <t>nutty1996@gmail.com</t>
  </si>
  <si>
    <t>MARVERTI</t>
  </si>
  <si>
    <t>EDOARDO</t>
  </si>
  <si>
    <t>MRVDRD06C21I462X</t>
  </si>
  <si>
    <t>21edoardo06@gmail.com</t>
  </si>
  <si>
    <t>LMBGLI92P57A470V</t>
  </si>
  <si>
    <t>giulia.lombardi@icloud.com</t>
  </si>
  <si>
    <t>RODRIGUES</t>
  </si>
  <si>
    <t>HEIDY</t>
  </si>
  <si>
    <t>RDRHYM92D47Z307G</t>
  </si>
  <si>
    <t>heidy.92@hotmail.it</t>
  </si>
  <si>
    <t>ZARATE</t>
  </si>
  <si>
    <t>ANGELINA</t>
  </si>
  <si>
    <t>ZRTNLN07L59F205P</t>
  </si>
  <si>
    <t>angelinagrazer@gmail.com</t>
  </si>
  <si>
    <t>NARCETTI</t>
  </si>
  <si>
    <t>NRCTMS01R22G491I</t>
  </si>
  <si>
    <t>tommy.narcetti@gmail.com</t>
  </si>
  <si>
    <t>WS_NICOLODEANGELIS_16NOV25</t>
  </si>
  <si>
    <t>14:30-16:00_SALSA MUSICALITY (€27 entro il 15/10 compreso → €32 entro il 15/11 compreso → €37 il giorno stesso)</t>
  </si>
  <si>
    <t>PARRA ROMAN</t>
  </si>
  <si>
    <t>MARIA CAMILA</t>
  </si>
  <si>
    <t>PRRMCM94C62Z604R</t>
  </si>
  <si>
    <t>camilapar22@gmail.com</t>
  </si>
  <si>
    <t>CENTAMORE</t>
  </si>
  <si>
    <t>CNTSLL95B61M052Q</t>
  </si>
  <si>
    <t>isacenta@gmail.com</t>
  </si>
  <si>
    <t>PERIN</t>
  </si>
  <si>
    <t>PRNCLD62A69L551T</t>
  </si>
  <si>
    <t>claudia.perin@outlook.com</t>
  </si>
  <si>
    <t>DI GIORGIO</t>
  </si>
  <si>
    <t>DONATELLA</t>
  </si>
  <si>
    <t>DGRDTL03L70F052D</t>
  </si>
  <si>
    <t>donatella.di.giorgio03@gmail.com</t>
  </si>
  <si>
    <t>AGNOLI</t>
  </si>
  <si>
    <t>PIETRO</t>
  </si>
  <si>
    <t>GNLPTR02M22F205Z</t>
  </si>
  <si>
    <t>caterina.pernici@gmail.com</t>
  </si>
  <si>
    <t>MASCARELLO TROCINO</t>
  </si>
  <si>
    <t>TRCLSN96B29A326Q</t>
  </si>
  <si>
    <t>trocino.a@copernicosim.com</t>
  </si>
  <si>
    <t>TELESCA</t>
  </si>
  <si>
    <t>TLSGRL96P16L219Q</t>
  </si>
  <si>
    <t>gabriele.telesca@gmail.com</t>
  </si>
  <si>
    <t>PLMGLI07A52D286W</t>
  </si>
  <si>
    <t>giuly.pal07@gmail.com</t>
  </si>
  <si>
    <t>GUAINALIA</t>
  </si>
  <si>
    <t>ALEJANDRO</t>
  </si>
  <si>
    <t>GNLJLJ02P26Z605A</t>
  </si>
  <si>
    <t>alej2k2@gmail.com</t>
  </si>
  <si>
    <t>GINI</t>
  </si>
  <si>
    <t>GNIFNC03S46F205C</t>
  </si>
  <si>
    <t>francyg03.mi@gmail.com</t>
  </si>
  <si>
    <t>PICCO</t>
  </si>
  <si>
    <t>PCCRNN96B51F205L</t>
  </si>
  <si>
    <t>arianna.picco1996@gmail.com</t>
  </si>
  <si>
    <t>HA PAGATOO X2</t>
  </si>
  <si>
    <t xml:space="preserve">DECILLO </t>
  </si>
  <si>
    <t>DCLDNL94B60A488L</t>
  </si>
  <si>
    <t>danieladecillo@hotmail.it</t>
  </si>
  <si>
    <t>LIBERTI</t>
  </si>
  <si>
    <t>LBRLSS01R3B300Z</t>
  </si>
  <si>
    <t>liberti900@gmail.com</t>
  </si>
  <si>
    <t>FARENELLA</t>
  </si>
  <si>
    <t>FLAVIA</t>
  </si>
  <si>
    <t>FRNFLV89H53M088V</t>
  </si>
  <si>
    <t>farenellaflavia@gmail.com</t>
  </si>
  <si>
    <t>ALFRED</t>
  </si>
  <si>
    <t>LION LUCAS</t>
  </si>
  <si>
    <t>LFRLLC00T18Z112W</t>
  </si>
  <si>
    <t>lion.lucas.alfred@icloud.com</t>
  </si>
  <si>
    <t xml:space="preserve">MIGNINI </t>
  </si>
  <si>
    <t>MGNMHL94S59I348D</t>
  </si>
  <si>
    <t>migninimichela94@gmail.com</t>
  </si>
  <si>
    <t>CITTARINI</t>
  </si>
  <si>
    <t>CTTRNN84M62F712M</t>
  </si>
  <si>
    <t>a.cittarini@hotmail.it</t>
  </si>
  <si>
    <t>Ha pagato anche per MAIKL FANCHI 
FNCMKL86C041829P 
3488842754</t>
  </si>
  <si>
    <t>FANCHI</t>
  </si>
  <si>
    <t>MAIKL</t>
  </si>
  <si>
    <t xml:space="preserve">FNCMKL86C041829P </t>
  </si>
  <si>
    <t>simonepiangerelli@libero.it</t>
  </si>
  <si>
    <t>MASCARO</t>
  </si>
  <si>
    <t>DAVIDE</t>
  </si>
  <si>
    <t>MSCDVD94H24E734N</t>
  </si>
  <si>
    <t>davidemascaro@gmail.com</t>
  </si>
  <si>
    <t>ARIA</t>
  </si>
  <si>
    <t>LUCREZIA</t>
  </si>
  <si>
    <t>RAILRZ95L49F205T</t>
  </si>
  <si>
    <t>sisteminetworkmarket@gmail.com</t>
  </si>
  <si>
    <t>NO C..F.</t>
  </si>
  <si>
    <t xml:space="preserve">CALO </t>
  </si>
  <si>
    <t>CLALSE05M66F704Q</t>
  </si>
  <si>
    <t>elisac826@gmail.com</t>
  </si>
  <si>
    <t>WS_BANANA_19OTT25</t>
  </si>
  <si>
    <t>14:30-16:30_AFROFUSION (€32 entro il 18/09 compreso → €37 entro il 18/10 compreso → €42 il giorno stesso)</t>
  </si>
  <si>
    <t>CARDILLO</t>
  </si>
  <si>
    <t>GIADA YLENIA</t>
  </si>
  <si>
    <t>CRDYLN91E68F205T</t>
  </si>
  <si>
    <t>cardillo.ylenia@gmail.com</t>
  </si>
  <si>
    <t>KRIZIA MARA</t>
  </si>
  <si>
    <t>CRDKZM86E53F205N</t>
  </si>
  <si>
    <t>krizia.cardillo@gmail.com</t>
  </si>
  <si>
    <t xml:space="preserve">Cardillo Ylenia ha pagato per entrambe </t>
  </si>
  <si>
    <t>CAVARGNA</t>
  </si>
  <si>
    <t>DOREEN</t>
  </si>
  <si>
    <t>CVRDRN00B49Z133P</t>
  </si>
  <si>
    <t>doreen2000@live.com</t>
  </si>
  <si>
    <t>GAGLIANESE</t>
  </si>
  <si>
    <t>GGLLSS96T54M208B</t>
  </si>
  <si>
    <t>alessia.gaglianese01@gmail.com</t>
  </si>
  <si>
    <t>GRILLO</t>
  </si>
  <si>
    <t>GRLDNI00H54F205S</t>
  </si>
  <si>
    <t>dyana.lcc@gmail.com</t>
  </si>
  <si>
    <t>BATTOLINI</t>
  </si>
  <si>
    <t>BTTMTN03L56B832Y</t>
  </si>
  <si>
    <t>martinabattolini@gmail.com</t>
  </si>
  <si>
    <t>WU</t>
  </si>
  <si>
    <t>LIYUN</t>
  </si>
  <si>
    <t>WUXLYN02M56F205X</t>
  </si>
  <si>
    <t>lion.wu12345@gmail.com</t>
  </si>
  <si>
    <t>ESPERIA</t>
  </si>
  <si>
    <t>BNCSPR94B54G337Y</t>
  </si>
  <si>
    <t>esperia.bianchi@gmail.com</t>
  </si>
  <si>
    <t>GABBI</t>
  </si>
  <si>
    <t>MAYA NADINE</t>
  </si>
  <si>
    <t>GBBMND02P64F205R</t>
  </si>
  <si>
    <t>gabbimayaa@gmail.com</t>
  </si>
  <si>
    <t>DE MONGEOT</t>
  </si>
  <si>
    <t>EMMA BAUTIER</t>
  </si>
  <si>
    <t>BTRMME98M48F704G</t>
  </si>
  <si>
    <t>emma.bautier@outlook.com</t>
  </si>
  <si>
    <t>GUSELLA</t>
  </si>
  <si>
    <t>GSLGVR02T51F205L</t>
  </si>
  <si>
    <t>Ginevra.gusella11@yahoo.com</t>
  </si>
  <si>
    <t>RAZZA</t>
  </si>
  <si>
    <t>FABIANA</t>
  </si>
  <si>
    <t>RZZFBN93R43F704S</t>
  </si>
  <si>
    <t>razzafabiana@gmail.com</t>
  </si>
  <si>
    <t>LOPEZ</t>
  </si>
  <si>
    <t>LPZVLR06M42F205L</t>
  </si>
  <si>
    <t>valerialopezgarcia678@gmail.com</t>
  </si>
  <si>
    <t>AMAGUAY MINOZ</t>
  </si>
  <si>
    <t>CAMILA VALENTINA</t>
  </si>
  <si>
    <t>ALLAM</t>
  </si>
  <si>
    <t>LLMMCL97M46Z110X</t>
  </si>
  <si>
    <t>emma.allam1@gmail.com</t>
  </si>
  <si>
    <t>MANOLI</t>
  </si>
  <si>
    <t>MNLMTN05S63F205Y</t>
  </si>
  <si>
    <t>martina.manoli2005@gmail.com</t>
  </si>
  <si>
    <t>ZHANG</t>
  </si>
  <si>
    <t>ZHNCHR05E51G693N</t>
  </si>
  <si>
    <t>Chiaranonantola@gmail.com</t>
  </si>
  <si>
    <t>FEOLA</t>
  </si>
  <si>
    <t>FLESLL99P61B157Y</t>
  </si>
  <si>
    <t>isabellafeola21@gmail.com</t>
  </si>
  <si>
    <t>BONETTI</t>
  </si>
  <si>
    <t>BNTLRA08P65D150I</t>
  </si>
  <si>
    <t>sabinalena983@gmail.com</t>
  </si>
  <si>
    <t>RAKIPI</t>
  </si>
  <si>
    <t>GREIS</t>
  </si>
  <si>
    <t>RKPGRS04T70E514D</t>
  </si>
  <si>
    <t>rakipigreiss@gmail.com</t>
  </si>
  <si>
    <t>ardigosara@yahoo.it</t>
  </si>
  <si>
    <t>FARELLACCI</t>
  </si>
  <si>
    <t>LAETITIA NATHALIE</t>
  </si>
  <si>
    <t>laetitiafarellacci@gmail.com</t>
  </si>
  <si>
    <t>DE MARI</t>
  </si>
  <si>
    <t>DMRNCL08R62I690N</t>
  </si>
  <si>
    <t>demnicole22@gmail.com</t>
  </si>
  <si>
    <t>EX TESSERATA</t>
  </si>
  <si>
    <t>BRONIS</t>
  </si>
  <si>
    <t>JA</t>
  </si>
  <si>
    <t>bronisjakub23@gmail.com</t>
  </si>
  <si>
    <t>MAGINA</t>
  </si>
  <si>
    <t>EUGINIE</t>
  </si>
  <si>
    <t>MGNGNE99E67Z322T</t>
  </si>
  <si>
    <t>emagina76@gmail.com</t>
  </si>
  <si>
    <t>ROCCA</t>
  </si>
  <si>
    <t>RCCSFO00S52L719D</t>
  </si>
  <si>
    <t>sofiarocca00@gmail.com</t>
  </si>
  <si>
    <t>ROCCA SOFIA HA PAGATO X3 96€</t>
  </si>
  <si>
    <t>NICOLE SAVINA</t>
  </si>
  <si>
    <t>TSHILOMBO</t>
  </si>
  <si>
    <t>KABINDA CORINNE</t>
  </si>
  <si>
    <t>TSHKND01E44I577V</t>
  </si>
  <si>
    <t>corinne.tshilombo@gmail.com</t>
  </si>
  <si>
    <t>allegrimaldi2212@gmail.com</t>
  </si>
  <si>
    <t>TURCONI</t>
  </si>
  <si>
    <t>TRCMCL74E69A940R</t>
  </si>
  <si>
    <t>micaelaturconi@gmail.com</t>
  </si>
  <si>
    <t>CANTU</t>
  </si>
  <si>
    <t>CNTLSE07P66C523L</t>
  </si>
  <si>
    <t>elevilla7@gmail.com</t>
  </si>
  <si>
    <t>PETTENUZO</t>
  </si>
  <si>
    <t>PTTMTN96R45L781H</t>
  </si>
  <si>
    <t>alessiacardella105@hotmail.it</t>
  </si>
  <si>
    <t>DE LEEUW</t>
  </si>
  <si>
    <t>VALENTINO</t>
  </si>
  <si>
    <t>DLWVNT06S08Z131K</t>
  </si>
  <si>
    <t>valentino.deleeuw@gmail.com</t>
  </si>
  <si>
    <t>GILETTO LAZZARO</t>
  </si>
  <si>
    <t>GLTGRG08E48C573A</t>
  </si>
  <si>
    <t>giorgiagiletto@gmail.com</t>
  </si>
  <si>
    <t>PAVAN</t>
  </si>
  <si>
    <t>PVNCHR91P50E507P</t>
  </si>
  <si>
    <t>chiarapavan91@gmail.com</t>
  </si>
  <si>
    <t>KABURI</t>
  </si>
  <si>
    <t>BELINDA</t>
  </si>
  <si>
    <t>KBRBND87C44F704G</t>
  </si>
  <si>
    <t>belinda.kaburi@gmail.com</t>
  </si>
  <si>
    <t>ADDUCCI</t>
  </si>
  <si>
    <t>DDCCHR03P61E514N</t>
  </si>
  <si>
    <t>chiaraadducci97@gmail.com</t>
  </si>
  <si>
    <t>NOUZI</t>
  </si>
  <si>
    <t>HASNA</t>
  </si>
  <si>
    <t>NZOHSN99H58C573G</t>
  </si>
  <si>
    <t>RICCIARDI</t>
  </si>
  <si>
    <t>RACHELLE</t>
  </si>
  <si>
    <t>RCCRHL01B46Z131F</t>
  </si>
  <si>
    <t>rachelle.ricciardi@gmail.com</t>
  </si>
  <si>
    <t>BALZANO</t>
  </si>
  <si>
    <t>BLZFNC09B27F257S</t>
  </si>
  <si>
    <t>francescobalzano243@gmail.com</t>
  </si>
  <si>
    <t>LO BIANCO</t>
  </si>
  <si>
    <t>LBNCRN04S66D912M</t>
  </si>
  <si>
    <t>caterinalobianco26@gmail.com</t>
  </si>
  <si>
    <t>SCIUMBATA</t>
  </si>
  <si>
    <t>SCMSFO00A65E514V</t>
  </si>
  <si>
    <t>Sofia.sciumbata00@gmail.com</t>
  </si>
  <si>
    <t>MILITELLO</t>
  </si>
  <si>
    <t>PETRA</t>
  </si>
  <si>
    <t>MLTPRL08P69L682Z</t>
  </si>
  <si>
    <t>militellopetra48@gmail.com</t>
  </si>
  <si>
    <t>sarajannelli95@gmail.com</t>
  </si>
  <si>
    <t>BENCI</t>
  </si>
  <si>
    <t>BNCNMO96E42A390V</t>
  </si>
  <si>
    <t>benci.noemi@gmail.com</t>
  </si>
  <si>
    <t>SECK</t>
  </si>
  <si>
    <t>SOPHIE SOCE</t>
  </si>
  <si>
    <t>SCKSHS09E45L682O</t>
  </si>
  <si>
    <t>venosiluisa@gmail.com</t>
  </si>
  <si>
    <t>AFSHARI</t>
  </si>
  <si>
    <t>MONA</t>
  </si>
  <si>
    <t>FSHMNO93B65Z224W</t>
  </si>
  <si>
    <t>mona.afshar741@gmail.com</t>
  </si>
  <si>
    <t>MOSCA MONDADORI</t>
  </si>
  <si>
    <t>MSCCLL01E44F205B</t>
  </si>
  <si>
    <t>millamondadori@gmail.com</t>
  </si>
  <si>
    <t>GHAMLOUCHE</t>
  </si>
  <si>
    <t>SOPHIE</t>
  </si>
  <si>
    <t>GHMSPH96L55G337U</t>
  </si>
  <si>
    <t>sooopghamlouche@gmail.com</t>
  </si>
  <si>
    <t>GALLIANI</t>
  </si>
  <si>
    <t>NINA</t>
  </si>
  <si>
    <t>GLLNSP11R49F205X</t>
  </si>
  <si>
    <t>DESIREE</t>
  </si>
  <si>
    <t>LPZDSR04R46M052Z</t>
  </si>
  <si>
    <t>desiree.dudu10@gmail.com</t>
  </si>
  <si>
    <t>OTTOLINI</t>
  </si>
  <si>
    <t>TTLVNC87S56F119J</t>
  </si>
  <si>
    <t>ve.ottolini@gmail.com</t>
  </si>
  <si>
    <t>D'ERNICOLI</t>
  </si>
  <si>
    <t>DRNLSS15D10C751T</t>
  </si>
  <si>
    <t>mirtillalilla23@gmail.com</t>
  </si>
  <si>
    <t>PELLEGRINO</t>
  </si>
  <si>
    <t>MIA</t>
  </si>
  <si>
    <t>PLLMIA10H46C751F</t>
  </si>
  <si>
    <t>COLUCCI</t>
  </si>
  <si>
    <t>CLCSRA08T58L682D</t>
  </si>
  <si>
    <t>saracolucci181208@gmail.com</t>
  </si>
  <si>
    <t>BUCCINNÀ</t>
  </si>
  <si>
    <t>BCCLNR05R44D969D</t>
  </si>
  <si>
    <t>Lenorlilac@gmail.com</t>
  </si>
  <si>
    <t>CLARKE</t>
  </si>
  <si>
    <t>CLRRRT93D41F205W</t>
  </si>
  <si>
    <t>robertasclarke@gmail.com</t>
  </si>
  <si>
    <t>CALDICHOURY</t>
  </si>
  <si>
    <t>ADELE</t>
  </si>
  <si>
    <t>CLDDLA03L49Z110M</t>
  </si>
  <si>
    <t>adele.caldichoury@gmail.com</t>
  </si>
  <si>
    <t>VNIRCC02R58M102O</t>
  </si>
  <si>
    <t>rebeccaivan02@gmail.com</t>
  </si>
  <si>
    <t>MIGNOLI</t>
  </si>
  <si>
    <t>RIANE</t>
  </si>
  <si>
    <t>MGNRCT02E65B729B</t>
  </si>
  <si>
    <t>mignoliriane@gmail.com</t>
  </si>
  <si>
    <t>EINI</t>
  </si>
  <si>
    <t>NIKOO</t>
  </si>
  <si>
    <t>NSHNKI88L57Z224Q</t>
  </si>
  <si>
    <t>nikoo.eini.88@gmail.com</t>
  </si>
  <si>
    <t>ha pagato x3</t>
  </si>
  <si>
    <t>MACCAGNOLA</t>
  </si>
  <si>
    <t>MCCRRA12T53L682N</t>
  </si>
  <si>
    <t>lauraborgia@yahoo.it</t>
  </si>
  <si>
    <t>CASTELLINI</t>
  </si>
  <si>
    <t>CSTGRT04D48F205Y</t>
  </si>
  <si>
    <t>greta.castellini44@gmail.com</t>
  </si>
  <si>
    <t>DI PIETRO</t>
  </si>
  <si>
    <t>DPTGRG09T46F205S</t>
  </si>
  <si>
    <t>giorgia.dipietro369@gmail.com</t>
  </si>
  <si>
    <t>ALBARRACIN ROLO</t>
  </si>
  <si>
    <t>HEILY ARIEL</t>
  </si>
  <si>
    <t>LBRHYR14S59D969Y</t>
  </si>
  <si>
    <t>ISCRITTI WORKSHOP 25-26</t>
  </si>
  <si>
    <t>CATEGORIA</t>
  </si>
  <si>
    <t>CODICE WORKSHOP</t>
  </si>
  <si>
    <t>ENTRATA</t>
  </si>
  <si>
    <t>2526KUMO09NOV</t>
  </si>
  <si>
    <t>WS_[NOME E COGNOME Artista]_[DATA]</t>
  </si>
  <si>
    <t>[ORARIO]_[GENERE] (€X entro il XX/XX compreso → €Y entro il YY/YY compreso → €Z il giorno stesso)</t>
  </si>
  <si>
    <t>1° WS - DONNE - orario [XX:XX/XX:XX]_[GENERE WS]</t>
  </si>
  <si>
    <t>1° WS - UOMINI - orario [XX:XX/XX:XX]_[GENERE WS]</t>
  </si>
  <si>
    <t>2° WS - DONNE - orario [XX:XX/XX:XX]_[GENERE WS]</t>
  </si>
  <si>
    <t>2° WS - UOMINI - orario [XX:XX/XX:XX]_[GENERE WS]</t>
  </si>
  <si>
    <t>3° WS - DONNE - orario [XX:XX/XX:XX]_[GENERE WS]</t>
  </si>
  <si>
    <t>3° WS - UOMINI - orario [XX:XX/XX:XX]_[GENERE WS]</t>
  </si>
  <si>
    <t>PER TESSERATI
(tutte le quote di questo foglio 
sono calcolate senza i €25,00 per Quota Tessera)</t>
  </si>
  <si>
    <t>ISCRIZIONI FATTE:</t>
  </si>
  <si>
    <t>Quota alta</t>
  </si>
  <si>
    <t>Quota media</t>
  </si>
  <si>
    <t>Quota bassa</t>
  </si>
  <si>
    <t>Descrizione Quote WorkShop</t>
  </si>
  <si>
    <t>Dettagli</t>
  </si>
  <si>
    <t>Quota</t>
  </si>
  <si>
    <t>numero corsi a settimana</t>
  </si>
  <si>
    <t>1 corso
costa</t>
  </si>
  <si>
    <t>costo a lezione</t>
  </si>
  <si>
    <t>1 WS_Banana</t>
  </si>
  <si>
    <t>WS_Lulu</t>
  </si>
  <si>
    <t>WS_Kumo</t>
  </si>
  <si>
    <t>WS_Leli</t>
  </si>
  <si>
    <t>WS_Nicolò</t>
  </si>
  <si>
    <t>WS_Pacc2</t>
  </si>
  <si>
    <t>WS_Pacc3</t>
  </si>
  <si>
    <t>WS_Pacc4</t>
  </si>
  <si>
    <t>WS_Pacc5</t>
  </si>
  <si>
    <t>1 QUOTA TESSERA</t>
  </si>
  <si>
    <t>Tesseramento Annuale</t>
  </si>
  <si>
    <t>PROMO 
STAR</t>
  </si>
  <si>
    <t xml:space="preserve"> PROMO
(periodo)</t>
  </si>
  <si>
    <t>PROMO (periodo)</t>
  </si>
  <si>
    <t>PROMO
(periodo)</t>
  </si>
  <si>
    <t>CODICI SCONTO PROMO</t>
  </si>
  <si>
    <t>CONDICI SCONTO</t>
  </si>
  <si>
    <t>VALORE SCONTO</t>
  </si>
  <si>
    <t>???</t>
  </si>
  <si>
    <t>OMAGGIO100</t>
  </si>
  <si>
    <t>100%</t>
  </si>
  <si>
    <t>€2</t>
  </si>
  <si>
    <t>ALEXANDRA05WS</t>
  </si>
  <si>
    <t>€5</t>
  </si>
  <si>
    <t>GIUDITTA05WS</t>
  </si>
  <si>
    <t>ESTEFANY05WS</t>
  </si>
  <si>
    <t>5</t>
  </si>
  <si>
    <t>20</t>
  </si>
  <si>
    <t>NURA05WS</t>
  </si>
  <si>
    <t>30</t>
  </si>
  <si>
    <t>40</t>
  </si>
  <si>
    <t>JOEL05WS</t>
  </si>
  <si>
    <t>SARA05WS</t>
  </si>
  <si>
    <t>SANTO02WS</t>
  </si>
  <si>
    <t>SANTO05WS</t>
  </si>
  <si>
    <t>MASSI05WS</t>
  </si>
  <si>
    <t>STAFF05WS</t>
  </si>
  <si>
    <t>STAFF10WS</t>
  </si>
  <si>
    <t>€10</t>
  </si>
  <si>
    <t>0</t>
  </si>
  <si>
    <t>SCONTI</t>
  </si>
  <si>
    <t>PERIODO DI VENDITA</t>
  </si>
  <si>
    <t>CODICE WS</t>
  </si>
  <si>
    <t>€30</t>
  </si>
  <si>
    <t>2526BANANA19OTT14.D</t>
  </si>
  <si>
    <t>10%</t>
  </si>
  <si>
    <t>2526DEANGELIS16NOV14.C</t>
  </si>
  <si>
    <t>2526KUMO09NOV14.D</t>
  </si>
  <si>
    <t>20%</t>
  </si>
  <si>
    <t>2526LELI09NOV14.D</t>
  </si>
  <si>
    <t>30%</t>
  </si>
  <si>
    <t>2526LULU26OTT14.D</t>
  </si>
  <si>
    <t>40%</t>
  </si>
  <si>
    <t>2526NEREA14DIC15.C</t>
  </si>
  <si>
    <t>5%</t>
  </si>
  <si>
    <t>2526NEREA14DIC16.C</t>
  </si>
  <si>
    <t>50%</t>
  </si>
  <si>
    <t>70%</t>
  </si>
  <si>
    <t>75%</t>
  </si>
  <si>
    <t>80%</t>
  </si>
  <si>
    <t>8%</t>
  </si>
  <si>
    <t>7%</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</si>
</sst>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MM/yyyy"/>
    <numFmt numFmtId="165" formatCode="d&quot; &quot;mmmm&quot; &quot;yyyy"/>
    <numFmt numFmtId="166" formatCode="_-[$€-2]* #,##0.00_-;_-[$€-2]* \-#,##0.00_-;_-[$€-2]* &quot;-&quot;??_-;_-@"/>
    <numFmt numFmtId="167" formatCode="dd/mm/yyyy"/>
    <numFmt numFmtId="168" formatCode="&quot; &quot;[$€-2]* #,##0.00&quot; &quot;;&quot; &quot;[$€-2]* (#,##0.00&quot;) &quot;;&quot; &quot;[$€-2]* &quot;-&quot;??"/>
    <numFmt numFmtId="169" formatCode="d/m/yyyy"/>
    <numFmt numFmtId="170" formatCode="[$€-2]\ #,##0.00"/>
    <numFmt numFmtId="171" formatCode="d/m/yy"/>
    <numFmt numFmtId="172" formatCode="d&quot; &quot;mmm&quot; &quot;yyyy"/>
    <numFmt numFmtId="173" formatCode="_-[$€-2]* #,##0_-;_-[$€-2]* \-#,##0_-;_-[$€-2]* &quot;-&quot;??_-;_-@"/>
    <numFmt numFmtId="174" formatCode="dmmmyy"/>
    <numFmt numFmtId="175" formatCode="_-[$€-2]* #,##0.00_-;_-[$€-2]* \-#,##0.00_-;_-[$€-2]* &quot;-&quot;??.00_-;_-@"/>
    <numFmt numFmtId="176" formatCode="ddmmmyy"/>
    <numFmt numFmtId="177" formatCode="hh&quot;.&quot;mm&quot; - &quot;hh&quot;.&quot;mm"/>
    <numFmt numFmtId="178" formatCode="dd&quot;/&quot;mm&quot;/&quot;yyyy&quot; &quot;h&quot;.&quot;mm"/>
    <numFmt numFmtId="179" formatCode="h.mm"/>
    <numFmt numFmtId="180" formatCode="[h].mm.ss"/>
  </numFmts>
  <fonts count="49">
    <font>
      <sz val="10.0"/>
      <color rgb="FF000000"/>
      <name val="Arial"/>
      <scheme val="minor"/>
    </font>
    <font>
      <b/>
      <color theme="1"/>
      <name val="Arial"/>
      <scheme val="minor"/>
    </font>
    <font>
      <color theme="1"/>
      <name val="Arial"/>
      <scheme val="minor"/>
    </font>
    <font>
      <u/>
      <color rgb="FF0000FF"/>
    </font>
    <font>
      <b/>
      <sz val="15.0"/>
      <color rgb="FF000000"/>
      <name val="Arial"/>
    </font>
    <font>
      <b/>
      <u/>
      <sz val="15.0"/>
      <color rgb="FF0000FF"/>
      <name val="Arial"/>
    </font>
    <font>
      <b/>
      <sz val="10.0"/>
      <color theme="1"/>
      <name val="Arial"/>
    </font>
    <font>
      <b/>
      <sz val="8.0"/>
      <color theme="1"/>
      <name val="Arial"/>
    </font>
    <font>
      <b/>
      <sz val="15.0"/>
      <color theme="1"/>
      <name val="Arial"/>
    </font>
    <font>
      <color theme="1"/>
      <name val="Arial"/>
    </font>
    <font>
      <sz val="10.0"/>
      <color theme="1"/>
      <name val="Arial"/>
    </font>
    <font>
      <sz val="10.0"/>
      <color rgb="FF000000"/>
      <name val="Arial"/>
    </font>
    <font>
      <sz val="12.0"/>
      <color rgb="FF000000"/>
      <name val="Arial"/>
    </font>
    <font>
      <color theme="1"/>
      <name val="Helvetica Neue"/>
    </font>
    <font>
      <sz val="10.0"/>
      <color rgb="FF000000"/>
      <name val="Sans-serif"/>
    </font>
    <font>
      <sz val="11.0"/>
      <color theme="1"/>
      <name val="Arial"/>
    </font>
    <font>
      <b/>
      <color theme="1"/>
      <name val="Arial"/>
    </font>
    <font>
      <sz val="11.0"/>
      <color rgb="FF000000"/>
      <name val="Sans-serif"/>
    </font>
    <font>
      <sz val="11.0"/>
      <color rgb="FF000000"/>
      <name val="Arial"/>
    </font>
    <font/>
    <font>
      <b/>
      <u/>
      <sz val="15.0"/>
      <color rgb="FF0000FF"/>
      <name val="Arial"/>
    </font>
    <font>
      <b/>
      <sz val="15.0"/>
      <color theme="1"/>
      <name val="Arial"/>
      <scheme val="minor"/>
    </font>
    <font>
      <sz val="10.0"/>
      <color theme="1"/>
      <name val="Arial"/>
      <scheme val="minor"/>
    </font>
    <font>
      <sz val="11.0"/>
      <color theme="1"/>
      <name val="Helvetica"/>
    </font>
    <font>
      <sz val="10.0"/>
      <color rgb="FF000000"/>
      <name val="Helvetica"/>
    </font>
    <font>
      <sz val="11.0"/>
      <color rgb="FF000000"/>
      <name val="Helvetica"/>
    </font>
    <font>
      <b/>
      <sz val="10.0"/>
      <color rgb="FF000000"/>
      <name val="Arial"/>
    </font>
    <font>
      <sz val="9.0"/>
      <color theme="1"/>
      <name val="Arial"/>
      <scheme val="minor"/>
    </font>
    <font>
      <i/>
      <sz val="10.0"/>
      <color rgb="FF000000"/>
      <name val="&quot;Helvetica Neue&quot;"/>
    </font>
    <font>
      <b/>
      <sz val="14.0"/>
      <color theme="1"/>
      <name val="Arial"/>
    </font>
    <font>
      <b/>
      <u/>
      <sz val="15.0"/>
      <color rgb="FF0000FF"/>
      <name val="Arial"/>
    </font>
    <font>
      <sz val="12.0"/>
      <color theme="1"/>
      <name val="Arial"/>
    </font>
    <font>
      <sz val="13.0"/>
      <color theme="1"/>
      <name val="Arial"/>
    </font>
    <font>
      <b/>
      <sz val="11.0"/>
      <color rgb="FF000000"/>
      <name val="&quot;Helvetica Neue&quot;"/>
    </font>
    <font>
      <b/>
      <sz val="8.0"/>
      <color rgb="FF000000"/>
      <name val="&quot;Helvetica Neue&quot;"/>
    </font>
    <font>
      <sz val="9.0"/>
      <color rgb="FF000000"/>
      <name val="&quot;Helvetica Neue&quot;"/>
    </font>
    <font>
      <b/>
      <sz val="9.0"/>
      <color theme="1"/>
      <name val="&quot;Helvetica Neue&quot;"/>
    </font>
    <font>
      <b/>
      <sz val="9.0"/>
      <color theme="1"/>
      <name val="Helvetica Neue"/>
    </font>
    <font>
      <b/>
      <sz val="12.0"/>
      <color rgb="FF000000"/>
      <name val="Arial"/>
    </font>
    <font>
      <u/>
      <color rgb="FF0000FF"/>
    </font>
    <font>
      <u/>
      <color rgb="FF0000FF"/>
    </font>
    <font>
      <color rgb="FF000000"/>
      <name val="Arial"/>
    </font>
    <font>
      <u/>
      <color rgb="FF0000FF"/>
    </font>
    <font>
      <b/>
      <sz val="12.0"/>
      <color theme="1"/>
      <name val="Arial"/>
      <scheme val="minor"/>
    </font>
    <font>
      <sz val="12.0"/>
      <color theme="1"/>
      <name val="Arial"/>
      <scheme val="minor"/>
    </font>
    <font>
      <u/>
      <sz val="12.0"/>
      <color rgb="FF0000FF"/>
    </font>
    <font>
      <u/>
      <color rgb="FF0000FF"/>
    </font>
    <font>
      <u/>
      <color rgb="FF0000FF"/>
    </font>
    <font>
      <u/>
      <color rgb="FF0000FF"/>
    </font>
  </fonts>
  <fills count="43">
    <fill>
      <patternFill patternType="none"/>
    </fill>
    <fill>
      <patternFill patternType="lightGray"/>
    </fill>
    <fill>
      <patternFill patternType="solid">
        <fgColor rgb="FFA4C2F4"/>
        <bgColor rgb="FFA4C2F4"/>
      </patternFill>
    </fill>
    <fill>
      <patternFill patternType="solid">
        <fgColor rgb="FFFAC8AA"/>
        <bgColor rgb="FFFAC8AA"/>
      </patternFill>
    </fill>
    <fill>
      <patternFill patternType="solid">
        <fgColor rgb="FFE6E6E6"/>
        <bgColor rgb="FFE6E6E6"/>
      </patternFill>
    </fill>
    <fill>
      <patternFill patternType="solid">
        <fgColor rgb="FFC6DBE1"/>
        <bgColor rgb="FFC6DBE1"/>
      </patternFill>
    </fill>
    <fill>
      <patternFill patternType="solid">
        <fgColor rgb="FF6D9EEB"/>
        <bgColor rgb="FF6D9EEB"/>
      </patternFill>
    </fill>
    <fill>
      <patternFill patternType="solid">
        <fgColor rgb="FFDD7E6B"/>
        <bgColor rgb="FFDD7E6B"/>
      </patternFill>
    </fill>
    <fill>
      <patternFill patternType="solid">
        <fgColor rgb="FF93C47D"/>
        <bgColor rgb="FF93C47D"/>
      </patternFill>
    </fill>
    <fill>
      <patternFill patternType="solid">
        <fgColor rgb="FFFFE59F"/>
        <bgColor rgb="FFFFE59F"/>
      </patternFill>
    </fill>
    <fill>
      <patternFill patternType="solid">
        <fgColor rgb="FFE6CFF3"/>
        <bgColor rgb="FFE6CFF3"/>
      </patternFill>
    </fill>
    <fill>
      <patternFill patternType="solid">
        <fgColor rgb="FFD4EDBB"/>
        <bgColor rgb="FFD4EDBB"/>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D9D9D9"/>
        <bgColor rgb="FFD9D9D9"/>
      </patternFill>
    </fill>
    <fill>
      <patternFill patternType="solid">
        <fgColor rgb="FFF9CB9C"/>
        <bgColor rgb="FFF9CB9C"/>
      </patternFill>
    </fill>
    <fill>
      <patternFill patternType="solid">
        <fgColor rgb="FFB7B7B7"/>
        <bgColor rgb="FFB7B7B7"/>
      </patternFill>
    </fill>
    <fill>
      <patternFill patternType="solid">
        <fgColor rgb="FFFFE599"/>
        <bgColor rgb="FFFFE599"/>
      </patternFill>
    </fill>
    <fill>
      <patternFill patternType="solid">
        <fgColor rgb="FFD9EAD3"/>
        <bgColor rgb="FFD9EAD3"/>
      </patternFill>
    </fill>
    <fill>
      <patternFill patternType="solid">
        <fgColor rgb="FF00FF00"/>
        <bgColor rgb="FF00FF00"/>
      </patternFill>
    </fill>
    <fill>
      <patternFill patternType="solid">
        <fgColor rgb="FFE06666"/>
        <bgColor rgb="FFE06666"/>
      </patternFill>
    </fill>
    <fill>
      <patternFill patternType="solid">
        <fgColor rgb="FFFF9900"/>
        <bgColor rgb="FFFF9900"/>
      </patternFill>
    </fill>
    <fill>
      <patternFill patternType="solid">
        <fgColor rgb="FFFFFFFF"/>
        <bgColor rgb="FFFFFFFF"/>
      </patternFill>
    </fill>
    <fill>
      <patternFill patternType="solid">
        <fgColor rgb="FFFFD966"/>
        <bgColor rgb="FFFFD966"/>
      </patternFill>
    </fill>
    <fill>
      <patternFill patternType="solid">
        <fgColor rgb="FF92D051"/>
        <bgColor rgb="FF92D051"/>
      </patternFill>
    </fill>
    <fill>
      <patternFill patternType="solid">
        <fgColor rgb="FFFFF2CC"/>
        <bgColor rgb="FFFFF2CC"/>
      </patternFill>
    </fill>
    <fill>
      <patternFill patternType="solid">
        <fgColor rgb="FFFFFF00"/>
        <bgColor rgb="FFFFFF00"/>
      </patternFill>
    </fill>
    <fill>
      <patternFill patternType="solid">
        <fgColor rgb="FFFF0000"/>
        <bgColor rgb="FFFF0000"/>
      </patternFill>
    </fill>
    <fill>
      <patternFill patternType="solid">
        <fgColor rgb="FFCCCCCC"/>
        <bgColor rgb="FFCCCCCC"/>
      </patternFill>
    </fill>
    <fill>
      <patternFill patternType="solid">
        <fgColor rgb="FF00FFFF"/>
        <bgColor rgb="FF00FFFF"/>
      </patternFill>
    </fill>
    <fill>
      <patternFill patternType="solid">
        <fgColor rgb="FFEA9999"/>
        <bgColor rgb="FFEA9999"/>
      </patternFill>
    </fill>
    <fill>
      <patternFill patternType="solid">
        <fgColor rgb="FF4A86E8"/>
        <bgColor rgb="FF4A86E8"/>
      </patternFill>
    </fill>
    <fill>
      <patternFill patternType="solid">
        <fgColor rgb="FFAFB3B2"/>
        <bgColor rgb="FFAFB3B2"/>
      </patternFill>
    </fill>
    <fill>
      <patternFill patternType="solid">
        <fgColor rgb="FFFCE5CD"/>
        <bgColor rgb="FFFCE5CD"/>
      </patternFill>
    </fill>
    <fill>
      <patternFill patternType="solid">
        <fgColor rgb="FFD0E0E3"/>
        <bgColor rgb="FFD0E0E3"/>
      </patternFill>
    </fill>
    <fill>
      <patternFill patternType="solid">
        <fgColor rgb="FFB4A7D6"/>
        <bgColor rgb="FFB4A7D6"/>
      </patternFill>
    </fill>
    <fill>
      <patternFill patternType="solid">
        <fgColor rgb="FFC27BA0"/>
        <bgColor rgb="FFC27BA0"/>
      </patternFill>
    </fill>
    <fill>
      <patternFill patternType="solid">
        <fgColor rgb="FF6FA8DC"/>
        <bgColor rgb="FF6FA8DC"/>
      </patternFill>
    </fill>
    <fill>
      <patternFill patternType="solid">
        <fgColor rgb="FFB6D7A8"/>
        <bgColor rgb="FFB6D7A8"/>
      </patternFill>
    </fill>
    <fill>
      <patternFill patternType="solid">
        <fgColor rgb="FFD9D2E9"/>
        <bgColor rgb="FFD9D2E9"/>
      </patternFill>
    </fill>
    <fill>
      <patternFill patternType="solid">
        <fgColor rgb="FF9FC5E8"/>
        <bgColor rgb="FF9FC5E8"/>
      </patternFill>
    </fill>
    <fill>
      <patternFill patternType="solid">
        <fgColor rgb="FFE6B8AF"/>
        <bgColor rgb="FFE6B8AF"/>
      </patternFill>
    </fill>
  </fills>
  <borders count="49">
    <border/>
    <border>
      <bottom style="thin">
        <color rgb="FF000000"/>
      </bottom>
    </border>
    <border>
      <top style="medium">
        <color rgb="FF000000"/>
      </top>
    </border>
    <border>
      <left style="thin">
        <color rgb="FFB7B7B7"/>
      </left>
      <right style="thin">
        <color rgb="FFB7B7B7"/>
      </right>
      <top style="thin">
        <color rgb="FFB7B7B7"/>
      </top>
      <bottom style="thin">
        <color rgb="FFB7B7B7"/>
      </bottom>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
      <left style="thin">
        <color rgb="FFD9D9D9"/>
      </left>
      <right style="thin">
        <color rgb="FFD9D9D9"/>
      </right>
      <top style="thin">
        <color rgb="FFD9D9D9"/>
      </top>
    </border>
    <border>
      <left style="medium">
        <color rgb="FF000000"/>
      </left>
      <right style="medium">
        <color rgb="FF000000"/>
      </right>
      <top style="medium">
        <color rgb="FF000000"/>
      </top>
      <bottom style="medium">
        <color rgb="FF000000"/>
      </bottom>
    </border>
    <border>
      <bottom style="thick">
        <color rgb="FF000000"/>
      </bottom>
    </border>
    <border>
      <left style="thick">
        <color rgb="FF000000"/>
      </left>
      <top style="thick">
        <color rgb="FF000000"/>
      </top>
    </border>
    <border>
      <right style="thick">
        <color rgb="FF000000"/>
      </right>
      <top style="thick">
        <color rgb="FF000000"/>
      </top>
    </border>
    <border>
      <top style="thick">
        <color rgb="FF000000"/>
      </top>
    </border>
    <border>
      <left style="thick">
        <color rgb="FF000000"/>
      </left>
    </border>
    <border>
      <right style="thick">
        <color rgb="FF000000"/>
      </right>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left style="thick">
        <color rgb="FF000000"/>
      </left>
      <bottom style="thick">
        <color rgb="FF000000"/>
      </bottom>
    </border>
    <border>
      <right style="thick">
        <color rgb="FF000000"/>
      </right>
      <bottom style="thick">
        <color rgb="FF000000"/>
      </bottom>
    </border>
    <border>
      <left style="thin">
        <color rgb="FFB7B7B7"/>
      </left>
      <right style="thin">
        <color rgb="FFB7B7B7"/>
      </right>
      <top style="thin">
        <color rgb="FFB7B7B7"/>
      </top>
    </border>
    <border>
      <left style="thin">
        <color rgb="FFD9D9D9"/>
      </left>
      <right style="thin">
        <color rgb="FFD9D9D9"/>
      </right>
      <bottom style="thin">
        <color rgb="FFD9D9D9"/>
      </bottom>
    </border>
    <border>
      <left style="thick">
        <color rgb="FF000000"/>
      </left>
      <right style="thick">
        <color rgb="FF000000"/>
      </right>
      <top style="thick">
        <color rgb="FF000000"/>
      </top>
      <bottom style="thick">
        <color rgb="FF000000"/>
      </bottom>
    </border>
    <border>
      <left style="thick">
        <color rgb="FFA64D79"/>
      </left>
      <top style="thick">
        <color rgb="FFA64D79"/>
      </top>
    </border>
    <border>
      <top style="thick">
        <color rgb="FFA64D79"/>
      </top>
    </border>
    <border>
      <right style="thick">
        <color rgb="FFA64D79"/>
      </right>
      <top style="thick">
        <color rgb="FFA64D79"/>
      </top>
    </border>
    <border>
      <left style="thick">
        <color rgb="FFA64D79"/>
      </left>
    </border>
    <border>
      <right style="thick">
        <color rgb="FFA64D79"/>
      </right>
    </border>
    <border>
      <left style="thick">
        <color rgb="FFA64D79"/>
      </left>
      <bottom style="thick">
        <color rgb="FFA64D79"/>
      </bottom>
    </border>
    <border>
      <bottom style="thick">
        <color rgb="FFA64D79"/>
      </bottom>
    </border>
    <border>
      <right style="thick">
        <color rgb="FFA64D79"/>
      </right>
      <bottom style="thick">
        <color rgb="FFA64D79"/>
      </bottom>
    </border>
    <border>
      <bottom style="medium">
        <color rgb="FF000000"/>
      </bottom>
    </border>
    <border>
      <top style="thick">
        <color rgb="FF000000"/>
      </top>
      <bottom style="thick">
        <color rgb="FF000000"/>
      </bottom>
    </border>
    <border>
      <left style="thick">
        <color rgb="FF980000"/>
      </left>
      <top style="thick">
        <color rgb="FFA64D79"/>
      </top>
    </border>
    <border>
      <left style="thick">
        <color rgb="FF980000"/>
      </left>
    </border>
    <border>
      <left style="medium">
        <color rgb="FF000000"/>
      </left>
    </border>
    <border>
      <right style="medium">
        <color rgb="FF000000"/>
      </right>
    </border>
    <border>
      <left style="thick">
        <color rgb="FF980000"/>
      </left>
      <bottom style="thick">
        <color rgb="FFA64D79"/>
      </bottom>
    </border>
    <border>
      <left style="medium">
        <color rgb="FF000000"/>
      </left>
      <bottom style="medium">
        <color rgb="FF000000"/>
      </bottom>
    </border>
    <border>
      <right style="medium">
        <color rgb="FF000000"/>
      </right>
      <bottom style="medium">
        <color rgb="FF000000"/>
      </bottom>
    </border>
    <border>
      <left style="thin">
        <color rgb="FFD9D9D9"/>
      </left>
      <right style="thin">
        <color rgb="FFD9D9D9"/>
      </right>
      <top style="thin">
        <color rgb="FFD9D9D9"/>
      </top>
      <bottom style="thick">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
      <left style="thick">
        <color rgb="FF000000"/>
      </left>
      <top style="thin">
        <color rgb="FFB7B7B7"/>
      </top>
    </border>
    <border>
      <left style="thick">
        <color rgb="FF000000"/>
      </left>
      <bottom style="thin">
        <color rgb="FFB7B7B7"/>
      </bottom>
    </border>
    <border>
      <left style="thin">
        <color rgb="FFB7B7B7"/>
      </left>
      <right style="thin">
        <color rgb="FFB7B7B7"/>
      </right>
      <bottom style="thin">
        <color rgb="FFB7B7B7"/>
      </bottom>
    </border>
    <border>
      <left style="thin">
        <color rgb="FFB7B7B7"/>
      </left>
      <right style="thin">
        <color rgb="FFB7B7B7"/>
      </right>
    </border>
  </borders>
  <cellStyleXfs count="1">
    <xf borderId="0" fillId="0" fontId="0" numFmtId="0" applyAlignment="1" applyFont="1"/>
  </cellStyleXfs>
  <cellXfs count="76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9" fontId="1" numFmtId="0" xfId="0" applyAlignment="1" applyFill="1" applyFont="1">
      <alignment horizontal="center" readingOrder="0" shrinkToFit="0" vertical="center" wrapText="1"/>
    </xf>
    <xf borderId="0" fillId="10" fontId="1" numFmtId="0" xfId="0" applyAlignment="1" applyFill="1" applyFont="1">
      <alignment horizontal="center" readingOrder="0" shrinkToFit="0" vertical="center" wrapText="1"/>
    </xf>
    <xf borderId="0" fillId="11" fontId="1" numFmtId="0" xfId="0" applyAlignment="1" applyFill="1" applyFont="1">
      <alignment horizontal="center" readingOrder="0" shrinkToFit="0" vertical="center" wrapText="1"/>
    </xf>
    <xf borderId="0" fillId="12" fontId="1" numFmtId="0" xfId="0" applyAlignment="1" applyFill="1" applyFont="1">
      <alignment horizontal="center" readingOrder="0" shrinkToFit="0" vertical="center" wrapText="1"/>
    </xf>
    <xf borderId="0" fillId="13" fontId="1" numFmtId="0" xfId="0" applyAlignment="1" applyFill="1" applyFont="1">
      <alignment horizontal="center" readingOrder="0" shrinkToFit="0" vertical="center" wrapText="1"/>
    </xf>
    <xf borderId="0" fillId="14" fontId="1" numFmtId="0" xfId="0" applyAlignment="1" applyFill="1" applyFont="1">
      <alignment horizontal="center" readingOrder="0" shrinkToFit="0" vertical="center" wrapText="1"/>
    </xf>
    <xf borderId="0" fillId="15" fontId="1" numFmtId="0" xfId="0" applyAlignment="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7" fontId="1" numFmtId="0" xfId="0" applyAlignment="1" applyBorder="1" applyFont="1">
      <alignment horizontal="center" readingOrder="0" shrinkToFit="0" vertical="center" wrapText="1"/>
    </xf>
    <xf borderId="1" fillId="8" fontId="1" numFmtId="0" xfId="0" applyAlignment="1" applyBorder="1" applyFont="1">
      <alignment horizontal="center" readingOrder="0" shrinkToFit="0" vertical="center" wrapText="1"/>
    </xf>
    <xf borderId="1" fillId="9" fontId="1" numFmtId="0" xfId="0" applyAlignment="1" applyBorder="1" applyFont="1">
      <alignment horizontal="center" readingOrder="0" shrinkToFit="0" vertical="center" wrapText="1"/>
    </xf>
    <xf borderId="1" fillId="10" fontId="1" numFmtId="0" xfId="0" applyAlignment="1" applyBorder="1" applyFont="1">
      <alignment horizontal="center" readingOrder="0" shrinkToFit="0" vertical="center" wrapText="1"/>
    </xf>
    <xf borderId="1" fillId="11" fontId="1" numFmtId="0" xfId="0" applyAlignment="1" applyBorder="1" applyFont="1">
      <alignment horizontal="center" readingOrder="0" shrinkToFit="0" vertical="center" wrapText="1"/>
    </xf>
    <xf borderId="1" fillId="12" fontId="1" numFmtId="0" xfId="0" applyAlignment="1" applyBorder="1" applyFont="1">
      <alignment horizontal="center" readingOrder="0" shrinkToFit="0" vertical="center" wrapText="1"/>
    </xf>
    <xf borderId="1" fillId="13" fontId="1" numFmtId="0" xfId="0" applyAlignment="1" applyBorder="1" applyFont="1">
      <alignment horizontal="center" readingOrder="0" shrinkToFit="0" vertical="center" wrapText="1"/>
    </xf>
    <xf borderId="1" fillId="14" fontId="1" numFmtId="0" xfId="0" applyAlignment="1" applyBorder="1" applyFont="1">
      <alignment horizontal="center" readingOrder="0" shrinkToFit="0" vertical="center" wrapText="1"/>
    </xf>
    <xf borderId="1" fillId="15" fontId="1" numFmtId="0" xfId="0" applyAlignment="1" applyBorder="1" applyFont="1">
      <alignment horizontal="center" readingOrder="0" shrinkToFit="0" vertical="center" wrapText="1"/>
    </xf>
    <xf borderId="0" fillId="0" fontId="2" numFmtId="165" xfId="0" applyAlignment="1" applyFont="1" applyNumberFormat="1">
      <alignment readingOrder="0" vertical="center"/>
    </xf>
    <xf borderId="0" fillId="0" fontId="3" numFmtId="0" xfId="0" applyAlignment="1" applyFont="1">
      <alignment readingOrder="0" vertical="center"/>
    </xf>
    <xf borderId="0" fillId="3" fontId="2" numFmtId="0" xfId="0" applyAlignment="1" applyFont="1">
      <alignment readingOrder="0" vertical="center"/>
    </xf>
    <xf borderId="0" fillId="4" fontId="2" numFmtId="0" xfId="0" applyAlignment="1" applyFont="1">
      <alignment readingOrder="0" vertical="center"/>
    </xf>
    <xf borderId="0" fillId="5" fontId="2" numFmtId="0" xfId="0" applyAlignment="1" applyFont="1">
      <alignment readingOrder="0" vertical="center"/>
    </xf>
    <xf borderId="0" fillId="6" fontId="2" numFmtId="0" xfId="0" applyAlignment="1" applyFont="1">
      <alignment readingOrder="0" vertical="center"/>
    </xf>
    <xf borderId="0" fillId="7" fontId="2" numFmtId="0" xfId="0" applyAlignment="1" applyFont="1">
      <alignment readingOrder="0" vertical="center"/>
    </xf>
    <xf borderId="0" fillId="8" fontId="2" numFmtId="0" xfId="0" applyAlignment="1" applyFont="1">
      <alignment readingOrder="0" vertical="center"/>
    </xf>
    <xf borderId="0" fillId="9" fontId="2" numFmtId="0" xfId="0" applyAlignment="1" applyFont="1">
      <alignment readingOrder="0" vertical="center"/>
    </xf>
    <xf borderId="0" fillId="10" fontId="2" numFmtId="0" xfId="0" applyAlignment="1" applyFont="1">
      <alignment readingOrder="0" vertical="center"/>
    </xf>
    <xf borderId="0" fillId="11" fontId="2" numFmtId="0" xfId="0" applyAlignment="1" applyFont="1">
      <alignment readingOrder="0" vertical="center"/>
    </xf>
    <xf borderId="0" fillId="12" fontId="2" numFmtId="0" xfId="0" applyAlignment="1" applyFont="1">
      <alignment readingOrder="0" vertical="center"/>
    </xf>
    <xf borderId="0" fillId="13" fontId="2" numFmtId="0" xfId="0" applyAlignment="1" applyFont="1">
      <alignment readingOrder="0" vertical="center"/>
    </xf>
    <xf borderId="0" fillId="14" fontId="2" numFmtId="0" xfId="0" applyAlignment="1" applyFont="1">
      <alignment readingOrder="0" vertical="center"/>
    </xf>
    <xf borderId="0" fillId="15" fontId="1" numFmtId="0" xfId="0" applyAlignment="1" applyFont="1">
      <alignment horizontal="center" vertical="center"/>
    </xf>
    <xf borderId="0" fillId="15" fontId="1" numFmtId="166" xfId="0" applyAlignment="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vertical="center"/>
    </xf>
    <xf borderId="0" fillId="3" fontId="2" numFmtId="0" xfId="0" applyAlignment="1" applyFont="1">
      <alignment vertical="center"/>
    </xf>
    <xf borderId="0" fillId="4" fontId="2" numFmtId="0" xfId="0" applyAlignment="1" applyFont="1">
      <alignment vertical="center"/>
    </xf>
    <xf borderId="0" fillId="5" fontId="2" numFmtId="0" xfId="0" applyAlignment="1" applyFont="1">
      <alignment vertical="center"/>
    </xf>
    <xf borderId="0" fillId="6" fontId="2" numFmtId="0" xfId="0" applyAlignment="1" applyFont="1">
      <alignment vertical="center"/>
    </xf>
    <xf borderId="0" fillId="7" fontId="2" numFmtId="0" xfId="0" applyAlignment="1" applyFont="1">
      <alignment vertical="center"/>
    </xf>
    <xf borderId="0" fillId="8" fontId="2" numFmtId="0" xfId="0" applyAlignment="1" applyFont="1">
      <alignment vertical="center"/>
    </xf>
    <xf borderId="0" fillId="9" fontId="2" numFmtId="0" xfId="0" applyAlignment="1" applyFont="1">
      <alignment vertical="center"/>
    </xf>
    <xf borderId="0" fillId="10" fontId="2" numFmtId="0" xfId="0" applyAlignment="1" applyFont="1">
      <alignment vertical="center"/>
    </xf>
    <xf borderId="0" fillId="11" fontId="2" numFmtId="0" xfId="0" applyAlignment="1" applyFont="1">
      <alignment vertical="center"/>
    </xf>
    <xf borderId="0" fillId="12" fontId="2" numFmtId="0" xfId="0" applyAlignment="1" applyFont="1">
      <alignment vertical="center"/>
    </xf>
    <xf borderId="0" fillId="13" fontId="2" numFmtId="0" xfId="0" applyAlignment="1" applyFont="1">
      <alignment vertical="center"/>
    </xf>
    <xf borderId="0" fillId="14" fontId="2" numFmtId="0" xfId="0" applyAlignment="1" applyFont="1">
      <alignment vertical="center"/>
    </xf>
    <xf borderId="0" fillId="0" fontId="1" numFmtId="0" xfId="0" applyAlignment="1" applyFont="1">
      <alignment readingOrder="0" vertical="center"/>
    </xf>
    <xf borderId="0" fillId="3" fontId="1" numFmtId="0" xfId="0" applyAlignment="1" applyFont="1">
      <alignment readingOrder="0" vertical="center"/>
    </xf>
    <xf borderId="2" fillId="15" fontId="1" numFmtId="164" xfId="0" applyAlignment="1" applyBorder="1" applyFont="1" applyNumberFormat="1">
      <alignment horizontal="right" readingOrder="0" vertical="center"/>
    </xf>
    <xf borderId="2" fillId="15" fontId="2" numFmtId="0" xfId="0" applyAlignment="1" applyBorder="1" applyFont="1">
      <alignment horizontal="right" readingOrder="0" vertical="center"/>
    </xf>
    <xf borderId="2" fillId="16" fontId="2" numFmtId="0" xfId="0" applyAlignment="1" applyBorder="1" applyFill="1" applyFont="1">
      <alignment horizontal="right" vertical="center"/>
    </xf>
    <xf borderId="2" fillId="3" fontId="2" numFmtId="0" xfId="0" applyAlignment="1" applyBorder="1" applyFont="1">
      <alignment horizontal="right" vertical="center"/>
    </xf>
    <xf borderId="2" fillId="4" fontId="2" numFmtId="0" xfId="0" applyAlignment="1" applyBorder="1" applyFont="1">
      <alignment horizontal="right" vertical="center"/>
    </xf>
    <xf borderId="2" fillId="5" fontId="2" numFmtId="0" xfId="0" applyAlignment="1" applyBorder="1" applyFont="1">
      <alignment horizontal="right" vertical="center"/>
    </xf>
    <xf borderId="2" fillId="6" fontId="2" numFmtId="0" xfId="0" applyAlignment="1" applyBorder="1" applyFont="1">
      <alignment horizontal="right" vertical="center"/>
    </xf>
    <xf borderId="2" fillId="7" fontId="2" numFmtId="0" xfId="0" applyAlignment="1" applyBorder="1" applyFont="1">
      <alignment horizontal="right" vertical="center"/>
    </xf>
    <xf borderId="2" fillId="8" fontId="2" numFmtId="0" xfId="0" applyAlignment="1" applyBorder="1" applyFont="1">
      <alignment horizontal="right" vertical="center"/>
    </xf>
    <xf borderId="2" fillId="9" fontId="2" numFmtId="0" xfId="0" applyAlignment="1" applyBorder="1" applyFont="1">
      <alignment horizontal="right" vertical="center"/>
    </xf>
    <xf borderId="2" fillId="10" fontId="2" numFmtId="0" xfId="0" applyAlignment="1" applyBorder="1" applyFont="1">
      <alignment horizontal="right" vertical="center"/>
    </xf>
    <xf borderId="2" fillId="11" fontId="2" numFmtId="0" xfId="0" applyAlignment="1" applyBorder="1" applyFont="1">
      <alignment horizontal="right" vertical="center"/>
    </xf>
    <xf borderId="2" fillId="12" fontId="2" numFmtId="0" xfId="0" applyAlignment="1" applyBorder="1" applyFont="1">
      <alignment horizontal="right" vertical="center"/>
    </xf>
    <xf borderId="2" fillId="13" fontId="2" numFmtId="0" xfId="0" applyAlignment="1" applyBorder="1" applyFont="1">
      <alignment horizontal="right" vertical="center"/>
    </xf>
    <xf borderId="2" fillId="14" fontId="2" numFmtId="0" xfId="0" applyAlignment="1" applyBorder="1" applyFont="1">
      <alignment horizontal="right" vertical="center"/>
    </xf>
    <xf borderId="2" fillId="15" fontId="1" numFmtId="0" xfId="0" applyAlignment="1" applyBorder="1" applyFont="1">
      <alignment horizontal="center" vertical="center"/>
    </xf>
    <xf borderId="2" fillId="15" fontId="1" numFmtId="166" xfId="0" applyAlignment="1" applyBorder="1" applyFont="1" applyNumberFormat="1">
      <alignment horizontal="center" vertical="center"/>
    </xf>
    <xf borderId="0" fillId="15" fontId="1" numFmtId="166" xfId="0" applyAlignment="1" applyFont="1" applyNumberFormat="1">
      <alignment horizontal="right" vertical="center"/>
    </xf>
    <xf borderId="0" fillId="15" fontId="2" numFmtId="166" xfId="0" applyAlignment="1" applyFont="1" applyNumberFormat="1">
      <alignment horizontal="right" readingOrder="0" vertical="center"/>
    </xf>
    <xf borderId="0" fillId="16" fontId="2" numFmtId="166" xfId="0" applyAlignment="1" applyFont="1" applyNumberFormat="1">
      <alignment horizontal="right" vertical="center"/>
    </xf>
    <xf borderId="0" fillId="3" fontId="2" numFmtId="166" xfId="0" applyAlignment="1" applyFont="1" applyNumberFormat="1">
      <alignment horizontal="right" vertical="center"/>
    </xf>
    <xf borderId="0" fillId="4" fontId="2" numFmtId="166" xfId="0" applyAlignment="1" applyFont="1" applyNumberFormat="1">
      <alignment horizontal="right" vertical="center"/>
    </xf>
    <xf borderId="0" fillId="5" fontId="2" numFmtId="166" xfId="0" applyAlignment="1" applyFont="1" applyNumberFormat="1">
      <alignment horizontal="right" vertical="center"/>
    </xf>
    <xf borderId="0" fillId="6" fontId="2" numFmtId="166" xfId="0" applyAlignment="1" applyFont="1" applyNumberFormat="1">
      <alignment horizontal="right" vertical="center"/>
    </xf>
    <xf borderId="0" fillId="7" fontId="2" numFmtId="166" xfId="0" applyAlignment="1" applyFont="1" applyNumberFormat="1">
      <alignment horizontal="right" vertical="center"/>
    </xf>
    <xf borderId="0" fillId="8" fontId="2" numFmtId="166" xfId="0" applyAlignment="1" applyFont="1" applyNumberFormat="1">
      <alignment horizontal="right" vertical="center"/>
    </xf>
    <xf borderId="0" fillId="9" fontId="2" numFmtId="166" xfId="0" applyAlignment="1" applyFont="1" applyNumberFormat="1">
      <alignment horizontal="right" vertical="center"/>
    </xf>
    <xf borderId="0" fillId="10" fontId="2" numFmtId="166" xfId="0" applyAlignment="1" applyFont="1" applyNumberFormat="1">
      <alignment horizontal="right" vertical="center"/>
    </xf>
    <xf borderId="0" fillId="11" fontId="2" numFmtId="166" xfId="0" applyAlignment="1" applyFont="1" applyNumberFormat="1">
      <alignment horizontal="right" vertical="center"/>
    </xf>
    <xf borderId="0" fillId="12" fontId="2" numFmtId="166" xfId="0" applyAlignment="1" applyFont="1" applyNumberFormat="1">
      <alignment horizontal="right" vertical="center"/>
    </xf>
    <xf borderId="0" fillId="13" fontId="2" numFmtId="166" xfId="0" applyAlignment="1" applyFont="1" applyNumberFormat="1">
      <alignment horizontal="right" vertical="center"/>
    </xf>
    <xf borderId="0" fillId="14" fontId="2" numFmtId="166" xfId="0" applyAlignment="1" applyFont="1" applyNumberFormat="1">
      <alignment horizontal="right" vertical="center"/>
    </xf>
    <xf borderId="0" fillId="17" fontId="1" numFmtId="166" xfId="0" applyAlignment="1" applyFill="1" applyFont="1" applyNumberFormat="1">
      <alignment horizontal="right" vertical="center"/>
    </xf>
    <xf borderId="0" fillId="17" fontId="1" numFmtId="166" xfId="0" applyAlignment="1" applyFont="1" applyNumberFormat="1">
      <alignment horizontal="right" readingOrder="0" vertical="center"/>
    </xf>
    <xf borderId="0" fillId="18" fontId="2" numFmtId="0" xfId="0" applyAlignment="1" applyFill="1" applyFont="1">
      <alignment horizontal="right" readingOrder="0" shrinkToFit="0" vertical="center" wrapText="1"/>
    </xf>
    <xf borderId="0" fillId="18" fontId="2" numFmtId="0" xfId="0" applyAlignment="1" applyFont="1">
      <alignment readingOrder="0" shrinkToFit="0" vertical="center" wrapText="1"/>
    </xf>
    <xf borderId="0" fillId="18" fontId="2" numFmtId="165" xfId="0" applyAlignment="1" applyFont="1" applyNumberFormat="1">
      <alignment shrinkToFit="0" vertical="center" wrapText="1"/>
    </xf>
    <xf borderId="0" fillId="8" fontId="4" numFmtId="0" xfId="0" applyAlignment="1" applyFont="1">
      <alignment horizontal="center" readingOrder="0" shrinkToFit="0" vertical="center" wrapText="1"/>
    </xf>
    <xf borderId="0" fillId="8" fontId="5" numFmtId="0" xfId="0" applyAlignment="1" applyFont="1">
      <alignment horizontal="center" readingOrder="0" shrinkToFit="0" vertical="center" wrapText="1"/>
    </xf>
    <xf borderId="0" fillId="8" fontId="6" numFmtId="0" xfId="0" applyAlignment="1" applyFont="1">
      <alignment horizontal="center" shrinkToFit="0" vertical="center" wrapText="1"/>
    </xf>
    <xf borderId="0" fillId="8" fontId="6" numFmtId="0" xfId="0" applyAlignment="1" applyFont="1">
      <alignment horizontal="center" readingOrder="0" shrinkToFit="0" vertical="center" wrapText="1"/>
    </xf>
    <xf borderId="0" fillId="14" fontId="6" numFmtId="0" xfId="0" applyAlignment="1" applyFont="1">
      <alignment horizontal="center" readingOrder="0" shrinkToFit="0" vertical="center" wrapText="1"/>
    </xf>
    <xf borderId="0" fillId="19" fontId="6" numFmtId="166" xfId="0" applyAlignment="1" applyFill="1" applyFont="1" applyNumberFormat="1">
      <alignment horizontal="center" readingOrder="0" shrinkToFit="0" vertical="center" wrapText="1"/>
    </xf>
    <xf borderId="3" fillId="20" fontId="7" numFmtId="49" xfId="0" applyAlignment="1" applyBorder="1" applyFill="1" applyFont="1" applyNumberFormat="1">
      <alignment horizontal="center" readingOrder="0" shrinkToFit="0" vertical="center" wrapText="1"/>
    </xf>
    <xf borderId="0" fillId="21" fontId="7" numFmtId="49" xfId="0" applyAlignment="1" applyFill="1" applyFont="1" applyNumberFormat="1">
      <alignment horizontal="center" readingOrder="0" shrinkToFit="0" vertical="center" wrapText="1"/>
    </xf>
    <xf borderId="0" fillId="6" fontId="7" numFmtId="49" xfId="0" applyAlignment="1" applyFont="1" applyNumberFormat="1">
      <alignment horizontal="center" readingOrder="0" shrinkToFit="0" vertical="center" wrapText="1"/>
    </xf>
    <xf borderId="0" fillId="22" fontId="7" numFmtId="49" xfId="0" applyAlignment="1" applyFill="1" applyFont="1" applyNumberFormat="1">
      <alignment horizontal="center" readingOrder="0" shrinkToFit="0" vertical="center" wrapText="1"/>
    </xf>
    <xf borderId="0" fillId="18" fontId="8" numFmtId="0" xfId="0" applyAlignment="1" applyFont="1">
      <alignment horizontal="center" readingOrder="0" shrinkToFit="0" wrapText="1"/>
    </xf>
    <xf borderId="0" fillId="23" fontId="9" numFmtId="0" xfId="0" applyAlignment="1" applyFill="1" applyFont="1">
      <alignment horizontal="left" readingOrder="0" shrinkToFit="0" vertical="center" wrapText="1"/>
    </xf>
    <xf borderId="0" fillId="23" fontId="9" numFmtId="167"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0" fillId="23" fontId="10" numFmtId="167" xfId="0" applyAlignment="1" applyFont="1" applyNumberFormat="1">
      <alignment horizontal="left" readingOrder="0" shrinkToFit="0" vertical="center" wrapText="1"/>
    </xf>
    <xf borderId="0" fillId="14" fontId="11" numFmtId="168" xfId="0" applyAlignment="1" applyFont="1" applyNumberFormat="1">
      <alignment horizontal="center" readingOrder="0" shrinkToFit="0" vertical="center" wrapText="1"/>
    </xf>
    <xf borderId="0" fillId="0" fontId="9" numFmtId="0" xfId="0" applyAlignment="1" applyFont="1">
      <alignment horizontal="left" readingOrder="0" shrinkToFit="0" vertical="center" wrapText="1"/>
    </xf>
    <xf borderId="0" fillId="19" fontId="9" numFmtId="166" xfId="0" applyAlignment="1" applyFont="1" applyNumberFormat="1">
      <alignment horizontal="right" readingOrder="0" shrinkToFit="0" vertical="center" wrapText="1"/>
    </xf>
    <xf borderId="0" fillId="0" fontId="12" numFmtId="168" xfId="0" applyAlignment="1" applyFont="1" applyNumberFormat="1">
      <alignment horizontal="center" readingOrder="0" shrinkToFit="0" vertical="center" wrapText="1"/>
    </xf>
    <xf borderId="0" fillId="0" fontId="11" numFmtId="168" xfId="0" applyAlignment="1" applyFont="1" applyNumberFormat="1">
      <alignment horizontal="center" readingOrder="0" shrinkToFit="0" vertical="center" wrapText="1"/>
    </xf>
    <xf borderId="4" fillId="0" fontId="13" numFmtId="0" xfId="0" applyAlignment="1" applyBorder="1" applyFont="1">
      <alignment readingOrder="0" shrinkToFit="0" vertical="center" wrapText="1"/>
    </xf>
    <xf borderId="0" fillId="0" fontId="13" numFmtId="0" xfId="0" applyAlignment="1" applyFont="1">
      <alignment readingOrder="0" shrinkToFit="0" vertical="center" wrapText="1"/>
    </xf>
    <xf borderId="0" fillId="22" fontId="13" numFmtId="0" xfId="0" applyAlignment="1" applyFont="1">
      <alignment readingOrder="0" shrinkToFit="0" vertical="center" wrapText="1"/>
    </xf>
    <xf borderId="0" fillId="23" fontId="9" numFmtId="167" xfId="0" applyAlignment="1" applyFont="1" applyNumberFormat="1">
      <alignment horizontal="left" shrinkToFit="0" vertical="center" wrapText="1"/>
    </xf>
    <xf borderId="0" fillId="23" fontId="9" numFmtId="0" xfId="0" applyAlignment="1" applyFont="1">
      <alignment horizontal="left" shrinkToFit="0" vertical="center" wrapText="1"/>
    </xf>
    <xf borderId="0" fillId="23" fontId="10" numFmtId="164" xfId="0" applyAlignment="1" applyFont="1" applyNumberFormat="1">
      <alignment horizontal="left" shrinkToFit="0" vertical="center" wrapText="1"/>
    </xf>
    <xf borderId="0" fillId="23" fontId="10" numFmtId="164" xfId="0" applyAlignment="1" applyFont="1" applyNumberFormat="1">
      <alignment horizontal="left" readingOrder="0" shrinkToFit="0" vertical="center" wrapText="1"/>
    </xf>
    <xf borderId="5" fillId="0" fontId="11" numFmtId="167" xfId="0" applyAlignment="1" applyBorder="1" applyFont="1" applyNumberFormat="1">
      <alignment shrinkToFit="0" vertical="center" wrapText="1"/>
    </xf>
    <xf borderId="0" fillId="0" fontId="11" numFmtId="0" xfId="0" applyAlignment="1" applyFont="1">
      <alignment readingOrder="0" shrinkToFit="0" wrapText="1"/>
    </xf>
    <xf borderId="0" fillId="0" fontId="9" numFmtId="167" xfId="0" applyAlignment="1" applyFont="1" applyNumberFormat="1">
      <alignment horizontal="left" readingOrder="0" shrinkToFit="0" vertical="center" wrapText="1"/>
    </xf>
    <xf borderId="0" fillId="0" fontId="9" numFmtId="167" xfId="0" applyAlignment="1" applyFont="1" applyNumberFormat="1">
      <alignment horizontal="left" shrinkToFit="0" vertical="center" wrapText="1"/>
    </xf>
    <xf borderId="0" fillId="0" fontId="9" numFmtId="0" xfId="0" applyAlignment="1" applyFont="1">
      <alignment horizontal="left" shrinkToFit="0" vertical="center" wrapText="1"/>
    </xf>
    <xf borderId="0" fillId="0" fontId="10" numFmtId="167" xfId="0" applyAlignment="1" applyFont="1" applyNumberFormat="1">
      <alignment horizontal="left" readingOrder="0" shrinkToFit="0" vertical="center" wrapText="1"/>
    </xf>
    <xf borderId="0" fillId="0" fontId="9" numFmtId="164" xfId="0" applyAlignment="1" applyFont="1" applyNumberFormat="1">
      <alignment horizontal="left" readingOrder="0" shrinkToFit="0" vertical="center" wrapText="1"/>
    </xf>
    <xf borderId="0" fillId="0" fontId="10" numFmtId="164" xfId="0" applyAlignment="1" applyFont="1" applyNumberFormat="1">
      <alignment horizontal="left" readingOrder="0" shrinkToFit="0" vertical="center" wrapText="1"/>
    </xf>
    <xf borderId="0" fillId="23" fontId="11" numFmtId="164" xfId="0" applyAlignment="1" applyFont="1" applyNumberFormat="1">
      <alignment horizontal="left" readingOrder="0" shrinkToFit="0" vertical="center" wrapText="1"/>
    </xf>
    <xf borderId="0" fillId="23" fontId="9" numFmtId="167" xfId="0" applyAlignment="1" applyFont="1" applyNumberFormat="1">
      <alignment horizontal="left" readingOrder="0" shrinkToFit="0" wrapText="1"/>
    </xf>
    <xf borderId="0" fillId="23" fontId="9" numFmtId="0" xfId="0" applyFont="1"/>
    <xf borderId="0" fillId="23" fontId="9" numFmtId="0" xfId="0" applyAlignment="1" applyFont="1">
      <alignment readingOrder="0" shrinkToFit="0" wrapText="1"/>
    </xf>
    <xf borderId="0" fillId="23" fontId="9" numFmtId="0" xfId="0" applyAlignment="1" applyFont="1">
      <alignment horizontal="left" readingOrder="0" shrinkToFit="0" wrapText="1"/>
    </xf>
    <xf borderId="0" fillId="23" fontId="9" numFmtId="0" xfId="0" applyAlignment="1" applyFont="1">
      <alignment horizontal="left" readingOrder="0"/>
    </xf>
    <xf borderId="0" fillId="14" fontId="9" numFmtId="168" xfId="0" applyAlignment="1" applyFont="1" applyNumberFormat="1">
      <alignment horizontal="center" readingOrder="0" shrinkToFit="0" wrapText="1"/>
    </xf>
    <xf borderId="0" fillId="0" fontId="2" numFmtId="0" xfId="0" applyAlignment="1" applyFont="1">
      <alignment shrinkToFit="0" wrapText="1"/>
    </xf>
    <xf borderId="0" fillId="0" fontId="14" numFmtId="0" xfId="0" applyAlignment="1" applyFont="1">
      <alignment shrinkToFit="0" wrapText="1"/>
    </xf>
    <xf borderId="0" fillId="23" fontId="10" numFmtId="0" xfId="0" applyAlignment="1" applyFont="1">
      <alignment horizontal="left" readingOrder="0" shrinkToFit="0" vertical="center" wrapText="1"/>
    </xf>
    <xf borderId="0" fillId="23" fontId="15" numFmtId="164" xfId="0" applyAlignment="1" applyFont="1" applyNumberFormat="1">
      <alignment horizontal="left" readingOrder="0" shrinkToFit="0" vertical="center" wrapText="1"/>
    </xf>
    <xf borderId="0" fillId="23" fontId="15" numFmtId="167" xfId="0" applyAlignment="1" applyFont="1" applyNumberFormat="1">
      <alignment horizontal="left" readingOrder="0" shrinkToFit="0" vertical="center" wrapText="1"/>
    </xf>
    <xf borderId="0" fillId="0" fontId="15" numFmtId="167"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4" fillId="0" fontId="13" numFmtId="0" xfId="0" applyAlignment="1" applyBorder="1" applyFont="1">
      <alignment shrinkToFit="0" vertical="center" wrapText="1"/>
    </xf>
    <xf borderId="0" fillId="19" fontId="9" numFmtId="166" xfId="0" applyAlignment="1" applyFont="1" applyNumberFormat="1">
      <alignment horizontal="right"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left" shrinkToFit="0" vertical="center" wrapText="1"/>
    </xf>
    <xf borderId="0" fillId="0" fontId="10" numFmtId="167" xfId="0" applyAlignment="1" applyFont="1" applyNumberFormat="1">
      <alignment horizontal="left" shrinkToFit="0" vertical="center" wrapText="1"/>
    </xf>
    <xf borderId="0" fillId="23" fontId="12" numFmtId="168" xfId="0" applyAlignment="1" applyFont="1" applyNumberFormat="1">
      <alignment horizontal="center" readingOrder="0" shrinkToFit="0" vertical="center" wrapText="1"/>
    </xf>
    <xf borderId="0" fillId="0" fontId="9" numFmtId="167" xfId="0" applyAlignment="1" applyFont="1" applyNumberFormat="1">
      <alignment horizontal="left" readingOrder="0" shrinkToFit="0" wrapText="1"/>
    </xf>
    <xf borderId="0" fillId="0" fontId="9" numFmtId="0" xfId="0" applyAlignment="1" applyFont="1">
      <alignment readingOrder="0" shrinkToFit="0" wrapText="1"/>
    </xf>
    <xf borderId="0" fillId="0" fontId="9" numFmtId="0" xfId="0" applyAlignment="1" applyFont="1">
      <alignment horizontal="left" readingOrder="0" shrinkToFit="0" wrapText="1"/>
    </xf>
    <xf borderId="0" fillId="0" fontId="10" numFmtId="164" xfId="0" applyAlignment="1" applyFont="1" applyNumberFormat="1">
      <alignment horizontal="left" readingOrder="0" shrinkToFit="0" wrapText="1"/>
    </xf>
    <xf borderId="6" fillId="0" fontId="13" numFmtId="0" xfId="0" applyAlignment="1" applyBorder="1" applyFont="1">
      <alignment readingOrder="0" shrinkToFit="0" vertical="center" wrapText="1"/>
    </xf>
    <xf borderId="7" fillId="15" fontId="16" numFmtId="0" xfId="0" applyAlignment="1" applyBorder="1" applyFont="1">
      <alignment horizontal="right" readingOrder="0" shrinkToFit="0" vertical="center" wrapText="1"/>
    </xf>
    <xf borderId="7" fillId="15" fontId="16" numFmtId="0" xfId="0" applyAlignment="1" applyBorder="1" applyFont="1">
      <alignment horizontal="center" shrinkToFit="0" vertical="center" wrapText="1"/>
    </xf>
    <xf borderId="7" fillId="15" fontId="9" numFmtId="0" xfId="0" applyAlignment="1" applyBorder="1" applyFont="1">
      <alignment horizontal="center" readingOrder="0" shrinkToFit="0" vertical="center" wrapText="1"/>
    </xf>
    <xf borderId="7" fillId="15" fontId="16" numFmtId="166" xfId="0" applyAlignment="1" applyBorder="1" applyFont="1" applyNumberFormat="1">
      <alignment horizontal="right" shrinkToFit="0" vertical="center" wrapText="1"/>
    </xf>
    <xf borderId="0" fillId="0" fontId="9" numFmtId="0" xfId="0" applyAlignment="1" applyFont="1">
      <alignment horizontal="right" readingOrder="0" shrinkToFit="0" vertical="center" wrapText="1"/>
    </xf>
    <xf borderId="0" fillId="0" fontId="9" numFmtId="0" xfId="0" applyAlignment="1" applyFont="1">
      <alignment horizontal="center" shrinkToFit="0" vertical="center" wrapText="1"/>
    </xf>
    <xf borderId="0" fillId="15" fontId="9" numFmtId="0" xfId="0" applyAlignment="1" applyFont="1">
      <alignment horizontal="right" readingOrder="0" shrinkToFit="0" vertical="center" wrapText="1"/>
    </xf>
    <xf borderId="0" fillId="19" fontId="2" numFmtId="0" xfId="0" applyAlignment="1" applyFont="1">
      <alignment horizontal="right" readingOrder="0" shrinkToFit="0" vertical="center" wrapText="1"/>
    </xf>
    <xf borderId="0" fillId="19" fontId="2" numFmtId="166" xfId="0" applyAlignment="1" applyFont="1" applyNumberFormat="1">
      <alignment horizontal="right" readingOrder="0" shrinkToFit="0" vertical="center" wrapText="1"/>
    </xf>
    <xf borderId="0" fillId="19" fontId="2" numFmtId="0" xfId="0" applyAlignment="1" applyFont="1">
      <alignment shrinkToFit="0" wrapText="1"/>
    </xf>
    <xf borderId="0" fillId="15" fontId="9" numFmtId="166" xfId="0" applyAlignment="1" applyFont="1" applyNumberFormat="1">
      <alignment horizontal="right" readingOrder="0" shrinkToFit="0" vertical="center" wrapText="1"/>
    </xf>
    <xf borderId="0" fillId="15" fontId="9" numFmtId="166" xfId="0" applyAlignment="1" applyFont="1" applyNumberFormat="1">
      <alignment horizontal="left" shrinkToFit="0" vertical="center" wrapText="1"/>
    </xf>
    <xf borderId="0" fillId="0" fontId="2" numFmtId="0" xfId="0" applyAlignment="1" applyFont="1">
      <alignment horizontal="right" readingOrder="0" shrinkToFit="0" vertical="center" wrapText="1"/>
    </xf>
    <xf borderId="0" fillId="15" fontId="2" numFmtId="0" xfId="0" applyAlignment="1" applyFont="1">
      <alignment horizontal="right" readingOrder="0" shrinkToFit="0" vertical="center" wrapText="1"/>
    </xf>
    <xf borderId="0" fillId="15" fontId="2" numFmtId="166" xfId="0" applyAlignment="1" applyFont="1" applyNumberFormat="1">
      <alignment horizontal="right" readingOrder="0" shrinkToFit="0" vertical="center" wrapText="1"/>
    </xf>
    <xf borderId="0" fillId="0" fontId="9" numFmtId="0" xfId="0" applyAlignment="1" applyFont="1">
      <alignment horizontal="right" shrinkToFit="0" vertical="center" wrapText="1"/>
    </xf>
    <xf borderId="0" fillId="18" fontId="8" numFmtId="0" xfId="0" applyAlignment="1" applyFont="1">
      <alignment horizontal="center" readingOrder="0" shrinkToFit="0" vertical="center" wrapText="1"/>
    </xf>
    <xf borderId="0" fillId="14" fontId="9" numFmtId="166" xfId="0" applyAlignment="1" applyFont="1" applyNumberFormat="1">
      <alignment horizontal="left" readingOrder="0" shrinkToFit="0" vertical="center" wrapText="1"/>
    </xf>
    <xf borderId="0" fillId="19" fontId="9" numFmtId="166" xfId="0" applyAlignment="1" applyFont="1" applyNumberFormat="1">
      <alignment horizontal="left" readingOrder="0" shrinkToFit="0" vertical="center" wrapText="1"/>
    </xf>
    <xf borderId="0" fillId="0" fontId="9" numFmtId="168" xfId="0" applyAlignment="1" applyFont="1" applyNumberFormat="1">
      <alignment shrinkToFit="0" wrapText="1"/>
    </xf>
    <xf borderId="0" fillId="14" fontId="9" numFmtId="166" xfId="0" applyAlignment="1" applyFont="1" applyNumberFormat="1">
      <alignment horizontal="left" shrinkToFit="0" vertical="center" wrapText="1"/>
    </xf>
    <xf borderId="0" fillId="23" fontId="17" numFmtId="0" xfId="0" applyAlignment="1" applyFont="1">
      <alignment readingOrder="0" shrinkToFit="0" wrapText="1"/>
    </xf>
    <xf borderId="0" fillId="0" fontId="9" numFmtId="164" xfId="0" applyAlignment="1" applyFont="1" applyNumberFormat="1">
      <alignment horizontal="left" shrinkToFit="0" vertical="center" wrapText="1"/>
    </xf>
    <xf borderId="0" fillId="0" fontId="9" numFmtId="0" xfId="0" applyAlignment="1" applyFont="1">
      <alignment horizontal="left" shrinkToFit="0" vertical="center" wrapText="1"/>
    </xf>
    <xf borderId="0" fillId="23" fontId="18" numFmtId="0" xfId="0" applyAlignment="1" applyFont="1">
      <alignment readingOrder="0" shrinkToFit="0" wrapText="1"/>
    </xf>
    <xf borderId="0" fillId="0" fontId="9" numFmtId="169" xfId="0" applyAlignment="1" applyFont="1" applyNumberFormat="1">
      <alignment horizontal="left" readingOrder="0" shrinkToFit="0" vertical="center" wrapText="1"/>
    </xf>
    <xf borderId="0" fillId="0" fontId="9" numFmtId="169" xfId="0" applyAlignment="1" applyFont="1" applyNumberFormat="1">
      <alignment horizontal="left" readingOrder="0" shrinkToFit="0" wrapText="1"/>
    </xf>
    <xf borderId="0" fillId="0" fontId="9" numFmtId="0" xfId="0" applyAlignment="1" applyFont="1">
      <alignment shrinkToFit="0" wrapText="1"/>
    </xf>
    <xf borderId="0" fillId="0" fontId="9" numFmtId="0" xfId="0" applyAlignment="1" applyFont="1">
      <alignment horizontal="left" shrinkToFit="0" wrapText="1"/>
    </xf>
    <xf borderId="0" fillId="23" fontId="11" numFmtId="0" xfId="0" applyAlignment="1" applyFont="1">
      <alignment horizontal="left" readingOrder="0" shrinkToFit="0" wrapText="1"/>
    </xf>
    <xf borderId="7" fillId="15" fontId="16" numFmtId="166" xfId="0" applyAlignment="1" applyBorder="1" applyFont="1" applyNumberFormat="1">
      <alignment horizontal="center" shrinkToFit="0" vertical="center" wrapText="1"/>
    </xf>
    <xf borderId="0" fillId="19" fontId="2" numFmtId="166" xfId="0" applyAlignment="1" applyFont="1" applyNumberFormat="1">
      <alignment shrinkToFit="0" wrapText="1"/>
    </xf>
    <xf borderId="0" fillId="15" fontId="15" numFmtId="0" xfId="0" applyAlignment="1" applyFont="1">
      <alignment horizontal="right" readingOrder="0" shrinkToFit="0" vertical="center" wrapText="1"/>
    </xf>
    <xf borderId="0" fillId="15" fontId="9" numFmtId="166" xfId="0" applyAlignment="1" applyFont="1" applyNumberFormat="1">
      <alignment horizontal="right" shrinkToFit="0" vertical="center" wrapText="1"/>
    </xf>
    <xf borderId="8" fillId="15" fontId="2" numFmtId="0" xfId="0" applyAlignment="1" applyBorder="1" applyFont="1">
      <alignment horizontal="right" readingOrder="0" shrinkToFit="0" vertical="center" wrapText="1"/>
    </xf>
    <xf borderId="8" fillId="15" fontId="2" numFmtId="166" xfId="0" applyAlignment="1" applyBorder="1" applyFont="1" applyNumberFormat="1">
      <alignment horizontal="right" readingOrder="0" shrinkToFit="0" vertical="center" wrapText="1"/>
    </xf>
    <xf borderId="8" fillId="0" fontId="19" numFmtId="0" xfId="0" applyBorder="1" applyFont="1"/>
    <xf borderId="9" fillId="0" fontId="16" numFmtId="0" xfId="0" applyAlignment="1" applyBorder="1" applyFont="1">
      <alignment horizontal="right" readingOrder="0" shrinkToFit="0" vertical="center" wrapText="1"/>
    </xf>
    <xf borderId="10" fillId="0" fontId="16" numFmtId="0" xfId="0" applyAlignment="1" applyBorder="1" applyFont="1">
      <alignment horizontal="center" shrinkToFit="0" vertical="center" wrapText="1"/>
    </xf>
    <xf borderId="9" fillId="15" fontId="16" numFmtId="0" xfId="0" applyAlignment="1" applyBorder="1" applyFont="1">
      <alignment horizontal="right" readingOrder="0" shrinkToFit="0" vertical="center" wrapText="1"/>
    </xf>
    <xf borderId="0" fillId="19" fontId="16" numFmtId="0" xfId="0" applyAlignment="1" applyFont="1">
      <alignment horizontal="right" readingOrder="0" shrinkToFit="0" vertical="center" wrapText="1"/>
    </xf>
    <xf borderId="0" fillId="19" fontId="16" numFmtId="166" xfId="0" applyAlignment="1" applyFont="1" applyNumberFormat="1">
      <alignment horizontal="right" readingOrder="0" shrinkToFit="0" vertical="center" wrapText="1"/>
    </xf>
    <xf borderId="0" fillId="19" fontId="1" numFmtId="166" xfId="0" applyAlignment="1" applyFont="1" applyNumberFormat="1">
      <alignment shrinkToFit="0" wrapText="1"/>
    </xf>
    <xf borderId="0" fillId="24" fontId="1" numFmtId="166" xfId="0" applyAlignment="1" applyFill="1" applyFont="1" applyNumberFormat="1">
      <alignment horizontal="right" readingOrder="0" shrinkToFit="0" vertical="center" wrapText="1"/>
    </xf>
    <xf borderId="11" fillId="24" fontId="16" numFmtId="166" xfId="0" applyAlignment="1" applyBorder="1" applyFont="1" applyNumberFormat="1">
      <alignment horizontal="left" shrinkToFit="0" vertical="center" wrapText="1"/>
    </xf>
    <xf borderId="11" fillId="25" fontId="16" numFmtId="166" xfId="0" applyAlignment="1" applyBorder="1" applyFill="1" applyFont="1" applyNumberFormat="1">
      <alignment horizontal="right" readingOrder="0" shrinkToFit="0" vertical="center" wrapText="1"/>
    </xf>
    <xf borderId="11" fillId="25" fontId="16" numFmtId="166" xfId="0" applyAlignment="1" applyBorder="1" applyFont="1" applyNumberFormat="1">
      <alignment horizontal="left" shrinkToFit="0" vertical="center" wrapText="1"/>
    </xf>
    <xf borderId="11" fillId="0" fontId="19" numFmtId="0" xfId="0" applyBorder="1" applyFont="1"/>
    <xf borderId="12" fillId="0" fontId="16" numFmtId="0" xfId="0" applyAlignment="1" applyBorder="1" applyFont="1">
      <alignment horizontal="right" readingOrder="0" shrinkToFit="0" vertical="center" wrapText="1"/>
    </xf>
    <xf borderId="13" fillId="0" fontId="16" numFmtId="0" xfId="0" applyAlignment="1" applyBorder="1" applyFont="1">
      <alignment horizontal="center" shrinkToFit="0" vertical="center" wrapText="1"/>
    </xf>
    <xf borderId="12" fillId="0" fontId="19" numFmtId="0" xfId="0" applyBorder="1" applyFont="1"/>
    <xf borderId="0" fillId="0" fontId="1" numFmtId="0" xfId="0" applyAlignment="1" applyFont="1">
      <alignment horizontal="right" readingOrder="0" shrinkToFit="0" vertical="center" wrapText="1"/>
    </xf>
    <xf borderId="0" fillId="0" fontId="1" numFmtId="0" xfId="0" applyAlignment="1" applyFont="1">
      <alignment horizontal="right" shrinkToFit="0" vertical="center" wrapText="1"/>
    </xf>
    <xf borderId="14" fillId="0" fontId="16" numFmtId="0" xfId="0" applyAlignment="1" applyBorder="1" applyFont="1">
      <alignment horizontal="right" readingOrder="0" shrinkToFit="0" vertical="center" wrapText="1"/>
    </xf>
    <xf borderId="15" fillId="0" fontId="16" numFmtId="0" xfId="0" applyAlignment="1" applyBorder="1" applyFont="1">
      <alignment horizontal="center" shrinkToFit="0" vertical="center" wrapText="1"/>
    </xf>
    <xf borderId="0" fillId="26" fontId="1" numFmtId="0" xfId="0" applyAlignment="1" applyFill="1" applyFont="1">
      <alignment horizontal="right" readingOrder="0" shrinkToFit="0" vertical="center" wrapText="1"/>
    </xf>
    <xf borderId="0" fillId="26" fontId="1" numFmtId="166" xfId="0" applyAlignment="1" applyFont="1" applyNumberFormat="1">
      <alignment shrinkToFit="0" vertical="center" wrapText="1"/>
    </xf>
    <xf borderId="12" fillId="0" fontId="16" numFmtId="0" xfId="0" applyAlignment="1" applyBorder="1" applyFont="1">
      <alignment horizontal="right" shrinkToFit="0" vertical="center" wrapText="1"/>
    </xf>
    <xf borderId="0" fillId="24" fontId="16" numFmtId="166" xfId="0" applyAlignment="1" applyFont="1" applyNumberFormat="1">
      <alignment horizontal="left" shrinkToFit="0" vertical="center" wrapText="1"/>
    </xf>
    <xf borderId="16" fillId="0" fontId="16" numFmtId="0" xfId="0" applyAlignment="1" applyBorder="1" applyFont="1">
      <alignment horizontal="right" shrinkToFit="0" vertical="center" wrapText="1"/>
    </xf>
    <xf borderId="17" fillId="0" fontId="16" numFmtId="0" xfId="0" applyAlignment="1" applyBorder="1" applyFont="1">
      <alignment horizontal="center" shrinkToFit="0" vertical="center" wrapText="1"/>
    </xf>
    <xf borderId="16" fillId="0" fontId="19" numFmtId="0" xfId="0" applyBorder="1" applyFont="1"/>
    <xf borderId="8" fillId="26" fontId="1" numFmtId="0" xfId="0" applyAlignment="1" applyBorder="1" applyFont="1">
      <alignment horizontal="right" readingOrder="0" shrinkToFit="0" vertical="center" wrapText="1"/>
    </xf>
    <xf borderId="8" fillId="26" fontId="1" numFmtId="166" xfId="0" applyAlignment="1" applyBorder="1" applyFont="1" applyNumberFormat="1">
      <alignment shrinkToFit="0" vertical="center" wrapText="1"/>
    </xf>
    <xf borderId="0" fillId="23" fontId="10" numFmtId="169" xfId="0" applyAlignment="1" applyFont="1" applyNumberFormat="1">
      <alignment horizontal="left" readingOrder="0" shrinkToFit="0" vertical="center" wrapText="1"/>
    </xf>
    <xf borderId="5" fillId="0" fontId="11" numFmtId="0" xfId="0" applyAlignment="1" applyBorder="1" applyFont="1">
      <alignment readingOrder="0" shrinkToFit="0" vertical="center" wrapText="1"/>
    </xf>
    <xf borderId="0" fillId="0" fontId="2" numFmtId="0" xfId="0" applyFont="1"/>
    <xf borderId="0" fillId="14" fontId="11" numFmtId="168" xfId="0" applyAlignment="1" applyFont="1" applyNumberFormat="1">
      <alignment horizontal="center" shrinkToFit="0" vertical="center" wrapText="1"/>
    </xf>
    <xf borderId="0" fillId="0" fontId="2" numFmtId="0" xfId="0" applyAlignment="1" applyFont="1">
      <alignment horizontal="left" readingOrder="0"/>
    </xf>
    <xf borderId="0" fillId="27" fontId="4" numFmtId="0" xfId="0" applyAlignment="1" applyFill="1" applyFont="1">
      <alignment horizontal="center" readingOrder="0" shrinkToFit="0" vertical="center" wrapText="1"/>
    </xf>
    <xf borderId="0" fillId="27" fontId="20" numFmtId="0" xfId="0" applyAlignment="1" applyFont="1">
      <alignment horizontal="center" readingOrder="0" vertical="center"/>
    </xf>
    <xf borderId="0" fillId="27" fontId="6" numFmtId="0" xfId="0" applyAlignment="1" applyFont="1">
      <alignment horizontal="center" shrinkToFit="0" vertical="center" wrapText="1"/>
    </xf>
    <xf borderId="0" fillId="27" fontId="6" numFmtId="0" xfId="0" applyAlignment="1" applyFont="1">
      <alignment horizontal="center" readingOrder="0" shrinkToFit="0" vertical="center" wrapText="1"/>
    </xf>
    <xf borderId="18" fillId="20" fontId="7" numFmtId="49" xfId="0" applyAlignment="1" applyBorder="1" applyFont="1" applyNumberFormat="1">
      <alignment horizontal="center" readingOrder="0" shrinkToFit="0" vertical="center" wrapText="1"/>
    </xf>
    <xf borderId="0" fillId="13" fontId="8" numFmtId="0" xfId="0" applyAlignment="1" applyFont="1">
      <alignment horizontal="center" readingOrder="0" shrinkToFit="0" wrapText="1"/>
    </xf>
    <xf borderId="0" fillId="13" fontId="8" numFmtId="0" xfId="0" applyAlignment="1" applyFont="1">
      <alignment horizontal="center" readingOrder="0" vertical="center"/>
    </xf>
    <xf borderId="0" fillId="13" fontId="9" numFmtId="0" xfId="0" applyAlignment="1" applyFont="1">
      <alignment horizontal="right" readingOrder="0" shrinkToFit="0" vertical="center" wrapText="1"/>
    </xf>
    <xf borderId="0" fillId="13" fontId="6" numFmtId="0" xfId="0" applyAlignment="1" applyFont="1">
      <alignment horizontal="center" readingOrder="0" vertical="center"/>
    </xf>
    <xf borderId="19" fillId="0" fontId="13" numFmtId="0" xfId="0" applyAlignment="1" applyBorder="1" applyFont="1">
      <alignment readingOrder="0" shrinkToFit="0" vertical="center" wrapText="1"/>
    </xf>
    <xf borderId="0" fillId="0" fontId="2" numFmtId="164" xfId="0" applyAlignment="1" applyFont="1" applyNumberFormat="1">
      <alignment horizontal="left" readingOrder="0" shrinkToFit="0" wrapText="1"/>
    </xf>
    <xf borderId="0" fillId="23" fontId="11" numFmtId="0" xfId="0" applyAlignment="1" applyFont="1">
      <alignment horizontal="left" readingOrder="0" shrinkToFit="0" vertical="center" wrapText="1"/>
    </xf>
    <xf borderId="0" fillId="6" fontId="9" numFmtId="167" xfId="0" applyAlignment="1" applyFont="1" applyNumberFormat="1">
      <alignment horizontal="left" readingOrder="0" shrinkToFit="0" vertical="center" wrapText="1"/>
    </xf>
    <xf borderId="0" fillId="6" fontId="8" numFmtId="0" xfId="0" applyAlignment="1" applyFont="1">
      <alignment horizontal="center" readingOrder="0" vertical="center"/>
    </xf>
    <xf borderId="0" fillId="6" fontId="9" numFmtId="0" xfId="0" applyAlignment="1" applyFont="1">
      <alignment horizontal="right" readingOrder="0" shrinkToFit="0" vertical="center" wrapText="1"/>
    </xf>
    <xf borderId="0" fillId="6" fontId="6" numFmtId="0" xfId="0" applyAlignment="1" applyFont="1">
      <alignment horizontal="center" readingOrder="0" vertical="center"/>
    </xf>
    <xf borderId="0" fillId="0" fontId="9" numFmtId="0" xfId="0" applyAlignment="1" applyFont="1">
      <alignment horizontal="right" readingOrder="0" vertical="center"/>
    </xf>
    <xf borderId="0" fillId="0" fontId="9" numFmtId="0" xfId="0" applyAlignment="1" applyFont="1">
      <alignment horizontal="center" vertical="center"/>
    </xf>
    <xf borderId="5" fillId="0" fontId="11" numFmtId="49" xfId="0" applyAlignment="1" applyBorder="1" applyFont="1" applyNumberFormat="1">
      <alignment horizontal="left" readingOrder="0" shrinkToFit="0" vertical="center" wrapText="1"/>
    </xf>
    <xf borderId="0" fillId="0" fontId="15" numFmtId="167" xfId="0" applyAlignment="1" applyFont="1" applyNumberFormat="1">
      <alignment horizontal="left" readingOrder="0" shrinkToFit="0" vertical="center" wrapText="1"/>
    </xf>
    <xf borderId="0" fillId="28" fontId="9" numFmtId="0" xfId="0" applyAlignment="1" applyFill="1" applyFont="1">
      <alignment horizontal="left" readingOrder="0" shrinkToFit="0" vertical="center" wrapText="1"/>
    </xf>
    <xf borderId="0" fillId="13" fontId="8"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9" numFmtId="168" xfId="0" applyAlignment="1" applyFont="1" applyNumberFormat="1">
      <alignment shrinkToFit="0" vertical="center" wrapText="1"/>
    </xf>
    <xf borderId="0" fillId="14" fontId="9" numFmtId="168" xfId="0" applyAlignment="1" applyFont="1" applyNumberFormat="1">
      <alignment horizontal="left" readingOrder="0" shrinkToFit="0" vertical="center" wrapText="1"/>
    </xf>
    <xf borderId="0" fillId="0" fontId="9" numFmtId="168" xfId="0" applyAlignment="1" applyFont="1" applyNumberFormat="1">
      <alignment readingOrder="0" shrinkToFit="0" wrapText="1"/>
    </xf>
    <xf borderId="0" fillId="6" fontId="9" numFmtId="164" xfId="0" applyAlignment="1" applyFont="1" applyNumberFormat="1">
      <alignment horizontal="left" readingOrder="0" shrinkToFit="0" vertical="center" wrapText="1"/>
    </xf>
    <xf borderId="0" fillId="0" fontId="9" numFmtId="49" xfId="0" applyAlignment="1" applyFont="1" applyNumberFormat="1">
      <alignment horizontal="left" readingOrder="0" shrinkToFit="0" vertical="center" wrapText="1"/>
    </xf>
    <xf borderId="0" fillId="0" fontId="2" numFmtId="0" xfId="0" applyAlignment="1" applyFont="1">
      <alignment readingOrder="0"/>
    </xf>
    <xf borderId="0" fillId="0" fontId="2" numFmtId="0" xfId="0" applyAlignment="1" applyFont="1">
      <alignment horizontal="left" readingOrder="0" shrinkToFit="0" wrapText="1"/>
    </xf>
    <xf borderId="0" fillId="0" fontId="2" numFmtId="0" xfId="0" applyAlignment="1" applyFont="1">
      <alignment horizontal="left" readingOrder="0" shrinkToFit="0" vertical="center" wrapText="1"/>
    </xf>
    <xf borderId="0" fillId="0" fontId="9" numFmtId="0" xfId="0" applyAlignment="1" applyFont="1">
      <alignment shrinkToFit="0" vertical="center" wrapText="1"/>
    </xf>
    <xf borderId="0" fillId="23" fontId="9" numFmtId="0" xfId="0" applyAlignment="1" applyFont="1">
      <alignment readingOrder="0" shrinkToFit="0" vertical="center" wrapText="1"/>
    </xf>
    <xf borderId="0" fillId="23" fontId="9" numFmtId="0" xfId="0" applyAlignment="1" applyFont="1">
      <alignment shrinkToFit="0" vertical="center" wrapText="1"/>
    </xf>
    <xf borderId="0" fillId="23" fontId="9" numFmtId="0" xfId="0" applyAlignment="1" applyFont="1">
      <alignment horizontal="left" shrinkToFit="0" wrapText="1"/>
    </xf>
    <xf borderId="0" fillId="23" fontId="10" numFmtId="167" xfId="0" applyAlignment="1" applyFont="1" applyNumberFormat="1">
      <alignment horizontal="left" shrinkToFit="0" vertical="center" wrapText="1"/>
    </xf>
    <xf borderId="0" fillId="14" fontId="9" numFmtId="168" xfId="0" applyAlignment="1" applyFont="1" applyNumberFormat="1">
      <alignment horizontal="left" shrinkToFit="0" vertical="center" wrapText="1"/>
    </xf>
    <xf borderId="0" fillId="0" fontId="9" numFmtId="167" xfId="0" applyAlignment="1" applyFont="1" applyNumberFormat="1">
      <alignment horizontal="left" shrinkToFit="0" wrapText="1"/>
    </xf>
    <xf borderId="0" fillId="23" fontId="9" numFmtId="167" xfId="0" applyAlignment="1" applyFont="1" applyNumberFormat="1">
      <alignment horizontal="left" shrinkToFit="0" wrapText="1"/>
    </xf>
    <xf borderId="0" fillId="23" fontId="9" numFmtId="0" xfId="0" applyAlignment="1" applyFont="1">
      <alignment shrinkToFit="0" wrapText="1"/>
    </xf>
    <xf borderId="0" fillId="27" fontId="8" numFmtId="0" xfId="0" applyAlignment="1" applyFont="1">
      <alignment horizontal="center" readingOrder="0" vertical="center"/>
    </xf>
    <xf borderId="0" fillId="27" fontId="6" numFmtId="0" xfId="0" applyAlignment="1" applyFont="1">
      <alignment horizontal="left" vertical="center"/>
    </xf>
    <xf borderId="0" fillId="27" fontId="6" numFmtId="0" xfId="0" applyAlignment="1" applyFont="1">
      <alignment horizontal="left" readingOrder="0" vertical="center"/>
    </xf>
    <xf borderId="0" fillId="27" fontId="6" numFmtId="170" xfId="0" applyAlignment="1" applyFont="1" applyNumberFormat="1">
      <alignment horizontal="left" readingOrder="0" vertical="center"/>
    </xf>
    <xf borderId="0" fillId="19" fontId="6" numFmtId="166" xfId="0" applyAlignment="1" applyFont="1" applyNumberFormat="1">
      <alignment horizontal="center" readingOrder="0" vertical="center"/>
    </xf>
    <xf borderId="0" fillId="12" fontId="6" numFmtId="166" xfId="0" applyAlignment="1" applyFont="1" applyNumberFormat="1">
      <alignment horizontal="center" readingOrder="0" shrinkToFit="0" vertical="center" wrapText="1"/>
    </xf>
    <xf borderId="0" fillId="27" fontId="6" numFmtId="0" xfId="0" applyAlignment="1" applyFont="1">
      <alignment horizontal="center" readingOrder="0" vertical="center"/>
    </xf>
    <xf borderId="0" fillId="13" fontId="21" numFmtId="0" xfId="0" applyAlignment="1" applyFont="1">
      <alignment horizontal="center" readingOrder="0" vertical="center"/>
    </xf>
    <xf borderId="0" fillId="23" fontId="2" numFmtId="0" xfId="0" applyAlignment="1" applyFont="1">
      <alignment horizontal="left" readingOrder="0" vertical="center"/>
    </xf>
    <xf borderId="0" fillId="23" fontId="9" numFmtId="167" xfId="0" applyAlignment="1" applyFont="1" applyNumberFormat="1">
      <alignment horizontal="left"/>
    </xf>
    <xf borderId="0" fillId="0" fontId="9" numFmtId="0" xfId="0" applyFont="1"/>
    <xf borderId="0" fillId="23" fontId="9" numFmtId="0" xfId="0" applyAlignment="1" applyFont="1">
      <alignment horizontal="left"/>
    </xf>
    <xf borderId="0" fillId="19" fontId="2" numFmtId="166" xfId="0" applyAlignment="1" applyFont="1" applyNumberFormat="1">
      <alignment horizontal="left" readingOrder="0" vertical="center"/>
    </xf>
    <xf borderId="0" fillId="12" fontId="2" numFmtId="166" xfId="0" applyAlignment="1" applyFont="1" applyNumberFormat="1">
      <alignment horizontal="left" readingOrder="0" vertical="center"/>
    </xf>
    <xf borderId="0" fillId="0" fontId="11" numFmtId="168" xfId="0" applyAlignment="1" applyFont="1" applyNumberFormat="1">
      <alignment horizontal="left" readingOrder="0" shrinkToFit="0" vertical="center" wrapText="1"/>
    </xf>
    <xf borderId="4" fillId="0" fontId="13" numFmtId="0" xfId="0" applyAlignment="1" applyBorder="1" applyFont="1">
      <alignment readingOrder="0" vertical="center"/>
    </xf>
    <xf borderId="0" fillId="0" fontId="13" numFmtId="0" xfId="0" applyAlignment="1" applyFont="1">
      <alignment readingOrder="0" vertical="center"/>
    </xf>
    <xf borderId="0" fillId="22" fontId="13" numFmtId="0" xfId="0" applyAlignment="1" applyFont="1">
      <alignment readingOrder="0" vertical="center"/>
    </xf>
    <xf borderId="0" fillId="23" fontId="2" numFmtId="167" xfId="0" applyAlignment="1" applyFont="1" applyNumberFormat="1">
      <alignment horizontal="left" readingOrder="0" vertical="center"/>
    </xf>
    <xf borderId="0" fillId="0" fontId="2" numFmtId="0" xfId="0" applyAlignment="1" applyFont="1">
      <alignment horizontal="left" readingOrder="0" vertical="center"/>
    </xf>
    <xf borderId="0" fillId="23" fontId="2" numFmtId="0" xfId="0" applyAlignment="1" applyFont="1">
      <alignment horizontal="left" readingOrder="0" vertical="center"/>
    </xf>
    <xf borderId="0" fillId="23" fontId="2" numFmtId="167" xfId="0" applyAlignment="1" applyFont="1" applyNumberFormat="1">
      <alignment horizontal="left" vertical="center"/>
    </xf>
    <xf borderId="0" fillId="0" fontId="2" numFmtId="0" xfId="0" applyAlignment="1" applyFont="1">
      <alignment horizontal="left" vertical="center"/>
    </xf>
    <xf borderId="0" fillId="23" fontId="2" numFmtId="0" xfId="0" applyAlignment="1" applyFont="1">
      <alignment horizontal="left" vertical="center"/>
    </xf>
    <xf borderId="0" fillId="19" fontId="2" numFmtId="166" xfId="0" applyAlignment="1" applyFont="1" applyNumberFormat="1">
      <alignment horizontal="left" vertical="center"/>
    </xf>
    <xf borderId="0" fillId="23" fontId="2" numFmtId="0" xfId="0" applyAlignment="1" applyFont="1">
      <alignment horizontal="left" shrinkToFit="0" vertical="center" wrapText="1"/>
    </xf>
    <xf borderId="0" fillId="19" fontId="2" numFmtId="0" xfId="0" applyFont="1"/>
    <xf borderId="0" fillId="23" fontId="2" numFmtId="164" xfId="0" applyAlignment="1" applyFont="1" applyNumberFormat="1">
      <alignment horizontal="left" readingOrder="0" vertical="center"/>
    </xf>
    <xf borderId="0" fillId="0" fontId="11" numFmtId="0" xfId="0" applyAlignment="1" applyFont="1">
      <alignment horizontal="left" readingOrder="0" shrinkToFit="0" vertical="center" wrapText="1"/>
    </xf>
    <xf borderId="0" fillId="23" fontId="18" numFmtId="0" xfId="0" applyAlignment="1" applyFont="1">
      <alignment horizontal="left" readingOrder="0" vertical="center"/>
    </xf>
    <xf borderId="0" fillId="0" fontId="11" numFmtId="0" xfId="0" applyAlignment="1" applyFont="1">
      <alignment horizontal="left" shrinkToFit="0" vertical="center" wrapText="1"/>
    </xf>
    <xf borderId="0" fillId="23" fontId="22" numFmtId="0" xfId="0" applyAlignment="1" applyFont="1">
      <alignment horizontal="left" readingOrder="0" vertical="center"/>
    </xf>
    <xf borderId="0" fillId="0" fontId="2" numFmtId="169" xfId="0" applyAlignment="1" applyFont="1" applyNumberFormat="1">
      <alignment horizontal="left" readingOrder="0"/>
    </xf>
    <xf borderId="0" fillId="23" fontId="23" numFmtId="167" xfId="0" applyAlignment="1" applyFont="1" applyNumberFormat="1">
      <alignment horizontal="left" shrinkToFit="0" wrapText="1"/>
    </xf>
    <xf borderId="0" fillId="19" fontId="9" numFmtId="166" xfId="0" applyFont="1" applyNumberFormat="1"/>
    <xf borderId="0" fillId="12" fontId="9" numFmtId="166" xfId="0" applyFont="1" applyNumberFormat="1"/>
    <xf borderId="0" fillId="19" fontId="9" numFmtId="166" xfId="0" applyAlignment="1" applyFont="1" applyNumberFormat="1">
      <alignment readingOrder="0"/>
    </xf>
    <xf borderId="0" fillId="0" fontId="2" numFmtId="167" xfId="0" applyAlignment="1" applyFont="1" applyNumberFormat="1">
      <alignment horizontal="left" readingOrder="0" vertical="center"/>
    </xf>
    <xf borderId="0" fillId="0" fontId="2" numFmtId="164" xfId="0" applyAlignment="1" applyFont="1" applyNumberFormat="1">
      <alignment horizontal="left" readingOrder="0" vertical="center"/>
    </xf>
    <xf borderId="0" fillId="0" fontId="13" numFmtId="0" xfId="0" applyAlignment="1" applyFont="1">
      <alignment horizontal="left" readingOrder="0" vertical="center"/>
    </xf>
    <xf borderId="0" fillId="0" fontId="9" numFmtId="167" xfId="0" applyAlignment="1" applyFont="1" applyNumberFormat="1">
      <alignment horizontal="left"/>
    </xf>
    <xf borderId="5" fillId="0" fontId="9" numFmtId="49" xfId="0" applyAlignment="1" applyBorder="1" applyFont="1" applyNumberFormat="1">
      <alignment shrinkToFit="0" wrapText="1"/>
    </xf>
    <xf borderId="5" fillId="0" fontId="9" numFmtId="0" xfId="0" applyAlignment="1" applyBorder="1" applyFont="1">
      <alignment shrinkToFit="0" wrapText="1"/>
    </xf>
    <xf borderId="0" fillId="12" fontId="2" numFmtId="166" xfId="0" applyAlignment="1" applyFont="1" applyNumberFormat="1">
      <alignment horizontal="left" vertical="center"/>
    </xf>
    <xf borderId="0" fillId="0" fontId="2" numFmtId="169" xfId="0" applyAlignment="1" applyFont="1" applyNumberFormat="1">
      <alignment horizontal="left" readingOrder="0" vertical="center"/>
    </xf>
    <xf borderId="0" fillId="23" fontId="9" numFmtId="0" xfId="0" applyAlignment="1" applyFont="1">
      <alignment horizontal="left" vertical="bottom"/>
    </xf>
    <xf borderId="0" fillId="23" fontId="9" numFmtId="169" xfId="0" applyAlignment="1" applyFont="1" applyNumberFormat="1">
      <alignment horizontal="left"/>
    </xf>
    <xf borderId="0" fillId="0" fontId="9" numFmtId="167" xfId="0" applyAlignment="1" applyFont="1" applyNumberFormat="1">
      <alignment horizontal="left" readingOrder="0" vertical="center"/>
    </xf>
    <xf borderId="0" fillId="0" fontId="9" numFmtId="0" xfId="0" applyAlignment="1" applyFont="1">
      <alignment horizontal="left" readingOrder="0" vertical="center"/>
    </xf>
    <xf borderId="0" fillId="0" fontId="10" numFmtId="164" xfId="0" applyAlignment="1" applyFont="1" applyNumberFormat="1">
      <alignment horizontal="left" readingOrder="0" vertical="center"/>
    </xf>
    <xf borderId="0" fillId="19" fontId="9" numFmtId="166" xfId="0" applyAlignment="1" applyFont="1" applyNumberFormat="1">
      <alignment horizontal="left" readingOrder="0" vertical="center"/>
    </xf>
    <xf borderId="0" fillId="23" fontId="9" numFmtId="0" xfId="0" applyAlignment="1" applyFont="1">
      <alignment horizontal="left" readingOrder="0" vertical="center"/>
    </xf>
    <xf borderId="0" fillId="0" fontId="11" numFmtId="168" xfId="0" applyAlignment="1" applyFont="1" applyNumberFormat="1">
      <alignment horizontal="left" shrinkToFit="0" vertical="center" wrapText="1"/>
    </xf>
    <xf borderId="0" fillId="0" fontId="2" numFmtId="164" xfId="0" applyAlignment="1" applyFont="1" applyNumberFormat="1">
      <alignment horizontal="left" vertical="center"/>
    </xf>
    <xf borderId="0" fillId="0" fontId="2" numFmtId="0" xfId="0" applyAlignment="1" applyFont="1">
      <alignment horizontal="left" vertical="center"/>
    </xf>
    <xf borderId="0" fillId="23" fontId="18" numFmtId="0" xfId="0" applyAlignment="1" applyFont="1">
      <alignment readingOrder="0"/>
    </xf>
    <xf borderId="0" fillId="0" fontId="2" numFmtId="167" xfId="0" applyAlignment="1" applyFont="1" applyNumberFormat="1">
      <alignment horizontal="left" vertical="center"/>
    </xf>
    <xf borderId="0" fillId="0" fontId="2" numFmtId="169" xfId="0" applyAlignment="1" applyFont="1" applyNumberFormat="1">
      <alignment horizontal="left" vertical="center"/>
    </xf>
    <xf borderId="0" fillId="23" fontId="2" numFmtId="166" xfId="0" applyAlignment="1" applyFont="1" applyNumberFormat="1">
      <alignment horizontal="left" vertical="center"/>
    </xf>
    <xf borderId="0" fillId="23" fontId="2" numFmtId="166" xfId="0" applyAlignment="1" applyFont="1" applyNumberFormat="1">
      <alignment horizontal="left" readingOrder="0" vertical="center"/>
    </xf>
    <xf borderId="0" fillId="6" fontId="21" numFmtId="0" xfId="0" applyAlignment="1" applyFont="1">
      <alignment horizontal="center" readingOrder="0" vertical="center"/>
    </xf>
    <xf borderId="0" fillId="23" fontId="22" numFmtId="167" xfId="0" applyAlignment="1" applyFont="1" applyNumberFormat="1">
      <alignment horizontal="left" readingOrder="0" vertical="center"/>
    </xf>
    <xf borderId="0" fillId="23" fontId="2" numFmtId="0" xfId="0" applyAlignment="1" applyFont="1">
      <alignment horizontal="left" readingOrder="0" shrinkToFit="0" vertical="center" wrapText="1"/>
    </xf>
    <xf borderId="0" fillId="23" fontId="24" numFmtId="164" xfId="0" applyAlignment="1" applyFont="1" applyNumberFormat="1">
      <alignment horizontal="left" readingOrder="0" shrinkToFit="0" vertical="center" wrapText="1"/>
    </xf>
    <xf borderId="0" fillId="23" fontId="22" numFmtId="164" xfId="0" applyAlignment="1" applyFont="1" applyNumberFormat="1">
      <alignment horizontal="left" readingOrder="0" vertical="center"/>
    </xf>
    <xf borderId="0" fillId="23" fontId="9" numFmtId="0" xfId="0" applyAlignment="1" applyFont="1">
      <alignment readingOrder="0"/>
    </xf>
    <xf borderId="0" fillId="23" fontId="9" numFmtId="167" xfId="0" applyAlignment="1" applyFont="1" applyNumberFormat="1">
      <alignment horizontal="left" readingOrder="0"/>
    </xf>
    <xf borderId="0" fillId="0" fontId="9" numFmtId="0" xfId="0" applyAlignment="1" applyFont="1">
      <alignment readingOrder="0"/>
    </xf>
    <xf borderId="0" fillId="23" fontId="10" numFmtId="167" xfId="0" applyAlignment="1" applyFont="1" applyNumberFormat="1">
      <alignment horizontal="left" readingOrder="0"/>
    </xf>
    <xf borderId="0" fillId="12" fontId="9" numFmtId="166" xfId="0" applyAlignment="1" applyFont="1" applyNumberFormat="1">
      <alignment readingOrder="0"/>
    </xf>
    <xf borderId="0" fillId="23" fontId="25" numFmtId="167" xfId="0" applyAlignment="1" applyFont="1" applyNumberFormat="1">
      <alignment horizontal="left" readingOrder="0" shrinkToFit="0" vertical="center" wrapText="1"/>
    </xf>
    <xf borderId="0" fillId="23" fontId="17" numFmtId="0" xfId="0" applyAlignment="1" applyFont="1">
      <alignment horizontal="left" readingOrder="0" vertical="center"/>
    </xf>
    <xf borderId="0" fillId="23" fontId="2" numFmtId="169" xfId="0" applyAlignment="1" applyFont="1" applyNumberFormat="1">
      <alignment horizontal="left" readingOrder="0" vertical="center"/>
    </xf>
    <xf borderId="0" fillId="23" fontId="17" numFmtId="0" xfId="0" applyAlignment="1" applyFont="1">
      <alignment readingOrder="0"/>
    </xf>
    <xf borderId="0" fillId="23" fontId="11" numFmtId="0" xfId="0" applyAlignment="1" applyFont="1">
      <alignment readingOrder="0"/>
    </xf>
    <xf borderId="0" fillId="23" fontId="14" numFmtId="0" xfId="0" applyAlignment="1" applyFont="1">
      <alignment readingOrder="0"/>
    </xf>
    <xf borderId="0" fillId="0" fontId="9" numFmtId="169" xfId="0" applyAlignment="1" applyFont="1" applyNumberFormat="1">
      <alignment horizontal="left"/>
    </xf>
    <xf borderId="0" fillId="0" fontId="9" numFmtId="0" xfId="0" applyAlignment="1" applyFont="1">
      <alignment horizontal="left"/>
    </xf>
    <xf borderId="0" fillId="27" fontId="11" numFmtId="0" xfId="0" applyAlignment="1" applyFont="1">
      <alignment readingOrder="0"/>
    </xf>
    <xf borderId="20" fillId="15" fontId="16" numFmtId="0" xfId="0" applyAlignment="1" applyBorder="1" applyFont="1">
      <alignment horizontal="right" readingOrder="0" vertical="center"/>
    </xf>
    <xf borderId="20" fillId="15" fontId="16" numFmtId="0" xfId="0" applyAlignment="1" applyBorder="1" applyFont="1">
      <alignment horizontal="center" vertical="center"/>
    </xf>
    <xf borderId="20" fillId="15" fontId="16" numFmtId="166" xfId="0" applyAlignment="1" applyBorder="1" applyFont="1" applyNumberFormat="1">
      <alignment horizontal="left" vertical="center"/>
    </xf>
    <xf borderId="0" fillId="0" fontId="9" numFmtId="0" xfId="0" applyAlignment="1" applyFont="1">
      <alignment horizontal="left" vertical="center"/>
    </xf>
    <xf borderId="21" fillId="27" fontId="9" numFmtId="0" xfId="0" applyAlignment="1" applyBorder="1" applyFont="1">
      <alignment horizontal="center" readingOrder="0" vertical="center"/>
    </xf>
    <xf borderId="22" fillId="12" fontId="9" numFmtId="166" xfId="0" applyAlignment="1" applyBorder="1" applyFont="1" applyNumberFormat="1">
      <alignment horizontal="right" readingOrder="0" vertical="center"/>
    </xf>
    <xf borderId="23" fillId="12" fontId="9" numFmtId="166" xfId="0" applyAlignment="1" applyBorder="1" applyFont="1" applyNumberFormat="1">
      <alignment horizontal="left" readingOrder="0" vertical="center"/>
    </xf>
    <xf borderId="0" fillId="0" fontId="2" numFmtId="0" xfId="0" applyAlignment="1" applyFont="1">
      <alignment horizontal="right" readingOrder="0" vertical="center"/>
    </xf>
    <xf borderId="0" fillId="19" fontId="2" numFmtId="0" xfId="0" applyAlignment="1" applyFont="1">
      <alignment horizontal="right" readingOrder="0" vertical="center"/>
    </xf>
    <xf borderId="0" fillId="12" fontId="2" numFmtId="0" xfId="0" applyAlignment="1" applyFont="1">
      <alignment horizontal="right" readingOrder="0" vertical="center"/>
    </xf>
    <xf borderId="0" fillId="24" fontId="1" numFmtId="0" xfId="0" applyAlignment="1" applyFont="1">
      <alignment horizontal="right" readingOrder="0" vertical="center"/>
    </xf>
    <xf borderId="0" fillId="24" fontId="16" numFmtId="166" xfId="0" applyAlignment="1" applyFont="1" applyNumberFormat="1">
      <alignment horizontal="left" vertical="center"/>
    </xf>
    <xf borderId="0" fillId="25" fontId="16" numFmtId="166" xfId="0" applyAlignment="1" applyFont="1" applyNumberFormat="1">
      <alignment horizontal="right" readingOrder="0" shrinkToFit="0" vertical="center" wrapText="1"/>
    </xf>
    <xf borderId="0" fillId="25" fontId="16" numFmtId="166" xfId="0" applyAlignment="1" applyFont="1" applyNumberFormat="1">
      <alignment horizontal="left" vertical="center"/>
    </xf>
    <xf borderId="5" fillId="13" fontId="16" numFmtId="0" xfId="0" applyAlignment="1" applyBorder="1" applyFont="1">
      <alignment horizontal="center" shrinkToFit="0" vertical="center" wrapText="1"/>
    </xf>
    <xf borderId="9" fillId="0" fontId="16" numFmtId="0" xfId="0" applyAlignment="1" applyBorder="1" applyFont="1">
      <alignment horizontal="right" shrinkToFit="0" vertical="center" wrapText="1"/>
    </xf>
    <xf borderId="24" fillId="0" fontId="19" numFmtId="0" xfId="0" applyBorder="1" applyFont="1"/>
    <xf borderId="0" fillId="19" fontId="9" numFmtId="166" xfId="0" applyAlignment="1" applyFont="1" applyNumberFormat="1">
      <alignment horizontal="right" readingOrder="0" vertical="center"/>
    </xf>
    <xf borderId="25" fillId="19" fontId="9" numFmtId="166" xfId="0" applyAlignment="1" applyBorder="1" applyFont="1" applyNumberFormat="1">
      <alignment horizontal="left" readingOrder="0" vertical="center"/>
    </xf>
    <xf borderId="0" fillId="0" fontId="15" numFmtId="0" xfId="0" applyAlignment="1" applyFont="1">
      <alignment horizontal="right" readingOrder="0" shrinkToFit="0" vertical="center" wrapText="1"/>
    </xf>
    <xf borderId="0" fillId="19" fontId="9" numFmtId="166" xfId="0" applyAlignment="1" applyFont="1" applyNumberFormat="1">
      <alignment horizontal="right" vertical="center"/>
    </xf>
    <xf borderId="0" fillId="12" fontId="9" numFmtId="166" xfId="0" applyAlignment="1" applyFont="1" applyNumberFormat="1">
      <alignment horizontal="right" vertical="center"/>
    </xf>
    <xf borderId="5" fillId="6" fontId="16" numFmtId="0" xfId="0" applyAlignment="1" applyBorder="1" applyFont="1">
      <alignment horizontal="center" shrinkToFit="0" vertical="center" wrapText="1"/>
    </xf>
    <xf borderId="15" fillId="0" fontId="16" numFmtId="0" xfId="0" applyAlignment="1" applyBorder="1" applyFont="1">
      <alignment horizontal="center" vertical="center"/>
    </xf>
    <xf borderId="17" fillId="0" fontId="16" numFmtId="0" xfId="0" applyAlignment="1" applyBorder="1" applyFont="1">
      <alignment horizontal="center" vertical="center"/>
    </xf>
    <xf borderId="0" fillId="12" fontId="9" numFmtId="166" xfId="0" applyAlignment="1" applyFont="1" applyNumberFormat="1">
      <alignment horizontal="right" readingOrder="0" vertical="center"/>
    </xf>
    <xf borderId="25" fillId="0" fontId="9" numFmtId="166" xfId="0" applyAlignment="1" applyBorder="1" applyFont="1" applyNumberFormat="1">
      <alignment horizontal="left" readingOrder="0" vertical="center"/>
    </xf>
    <xf borderId="0" fillId="19" fontId="2" numFmtId="49" xfId="0" applyAlignment="1" applyFont="1" applyNumberFormat="1">
      <alignment horizontal="right" readingOrder="0" vertical="center"/>
    </xf>
    <xf borderId="0" fillId="12" fontId="2" numFmtId="49" xfId="0" applyAlignment="1" applyFont="1" applyNumberFormat="1">
      <alignment horizontal="right" readingOrder="0" vertical="center"/>
    </xf>
    <xf borderId="0" fillId="24" fontId="1" numFmtId="0" xfId="0" applyAlignment="1" applyFont="1">
      <alignment horizontal="right" readingOrder="0" shrinkToFit="0" vertical="center" wrapText="0"/>
    </xf>
    <xf borderId="0" fillId="20" fontId="9" numFmtId="0" xfId="0" applyAlignment="1" applyFont="1">
      <alignment horizontal="center" vertical="center"/>
    </xf>
    <xf borderId="8" fillId="0" fontId="2" numFmtId="0" xfId="0" applyAlignment="1" applyBorder="1" applyFont="1">
      <alignment vertical="center"/>
    </xf>
    <xf borderId="8" fillId="0" fontId="9" numFmtId="0" xfId="0" applyAlignment="1" applyBorder="1" applyFont="1">
      <alignment horizontal="left" vertical="center"/>
    </xf>
    <xf borderId="26" fillId="0" fontId="19" numFmtId="0" xfId="0" applyBorder="1" applyFont="1"/>
    <xf borderId="27" fillId="19" fontId="9" numFmtId="166" xfId="0" applyAlignment="1" applyBorder="1" applyFont="1" applyNumberFormat="1">
      <alignment horizontal="right" readingOrder="0" vertical="center"/>
    </xf>
    <xf borderId="28" fillId="0" fontId="19" numFmtId="0" xfId="0" applyBorder="1" applyFont="1"/>
    <xf borderId="8" fillId="0" fontId="2" numFmtId="0" xfId="0" applyAlignment="1" applyBorder="1" applyFont="1">
      <alignment horizontal="right" readingOrder="0" vertical="center"/>
    </xf>
    <xf borderId="8" fillId="19" fontId="2" numFmtId="166" xfId="0" applyAlignment="1" applyBorder="1" applyFont="1" applyNumberFormat="1">
      <alignment horizontal="right" readingOrder="0" vertical="center"/>
    </xf>
    <xf borderId="8" fillId="12" fontId="2" numFmtId="166" xfId="0" applyAlignment="1" applyBorder="1" applyFont="1" applyNumberFormat="1">
      <alignment horizontal="right" readingOrder="0" vertical="center"/>
    </xf>
    <xf borderId="29" fillId="0" fontId="19" numFmtId="0" xfId="0" applyBorder="1" applyFont="1"/>
    <xf borderId="29" fillId="0" fontId="9" numFmtId="0" xfId="0" applyAlignment="1" applyBorder="1" applyFont="1">
      <alignment horizontal="left" vertical="center"/>
    </xf>
    <xf borderId="0" fillId="23" fontId="22" numFmtId="0" xfId="0" applyAlignment="1" applyFont="1">
      <alignment horizontal="left" readingOrder="0" vertical="center"/>
    </xf>
    <xf borderId="0" fillId="0" fontId="22" numFmtId="0" xfId="0" applyAlignment="1" applyFont="1">
      <alignment horizontal="left" readingOrder="0" vertical="center"/>
    </xf>
    <xf borderId="0" fillId="23" fontId="22" numFmtId="0" xfId="0" applyAlignment="1" applyFont="1">
      <alignment horizontal="left" vertical="center"/>
    </xf>
    <xf borderId="0" fillId="23" fontId="2" numFmtId="164" xfId="0" applyAlignment="1" applyFont="1" applyNumberFormat="1">
      <alignment horizontal="left" vertical="center"/>
    </xf>
    <xf borderId="0" fillId="12" fontId="2" numFmtId="166" xfId="0" applyAlignment="1" applyFont="1" applyNumberFormat="1">
      <alignment readingOrder="0"/>
    </xf>
    <xf borderId="0" fillId="0" fontId="22" numFmtId="0" xfId="0" applyAlignment="1" applyFont="1">
      <alignment horizontal="left" vertical="center"/>
    </xf>
    <xf borderId="0" fillId="0" fontId="2" numFmtId="171" xfId="0" applyAlignment="1" applyFont="1" applyNumberFormat="1">
      <alignment horizontal="left" readingOrder="0" vertical="center"/>
    </xf>
    <xf borderId="0" fillId="0" fontId="22" numFmtId="0" xfId="0" applyAlignment="1" applyFont="1">
      <alignment horizontal="left" vertical="center"/>
    </xf>
    <xf borderId="0" fillId="0" fontId="22" numFmtId="0" xfId="0" applyFont="1"/>
    <xf borderId="0" fillId="0" fontId="26" numFmtId="168" xfId="0" applyAlignment="1" applyFont="1" applyNumberFormat="1">
      <alignment horizontal="left" readingOrder="0" shrinkToFit="0" vertical="center" wrapText="1"/>
    </xf>
    <xf borderId="0" fillId="23" fontId="10" numFmtId="0" xfId="0" applyAlignment="1" applyFont="1">
      <alignment vertical="bottom"/>
    </xf>
    <xf borderId="0" fillId="0" fontId="27" numFmtId="167" xfId="0" applyAlignment="1" applyFont="1" applyNumberFormat="1">
      <alignment horizontal="left" readingOrder="0" vertical="center"/>
    </xf>
    <xf borderId="0" fillId="0" fontId="27" numFmtId="164" xfId="0" applyAlignment="1" applyFont="1" applyNumberFormat="1">
      <alignment horizontal="left" readingOrder="0" vertical="center"/>
    </xf>
    <xf borderId="0" fillId="19" fontId="27" numFmtId="166" xfId="0" applyAlignment="1" applyFont="1" applyNumberFormat="1">
      <alignment horizontal="left" readingOrder="0" vertical="center"/>
    </xf>
    <xf borderId="0" fillId="12" fontId="27" numFmtId="166" xfId="0" applyAlignment="1" applyFont="1" applyNumberFormat="1">
      <alignment horizontal="left" readingOrder="0" vertical="center"/>
    </xf>
    <xf borderId="0" fillId="23" fontId="22" numFmtId="0" xfId="0" applyAlignment="1" applyFont="1">
      <alignment horizontal="left" readingOrder="0" vertical="center"/>
    </xf>
    <xf borderId="0" fillId="0" fontId="22" numFmtId="169" xfId="0" applyAlignment="1" applyFont="1" applyNumberFormat="1">
      <alignment horizontal="left" readingOrder="0" vertical="center"/>
    </xf>
    <xf borderId="0" fillId="19" fontId="22" numFmtId="166" xfId="0" applyAlignment="1" applyFont="1" applyNumberFormat="1">
      <alignment horizontal="left" vertical="center"/>
    </xf>
    <xf borderId="0" fillId="12" fontId="22" numFmtId="166" xfId="0" applyAlignment="1" applyFont="1" applyNumberFormat="1">
      <alignment horizontal="left" readingOrder="0" vertical="center"/>
    </xf>
    <xf borderId="0" fillId="0" fontId="22" numFmtId="167" xfId="0" applyAlignment="1" applyFont="1" applyNumberFormat="1">
      <alignment horizontal="left" readingOrder="0" vertical="center"/>
    </xf>
    <xf borderId="0" fillId="0" fontId="22" numFmtId="0" xfId="0" applyAlignment="1" applyFont="1">
      <alignment readingOrder="0"/>
    </xf>
    <xf borderId="0" fillId="23" fontId="10" numFmtId="0" xfId="0" applyFont="1"/>
    <xf borderId="0" fillId="23" fontId="9" numFmtId="167" xfId="0" applyFont="1" applyNumberFormat="1"/>
    <xf borderId="0" fillId="23" fontId="22" numFmtId="0" xfId="0" applyAlignment="1" applyFont="1">
      <alignment horizontal="left" readingOrder="0" shrinkToFit="0" vertical="center" wrapText="1"/>
    </xf>
    <xf borderId="0" fillId="23" fontId="25" numFmtId="164" xfId="0" applyAlignment="1" applyFont="1" applyNumberFormat="1">
      <alignment horizontal="left" readingOrder="0" shrinkToFit="0" vertical="center" wrapText="1"/>
    </xf>
    <xf borderId="0" fillId="23" fontId="28" numFmtId="0" xfId="0" applyAlignment="1" applyFont="1">
      <alignment horizontal="left" readingOrder="0"/>
    </xf>
    <xf borderId="0" fillId="12" fontId="2" numFmtId="166" xfId="0" applyFont="1" applyNumberFormat="1"/>
    <xf borderId="0" fillId="23" fontId="11" numFmtId="0" xfId="0" applyAlignment="1" applyFont="1">
      <alignment horizontal="left" readingOrder="0" vertical="center"/>
    </xf>
    <xf borderId="0" fillId="0" fontId="24" numFmtId="0" xfId="0" applyAlignment="1" applyFont="1">
      <alignment readingOrder="0"/>
    </xf>
    <xf borderId="0" fillId="19" fontId="2" numFmtId="166" xfId="0" applyFont="1" applyNumberFormat="1"/>
    <xf borderId="0" fillId="0" fontId="9" numFmtId="167" xfId="0" applyAlignment="1" applyFont="1" applyNumberFormat="1">
      <alignment horizontal="left" readingOrder="0"/>
    </xf>
    <xf borderId="0" fillId="0" fontId="9" numFmtId="0" xfId="0" applyAlignment="1" applyFont="1">
      <alignment horizontal="left" readingOrder="0"/>
    </xf>
    <xf borderId="0" fillId="0" fontId="10" numFmtId="0" xfId="0" applyAlignment="1" applyFont="1">
      <alignment readingOrder="0"/>
    </xf>
    <xf borderId="0" fillId="0" fontId="9" numFmtId="164" xfId="0" applyAlignment="1" applyFont="1" applyNumberFormat="1">
      <alignment horizontal="left" readingOrder="0"/>
    </xf>
    <xf borderId="0" fillId="0" fontId="14" numFmtId="0" xfId="0" applyAlignment="1" applyFont="1">
      <alignment readingOrder="0"/>
    </xf>
    <xf borderId="0" fillId="23" fontId="2" numFmtId="0" xfId="0" applyAlignment="1" applyFont="1">
      <alignment horizontal="left" vertical="center"/>
    </xf>
    <xf borderId="0" fillId="0" fontId="9" numFmtId="166" xfId="0" applyAlignment="1" applyFont="1" applyNumberFormat="1">
      <alignment horizontal="right" readingOrder="0" shrinkToFit="0" vertical="center" wrapText="1"/>
    </xf>
    <xf borderId="0" fillId="29" fontId="9" numFmtId="166" xfId="0" applyAlignment="1" applyFill="1" applyFont="1" applyNumberFormat="1">
      <alignment horizontal="left" shrinkToFit="0" vertical="center" wrapText="1"/>
    </xf>
    <xf borderId="8" fillId="0" fontId="9" numFmtId="0" xfId="0" applyAlignment="1" applyBorder="1" applyFont="1">
      <alignment horizontal="left" shrinkToFit="0" vertical="center" wrapText="1"/>
    </xf>
    <xf borderId="0" fillId="18" fontId="8" numFmtId="0" xfId="0" applyAlignment="1" applyFont="1">
      <alignment horizontal="center" readingOrder="0" vertical="center"/>
    </xf>
    <xf borderId="0" fillId="18" fontId="29" numFmtId="0" xfId="0" applyAlignment="1" applyFont="1">
      <alignment horizontal="center" readingOrder="0" vertical="center"/>
    </xf>
    <xf borderId="11" fillId="18" fontId="29" numFmtId="0" xfId="0" applyAlignment="1" applyBorder="1" applyFont="1">
      <alignment horizontal="center" readingOrder="0" vertical="center"/>
    </xf>
    <xf borderId="0" fillId="12" fontId="9" numFmtId="166" xfId="0" applyAlignment="1" applyFont="1" applyNumberFormat="1">
      <alignment horizontal="left" readingOrder="0" vertical="center"/>
    </xf>
    <xf borderId="0" fillId="0" fontId="9" numFmtId="0" xfId="0" applyAlignment="1" applyFont="1">
      <alignment horizontal="left" vertical="center"/>
    </xf>
    <xf borderId="0" fillId="0" fontId="9" numFmtId="169" xfId="0" applyAlignment="1" applyFont="1" applyNumberFormat="1">
      <alignment horizontal="left" vertical="center"/>
    </xf>
    <xf borderId="0" fillId="0" fontId="10" numFmtId="169" xfId="0" applyAlignment="1" applyFont="1" applyNumberFormat="1">
      <alignment horizontal="left" vertical="center"/>
    </xf>
    <xf borderId="0" fillId="19" fontId="9" numFmtId="166" xfId="0" applyAlignment="1" applyFont="1" applyNumberFormat="1">
      <alignment horizontal="left" vertical="center"/>
    </xf>
    <xf borderId="0" fillId="12" fontId="9" numFmtId="166" xfId="0" applyAlignment="1" applyFont="1" applyNumberFormat="1">
      <alignment horizontal="left" vertical="center"/>
    </xf>
    <xf borderId="0" fillId="0" fontId="9" numFmtId="168" xfId="0" applyAlignment="1" applyFont="1" applyNumberFormat="1">
      <alignment horizontal="left" readingOrder="0" shrinkToFit="0" vertical="center" wrapText="1"/>
    </xf>
    <xf borderId="4" fillId="0" fontId="13" numFmtId="0" xfId="0" applyAlignment="1" applyBorder="1" applyFont="1">
      <alignment vertical="center"/>
    </xf>
    <xf borderId="0" fillId="23" fontId="10" numFmtId="164" xfId="0" applyAlignment="1" applyFont="1" applyNumberFormat="1">
      <alignment horizontal="left" readingOrder="0" vertical="center"/>
    </xf>
    <xf borderId="0" fillId="0" fontId="9" numFmtId="167" xfId="0" applyAlignment="1" applyFont="1" applyNumberFormat="1">
      <alignment horizontal="left" vertical="center"/>
    </xf>
    <xf borderId="0" fillId="0" fontId="10" numFmtId="164" xfId="0" applyAlignment="1" applyFont="1" applyNumberFormat="1">
      <alignment horizontal="left" vertical="center"/>
    </xf>
    <xf borderId="0" fillId="0" fontId="12" numFmtId="168" xfId="0" applyAlignment="1" applyFont="1" applyNumberFormat="1">
      <alignment horizontal="center" shrinkToFit="0" vertical="center" wrapText="1"/>
    </xf>
    <xf borderId="0" fillId="0" fontId="10" numFmtId="167" xfId="0" applyAlignment="1" applyFont="1" applyNumberFormat="1">
      <alignment horizontal="left" readingOrder="0" vertical="center"/>
    </xf>
    <xf borderId="0" fillId="0" fontId="9" numFmtId="169" xfId="0" applyAlignment="1" applyFont="1" applyNumberFormat="1">
      <alignment horizontal="left" readingOrder="0" vertical="center"/>
    </xf>
    <xf borderId="0" fillId="23" fontId="11" numFmtId="0" xfId="0" applyAlignment="1" applyFont="1">
      <alignment horizontal="left" readingOrder="0"/>
    </xf>
    <xf borderId="20" fillId="29" fontId="16" numFmtId="0" xfId="0" applyAlignment="1" applyBorder="1" applyFont="1">
      <alignment horizontal="right" readingOrder="0" vertical="center"/>
    </xf>
    <xf borderId="20" fillId="29" fontId="16" numFmtId="0" xfId="0" applyAlignment="1" applyBorder="1" applyFont="1">
      <alignment horizontal="center" vertical="center"/>
    </xf>
    <xf borderId="20" fillId="29" fontId="16" numFmtId="166" xfId="0" applyAlignment="1" applyBorder="1" applyFont="1" applyNumberFormat="1">
      <alignment horizontal="left" vertical="center"/>
    </xf>
    <xf borderId="30" fillId="29" fontId="16" numFmtId="166" xfId="0" applyAlignment="1" applyBorder="1" applyFont="1" applyNumberFormat="1">
      <alignment horizontal="left" vertical="center"/>
    </xf>
    <xf borderId="11" fillId="0" fontId="16" numFmtId="0" xfId="0" applyAlignment="1" applyBorder="1" applyFont="1">
      <alignment horizontal="right" readingOrder="0" shrinkToFit="0" vertical="center" wrapText="1"/>
    </xf>
    <xf borderId="11" fillId="0" fontId="16" numFmtId="0" xfId="0" applyAlignment="1" applyBorder="1" applyFont="1">
      <alignment horizontal="center" vertical="center"/>
    </xf>
    <xf borderId="11" fillId="0" fontId="9" numFmtId="0" xfId="0" applyAlignment="1" applyBorder="1" applyFont="1">
      <alignment horizontal="left" vertical="center"/>
    </xf>
    <xf borderId="0" fillId="0" fontId="16" numFmtId="0" xfId="0" applyAlignment="1" applyFont="1">
      <alignment horizontal="right" readingOrder="0" shrinkToFit="0" vertical="center" wrapText="1"/>
    </xf>
    <xf borderId="0" fillId="0" fontId="16" numFmtId="0" xfId="0" applyAlignment="1" applyFont="1">
      <alignment horizontal="center" vertical="center"/>
    </xf>
    <xf borderId="0" fillId="19" fontId="2" numFmtId="166" xfId="0" applyAlignment="1" applyFont="1" applyNumberFormat="1">
      <alignment vertical="center"/>
    </xf>
    <xf borderId="0" fillId="12" fontId="2" numFmtId="166" xfId="0" applyAlignment="1" applyFont="1" applyNumberFormat="1">
      <alignment vertical="center"/>
    </xf>
    <xf borderId="0" fillId="25" fontId="16" numFmtId="0" xfId="0" applyAlignment="1" applyFont="1">
      <alignment horizontal="right" readingOrder="0" shrinkToFit="0" vertical="center" wrapText="1"/>
    </xf>
    <xf borderId="0" fillId="0" fontId="16" numFmtId="0" xfId="0" applyAlignment="1" applyFont="1">
      <alignment horizontal="left" vertical="center"/>
    </xf>
    <xf borderId="0" fillId="8" fontId="30" numFmtId="0" xfId="0" applyAlignment="1" applyFont="1">
      <alignment horizontal="center" readingOrder="0" vertical="center"/>
    </xf>
    <xf borderId="0" fillId="8" fontId="8" numFmtId="0" xfId="0" applyAlignment="1" applyFont="1">
      <alignment horizontal="center" readingOrder="0" vertical="center"/>
    </xf>
    <xf borderId="0" fillId="8" fontId="6" numFmtId="0" xfId="0" applyAlignment="1" applyFont="1">
      <alignment horizontal="center" vertical="center"/>
    </xf>
    <xf borderId="0" fillId="8" fontId="6" numFmtId="0" xfId="0" applyAlignment="1" applyFont="1">
      <alignment horizontal="center" readingOrder="0" vertical="center"/>
    </xf>
    <xf borderId="0" fillId="12" fontId="6" numFmtId="166" xfId="0" applyAlignment="1" applyFont="1" applyNumberFormat="1">
      <alignment horizontal="center" readingOrder="0" vertical="center"/>
    </xf>
    <xf borderId="0" fillId="18" fontId="8" numFmtId="0" xfId="0" applyAlignment="1" applyFont="1">
      <alignment horizontal="center" readingOrder="0"/>
    </xf>
    <xf borderId="0" fillId="23" fontId="9" numFmtId="167" xfId="0" applyAlignment="1" applyFont="1" applyNumberFormat="1">
      <alignment horizontal="left" readingOrder="0" vertical="center"/>
    </xf>
    <xf borderId="0" fillId="0" fontId="2" numFmtId="167" xfId="0" applyAlignment="1" applyFont="1" applyNumberFormat="1">
      <alignment horizontal="left" readingOrder="0"/>
    </xf>
    <xf borderId="0" fillId="0" fontId="11" numFmtId="168" xfId="0" applyAlignment="1" applyFont="1" applyNumberFormat="1">
      <alignment horizontal="center" shrinkToFit="0" vertical="center" wrapText="1"/>
    </xf>
    <xf borderId="0" fillId="0" fontId="11" numFmtId="0" xfId="0" applyAlignment="1" applyFont="1">
      <alignment readingOrder="0"/>
    </xf>
    <xf borderId="0" fillId="0" fontId="9" numFmtId="0" xfId="0" applyAlignment="1" applyFont="1">
      <alignment horizontal="left" readingOrder="0" vertical="center"/>
    </xf>
    <xf borderId="0" fillId="0" fontId="14" numFmtId="0" xfId="0" applyFont="1"/>
    <xf borderId="0" fillId="23" fontId="10" numFmtId="0" xfId="0" applyAlignment="1" applyFont="1">
      <alignment horizontal="left" readingOrder="0" vertical="center"/>
    </xf>
    <xf borderId="0" fillId="23" fontId="15" numFmtId="164" xfId="0" applyAlignment="1" applyFont="1" applyNumberFormat="1">
      <alignment horizontal="left" readingOrder="0" vertical="center"/>
    </xf>
    <xf borderId="0" fillId="23" fontId="15" numFmtId="167" xfId="0" applyAlignment="1" applyFont="1" applyNumberFormat="1">
      <alignment horizontal="left" readingOrder="0" vertical="center"/>
    </xf>
    <xf borderId="0" fillId="0" fontId="15" numFmtId="167" xfId="0" applyAlignment="1" applyFont="1" applyNumberFormat="1">
      <alignment horizontal="left" vertical="center"/>
    </xf>
    <xf borderId="0" fillId="0" fontId="10" numFmtId="0" xfId="0" applyAlignment="1" applyFont="1">
      <alignment horizontal="left" readingOrder="0" vertical="center"/>
    </xf>
    <xf borderId="0" fillId="0" fontId="10" numFmtId="0" xfId="0" applyAlignment="1" applyFont="1">
      <alignment horizontal="left" vertical="center"/>
    </xf>
    <xf borderId="0" fillId="0" fontId="10" numFmtId="167" xfId="0" applyAlignment="1" applyFont="1" applyNumberFormat="1">
      <alignment horizontal="left" vertical="center"/>
    </xf>
    <xf borderId="0" fillId="23" fontId="10" numFmtId="167" xfId="0" applyAlignment="1" applyFont="1" applyNumberFormat="1">
      <alignment horizontal="left" readingOrder="0" vertical="center"/>
    </xf>
    <xf borderId="0" fillId="0" fontId="10" numFmtId="164" xfId="0" applyAlignment="1" applyFont="1" applyNumberFormat="1">
      <alignment horizontal="left" readingOrder="0"/>
    </xf>
    <xf borderId="20" fillId="15" fontId="9" numFmtId="0" xfId="0" applyAlignment="1" applyBorder="1" applyFont="1">
      <alignment horizontal="center" readingOrder="0" vertical="center"/>
    </xf>
    <xf borderId="20" fillId="15" fontId="16" numFmtId="166" xfId="0" applyAlignment="1" applyBorder="1" applyFont="1" applyNumberFormat="1">
      <alignment horizontal="right" vertical="center"/>
    </xf>
    <xf borderId="30" fillId="15" fontId="16" numFmtId="166" xfId="0" applyAlignment="1" applyBorder="1" applyFont="1" applyNumberFormat="1">
      <alignment horizontal="left" vertical="center"/>
    </xf>
    <xf borderId="0" fillId="19" fontId="2" numFmtId="166" xfId="0" applyAlignment="1" applyFont="1" applyNumberFormat="1">
      <alignment horizontal="right" readingOrder="0" vertical="center"/>
    </xf>
    <xf borderId="0" fillId="12" fontId="2" numFmtId="166" xfId="0" applyAlignment="1" applyFont="1" applyNumberFormat="1">
      <alignment horizontal="right" readingOrder="0" vertical="center"/>
    </xf>
    <xf borderId="0" fillId="0" fontId="9" numFmtId="166" xfId="0" applyAlignment="1" applyFont="1" applyNumberFormat="1">
      <alignment horizontal="right" readingOrder="0" vertical="center"/>
    </xf>
    <xf borderId="0" fillId="29" fontId="9" numFmtId="166" xfId="0" applyAlignment="1" applyFont="1" applyNumberFormat="1">
      <alignment horizontal="left" vertical="center"/>
    </xf>
    <xf borderId="0" fillId="0" fontId="9" numFmtId="168" xfId="0" applyFont="1" applyNumberFormat="1"/>
    <xf borderId="0" fillId="23" fontId="9" numFmtId="0" xfId="0" applyAlignment="1" applyFont="1">
      <alignment horizontal="left" vertical="center"/>
    </xf>
    <xf borderId="0" fillId="23" fontId="10" numFmtId="164" xfId="0" applyAlignment="1" applyFont="1" applyNumberFormat="1">
      <alignment horizontal="left" vertical="center"/>
    </xf>
    <xf borderId="0" fillId="23" fontId="9" numFmtId="167" xfId="0" applyAlignment="1" applyFont="1" applyNumberFormat="1">
      <alignment horizontal="left" vertical="center"/>
    </xf>
    <xf borderId="0" fillId="0" fontId="13" numFmtId="0" xfId="0" applyAlignment="1" applyFont="1">
      <alignment vertical="center"/>
    </xf>
    <xf borderId="0" fillId="22" fontId="13" numFmtId="0" xfId="0" applyAlignment="1" applyFont="1">
      <alignment vertical="center"/>
    </xf>
    <xf borderId="0" fillId="0" fontId="9" numFmtId="168" xfId="0" applyAlignment="1" applyFont="1" applyNumberFormat="1">
      <alignment readingOrder="0"/>
    </xf>
    <xf borderId="0" fillId="27" fontId="9" numFmtId="0" xfId="0" applyAlignment="1" applyFont="1">
      <alignment horizontal="left" vertical="center"/>
    </xf>
    <xf borderId="0" fillId="23" fontId="10" numFmtId="0" xfId="0" applyAlignment="1" applyFont="1">
      <alignment horizontal="left" vertical="center"/>
    </xf>
    <xf borderId="0" fillId="0" fontId="9" numFmtId="164" xfId="0" applyAlignment="1" applyFont="1" applyNumberFormat="1">
      <alignment horizontal="left" readingOrder="0" vertical="center"/>
    </xf>
    <xf borderId="0" fillId="0" fontId="9" numFmtId="164" xfId="0" applyAlignment="1" applyFont="1" applyNumberFormat="1">
      <alignment horizontal="left" vertical="center"/>
    </xf>
    <xf borderId="0" fillId="0" fontId="9" numFmtId="169" xfId="0" applyAlignment="1" applyFont="1" applyNumberFormat="1">
      <alignment horizontal="left" readingOrder="0"/>
    </xf>
    <xf borderId="0" fillId="0" fontId="2" numFmtId="166" xfId="0" applyAlignment="1" applyFont="1" applyNumberFormat="1">
      <alignment horizontal="right" readingOrder="0" vertical="center"/>
    </xf>
    <xf borderId="0" fillId="0" fontId="9" numFmtId="166" xfId="0" applyAlignment="1" applyFont="1" applyNumberFormat="1">
      <alignment horizontal="left" vertical="center"/>
    </xf>
    <xf borderId="0" fillId="19" fontId="2" numFmtId="166" xfId="0" applyAlignment="1" applyFont="1" applyNumberFormat="1">
      <alignment horizontal="right"/>
    </xf>
    <xf borderId="0" fillId="23" fontId="9" numFmtId="166" xfId="0" applyAlignment="1" applyFont="1" applyNumberFormat="1">
      <alignment horizontal="right" readingOrder="0" vertical="center"/>
    </xf>
    <xf borderId="0" fillId="23" fontId="9" numFmtId="166" xfId="0" applyAlignment="1" applyFont="1" applyNumberFormat="1">
      <alignment horizontal="left" vertical="center"/>
    </xf>
    <xf borderId="13" fillId="0" fontId="16" numFmtId="0" xfId="0" applyAlignment="1" applyBorder="1" applyFont="1">
      <alignment horizontal="center" vertical="center"/>
    </xf>
    <xf borderId="11" fillId="0" fontId="9" numFmtId="0" xfId="0" applyAlignment="1" applyBorder="1" applyFont="1">
      <alignment horizontal="right" readingOrder="0" vertical="center"/>
    </xf>
    <xf borderId="31" fillId="27" fontId="9" numFmtId="0" xfId="0" applyAlignment="1" applyBorder="1" applyFont="1">
      <alignment horizontal="center" readingOrder="0" vertical="center"/>
    </xf>
    <xf borderId="22" fillId="12" fontId="9" numFmtId="166" xfId="0" applyAlignment="1" applyBorder="1" applyFont="1" applyNumberFormat="1">
      <alignment horizontal="left" readingOrder="0" vertical="center"/>
    </xf>
    <xf borderId="0" fillId="0" fontId="16" numFmtId="0" xfId="0" applyAlignment="1" applyFont="1">
      <alignment horizontal="right" readingOrder="0" vertical="center"/>
    </xf>
    <xf borderId="11" fillId="0" fontId="1" numFmtId="0" xfId="0" applyAlignment="1" applyBorder="1" applyFont="1">
      <alignment horizontal="right" readingOrder="0" vertical="center"/>
    </xf>
    <xf borderId="11" fillId="19" fontId="2" numFmtId="166" xfId="0" applyAlignment="1" applyBorder="1" applyFont="1" applyNumberFormat="1">
      <alignment horizontal="right" vertical="center"/>
    </xf>
    <xf borderId="11" fillId="12" fontId="2" numFmtId="166" xfId="0" applyAlignment="1" applyBorder="1" applyFont="1" applyNumberFormat="1">
      <alignment horizontal="right" vertical="center"/>
    </xf>
    <xf borderId="0" fillId="24" fontId="1" numFmtId="166" xfId="0" applyAlignment="1" applyFont="1" applyNumberFormat="1">
      <alignment horizontal="right" readingOrder="0" vertical="center"/>
    </xf>
    <xf borderId="11" fillId="25" fontId="16" numFmtId="166" xfId="0" applyAlignment="1" applyBorder="1" applyFont="1" applyNumberFormat="1">
      <alignment horizontal="left" vertical="center"/>
    </xf>
    <xf borderId="32" fillId="0" fontId="19" numFmtId="0" xfId="0" applyBorder="1" applyFont="1"/>
    <xf borderId="0" fillId="0" fontId="1" numFmtId="0" xfId="0" applyAlignment="1" applyFont="1">
      <alignment horizontal="right" readingOrder="0" vertical="center"/>
    </xf>
    <xf borderId="0" fillId="19" fontId="2" numFmtId="166" xfId="0" applyAlignment="1" applyFont="1" applyNumberFormat="1">
      <alignment horizontal="right" vertical="center"/>
    </xf>
    <xf borderId="33" fillId="0" fontId="16" numFmtId="0" xfId="0" applyAlignment="1" applyBorder="1" applyFont="1">
      <alignment horizontal="right" shrinkToFit="0" vertical="center" wrapText="1"/>
    </xf>
    <xf borderId="34" fillId="0" fontId="16" numFmtId="0" xfId="0" applyAlignment="1" applyBorder="1" applyFont="1">
      <alignment horizontal="center" shrinkToFit="0" vertical="center" wrapText="1"/>
    </xf>
    <xf borderId="35" fillId="0" fontId="19" numFmtId="0" xfId="0" applyBorder="1" applyFont="1"/>
    <xf borderId="27" fillId="19" fontId="9" numFmtId="166" xfId="0" applyAlignment="1" applyBorder="1" applyFont="1" applyNumberFormat="1">
      <alignment horizontal="left" readingOrder="0" vertical="center"/>
    </xf>
    <xf borderId="8" fillId="0" fontId="1" numFmtId="0" xfId="0" applyAlignment="1" applyBorder="1" applyFont="1">
      <alignment horizontal="right" readingOrder="0" vertical="center"/>
    </xf>
    <xf borderId="8" fillId="19" fontId="2" numFmtId="166" xfId="0" applyAlignment="1" applyBorder="1" applyFont="1" applyNumberFormat="1">
      <alignment vertical="center"/>
    </xf>
    <xf borderId="8" fillId="12" fontId="2" numFmtId="166" xfId="0" applyAlignment="1" applyBorder="1" applyFont="1" applyNumberFormat="1">
      <alignment vertical="center"/>
    </xf>
    <xf borderId="36" fillId="0" fontId="16" numFmtId="0" xfId="0" applyAlignment="1" applyBorder="1" applyFont="1">
      <alignment horizontal="right" shrinkToFit="0" vertical="center" wrapText="1"/>
    </xf>
    <xf borderId="37" fillId="0" fontId="16" numFmtId="0" xfId="0" applyAlignment="1" applyBorder="1" applyFont="1">
      <alignment horizontal="center" vertical="center"/>
    </xf>
    <xf borderId="0" fillId="0" fontId="9" numFmtId="0" xfId="0" applyAlignment="1" applyFont="1">
      <alignment horizontal="center" readingOrder="0" vertical="center"/>
    </xf>
    <xf borderId="0" fillId="0" fontId="9" numFmtId="166" xfId="0" applyAlignment="1" applyFont="1" applyNumberFormat="1">
      <alignment horizontal="left" readingOrder="0" vertical="center"/>
    </xf>
    <xf borderId="0" fillId="0" fontId="2" numFmtId="166" xfId="0" applyAlignment="1" applyFont="1" applyNumberFormat="1">
      <alignment vertical="center"/>
    </xf>
    <xf borderId="0" fillId="0" fontId="1" numFmtId="166" xfId="0" applyAlignment="1" applyFont="1" applyNumberFormat="1">
      <alignment horizontal="right" readingOrder="0" vertical="center"/>
    </xf>
    <xf borderId="0" fillId="0" fontId="16" numFmtId="166" xfId="0" applyAlignment="1" applyFont="1" applyNumberFormat="1">
      <alignment horizontal="left" vertical="center"/>
    </xf>
    <xf borderId="0" fillId="0" fontId="16" numFmtId="166" xfId="0" applyAlignment="1" applyFont="1" applyNumberFormat="1">
      <alignment horizontal="right" readingOrder="0" shrinkToFit="0" vertical="center" wrapText="1"/>
    </xf>
    <xf borderId="0" fillId="22" fontId="9" numFmtId="0" xfId="0" applyAlignment="1" applyFont="1">
      <alignment horizontal="left" readingOrder="0" vertical="center"/>
    </xf>
    <xf borderId="0" fillId="30" fontId="31" numFmtId="0" xfId="0" applyAlignment="1" applyFill="1" applyFont="1">
      <alignment horizontal="left" readingOrder="0" vertical="center"/>
    </xf>
    <xf borderId="0" fillId="0" fontId="2" numFmtId="164" xfId="0" applyAlignment="1" applyFont="1" applyNumberFormat="1">
      <alignment horizontal="left" readingOrder="0"/>
    </xf>
    <xf borderId="0" fillId="23" fontId="11" numFmtId="167" xfId="0" applyAlignment="1" applyFont="1" applyNumberFormat="1">
      <alignment horizontal="left" readingOrder="0" shrinkToFit="0" vertical="center" wrapText="1"/>
    </xf>
    <xf borderId="0" fillId="0" fontId="15" numFmtId="167" xfId="0" applyAlignment="1" applyFont="1" applyNumberFormat="1">
      <alignment horizontal="left" readingOrder="0" vertical="center"/>
    </xf>
    <xf borderId="0" fillId="30" fontId="32" numFmtId="0" xfId="0" applyAlignment="1" applyFont="1">
      <alignment horizontal="left" readingOrder="0" vertical="center"/>
    </xf>
    <xf borderId="0" fillId="0" fontId="2" numFmtId="0" xfId="0" applyAlignment="1" applyFont="1">
      <alignment readingOrder="0" shrinkToFit="0" vertical="center" wrapText="1"/>
    </xf>
    <xf borderId="0" fillId="20" fontId="32" numFmtId="0" xfId="0" applyAlignment="1" applyFont="1">
      <alignment horizontal="left" readingOrder="0" vertical="center"/>
    </xf>
    <xf borderId="0" fillId="22" fontId="9" numFmtId="0" xfId="0" applyAlignment="1" applyFont="1">
      <alignment horizontal="left" readingOrder="0" vertical="center"/>
    </xf>
    <xf borderId="0" fillId="31" fontId="9" numFmtId="0" xfId="0" applyAlignment="1" applyFill="1" applyFont="1">
      <alignment horizontal="left" readingOrder="0" vertical="center"/>
    </xf>
    <xf borderId="0" fillId="20" fontId="31" numFmtId="0" xfId="0" applyAlignment="1" applyFont="1">
      <alignment horizontal="left" readingOrder="0" vertical="center"/>
    </xf>
    <xf borderId="0" fillId="20" fontId="9" numFmtId="0" xfId="0" applyAlignment="1" applyFont="1">
      <alignment horizontal="left" vertical="center"/>
    </xf>
    <xf borderId="0" fillId="0" fontId="2" numFmtId="167" xfId="0" applyAlignment="1" applyFont="1" applyNumberFormat="1">
      <alignment horizontal="left"/>
    </xf>
    <xf borderId="0" fillId="0" fontId="11" numFmtId="0" xfId="0" applyAlignment="1" applyFont="1">
      <alignment horizontal="center" shrinkToFit="0" vertical="center" wrapText="1"/>
    </xf>
    <xf borderId="8" fillId="0" fontId="9" numFmtId="0" xfId="0" applyAlignment="1" applyBorder="1" applyFont="1">
      <alignment horizontal="left" readingOrder="0" vertical="center"/>
    </xf>
    <xf borderId="8" fillId="0" fontId="9" numFmtId="167" xfId="0" applyAlignment="1" applyBorder="1" applyFont="1" applyNumberFormat="1">
      <alignment horizontal="left" readingOrder="0" vertical="center"/>
    </xf>
    <xf borderId="8" fillId="0" fontId="10" numFmtId="0" xfId="0" applyAlignment="1" applyBorder="1" applyFont="1">
      <alignment horizontal="left" readingOrder="0" vertical="center"/>
    </xf>
    <xf borderId="8" fillId="19" fontId="9" numFmtId="166" xfId="0" applyAlignment="1" applyBorder="1" applyFont="1" applyNumberFormat="1">
      <alignment horizontal="right" readingOrder="0" vertical="center"/>
    </xf>
    <xf borderId="8" fillId="12" fontId="9" numFmtId="166" xfId="0" applyAlignment="1" applyBorder="1" applyFont="1" applyNumberFormat="1">
      <alignment horizontal="left" readingOrder="0" vertical="center"/>
    </xf>
    <xf borderId="8" fillId="0" fontId="12" numFmtId="168" xfId="0" applyAlignment="1" applyBorder="1" applyFont="1" applyNumberFormat="1">
      <alignment horizontal="center" readingOrder="0" shrinkToFit="0" vertical="center" wrapText="1"/>
    </xf>
    <xf borderId="8" fillId="0" fontId="11" numFmtId="168" xfId="0" applyAlignment="1" applyBorder="1" applyFont="1" applyNumberFormat="1">
      <alignment horizontal="center" readingOrder="0" shrinkToFit="0" vertical="center" wrapText="1"/>
    </xf>
    <xf borderId="38" fillId="0" fontId="13" numFmtId="0" xfId="0" applyAlignment="1" applyBorder="1" applyFont="1">
      <alignment readingOrder="0" vertical="center"/>
    </xf>
    <xf borderId="8" fillId="0" fontId="13" numFmtId="0" xfId="0" applyAlignment="1" applyBorder="1" applyFont="1">
      <alignment readingOrder="0" vertical="center"/>
    </xf>
    <xf borderId="8" fillId="22" fontId="13" numFmtId="0" xfId="0" applyAlignment="1" applyBorder="1" applyFont="1">
      <alignment readingOrder="0" vertical="center"/>
    </xf>
    <xf borderId="19" fillId="0" fontId="13" numFmtId="0" xfId="0" applyAlignment="1" applyBorder="1" applyFont="1">
      <alignment readingOrder="0" vertical="center"/>
    </xf>
    <xf borderId="0" fillId="7" fontId="9" numFmtId="0" xfId="0" applyAlignment="1" applyFont="1">
      <alignment horizontal="left" readingOrder="0" vertical="center"/>
    </xf>
    <xf borderId="0" fillId="32" fontId="10" numFmtId="0" xfId="0" applyAlignment="1" applyFill="1" applyFont="1">
      <alignment horizontal="left" readingOrder="0" vertical="center"/>
    </xf>
    <xf borderId="39" fillId="22" fontId="33" numFmtId="0" xfId="0" applyAlignment="1" applyBorder="1" applyFont="1">
      <alignment horizontal="center" readingOrder="0"/>
    </xf>
    <xf borderId="40" fillId="0" fontId="19" numFmtId="0" xfId="0" applyBorder="1" applyFont="1"/>
    <xf borderId="41" fillId="0" fontId="19" numFmtId="0" xfId="0" applyBorder="1" applyFont="1"/>
    <xf borderId="0" fillId="22" fontId="33" numFmtId="0" xfId="0" applyAlignment="1" applyFont="1">
      <alignment horizontal="center" readingOrder="0"/>
    </xf>
    <xf borderId="5" fillId="33" fontId="34" numFmtId="0" xfId="0" applyAlignment="1" applyBorder="1" applyFill="1" applyFont="1">
      <alignment horizontal="center" readingOrder="0" vertical="top"/>
    </xf>
    <xf borderId="0" fillId="33" fontId="34" numFmtId="0" xfId="0" applyAlignment="1" applyFont="1">
      <alignment horizontal="center" readingOrder="0" vertical="top"/>
    </xf>
    <xf borderId="5" fillId="0" fontId="35" numFmtId="0" xfId="0" applyAlignment="1" applyBorder="1" applyFont="1">
      <alignment readingOrder="0" vertical="top"/>
    </xf>
    <xf borderId="5" fillId="0" fontId="35" numFmtId="172" xfId="0" applyAlignment="1" applyBorder="1" applyFont="1" applyNumberFormat="1">
      <alignment horizontal="center" readingOrder="0" vertical="top"/>
    </xf>
    <xf borderId="5" fillId="0" fontId="35" numFmtId="170" xfId="0" applyAlignment="1" applyBorder="1" applyFont="1" applyNumberFormat="1">
      <alignment readingOrder="0" vertical="top"/>
    </xf>
    <xf borderId="5" fillId="0" fontId="35" numFmtId="0" xfId="0" applyAlignment="1" applyBorder="1" applyFont="1">
      <alignment horizontal="center" readingOrder="0" vertical="top"/>
    </xf>
    <xf borderId="5" fillId="0" fontId="2" numFmtId="0" xfId="0" applyAlignment="1" applyBorder="1" applyFont="1">
      <alignment readingOrder="0" vertical="top"/>
    </xf>
    <xf borderId="0" fillId="0" fontId="2" numFmtId="0" xfId="0" applyAlignment="1" applyFont="1">
      <alignment vertical="top"/>
    </xf>
    <xf borderId="5" fillId="0" fontId="36" numFmtId="0" xfId="0" applyAlignment="1" applyBorder="1" applyFont="1">
      <alignment horizontal="right" readingOrder="0" vertical="center"/>
    </xf>
    <xf borderId="5" fillId="0" fontId="2" numFmtId="172" xfId="0" applyAlignment="1" applyBorder="1" applyFont="1" applyNumberFormat="1">
      <alignment horizontal="center" readingOrder="0" vertical="top"/>
    </xf>
    <xf borderId="5" fillId="0" fontId="2" numFmtId="170" xfId="0" applyAlignment="1" applyBorder="1" applyFont="1" applyNumberFormat="1">
      <alignment vertical="top"/>
    </xf>
    <xf borderId="5" fillId="0" fontId="2" numFmtId="0" xfId="0" applyAlignment="1" applyBorder="1" applyFont="1">
      <alignment vertical="top"/>
    </xf>
    <xf borderId="5" fillId="0" fontId="35" numFmtId="0" xfId="0" applyAlignment="1" applyBorder="1" applyFont="1">
      <alignment readingOrder="0" vertical="center"/>
    </xf>
    <xf borderId="0" fillId="0" fontId="35" numFmtId="0" xfId="0" applyAlignment="1" applyFont="1">
      <alignment horizontal="center" readingOrder="0" vertical="top"/>
    </xf>
    <xf borderId="5" fillId="0" fontId="2" numFmtId="0" xfId="0" applyAlignment="1" applyBorder="1" applyFont="1">
      <alignment horizontal="center" readingOrder="0" vertical="top"/>
    </xf>
    <xf borderId="5" fillId="0" fontId="2" numFmtId="0" xfId="0" applyAlignment="1" applyBorder="1" applyFont="1">
      <alignment vertical="center"/>
    </xf>
    <xf borderId="5" fillId="0" fontId="2" numFmtId="172" xfId="0" applyAlignment="1" applyBorder="1" applyFont="1" applyNumberFormat="1">
      <alignment horizontal="center" vertical="top"/>
    </xf>
    <xf borderId="5" fillId="0" fontId="37" numFmtId="0" xfId="0" applyAlignment="1" applyBorder="1" applyFont="1">
      <alignment horizontal="right" readingOrder="0" vertical="center"/>
    </xf>
    <xf borderId="5" fillId="0" fontId="9" numFmtId="172" xfId="0" applyAlignment="1" applyBorder="1" applyFont="1" applyNumberFormat="1">
      <alignment horizontal="center" vertical="top"/>
    </xf>
    <xf borderId="5" fillId="0" fontId="9" numFmtId="170" xfId="0" applyAlignment="1" applyBorder="1" applyFont="1" applyNumberFormat="1">
      <alignment vertical="top"/>
    </xf>
    <xf borderId="5" fillId="0" fontId="9" numFmtId="0" xfId="0" applyAlignment="1" applyBorder="1" applyFont="1">
      <alignment vertical="top"/>
    </xf>
    <xf borderId="5" fillId="0" fontId="9" numFmtId="0" xfId="0" applyAlignment="1" applyBorder="1" applyFont="1">
      <alignment vertical="top"/>
    </xf>
    <xf borderId="0" fillId="0" fontId="9" numFmtId="0" xfId="0" applyAlignment="1" applyFont="1">
      <alignment vertical="top"/>
    </xf>
    <xf borderId="5" fillId="0" fontId="2" numFmtId="172" xfId="0" applyAlignment="1" applyBorder="1" applyFont="1" applyNumberFormat="1">
      <alignment horizontal="center"/>
    </xf>
    <xf borderId="5" fillId="0" fontId="2" numFmtId="0" xfId="0" applyBorder="1" applyFont="1"/>
    <xf borderId="5" fillId="17" fontId="1" numFmtId="0" xfId="0" applyAlignment="1" applyBorder="1" applyFont="1">
      <alignment horizontal="right" readingOrder="0"/>
    </xf>
    <xf borderId="5" fillId="17" fontId="1" numFmtId="172" xfId="0" applyAlignment="1" applyBorder="1" applyFont="1" applyNumberFormat="1">
      <alignment horizontal="center"/>
    </xf>
    <xf borderId="5" fillId="17" fontId="1" numFmtId="0" xfId="0" applyAlignment="1" applyBorder="1" applyFont="1">
      <alignment horizontal="right"/>
    </xf>
    <xf borderId="5" fillId="17" fontId="1" numFmtId="0" xfId="0" applyAlignment="1" applyBorder="1" applyFont="1">
      <alignment horizontal="right"/>
    </xf>
    <xf borderId="0" fillId="17" fontId="1" numFmtId="0" xfId="0" applyAlignment="1" applyFont="1">
      <alignment horizontal="right"/>
    </xf>
    <xf borderId="0" fillId="27" fontId="8" numFmtId="0" xfId="0" applyAlignment="1" applyFont="1">
      <alignment horizontal="center" readingOrder="0" vertical="center"/>
    </xf>
    <xf borderId="3" fillId="7" fontId="6" numFmtId="0" xfId="0" applyAlignment="1" applyBorder="1" applyFont="1">
      <alignment horizontal="center" readingOrder="0" shrinkToFit="0" vertical="center" wrapText="1"/>
    </xf>
    <xf borderId="3" fillId="34" fontId="6" numFmtId="0" xfId="0" applyAlignment="1" applyBorder="1" applyFill="1" applyFont="1">
      <alignment horizontal="center" readingOrder="0" shrinkToFit="0" vertical="center" wrapText="1"/>
    </xf>
    <xf borderId="42" fillId="34" fontId="26" numFmtId="166" xfId="0" applyAlignment="1" applyBorder="1" applyFont="1" applyNumberFormat="1">
      <alignment horizontal="center" readingOrder="0" shrinkToFit="0" vertical="center" wrapText="1"/>
    </xf>
    <xf borderId="43" fillId="0" fontId="19" numFmtId="0" xfId="0" applyBorder="1" applyFont="1"/>
    <xf borderId="18" fillId="29" fontId="26" numFmtId="3" xfId="0" applyAlignment="1" applyBorder="1" applyFont="1" applyNumberFormat="1">
      <alignment horizontal="center" readingOrder="0" shrinkToFit="0" vertical="center" wrapText="1"/>
    </xf>
    <xf borderId="3" fillId="0" fontId="26" numFmtId="173" xfId="0" applyAlignment="1" applyBorder="1" applyFont="1" applyNumberFormat="1">
      <alignment horizontal="center" readingOrder="0" shrinkToFit="0" vertical="center" wrapText="1"/>
    </xf>
    <xf borderId="3" fillId="0" fontId="26" numFmtId="0" xfId="0" applyAlignment="1" applyBorder="1" applyFont="1">
      <alignment horizontal="center" readingOrder="0" shrinkToFit="0" vertical="center" wrapText="1"/>
    </xf>
    <xf borderId="18" fillId="29" fontId="26" numFmtId="166" xfId="0" applyAlignment="1" applyBorder="1" applyFont="1" applyNumberFormat="1">
      <alignment horizontal="center" readingOrder="0" shrinkToFit="0" vertical="center" wrapText="1"/>
    </xf>
    <xf borderId="3" fillId="34" fontId="26" numFmtId="166" xfId="0" applyAlignment="1" applyBorder="1" applyFont="1" applyNumberFormat="1">
      <alignment horizontal="center" readingOrder="0" shrinkToFit="0" vertical="center" wrapText="1"/>
    </xf>
    <xf borderId="3" fillId="0" fontId="26" numFmtId="49" xfId="0" applyAlignment="1" applyBorder="1" applyFont="1" applyNumberFormat="1">
      <alignment horizontal="center" readingOrder="0" shrinkToFit="0" vertical="center" wrapText="1"/>
    </xf>
    <xf borderId="3" fillId="19" fontId="38" numFmtId="0" xfId="0" applyAlignment="1" applyBorder="1" applyFont="1">
      <alignment horizontal="center" readingOrder="0" shrinkToFit="0" vertical="center" wrapText="1"/>
    </xf>
    <xf borderId="3" fillId="19" fontId="38" numFmtId="0" xfId="0" applyAlignment="1" applyBorder="1" applyFont="1">
      <alignment horizontal="left" readingOrder="0" shrinkToFit="0" vertical="center" wrapText="1"/>
    </xf>
    <xf borderId="44" fillId="19" fontId="38" numFmtId="0" xfId="0" applyAlignment="1" applyBorder="1" applyFont="1">
      <alignment horizontal="center" readingOrder="0" shrinkToFit="0" vertical="center" wrapText="1"/>
    </xf>
    <xf borderId="44" fillId="0" fontId="19" numFmtId="0" xfId="0" applyBorder="1" applyFont="1"/>
    <xf borderId="43" fillId="19" fontId="38" numFmtId="0" xfId="0" applyAlignment="1" applyBorder="1" applyFont="1">
      <alignment horizontal="center" readingOrder="0" shrinkToFit="0" vertical="center" wrapText="1"/>
    </xf>
    <xf borderId="3" fillId="19" fontId="12" numFmtId="0" xfId="0" applyAlignment="1" applyBorder="1" applyFont="1">
      <alignment readingOrder="0" shrinkToFit="0" vertical="center" wrapText="1"/>
    </xf>
    <xf borderId="3" fillId="19" fontId="12" numFmtId="174" xfId="0" applyAlignment="1" applyBorder="1" applyFont="1" applyNumberFormat="1">
      <alignment horizontal="left" readingOrder="0" shrinkToFit="0" vertical="center" wrapText="1"/>
    </xf>
    <xf borderId="3" fillId="34" fontId="12" numFmtId="175" xfId="0" applyAlignment="1" applyBorder="1" applyFont="1" applyNumberFormat="1">
      <alignment horizontal="right" readingOrder="0" shrinkToFit="0" vertical="center" wrapText="1"/>
    </xf>
    <xf borderId="3" fillId="0" fontId="12" numFmtId="3" xfId="0" applyAlignment="1" applyBorder="1" applyFont="1" applyNumberFormat="1">
      <alignment readingOrder="0" shrinkToFit="0" vertical="center" wrapText="1"/>
    </xf>
    <xf borderId="3" fillId="34" fontId="12" numFmtId="166" xfId="0" applyAlignment="1" applyBorder="1" applyFont="1" applyNumberFormat="1">
      <alignment readingOrder="0" shrinkToFit="0" vertical="center" wrapText="1"/>
    </xf>
    <xf borderId="3" fillId="34" fontId="12" numFmtId="166" xfId="0" applyAlignment="1" applyBorder="1" applyFont="1" applyNumberFormat="1">
      <alignment horizontal="right" readingOrder="0" shrinkToFit="0" vertical="center" wrapText="1"/>
    </xf>
    <xf borderId="3" fillId="7" fontId="12" numFmtId="3" xfId="0" applyAlignment="1" applyBorder="1" applyFont="1" applyNumberFormat="1">
      <alignment horizontal="center" readingOrder="0" shrinkToFit="0" vertical="center" wrapText="1"/>
    </xf>
    <xf borderId="3" fillId="0" fontId="12" numFmtId="166" xfId="0" applyAlignment="1" applyBorder="1" applyFont="1" applyNumberFormat="1">
      <alignment readingOrder="0" shrinkToFit="0" vertical="center" wrapText="1"/>
    </xf>
    <xf borderId="3" fillId="29" fontId="12" numFmtId="166" xfId="0" applyAlignment="1" applyBorder="1" applyFont="1" applyNumberFormat="1">
      <alignment readingOrder="0" shrinkToFit="0" vertical="center" wrapText="1"/>
    </xf>
    <xf borderId="3" fillId="29" fontId="12" numFmtId="3" xfId="0" applyAlignment="1" applyBorder="1" applyFont="1" applyNumberFormat="1">
      <alignment horizontal="center" readingOrder="0" shrinkToFit="0" vertical="center" wrapText="1"/>
    </xf>
    <xf borderId="3" fillId="19" fontId="12" numFmtId="176" xfId="0" applyAlignment="1" applyBorder="1" applyFont="1" applyNumberFormat="1">
      <alignment horizontal="left" readingOrder="0" shrinkToFit="0" vertical="center" wrapText="1"/>
    </xf>
    <xf borderId="3" fillId="19" fontId="12" numFmtId="0" xfId="0" applyAlignment="1" applyBorder="1" applyFont="1">
      <alignment horizontal="left" readingOrder="0" shrinkToFit="0" vertical="center" wrapText="1"/>
    </xf>
    <xf borderId="43" fillId="34" fontId="12" numFmtId="166" xfId="0" applyAlignment="1" applyBorder="1" applyFont="1" applyNumberFormat="1">
      <alignment horizontal="right" readingOrder="0" shrinkToFit="0" vertical="center" wrapText="1"/>
    </xf>
    <xf borderId="43" fillId="0" fontId="12" numFmtId="3" xfId="0" applyAlignment="1" applyBorder="1" applyFont="1" applyNumberFormat="1">
      <alignment readingOrder="0" shrinkToFit="0" vertical="center" wrapText="1"/>
    </xf>
    <xf borderId="43" fillId="34" fontId="12" numFmtId="166" xfId="0" applyAlignment="1" applyBorder="1" applyFont="1" applyNumberFormat="1">
      <alignment readingOrder="0" shrinkToFit="0" vertical="center" wrapText="1"/>
    </xf>
    <xf borderId="43" fillId="29" fontId="12" numFmtId="3" xfId="0" applyAlignment="1" applyBorder="1" applyFont="1" applyNumberFormat="1">
      <alignment horizontal="center" readingOrder="0" shrinkToFit="0" vertical="center" wrapText="1"/>
    </xf>
    <xf borderId="3" fillId="0" fontId="12" numFmtId="3" xfId="0" applyAlignment="1" applyBorder="1" applyFont="1" applyNumberFormat="1">
      <alignment horizontal="right" readingOrder="0" shrinkToFit="0" vertical="center" wrapText="1"/>
    </xf>
    <xf borderId="44" fillId="34" fontId="12" numFmtId="166" xfId="0" applyAlignment="1" applyBorder="1" applyFont="1" applyNumberFormat="1">
      <alignment readingOrder="0" shrinkToFit="0" vertical="center" wrapText="1"/>
    </xf>
    <xf borderId="43" fillId="0" fontId="12" numFmtId="3" xfId="0" applyAlignment="1" applyBorder="1" applyFont="1" applyNumberFormat="1">
      <alignment horizontal="right" readingOrder="0" shrinkToFit="0" vertical="center" wrapText="1"/>
    </xf>
    <xf borderId="3" fillId="17" fontId="12" numFmtId="0" xfId="0" applyAlignment="1" applyBorder="1" applyFont="1">
      <alignment readingOrder="0" shrinkToFit="0" vertical="center" wrapText="1"/>
    </xf>
    <xf borderId="3" fillId="17" fontId="12" numFmtId="0" xfId="0" applyAlignment="1" applyBorder="1" applyFont="1">
      <alignment horizontal="left" readingOrder="0" shrinkToFit="0" vertical="center" wrapText="1"/>
    </xf>
    <xf borderId="42" fillId="17" fontId="12" numFmtId="166" xfId="0" applyAlignment="1" applyBorder="1" applyFont="1" applyNumberFormat="1">
      <alignment readingOrder="0" shrinkToFit="0" vertical="center" wrapText="1"/>
    </xf>
    <xf borderId="43" fillId="17" fontId="12" numFmtId="3" xfId="0" applyAlignment="1" applyBorder="1" applyFont="1" applyNumberFormat="1">
      <alignment horizontal="right" readingOrder="0" shrinkToFit="0" vertical="center" wrapText="1"/>
    </xf>
    <xf borderId="43" fillId="17" fontId="12" numFmtId="3" xfId="0" applyAlignment="1" applyBorder="1" applyFont="1" applyNumberFormat="1">
      <alignment horizontal="center" readingOrder="0" shrinkToFit="0" vertical="center" wrapText="1"/>
    </xf>
    <xf borderId="3" fillId="17" fontId="12" numFmtId="166" xfId="0" applyAlignment="1" applyBorder="1" applyFont="1" applyNumberFormat="1">
      <alignment readingOrder="0" shrinkToFit="0" vertical="center" wrapText="1"/>
    </xf>
    <xf borderId="3" fillId="34" fontId="6" numFmtId="0" xfId="0" applyAlignment="1" applyBorder="1" applyFont="1">
      <alignment horizontal="right" readingOrder="0" shrinkToFit="0" vertical="center" wrapText="1"/>
    </xf>
    <xf borderId="42" fillId="30" fontId="26" numFmtId="173" xfId="0" applyAlignment="1" applyBorder="1" applyFont="1" applyNumberFormat="1">
      <alignment horizontal="center" readingOrder="0" shrinkToFit="0" vertical="center" wrapText="1"/>
    </xf>
    <xf borderId="42" fillId="35" fontId="26" numFmtId="0" xfId="0" applyAlignment="1" applyBorder="1" applyFill="1" applyFont="1">
      <alignment horizontal="center" readingOrder="0" shrinkToFit="0" vertical="center" wrapText="1"/>
    </xf>
    <xf borderId="42" fillId="8" fontId="26" numFmtId="0" xfId="0" applyAlignment="1" applyBorder="1" applyFont="1">
      <alignment horizontal="center" readingOrder="0" shrinkToFit="0" vertical="center" wrapText="1"/>
    </xf>
    <xf borderId="42" fillId="22" fontId="26" numFmtId="0" xfId="0" applyAlignment="1" applyBorder="1" applyFont="1">
      <alignment horizontal="center" readingOrder="0" shrinkToFit="0" vertical="center" wrapText="1"/>
    </xf>
    <xf borderId="42" fillId="36" fontId="26" numFmtId="0" xfId="0" applyAlignment="1" applyBorder="1" applyFill="1" applyFont="1">
      <alignment horizontal="center" readingOrder="0" shrinkToFit="0" vertical="center" wrapText="1"/>
    </xf>
    <xf borderId="42" fillId="37" fontId="26" numFmtId="0" xfId="0" applyAlignment="1" applyBorder="1" applyFill="1" applyFont="1">
      <alignment horizontal="center" readingOrder="0" shrinkToFit="0" vertical="center" wrapText="1"/>
    </xf>
    <xf borderId="42" fillId="38" fontId="26" numFmtId="0" xfId="0" applyAlignment="1" applyBorder="1" applyFill="1" applyFont="1">
      <alignment horizontal="center" readingOrder="0" shrinkToFit="0" vertical="center" wrapText="1"/>
    </xf>
    <xf borderId="42" fillId="24" fontId="26" numFmtId="0" xfId="0" applyAlignment="1" applyBorder="1" applyFont="1">
      <alignment horizontal="center" readingOrder="0" shrinkToFit="0" vertical="center" wrapText="1"/>
    </xf>
    <xf borderId="45" fillId="7" fontId="38" numFmtId="0" xfId="0" applyAlignment="1" applyBorder="1" applyFont="1">
      <alignment horizontal="center" readingOrder="0" shrinkToFit="0" vertical="center" wrapText="1"/>
    </xf>
    <xf borderId="0" fillId="15" fontId="38" numFmtId="49" xfId="0" applyAlignment="1" applyFont="1" applyNumberFormat="1">
      <alignment horizontal="left" readingOrder="0" shrinkToFit="0" vertical="center" wrapText="1"/>
    </xf>
    <xf borderId="44" fillId="30" fontId="18" numFmtId="0" xfId="0" applyAlignment="1" applyBorder="1" applyFont="1">
      <alignment horizontal="center" readingOrder="0" shrinkToFit="0" vertical="center" wrapText="1"/>
    </xf>
    <xf borderId="44" fillId="35" fontId="18" numFmtId="0" xfId="0" applyAlignment="1" applyBorder="1" applyFont="1">
      <alignment horizontal="center" readingOrder="0" shrinkToFit="0" vertical="center" wrapText="1"/>
    </xf>
    <xf borderId="44" fillId="8" fontId="18" numFmtId="0" xfId="0" applyAlignment="1" applyBorder="1" applyFont="1">
      <alignment horizontal="center" readingOrder="0" shrinkToFit="0" vertical="center" wrapText="1"/>
    </xf>
    <xf borderId="44" fillId="39" fontId="18" numFmtId="0" xfId="0" applyAlignment="1" applyBorder="1" applyFill="1" applyFont="1">
      <alignment horizontal="center" readingOrder="0" shrinkToFit="0" vertical="center" wrapText="1"/>
    </xf>
    <xf borderId="44" fillId="22" fontId="18" numFmtId="0" xfId="0" applyAlignment="1" applyBorder="1" applyFont="1">
      <alignment horizontal="center" readingOrder="0" shrinkToFit="0" vertical="center" wrapText="1"/>
    </xf>
    <xf borderId="44" fillId="16" fontId="18" numFmtId="0" xfId="0" applyAlignment="1" applyBorder="1" applyFont="1">
      <alignment horizontal="center" readingOrder="0" shrinkToFit="0" vertical="center" wrapText="1"/>
    </xf>
    <xf borderId="44" fillId="36" fontId="18" numFmtId="0" xfId="0" applyAlignment="1" applyBorder="1" applyFont="1">
      <alignment horizontal="center" readingOrder="0" shrinkToFit="0" vertical="center" wrapText="1"/>
    </xf>
    <xf borderId="44" fillId="40" fontId="18" numFmtId="0" xfId="0" applyAlignment="1" applyBorder="1" applyFill="1" applyFont="1">
      <alignment horizontal="center" readingOrder="0" shrinkToFit="0" vertical="center" wrapText="1"/>
    </xf>
    <xf borderId="44" fillId="37" fontId="18" numFmtId="0" xfId="0" applyAlignment="1" applyBorder="1" applyFont="1">
      <alignment horizontal="center" readingOrder="0" shrinkToFit="0" vertical="center" wrapText="1"/>
    </xf>
    <xf borderId="44" fillId="13" fontId="18" numFmtId="0" xfId="0" applyAlignment="1" applyBorder="1" applyFont="1">
      <alignment horizontal="center" readingOrder="0" shrinkToFit="0" vertical="center" wrapText="1"/>
    </xf>
    <xf borderId="44" fillId="38" fontId="18" numFmtId="0" xfId="0" applyAlignment="1" applyBorder="1" applyFont="1">
      <alignment horizontal="center" readingOrder="0" shrinkToFit="0" vertical="center" wrapText="1"/>
    </xf>
    <xf borderId="44" fillId="41" fontId="18" numFmtId="0" xfId="0" applyAlignment="1" applyBorder="1" applyFill="1" applyFont="1">
      <alignment horizontal="center" readingOrder="0" shrinkToFit="0" vertical="center" wrapText="1"/>
    </xf>
    <xf borderId="44" fillId="24" fontId="18" numFmtId="0" xfId="0" applyAlignment="1" applyBorder="1" applyFont="1">
      <alignment horizontal="center" readingOrder="0" shrinkToFit="0" vertical="center" wrapText="1"/>
    </xf>
    <xf borderId="44" fillId="18" fontId="18" numFmtId="0" xfId="0" applyAlignment="1" applyBorder="1" applyFont="1">
      <alignment horizontal="center" readingOrder="0" shrinkToFit="0" vertical="center" wrapText="1"/>
    </xf>
    <xf borderId="46" fillId="0" fontId="19" numFmtId="0" xfId="0" applyBorder="1" applyFont="1"/>
    <xf borderId="42" fillId="19" fontId="38" numFmtId="0" xfId="0" applyAlignment="1" applyBorder="1" applyFont="1">
      <alignment horizontal="center" readingOrder="0" shrinkToFit="0" vertical="center" wrapText="1"/>
    </xf>
    <xf borderId="12" fillId="42" fontId="12" numFmtId="0" xfId="0" applyAlignment="1" applyBorder="1" applyFill="1" applyFont="1">
      <alignment readingOrder="0" shrinkToFit="0" vertical="center" wrapText="1"/>
    </xf>
    <xf borderId="0" fillId="15" fontId="12" numFmtId="0" xfId="0" applyAlignment="1" applyFont="1">
      <alignment horizontal="left" readingOrder="0" shrinkToFit="0" vertical="center" wrapText="1"/>
    </xf>
    <xf borderId="0" fillId="15" fontId="31" numFmtId="49" xfId="0" applyAlignment="1" applyFont="1" applyNumberFormat="1">
      <alignment horizontal="left" readingOrder="0" vertical="center"/>
    </xf>
    <xf borderId="3" fillId="19" fontId="12" numFmtId="174" xfId="0" applyAlignment="1" applyBorder="1" applyFont="1" applyNumberFormat="1">
      <alignment readingOrder="0" shrinkToFit="0" vertical="center" wrapText="1"/>
    </xf>
    <xf borderId="3" fillId="30" fontId="12" numFmtId="173" xfId="0" applyAlignment="1" applyBorder="1" applyFont="1" applyNumberFormat="1">
      <alignment horizontal="right" readingOrder="0" shrinkToFit="0" vertical="center" wrapText="1"/>
    </xf>
    <xf borderId="3" fillId="7" fontId="12" numFmtId="49" xfId="0" applyAlignment="1" applyBorder="1" applyFont="1" applyNumberFormat="1">
      <alignment readingOrder="0" shrinkToFit="0" vertical="center" wrapText="1"/>
    </xf>
    <xf borderId="3" fillId="35" fontId="12" numFmtId="173" xfId="0" applyAlignment="1" applyBorder="1" applyFont="1" applyNumberFormat="1">
      <alignment readingOrder="0" shrinkToFit="0" vertical="center" wrapText="1"/>
    </xf>
    <xf borderId="3" fillId="0" fontId="12" numFmtId="49" xfId="0" applyAlignment="1" applyBorder="1" applyFont="1" applyNumberFormat="1">
      <alignment readingOrder="0" shrinkToFit="0" vertical="center" wrapText="1"/>
    </xf>
    <xf borderId="3" fillId="8" fontId="12" numFmtId="173" xfId="0" applyAlignment="1" applyBorder="1" applyFont="1" applyNumberFormat="1">
      <alignment readingOrder="0" shrinkToFit="0" vertical="center" wrapText="1"/>
    </xf>
    <xf borderId="3" fillId="39" fontId="12" numFmtId="173" xfId="0" applyAlignment="1" applyBorder="1" applyFont="1" applyNumberFormat="1">
      <alignment readingOrder="0" shrinkToFit="0" vertical="center" wrapText="1"/>
    </xf>
    <xf borderId="3" fillId="22" fontId="12" numFmtId="173" xfId="0" applyAlignment="1" applyBorder="1" applyFont="1" applyNumberFormat="1">
      <alignment readingOrder="0" shrinkToFit="0" vertical="center" wrapText="1"/>
    </xf>
    <xf borderId="3" fillId="16" fontId="12" numFmtId="173" xfId="0" applyAlignment="1" applyBorder="1" applyFont="1" applyNumberFormat="1">
      <alignment readingOrder="0" shrinkToFit="0" vertical="center" wrapText="1"/>
    </xf>
    <xf borderId="3" fillId="36" fontId="12" numFmtId="173" xfId="0" applyAlignment="1" applyBorder="1" applyFont="1" applyNumberFormat="1">
      <alignment horizontal="right" readingOrder="0" shrinkToFit="0" vertical="center" wrapText="1"/>
    </xf>
    <xf borderId="3" fillId="40" fontId="12" numFmtId="173" xfId="0" applyAlignment="1" applyBorder="1" applyFont="1" applyNumberFormat="1">
      <alignment horizontal="right" readingOrder="0" shrinkToFit="0" vertical="center" wrapText="1"/>
    </xf>
    <xf borderId="3" fillId="37" fontId="12" numFmtId="173" xfId="0" applyAlignment="1" applyBorder="1" applyFont="1" applyNumberFormat="1">
      <alignment readingOrder="0" shrinkToFit="0" vertical="center" wrapText="1"/>
    </xf>
    <xf borderId="3" fillId="13" fontId="12" numFmtId="173" xfId="0" applyAlignment="1" applyBorder="1" applyFont="1" applyNumberFormat="1">
      <alignment readingOrder="0" shrinkToFit="0" vertical="center" wrapText="1"/>
    </xf>
    <xf borderId="3" fillId="38" fontId="12" numFmtId="173" xfId="0" applyAlignment="1" applyBorder="1" applyFont="1" applyNumberFormat="1">
      <alignment readingOrder="0" shrinkToFit="0" vertical="center" wrapText="1"/>
    </xf>
    <xf borderId="3" fillId="41" fontId="12" numFmtId="173" xfId="0" applyAlignment="1" applyBorder="1" applyFont="1" applyNumberFormat="1">
      <alignment readingOrder="0" shrinkToFit="0" vertical="center" wrapText="1"/>
    </xf>
    <xf borderId="3" fillId="24" fontId="12" numFmtId="173" xfId="0" applyAlignment="1" applyBorder="1" applyFont="1" applyNumberFormat="1">
      <alignment readingOrder="0" shrinkToFit="0" vertical="center" wrapText="1"/>
    </xf>
    <xf borderId="3" fillId="18" fontId="12" numFmtId="173" xfId="0" applyAlignment="1" applyBorder="1" applyFont="1" applyNumberFormat="1">
      <alignment readingOrder="0" shrinkToFit="0" vertical="center" wrapText="1"/>
    </xf>
    <xf borderId="42" fillId="0" fontId="12" numFmtId="49" xfId="0" applyAlignment="1" applyBorder="1" applyFont="1" applyNumberFormat="1">
      <alignment readingOrder="0" shrinkToFit="0" vertical="center" wrapText="1"/>
    </xf>
    <xf borderId="0" fillId="15" fontId="12" numFmtId="0" xfId="0" applyAlignment="1" applyFont="1">
      <alignment readingOrder="0" shrinkToFit="0" vertical="center" wrapText="1"/>
    </xf>
    <xf borderId="0" fillId="15" fontId="31" numFmtId="0" xfId="0" applyAlignment="1" applyFont="1">
      <alignment readingOrder="0" vertical="center"/>
    </xf>
    <xf borderId="3" fillId="19" fontId="12" numFmtId="176" xfId="0" applyAlignment="1" applyBorder="1" applyFont="1" applyNumberFormat="1">
      <alignment readingOrder="0" shrinkToFit="0" vertical="center" wrapText="1"/>
    </xf>
    <xf borderId="12" fillId="42" fontId="31" numFmtId="0" xfId="0" applyAlignment="1" applyBorder="1" applyFont="1">
      <alignment vertical="center"/>
    </xf>
    <xf borderId="18" fillId="0" fontId="12" numFmtId="49" xfId="0" applyAlignment="1" applyBorder="1" applyFont="1" applyNumberFormat="1">
      <alignment horizontal="right" readingOrder="0" shrinkToFit="0" vertical="center" wrapText="1"/>
    </xf>
    <xf borderId="3" fillId="22" fontId="12" numFmtId="173" xfId="0" applyAlignment="1" applyBorder="1" applyFont="1" applyNumberFormat="1">
      <alignment horizontal="right" readingOrder="0" shrinkToFit="0" vertical="center" wrapText="1"/>
    </xf>
    <xf borderId="3" fillId="16" fontId="12" numFmtId="173" xfId="0" applyAlignment="1" applyBorder="1" applyFont="1" applyNumberFormat="1">
      <alignment horizontal="right" readingOrder="0" shrinkToFit="0" vertical="center" wrapText="1"/>
    </xf>
    <xf borderId="42" fillId="19" fontId="12" numFmtId="0" xfId="0" applyAlignment="1" applyBorder="1" applyFont="1">
      <alignment readingOrder="0" shrinkToFit="0" vertical="center" wrapText="1"/>
    </xf>
    <xf borderId="44" fillId="0" fontId="12" numFmtId="49" xfId="0" applyAlignment="1" applyBorder="1" applyFont="1" applyNumberFormat="1">
      <alignment readingOrder="0" shrinkToFit="0" vertical="center" wrapText="1"/>
    </xf>
    <xf borderId="44" fillId="8" fontId="12" numFmtId="173" xfId="0" applyAlignment="1" applyBorder="1" applyFont="1" applyNumberFormat="1">
      <alignment readingOrder="0" shrinkToFit="0" vertical="center" wrapText="1"/>
    </xf>
    <xf borderId="44" fillId="39" fontId="12" numFmtId="173" xfId="0" applyAlignment="1" applyBorder="1" applyFont="1" applyNumberFormat="1">
      <alignment readingOrder="0" shrinkToFit="0" vertical="center" wrapText="1"/>
    </xf>
    <xf borderId="44" fillId="22" fontId="12" numFmtId="173" xfId="0" applyAlignment="1" applyBorder="1" applyFont="1" applyNumberFormat="1">
      <alignment horizontal="right" readingOrder="0" shrinkToFit="0" vertical="center" wrapText="1"/>
    </xf>
    <xf borderId="44" fillId="16" fontId="12" numFmtId="173" xfId="0" applyAlignment="1" applyBorder="1" applyFont="1" applyNumberFormat="1">
      <alignment horizontal="right" readingOrder="0" shrinkToFit="0" vertical="center" wrapText="1"/>
    </xf>
    <xf borderId="44" fillId="36" fontId="12" numFmtId="173" xfId="0" applyAlignment="1" applyBorder="1" applyFont="1" applyNumberFormat="1">
      <alignment horizontal="right" readingOrder="0" shrinkToFit="0" vertical="center" wrapText="1"/>
    </xf>
    <xf borderId="44" fillId="40" fontId="12" numFmtId="173" xfId="0" applyAlignment="1" applyBorder="1" applyFont="1" applyNumberFormat="1">
      <alignment horizontal="right" readingOrder="0" shrinkToFit="0" vertical="center" wrapText="1"/>
    </xf>
    <xf borderId="44" fillId="37" fontId="12" numFmtId="173" xfId="0" applyAlignment="1" applyBorder="1" applyFont="1" applyNumberFormat="1">
      <alignment readingOrder="0" shrinkToFit="0" vertical="center" wrapText="1"/>
    </xf>
    <xf borderId="44" fillId="13" fontId="12" numFmtId="173" xfId="0" applyAlignment="1" applyBorder="1" applyFont="1" applyNumberFormat="1">
      <alignment readingOrder="0" shrinkToFit="0" vertical="center" wrapText="1"/>
    </xf>
    <xf borderId="44" fillId="38" fontId="12" numFmtId="173" xfId="0" applyAlignment="1" applyBorder="1" applyFont="1" applyNumberFormat="1">
      <alignment readingOrder="0" shrinkToFit="0" vertical="center" wrapText="1"/>
    </xf>
    <xf borderId="44" fillId="24" fontId="12" numFmtId="173" xfId="0" applyAlignment="1" applyBorder="1" applyFont="1" applyNumberFormat="1">
      <alignment readingOrder="0" shrinkToFit="0" vertical="center" wrapText="1"/>
    </xf>
    <xf borderId="3" fillId="0" fontId="12" numFmtId="49" xfId="0" applyAlignment="1" applyBorder="1" applyFont="1" applyNumberFormat="1">
      <alignment horizontal="right" readingOrder="0" shrinkToFit="0" vertical="center" wrapText="1"/>
    </xf>
    <xf borderId="12" fillId="0" fontId="9" numFmtId="0" xfId="0" applyAlignment="1" applyBorder="1" applyFont="1">
      <alignment vertical="center"/>
    </xf>
    <xf borderId="44" fillId="0" fontId="12" numFmtId="49" xfId="0" applyAlignment="1" applyBorder="1" applyFont="1" applyNumberFormat="1">
      <alignment horizontal="right" readingOrder="0" shrinkToFit="0" vertical="center" wrapText="1"/>
    </xf>
    <xf borderId="47" fillId="0" fontId="12" numFmtId="49" xfId="0" applyAlignment="1" applyBorder="1" applyFont="1" applyNumberFormat="1">
      <alignment horizontal="right" readingOrder="0" shrinkToFit="0" vertical="center" wrapText="1"/>
    </xf>
    <xf borderId="48" fillId="0" fontId="12" numFmtId="49" xfId="0" applyAlignment="1" applyBorder="1" applyFont="1" applyNumberFormat="1">
      <alignment horizontal="right" readingOrder="0" shrinkToFit="0" vertical="center" wrapText="1"/>
    </xf>
    <xf borderId="0" fillId="0" fontId="12" numFmtId="49" xfId="0" applyAlignment="1" applyFont="1" applyNumberFormat="1">
      <alignment horizontal="right" readingOrder="0" shrinkToFit="0" vertical="center" wrapText="1"/>
    </xf>
    <xf borderId="42" fillId="17" fontId="12" numFmtId="0" xfId="0" applyAlignment="1" applyBorder="1" applyFont="1">
      <alignment horizontal="left" readingOrder="0" shrinkToFit="0" vertical="center" wrapText="1"/>
    </xf>
    <xf borderId="3" fillId="17" fontId="12" numFmtId="173" xfId="0" applyAlignment="1" applyBorder="1" applyFont="1" applyNumberFormat="1">
      <alignment readingOrder="0" shrinkToFit="0" vertical="center" wrapText="1"/>
    </xf>
    <xf borderId="3" fillId="17" fontId="12" numFmtId="49" xfId="0" applyAlignment="1" applyBorder="1" applyFont="1" applyNumberFormat="1">
      <alignment horizontal="right" readingOrder="0" shrinkToFit="0" vertical="center" wrapText="1"/>
    </xf>
    <xf borderId="42" fillId="17" fontId="12" numFmtId="49" xfId="0" applyAlignment="1" applyBorder="1" applyFont="1" applyNumberFormat="1">
      <alignment horizontal="right" readingOrder="0" shrinkToFit="0" vertical="center" wrapText="1"/>
    </xf>
    <xf borderId="0" fillId="0" fontId="2" numFmtId="49" xfId="0" applyAlignment="1" applyFont="1" applyNumberFormat="1">
      <alignment vertical="center"/>
    </xf>
    <xf borderId="0" fillId="0" fontId="2" numFmtId="49" xfId="0" applyAlignment="1" applyFont="1" applyNumberFormat="1">
      <alignment readingOrder="0" vertical="center"/>
    </xf>
    <xf borderId="0" fillId="0" fontId="2" numFmtId="173" xfId="0" applyAlignment="1" applyFont="1" applyNumberFormat="1">
      <alignment readingOrder="0" vertical="center"/>
    </xf>
    <xf borderId="0" fillId="0" fontId="39" numFmtId="49" xfId="0" applyAlignment="1" applyFont="1" applyNumberFormat="1">
      <alignment vertical="center"/>
    </xf>
    <xf borderId="3" fillId="0" fontId="9" numFmtId="0" xfId="0" applyAlignment="1" applyBorder="1" applyFont="1">
      <alignment readingOrder="0" vertical="center"/>
    </xf>
    <xf borderId="0" fillId="0" fontId="40" numFmtId="0" xfId="0" applyAlignment="1" applyFont="1">
      <alignment vertical="center"/>
    </xf>
    <xf borderId="3" fillId="0" fontId="9" numFmtId="0" xfId="0" applyAlignment="1" applyBorder="1" applyFont="1">
      <alignment vertical="center"/>
    </xf>
    <xf borderId="3" fillId="0" fontId="41" numFmtId="0" xfId="0" applyAlignment="1" applyBorder="1" applyFont="1">
      <alignment vertical="center"/>
    </xf>
    <xf borderId="0" fillId="0" fontId="2" numFmtId="173" xfId="0" applyAlignment="1" applyFont="1" applyNumberFormat="1">
      <alignment vertical="center"/>
    </xf>
    <xf borderId="0" fillId="0" fontId="2" numFmtId="0" xfId="0" applyAlignment="1" applyFont="1">
      <alignment vertical="center"/>
    </xf>
    <xf borderId="0" fillId="0" fontId="2" numFmtId="177" xfId="0" applyAlignment="1" applyFont="1" applyNumberFormat="1">
      <alignment vertical="center"/>
    </xf>
    <xf borderId="0" fillId="0" fontId="42" numFmtId="177" xfId="0" applyAlignment="1" applyFont="1" applyNumberFormat="1">
      <alignment vertical="center"/>
    </xf>
    <xf borderId="0" fillId="17" fontId="2" numFmtId="0" xfId="0" applyAlignment="1" applyFont="1">
      <alignment vertical="center"/>
    </xf>
    <xf borderId="0" fillId="17" fontId="2" numFmtId="177" xfId="0" applyAlignment="1" applyFont="1" applyNumberFormat="1">
      <alignment vertical="center"/>
    </xf>
    <xf borderId="0" fillId="17" fontId="2" numFmtId="49" xfId="0" applyAlignment="1" applyFont="1" applyNumberFormat="1">
      <alignment vertical="center"/>
    </xf>
    <xf borderId="0" fillId="17" fontId="2" numFmtId="173" xfId="0" applyAlignment="1" applyFont="1" applyNumberFormat="1">
      <alignment vertical="center"/>
    </xf>
    <xf borderId="0" fillId="29" fontId="43" numFmtId="0" xfId="0" applyAlignment="1" applyFont="1">
      <alignment readingOrder="0" shrinkToFit="0" vertical="center" wrapText="1"/>
    </xf>
    <xf borderId="0" fillId="29" fontId="38" numFmtId="0" xfId="0" applyAlignment="1" applyFont="1">
      <alignment horizontal="left" readingOrder="0" shrinkToFit="0" vertical="center" wrapText="1"/>
    </xf>
    <xf borderId="0" fillId="16" fontId="43" numFmtId="0" xfId="0" applyAlignment="1" applyFont="1">
      <alignment readingOrder="0" shrinkToFit="0" vertical="center" wrapText="1"/>
    </xf>
    <xf borderId="0" fillId="29" fontId="43" numFmtId="0" xfId="0" applyAlignment="1" applyFont="1">
      <alignment readingOrder="0" shrinkToFit="0" vertical="center" wrapText="1"/>
    </xf>
    <xf borderId="0" fillId="0" fontId="44" numFmtId="0" xfId="0" applyAlignment="1" applyFont="1">
      <alignment readingOrder="0" shrinkToFit="0" vertical="center" wrapText="1"/>
    </xf>
    <xf borderId="0" fillId="0" fontId="44" numFmtId="164" xfId="0" applyAlignment="1" applyFont="1" applyNumberFormat="1">
      <alignment readingOrder="0" shrinkToFit="0" vertical="center" wrapText="1"/>
    </xf>
    <xf borderId="0" fillId="0" fontId="44" numFmtId="0" xfId="0" applyAlignment="1" applyFont="1">
      <alignment readingOrder="0" shrinkToFit="0" vertical="center" wrapText="1"/>
    </xf>
    <xf borderId="0" fillId="0" fontId="44" numFmtId="0" xfId="0" applyAlignment="1" applyFont="1">
      <alignment shrinkToFit="0" vertical="center" wrapText="1"/>
    </xf>
    <xf borderId="0" fillId="16" fontId="44" numFmtId="0" xfId="0" applyAlignment="1" applyFont="1">
      <alignment shrinkToFit="0" vertical="center" wrapText="1"/>
    </xf>
    <xf borderId="0" fillId="16" fontId="45" numFmtId="0" xfId="0" applyAlignment="1" applyFont="1">
      <alignment shrinkToFit="0" vertical="center" wrapText="1"/>
    </xf>
    <xf borderId="0" fillId="0" fontId="44" numFmtId="0" xfId="0" applyAlignment="1" applyFont="1">
      <alignment readingOrder="0" shrinkToFit="0" vertical="center" wrapText="1"/>
    </xf>
    <xf borderId="0" fillId="0" fontId="44" numFmtId="164" xfId="0" applyAlignment="1" applyFont="1" applyNumberFormat="1">
      <alignment shrinkToFit="0" vertical="center" wrapText="1"/>
    </xf>
    <xf borderId="0" fillId="0" fontId="43" numFmtId="0" xfId="0" applyAlignment="1" applyFont="1">
      <alignment readingOrder="0" shrinkToFit="0" vertical="center" wrapText="1"/>
    </xf>
    <xf borderId="0" fillId="0" fontId="44" numFmtId="164" xfId="0" applyAlignment="1" applyFont="1" applyNumberFormat="1">
      <alignment readingOrder="0" shrinkToFit="0" vertical="center" wrapText="1"/>
    </xf>
    <xf borderId="0" fillId="0" fontId="43" numFmtId="164" xfId="0" applyAlignment="1" applyFont="1" applyNumberFormat="1">
      <alignment readingOrder="0" shrinkToFit="0" vertical="center" wrapText="1"/>
    </xf>
    <xf borderId="0" fillId="0" fontId="43" numFmtId="0" xfId="0" applyAlignment="1" applyFont="1">
      <alignment readingOrder="0" shrinkToFit="0" vertical="center" wrapText="1"/>
    </xf>
    <xf borderId="0" fillId="0" fontId="43" numFmtId="164" xfId="0" applyAlignment="1" applyFont="1" applyNumberFormat="1">
      <alignment readingOrder="0" shrinkToFit="0" vertical="center" wrapText="1"/>
    </xf>
    <xf borderId="0" fillId="0" fontId="44" numFmtId="0" xfId="0" applyAlignment="1" applyFont="1">
      <alignment readingOrder="0" vertical="center"/>
    </xf>
    <xf borderId="0" fillId="0" fontId="44" numFmtId="0" xfId="0" applyAlignment="1" applyFont="1">
      <alignment readingOrder="0" shrinkToFit="0" vertical="center" wrapText="1"/>
    </xf>
    <xf borderId="0" fillId="0" fontId="43" numFmtId="0" xfId="0" applyAlignment="1" applyFont="1">
      <alignment readingOrder="0" shrinkToFit="0" vertical="center" wrapText="1"/>
    </xf>
    <xf borderId="0" fillId="0" fontId="44" numFmtId="164" xfId="0" applyAlignment="1" applyFont="1" applyNumberFormat="1">
      <alignment readingOrder="0" shrinkToFit="0" vertical="center" wrapText="1"/>
    </xf>
    <xf borderId="0" fillId="29" fontId="31" numFmtId="49" xfId="0" applyAlignment="1" applyFont="1" applyNumberFormat="1">
      <alignment horizontal="center" shrinkToFit="0" vertical="center" wrapText="1"/>
    </xf>
    <xf borderId="0" fillId="29" fontId="31" numFmtId="0" xfId="0" applyAlignment="1" applyFont="1">
      <alignment horizontal="center" readingOrder="0" shrinkToFit="0" vertical="center" wrapText="1"/>
    </xf>
    <xf borderId="0" fillId="29" fontId="31" numFmtId="0" xfId="0" applyAlignment="1" applyFont="1">
      <alignment horizontal="center" shrinkToFit="0" vertical="center" wrapText="1"/>
    </xf>
    <xf borderId="0" fillId="0" fontId="31" numFmtId="49" xfId="0" applyAlignment="1" applyFont="1" applyNumberFormat="1">
      <alignment horizontal="right" shrinkToFit="0" vertical="center" wrapText="1"/>
    </xf>
    <xf borderId="0" fillId="0" fontId="31" numFmtId="0" xfId="0" applyAlignment="1" applyFont="1">
      <alignment horizontal="right" shrinkToFit="0" vertical="center" wrapText="1"/>
    </xf>
    <xf borderId="0" fillId="0" fontId="31" numFmtId="0" xfId="0" applyAlignment="1" applyFont="1">
      <alignment horizontal="center" readingOrder="0" shrinkToFit="0" vertical="center" wrapText="1"/>
    </xf>
    <xf borderId="0" fillId="0" fontId="31" numFmtId="178" xfId="0" applyAlignment="1" applyFont="1" applyNumberFormat="1">
      <alignment horizontal="right" readingOrder="0" shrinkToFit="0" vertical="center" wrapText="1"/>
    </xf>
    <xf borderId="0" fillId="0" fontId="31" numFmtId="178" xfId="0" applyAlignment="1" applyFont="1" applyNumberFormat="1">
      <alignment horizontal="right" shrinkToFit="0" vertical="center" wrapText="1"/>
    </xf>
    <xf borderId="0" fillId="0" fontId="31" numFmtId="0" xfId="0" applyAlignment="1" applyFont="1">
      <alignment horizontal="center" shrinkToFit="0" vertical="center" wrapText="1"/>
    </xf>
    <xf borderId="0" fillId="0" fontId="31" numFmtId="49" xfId="0" applyAlignment="1" applyFont="1" applyNumberFormat="1">
      <alignment horizontal="right" readingOrder="0" shrinkToFit="0" vertical="center" wrapText="1"/>
    </xf>
    <xf borderId="0" fillId="29" fontId="2" numFmtId="0" xfId="0" applyAlignment="1" applyFont="1">
      <alignment readingOrder="0" shrinkToFit="0" vertical="center" wrapText="1"/>
    </xf>
    <xf borderId="0" fillId="24" fontId="2" numFmtId="0" xfId="0" applyAlignment="1" applyFont="1">
      <alignment readingOrder="0" shrinkToFit="0" vertical="center" wrapText="1"/>
    </xf>
    <xf borderId="0" fillId="6" fontId="2" numFmtId="0" xfId="0" applyAlignment="1" applyFont="1">
      <alignment readingOrder="0" shrinkToFit="0" vertical="center" wrapText="1"/>
    </xf>
    <xf borderId="0" fillId="8" fontId="46"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179" xfId="0" applyAlignment="1" applyFont="1" applyNumberFormat="1">
      <alignment readingOrder="0" shrinkToFit="0" vertical="center" wrapText="1"/>
    </xf>
    <xf borderId="0" fillId="0" fontId="47" numFmtId="0" xfId="0" applyAlignment="1" applyFont="1">
      <alignment readingOrder="0" shrinkToFit="0" vertical="center" wrapText="1"/>
    </xf>
    <xf borderId="0" fillId="0" fontId="2" numFmtId="180" xfId="0" applyAlignment="1" applyFont="1" applyNumberFormat="1">
      <alignment readingOrder="0" shrinkToFit="0" vertical="center" wrapText="1"/>
    </xf>
    <xf borderId="0" fillId="0" fontId="2" numFmtId="180" xfId="0" applyAlignment="1" applyFont="1" applyNumberFormat="1">
      <alignment shrinkToFit="0" vertical="center" wrapText="1"/>
    </xf>
    <xf borderId="0" fillId="0" fontId="48" numFmtId="0" xfId="0" applyAlignment="1" applyFont="1">
      <alignment shrinkToFit="0" vertical="center" wrapText="1"/>
    </xf>
  </cellXfs>
  <cellStyles count="1">
    <cellStyle xfId="0" name="Normal" builtinId="0"/>
  </cellStyles>
  <dxfs count="9">
    <dxf>
      <font/>
      <fill>
        <patternFill patternType="solid">
          <fgColor rgb="FF00FF00"/>
          <bgColor rgb="FF00FF00"/>
        </patternFill>
      </fill>
      <border/>
    </dxf>
    <dxf>
      <font/>
      <fill>
        <patternFill patternType="solid">
          <fgColor rgb="FF6D9EEB"/>
          <bgColor rgb="FF6D9EEB"/>
        </patternFill>
      </fill>
      <border/>
    </dxf>
    <dxf>
      <font/>
      <fill>
        <patternFill patternType="solid">
          <fgColor rgb="FFFF0000"/>
          <bgColor rgb="FFFF0000"/>
        </patternFill>
      </fill>
      <border/>
    </dxf>
    <dxf>
      <font/>
      <fill>
        <patternFill patternType="solid">
          <fgColor rgb="FFE06666"/>
          <bgColor rgb="FFE06666"/>
        </patternFill>
      </fill>
      <border/>
    </dxf>
    <dxf>
      <font/>
      <fill>
        <patternFill patternType="solid">
          <fgColor rgb="FFFF9900"/>
          <bgColor rgb="FFFF9900"/>
        </patternFill>
      </fill>
      <border/>
    </dxf>
    <dxf>
      <font/>
      <fill>
        <patternFill patternType="solid">
          <fgColor rgb="FFB6D7A8"/>
          <bgColor rgb="FFB6D7A8"/>
        </patternFill>
      </fill>
      <border/>
    </dxf>
    <dxf>
      <font/>
      <fill>
        <patternFill patternType="solid">
          <fgColor rgb="FF93C47D"/>
          <bgColor rgb="FF93C47D"/>
        </patternFill>
      </fill>
      <border/>
    </dxf>
    <dxf>
      <font/>
      <fill>
        <patternFill patternType="solid">
          <fgColor rgb="FF6FA8DC"/>
          <bgColor rgb="FF6FA8DC"/>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751c1fc9-5ad1-486f-8b0b-ffe305abfbf9}">
    <Anchor>
      <Comment id="{58de1440-bdb1-4567-8400-80f40701c66f}"/>
    </Anchor>
    <History>
      <Event time="2025-12-22T14:20:04.00" id="{2af72f2f-62f7-4814-9ac4-ebda96a4ba5f}">
        <Attribution userId="placeholder@email.com" userName="Nura StudioGem" userProvider="google-sheets"/>
        <Anchor>
          <Comment id="{58de1440-bdb1-4567-8400-80f40701c66f}"/>
        </Anchor>
        <Create/>
      </Event>
      <Event time="2025-12-22T14:20:04.00" id="{36b1aa6d-e358-48fb-8277-c607d223da8f}">
        <Attribution userId="placeholder@email.com" userName="Nura StudioGem" userProvider="google-sheets"/>
        <Anchor>
          <Comment id="{58de1440-bdb1-4567-8400-80f40701c66f}"/>
        </Anchor>
        <Assign userId="amministrazione@studio-gem.it" userName="amministrazione@studio-gem.it" userProvider="google-sheets"/>
      </Event>
    </History>
  </Task>
  <Task id="{25c76a99-4727-4c39-b063-461c132ef9af}">
    <Anchor>
      <Comment id="{0d784efe-3ef5-4748-8859-360af6544d9a}"/>
    </Anchor>
    <History>
      <Event time="2026-01-16T16:06:54.00" id="{7999f0d5-10ee-41ce-bf18-41585a4e8cd8}">
        <Attribution userId="placeholder@email.com" userName="Amm_Gem SG" userProvider="google-sheets"/>
        <Anchor>
          <Comment id="{0d784efe-3ef5-4748-8859-360af6544d9a}"/>
        </Anchor>
        <Create/>
      </Event>
      <Event time="2026-01-16T16:06:54.00" id="{59314a4d-44d2-4ac7-8687-6ab2ced4a292}">
        <Attribution userId="placeholder@email.com" userName="Amm_Gem SG" userProvider="google-sheets"/>
        <Anchor>
          <Comment id="{0d784efe-3ef5-4748-8859-360af6544d9a}"/>
        </Anchor>
        <Assign userId="estefany@studio-gem.it" userName="estefany@studio-gem.it" userProvider="google-sheets"/>
      </Event>
    </History>
  </Task>
  <Task id="{93e776ba-1667-43e5-99a8-ae9305c327c5}">
    <Anchor>
      <Comment id="{45a64ab8-e338-46ca-b921-039c7c24ffd9}"/>
    </Anchor>
    <History>
      <Event time="2025-12-22T14:19:41.00" id="{478c8b94-ff45-4474-814d-29902bd4173b}">
        <Attribution userId="placeholder@email.com" userName="Nura StudioGem" userProvider="google-sheets"/>
        <Anchor>
          <Comment id="{45a64ab8-e338-46ca-b921-039c7c24ffd9}"/>
        </Anchor>
        <Create/>
      </Event>
      <Event time="2025-12-22T14:19:41.00" id="{28747ae2-9cb0-4d86-a28e-1e7656b0fb1e}">
        <Attribution userId="placeholder@email.com" userName="Nura StudioGem" userProvider="google-sheets"/>
        <Anchor>
          <Comment id="{45a64ab8-e338-46ca-b921-039c7c24ffd9}"/>
        </Anchor>
        <Assign userId="amminstrazione@studio-gem.it" userName="amminstrazione@studio-gem.it"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5ef80db8-d6ad-449f-957c-6d6b2359f677}">
    <Anchor>
      <Comment id="{56a0b2bb-b4be-416e-9f62-9a5dcbb8a507}"/>
    </Anchor>
    <History>
      <Event time="2025-12-03T20:36:26.00" id="{ab8ccb02-cb38-4685-8262-1c504597d98d}">
        <Attribution userId="placeholder@email.com" userName="Giuditta Gem" userProvider="google-sheets"/>
        <Anchor>
          <Comment id="{56a0b2bb-b4be-416e-9f62-9a5dcbb8a507}"/>
        </Anchor>
        <Create/>
      </Event>
      <Event time="2025-12-03T20:36:26.00" id="{7c3c08e1-fdcb-482c-8f99-eb15bf9e6af4}">
        <Attribution userId="placeholder@email.com" userName="Giuditta Gem" userProvider="google-sheets"/>
        <Anchor>
          <Comment id="{56a0b2bb-b4be-416e-9f62-9a5dcbb8a507}"/>
        </Anchor>
        <Assign userId="estefany@studio-gem.it" userName="estefany@studio-gem.it" userProvider="google-sheets"/>
      </Event>
    </History>
  </Task>
  <Task id="{57aad81d-ef65-4170-bd52-8cb9292c32b6}">
    <Anchor>
      <Comment id="{40cbea76-ca31-485f-8923-18c05376d556}"/>
    </Anchor>
    <History>
      <Event time="2025-12-06T08:36:48.00" id="{08d6853c-ee81-4e15-ab6b-5eced60af0ab}">
        <Attribution userId="placeholder@email.com" userName="Nura StudioGem" userProvider="google-sheets"/>
        <Anchor>
          <Comment id="{40cbea76-ca31-485f-8923-18c05376d556}"/>
        </Anchor>
        <Create/>
      </Event>
      <Event time="2025-12-06T08:36:48.00" id="{d49ae489-c2c9-41e8-8eb4-631af6623198}">
        <Attribution userId="placeholder@email.com" userName="Nura StudioGem" userProvider="google-sheets"/>
        <Anchor>
          <Comment id="{40cbea76-ca31-485f-8923-18c05376d556}"/>
        </Anchor>
        <Assign userId="estefany@studio-gem.it" userName="estefany@studio-gem.it"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f12c144c-937a-4137-b752-e8466da7ff7c}">
    <Anchor>
      <Comment id="{0a9fdd50-c0da-43dd-bccd-49284e996e98}"/>
    </Anchor>
    <History>
      <Event time="2025-11-11T12:04:34.00" id="{c19f61ee-308c-4f68-96e9-a922a237a33e}">
        <Attribution userId="placeholder@email.com" userName="Estefany Gem" userProvider="google-sheets"/>
        <Anchor>
          <Comment id="{0a9fdd50-c0da-43dd-bccd-49284e996e98}"/>
        </Anchor>
        <Create/>
      </Event>
      <Event time="2025-11-11T12:04:34.00" id="{0c0e37c7-f153-4070-bcdf-a4fb3879be94}">
        <Attribution userId="placeholder@email.com" userName="Estefany Gem" userProvider="google-sheets"/>
        <Anchor>
          <Comment id="{0a9fdd50-c0da-43dd-bccd-49284e996e98}"/>
        </Anchor>
        <Assign userId="alexandra@studio-gem.it" userName="alexandra@studio-gem.it" userProvider="google-sheets"/>
      </Event>
    </History>
  </Task>
  <Task id="{5aa1be2d-5c62-44d1-b777-2dea354b64bf}">
    <Anchor>
      <Comment id="{bd14f32f-e5bf-4c55-9ebd-ea0a55b79be0}"/>
    </Anchor>
    <History>
      <Event time="2025-11-11T12:04:14.00" id="{22b4d07e-596c-4724-bfcc-e2d0903a06ff}">
        <Attribution userId="placeholder@email.com" userName="Estefany Gem" userProvider="google-sheets"/>
        <Anchor>
          <Comment id="{bd14f32f-e5bf-4c55-9ebd-ea0a55b79be0}"/>
        </Anchor>
        <Create/>
      </Event>
      <Event time="2025-11-11T12:04:14.00" id="{6f5b6247-e04a-440b-92dc-713dbbfcce4e}">
        <Attribution userId="placeholder@email.com" userName="Estefany Gem" userProvider="google-sheets"/>
        <Anchor>
          <Comment id="{bd14f32f-e5bf-4c55-9ebd-ea0a55b79be0}"/>
        </Anchor>
        <Assign userId="nura@studio-gem.it" userName="nura@studio-gem.it" userProvider="google-sheets"/>
      </Event>
    </History>
  </Task>
  <Task id="{886d481a-a28a-4839-b672-5877b5472e26}">
    <Anchor>
      <Comment id="{9913eaea-3cfb-423f-ae46-12b06f13ab48}"/>
    </Anchor>
    <History>
      <Event time="2025-10-30T08:48:26.00" id="{57a18482-af20-47ac-a962-897c9f14de4e}">
        <Attribution userId="placeholder@email.com" userName="Amm_Gem SG" userProvider="google-sheets"/>
        <Anchor>
          <Comment id="{9913eaea-3cfb-423f-ae46-12b06f13ab48}"/>
        </Anchor>
        <Create/>
      </Event>
      <Event time="2025-10-30T08:48:26.00" id="{4aaea04e-23e9-4876-ab73-57dc5e2f49ed}">
        <Attribution userId="placeholder@email.com" userName="Amm_Gem SG" userProvider="google-sheets"/>
        <Anchor>
          <Comment id="{9913eaea-3cfb-423f-ae46-12b06f13ab48}"/>
        </Anchor>
        <Assign userId="estefany@studio-gem.it" userName="estefany@studio-gem.it" userProvider="google-sheets"/>
      </Event>
    </History>
  </Task>
</Tasks>
</file>

<file path=xl/documenttasks/documenttask11.xml><?xml version="1.0" encoding="utf-8"?>
<Tasks xmlns="http://schemas.microsoft.com/office/tasks/2019/documenttasks">
  <Task id="{f79d7898-d9e8-4b17-9af9-5c035ec7ee6a}">
    <Anchor>
      <Comment id="{1236c7e5-f33a-4e7d-9324-1f5b673b06ad}"/>
    </Anchor>
    <History>
      <Event time="2025-11-10T12:12:09.00" id="{beff4669-b2df-4fd2-89df-d108f9f7a8e1}">
        <Attribution userId="placeholder@email.com" userName="Sara Jannelli SG" userProvider="google-sheets"/>
        <Anchor>
          <Comment id="{1236c7e5-f33a-4e7d-9324-1f5b673b06ad}"/>
        </Anchor>
        <Create/>
      </Event>
      <Event time="2025-11-10T12:12:09.00" id="{2bb41fd0-044d-476d-90b2-80a3ebe19386}">
        <Attribution userId="placeholder@email.com" userName="Sara Jannelli SG" userProvider="google-sheets"/>
        <Anchor>
          <Comment id="{1236c7e5-f33a-4e7d-9324-1f5b673b06ad}"/>
        </Anchor>
        <Assign userId="alexandra@studio-gem.it" userName="alexandra@studio-gem.it" userProvider="google-sheets"/>
      </Event>
    </History>
  </Task>
  <Task id="{0b2511d3-5cf4-474b-9cac-c8dff789870a}">
    <Anchor>
      <Comment id="{a92011fd-3166-4a8f-8530-73ed791e1e52}"/>
    </Anchor>
    <History>
      <Event time="2025-07-28T12:16:38.00" id="{a0ec6b5a-4529-46dd-baa0-77e77dcaf6ee}">
        <Attribution userId="placeholder@email.com" userName="Joel gem" userProvider="google-sheets"/>
        <Anchor>
          <Comment id="{a92011fd-3166-4a8f-8530-73ed791e1e52}"/>
        </Anchor>
        <Create/>
      </Event>
      <Event time="2025-07-28T12:16:38.00" id="{ab4018a4-dc40-4d0c-b245-a5d0b7c15152}">
        <Attribution userId="placeholder@email.com" userName="Joel gem" userProvider="google-sheets"/>
        <Anchor>
          <Comment id="{a92011fd-3166-4a8f-8530-73ed791e1e52}"/>
        </Anchor>
        <Assign userId="gaechacha@gmail.com" userName="gaechacha@gmail.com" userProvider="google-sheets"/>
      </Event>
    </History>
  </Task>
  <Task id="{305418b1-7191-4db0-a7cc-2d720ea84d26}">
    <Anchor>
      <Comment id="{c6ee599a-5cf2-4e51-9163-ffdcbec87775}"/>
    </Anchor>
    <History>
      <Event time="2025-11-10T12:12:14.00" id="{75cc6cf9-21a1-4db7-83cf-53f2b4cc173e}">
        <Attribution userId="placeholder@email.com" userName="Sara Jannelli SG" userProvider="google-sheets"/>
        <Anchor>
          <Comment id="{c6ee599a-5cf2-4e51-9163-ffdcbec87775}"/>
        </Anchor>
        <Create/>
      </Event>
      <Event time="2025-11-10T12:12:14.00" id="{e15086d5-4882-4e4c-ab2a-906ff2f9321f}">
        <Attribution userId="placeholder@email.com" userName="Sara Jannelli SG" userProvider="google-sheets"/>
        <Anchor>
          <Comment id="{c6ee599a-5cf2-4e51-9163-ffdcbec87775}"/>
        </Anchor>
        <Assign userId="alexandra@studio-gem.it" userName="alexandra@studio-gem.it" userProvider="google-sheets"/>
      </Event>
    </History>
  </Task>
  <Task id="{ce230143-6ce4-46da-875d-ee66f2233a50}">
    <Anchor>
      <Comment id="{900ebe56-05d5-4f00-82f9-cc2c8d2f2f7c}"/>
    </Anchor>
    <History>
      <Event time="2025-10-29T14:45:51.00" id="{e51301ec-fa7f-425f-825b-047e361f9be8}">
        <Attribution userId="placeholder@email.com" userName="Amm_Gem SG" userProvider="google-sheets"/>
        <Anchor>
          <Comment id="{900ebe56-05d5-4f00-82f9-cc2c8d2f2f7c}"/>
        </Anchor>
        <Create/>
      </Event>
      <Event time="2025-10-29T14:45:51.00" id="{a3eba174-80c7-4734-a6de-0c95e70ad3ce}">
        <Attribution userId="placeholder@email.com" userName="Amm_Gem SG" userProvider="google-sheets"/>
        <Anchor>
          <Comment id="{900ebe56-05d5-4f00-82f9-cc2c8d2f2f7c}"/>
        </Anchor>
        <Assign userId="estefany@studio-gem.it" userName="estefany@studio-gem.it" userProvider="google-sheets"/>
      </Event>
    </History>
  </Task>
  <Task id="{e5132408-07c3-407d-be3f-a0d76ef29e2f}">
    <Anchor>
      <Comment id="{8a0513d9-833b-4fb9-8228-4b2ba1635528}"/>
    </Anchor>
    <History>
      <Event time="2025-07-28T12:21:08.00" id="{a51fc96e-505b-4bee-8af4-395b8a5b0a00}">
        <Attribution userId="placeholder@email.com" userName="Joel gem" userProvider="google-sheets"/>
        <Anchor>
          <Comment id="{8a0513d9-833b-4fb9-8228-4b2ba1635528}"/>
        </Anchor>
        <Create/>
      </Event>
      <Event time="2025-07-28T12:21:08.00" id="{5c5e5fb3-6ed3-47df-badd-a1b82e71b84c}">
        <Attribution userId="placeholder@email.com" userName="Joel gem" userProvider="google-sheets"/>
        <Anchor>
          <Comment id="{8a0513d9-833b-4fb9-8228-4b2ba1635528}"/>
        </Anchor>
        <Assign userId="gaechacha@gmail.com" userName="gaechacha@gmail.com" userProvider="google-sheets"/>
      </Event>
    </History>
  </Task>
</Tasks>
</file>

<file path=xl/documenttasks/documenttask12.xml><?xml version="1.0" encoding="utf-8"?>
<Tasks xmlns="http://schemas.microsoft.com/office/tasks/2019/documenttasks">
  <Task id="{e94874cf-d9a7-4070-8246-78321ca40fc9}">
    <Anchor>
      <Comment id="{5b8bfd51-4eb9-4059-be06-5cda8bf8886d}"/>
    </Anchor>
    <History>
      <Event time="2025-10-28T15:52:51.00" id="{acfc2af9-b686-45f4-a2de-c1b709141df1}">
        <Attribution userId="placeholder@email.com" userName="Amm_Gem SG" userProvider="google-sheets"/>
        <Anchor>
          <Comment id="{5b8bfd51-4eb9-4059-be06-5cda8bf8886d}"/>
        </Anchor>
        <Create/>
      </Event>
      <Event time="2025-10-28T15:52:51.00" id="{4851ad22-8457-478b-8ce9-abd5c1b05188}">
        <Attribution userId="placeholder@email.com" userName="Amm_Gem SG" userProvider="google-sheets"/>
        <Anchor>
          <Comment id="{5b8bfd51-4eb9-4059-be06-5cda8bf8886d}"/>
        </Anchor>
        <Assign userId="estefany@studio-gem.it" userName="estefany@studio-gem.it" userProvider="google-sheets"/>
      </Event>
    </History>
  </Task>
  <Task id="{d5359efa-2167-475b-8645-f9516d57dfc3}">
    <Anchor>
      <Comment id="{4b64db84-6927-4d33-84a5-37e51171d6c8}"/>
    </Anchor>
    <History>
      <Event time="2025-12-06T15:42:25.00" id="{209132a3-cf10-4a53-b6f9-8e55c4c7a907}">
        <Attribution userId="placeholder@email.com" userName="Nura StudioGem" userProvider="google-sheets"/>
        <Anchor>
          <Comment id="{4b64db84-6927-4d33-84a5-37e51171d6c8}"/>
        </Anchor>
        <Create/>
      </Event>
      <Event time="2025-12-06T15:42:25.00" id="{9977a35c-5d8f-4ab1-a19a-e993be7d934e}">
        <Attribution userId="placeholder@email.com" userName="Nura StudioGem" userProvider="google-sheets"/>
        <Anchor>
          <Comment id="{4b64db84-6927-4d33-84a5-37e51171d6c8}"/>
        </Anchor>
        <Assign userId="estefany@studio-gem.it" userName="estefany@studio-gem.it" userProvider="google-sheets"/>
      </Event>
    </History>
  </Task>
  <Task id="{6ccd4666-5a69-4492-bfa9-c6bf16735bec}">
    <Anchor>
      <Comment id="{424d2cb1-60c1-477c-a9e4-eb1688fdbd26}"/>
    </Anchor>
    <History>
      <Event time="2025-10-28T15:51:40.00" id="{cad60e31-adb2-45fd-8523-56c8f2e8148e}">
        <Attribution userId="placeholder@email.com" userName="Amm_Gem SG" userProvider="google-sheets"/>
        <Anchor>
          <Comment id="{424d2cb1-60c1-477c-a9e4-eb1688fdbd26}"/>
        </Anchor>
        <Create/>
      </Event>
      <Event time="2025-10-28T15:51:40.00" id="{7a6067fc-6c02-4f14-8858-6838af933fd5}">
        <Attribution userId="placeholder@email.com" userName="Amm_Gem SG" userProvider="google-sheets"/>
        <Anchor>
          <Comment id="{424d2cb1-60c1-477c-a9e4-eb1688fdbd26}"/>
        </Anchor>
        <Assign userId="estefany@studio-gem.it" userName="estefany@studio-gem.it" userProvider="google-sheets"/>
      </Event>
    </History>
  </Task>
</Tasks>
</file>

<file path=xl/documenttasks/documenttask13.xml><?xml version="1.0" encoding="utf-8"?>
<Tasks xmlns="http://schemas.microsoft.com/office/tasks/2019/documenttasks">
  <Task id="{0183976c-3c87-49f2-ab47-8f12a0149bdd}">
    <Anchor>
      <Comment id="{9c248748-efe6-4386-a4cb-84233d5e817e}"/>
    </Anchor>
    <History>
      <Event time="2025-10-24T10:05:59.00" id="{5e796e20-79c2-4bbe-a889-ec256f77a4ad}">
        <Attribution userId="placeholder@email.com" userName="Nura StudioGem" userProvider="google-sheets"/>
        <Anchor>
          <Comment id="{9c248748-efe6-4386-a4cb-84233d5e817e}"/>
        </Anchor>
        <Create/>
      </Event>
      <Event time="2025-10-24T10:05:59.00" id="{3aa6a559-0d26-4685-9d34-90df8a3f6d32}">
        <Attribution userId="placeholder@email.com" userName="Nura StudioGem" userProvider="google-sheets"/>
        <Anchor>
          <Comment id="{9c248748-efe6-4386-a4cb-84233d5e817e}"/>
        </Anchor>
        <Assign userId="amministrazione@studio-gem.it" userName="amministrazione@studio-gem.it" userProvider="google-sheets"/>
      </Event>
    </History>
  </Task>
  <Task id="{9016e413-4cf6-4ced-9d08-bb09c88c69f7}">
    <Anchor>
      <Comment id="{1a3d4f08-b617-474d-acd7-9a4746a8ff2b}"/>
    </Anchor>
    <History>
      <Event time="2025-10-24T10:04:53.00" id="{d81bd80d-ea1b-4342-acc8-3ae6f2cc9898}">
        <Attribution userId="placeholder@email.com" userName="Nura StudioGem" userProvider="google-sheets"/>
        <Anchor>
          <Comment id="{1a3d4f08-b617-474d-acd7-9a4746a8ff2b}"/>
        </Anchor>
        <Create/>
      </Event>
      <Event time="2025-10-24T10:04:53.00" id="{d9a8b54e-7276-4e0d-bd9e-134ffc7fa10f}">
        <Attribution userId="placeholder@email.com" userName="Nura StudioGem" userProvider="google-sheets"/>
        <Anchor>
          <Comment id="{1a3d4f08-b617-474d-acd7-9a4746a8ff2b}"/>
        </Anchor>
        <Assign userId="office@studio-gem.it" userName="office@studio-gem.it" userProvider="google-sheets"/>
      </Event>
    </History>
  </Task>
  <Task id="{a62e184d-2a2d-4646-8bd4-693b311eeb3a}">
    <Anchor>
      <Comment id="{d64fbca4-ce90-4887-bb7a-5b04605cf805}"/>
    </Anchor>
    <History>
      <Event time="2025-09-09T13:50:46.00" id="{a68c16d7-df27-401c-8fd0-987a450c7110}">
        <Attribution userId="placeholder@email.com" userName="Sara Jannelli SG" userProvider="google-sheets"/>
        <Anchor>
          <Comment id="{d64fbca4-ce90-4887-bb7a-5b04605cf805}"/>
        </Anchor>
        <Create/>
      </Event>
      <Event time="2025-09-09T13:50:46.00" id="{56708350-479d-4d3a-a07b-22e24e14c264}">
        <Attribution userId="placeholder@email.com" userName="Sara Jannelli SG" userProvider="google-sheets"/>
        <Anchor>
          <Comment id="{d64fbca4-ce90-4887-bb7a-5b04605cf805}"/>
        </Anchor>
        <Assign userId="gaechacha@gmail.com" userName="gaechacha@gmail.com" userProvider="google-sheets"/>
      </Event>
    </History>
  </Task>
  <Task id="{93383026-b24a-4882-9462-495ad7e3c705}">
    <Anchor>
      <Comment id="{87c8e593-b116-4ee8-979e-f70b1ae22cf0}"/>
    </Anchor>
    <History>
      <Event time="2025-10-24T07:48:07.00" id="{77dc49fb-1669-49c6-9586-37015764ad23}">
        <Attribution userId="placeholder@email.com" userName="Sara Jannelli SG" userProvider="google-sheets"/>
        <Anchor>
          <Comment id="{87c8e593-b116-4ee8-979e-f70b1ae22cf0}"/>
        </Anchor>
        <Create/>
      </Event>
      <Event time="2025-10-24T07:48:07.00" id="{e9ef5630-5203-409e-9a22-fc5604f2ff21}">
        <Attribution userId="placeholder@email.com" userName="Sara Jannelli SG" userProvider="google-sheets"/>
        <Anchor>
          <Comment id="{87c8e593-b116-4ee8-979e-f70b1ae22cf0}"/>
        </Anchor>
        <Assign userId="estefany@studio-gem.it" userName="estefany@studio-gem.it" userProvider="google-sheets"/>
      </Event>
    </History>
  </Task>
  <Task id="{773633fc-702f-4078-afbd-4cadfe98faa4}">
    <Anchor>
      <Comment id="{19810703-539a-4732-bfc6-6ab6dab68e84}"/>
    </Anchor>
    <History>
      <Event time="2025-10-22T14:02:56.00" id="{079b553f-f2a4-4087-90e4-72ac5bd11409}">
        <Attribution userId="placeholder@email.com" userName="Sara Jannelli SG" userProvider="google-sheets"/>
        <Anchor>
          <Comment id="{19810703-539a-4732-bfc6-6ab6dab68e84}"/>
        </Anchor>
        <Create/>
      </Event>
      <Event time="2025-10-22T14:02:56.00" id="{db667c3e-1ca4-4ba0-9ada-a30002cfb542}">
        <Attribution userId="placeholder@email.com" userName="Sara Jannelli SG" userProvider="google-sheets"/>
        <Anchor>
          <Comment id="{19810703-539a-4732-bfc6-6ab6dab68e84}"/>
        </Anchor>
        <Assign userId="gaechacha@gmail.com" userName="gaechacha@gmail.com" userProvider="google-sheets"/>
      </Event>
    </History>
  </Task>
  <Task id="{0505b8be-4ffc-4077-a5d4-c16c50b5cbfe}">
    <Anchor>
      <Comment id="{ba67fe8e-be79-4cea-b052-1e2439b52bb2}"/>
    </Anchor>
    <History>
      <Event time="2025-10-29T11:27:21.00" id="{6293d448-e5a2-4867-96d3-382f960d4b81}">
        <Attribution userId="placeholder@email.com" userName="Amm_Gem SG" userProvider="google-sheets"/>
        <Anchor>
          <Comment id="{ba67fe8e-be79-4cea-b052-1e2439b52bb2}"/>
        </Anchor>
        <Create/>
      </Event>
      <Event time="2025-10-29T11:27:21.00" id="{f640aecb-f89a-4459-8712-f6a9ef6b734e}">
        <Attribution userId="placeholder@email.com" userName="Amm_Gem SG" userProvider="google-sheets"/>
        <Anchor>
          <Comment id="{ba67fe8e-be79-4cea-b052-1e2439b52bb2}"/>
        </Anchor>
        <Assign userId="estefany@studio-gem.it" userName="estefany@studio-gem.it" userProvider="google-sheets"/>
      </Event>
    </History>
  </Task>
  <Task id="{87088c37-9759-466f-9e95-7a709793899a}">
    <Anchor>
      <Comment id="{231352b0-41d1-4c1b-baae-ae015aaa9248}"/>
    </Anchor>
    <History>
      <Event time="2025-10-28T15:47:44.00" id="{cc814f61-566f-409f-bc67-59a991db7c87}">
        <Attribution userId="placeholder@email.com" userName="Amm_Gem SG" userProvider="google-sheets"/>
        <Anchor>
          <Comment id="{231352b0-41d1-4c1b-baae-ae015aaa9248}"/>
        </Anchor>
        <Create/>
      </Event>
      <Event time="2025-10-28T15:47:44.00" id="{a0da5b16-9f61-425f-8a9b-ce62077ec0f8}">
        <Attribution userId="placeholder@email.com" userName="Amm_Gem SG" userProvider="google-sheets"/>
        <Anchor>
          <Comment id="{231352b0-41d1-4c1b-baae-ae015aaa9248}"/>
        </Anchor>
        <Assign userId="estefany@studio-gem.it" userName="estefany@studio-gem.it" userProvider="google-sheets"/>
      </Event>
    </History>
  </Task>
  <Task id="{fc8db6f5-9a4d-4fd9-b593-287360ed070d}">
    <Anchor>
      <Comment id="{aafee620-6c87-4f65-9af2-c77aa44bae17}"/>
    </Anchor>
    <History>
      <Event time="2025-10-22T11:16:33.00" id="{9e940cbc-e4f7-4752-9b84-6b70f4f36b9f}">
        <Attribution userId="placeholder@email.com" userName="Sara Jannelli SG" userProvider="google-sheets"/>
        <Anchor>
          <Comment id="{aafee620-6c87-4f65-9af2-c77aa44bae17}"/>
        </Anchor>
        <Create/>
      </Event>
      <Event time="2025-10-22T11:16:33.00" id="{a309ca2b-1e7c-4f22-82aa-fc4ccb980da8}">
        <Attribution userId="placeholder@email.com" userName="Sara Jannelli SG" userProvider="google-sheets"/>
        <Anchor>
          <Comment id="{aafee620-6c87-4f65-9af2-c77aa44bae17}"/>
        </Anchor>
        <Assign userId="santo@studio-gem.it" userName="santo@studio-gem.it" userProvider="google-sheets"/>
      </Event>
    </History>
  </Task>
  <Task id="{6fb748c7-614f-4d42-a632-23417c416a81}">
    <Anchor>
      <Comment id="{feb2bd55-05c5-4c88-9fb0-7771bb497ff9}"/>
    </Anchor>
    <History>
      <Event time="2025-10-28T15:50:34.00" id="{ffe831a5-0598-47e0-8687-dafeddec5a22}">
        <Attribution userId="placeholder@email.com" userName="Amm_Gem SG" userProvider="google-sheets"/>
        <Anchor>
          <Comment id="{feb2bd55-05c5-4c88-9fb0-7771bb497ff9}"/>
        </Anchor>
        <Create/>
      </Event>
      <Event time="2025-10-28T15:50:34.00" id="{8ed80c03-9e14-4cd6-bc24-a48d478f7c9b}">
        <Attribution userId="placeholder@email.com" userName="Amm_Gem SG" userProvider="google-sheets"/>
        <Anchor>
          <Comment id="{feb2bd55-05c5-4c88-9fb0-7771bb497ff9}"/>
        </Anchor>
        <Assign userId="estefany@studio-gem.it" userName="estefany@studio-gem.it" userProvider="google-sheets"/>
      </Event>
    </History>
  </Task>
  <Task id="{419d6840-ccff-4461-9623-a0a352008ac7}">
    <Anchor>
      <Comment id="{2419eaa5-002f-4323-9eeb-4bb20d28789f}"/>
    </Anchor>
    <History>
      <Event time="2025-10-22T11:16:14.00" id="{5ac005a2-4122-433c-a9bb-a3276bbd1f2c}">
        <Attribution userId="placeholder@email.com" userName="Sara Jannelli SG" userProvider="google-sheets"/>
        <Anchor>
          <Comment id="{2419eaa5-002f-4323-9eeb-4bb20d28789f}"/>
        </Anchor>
        <Create/>
      </Event>
      <Event time="2025-10-22T11:16:14.00" id="{136fefbd-7080-4eb7-acdd-a8e71b0d6cb8}">
        <Attribution userId="placeholder@email.com" userName="Sara Jannelli SG" userProvider="google-sheets"/>
        <Anchor>
          <Comment id="{2419eaa5-002f-4323-9eeb-4bb20d28789f}"/>
        </Anchor>
        <Assign userId="santo@studio-gem.it" userName="santo@studio-gem.it" userProvider="google-sheets"/>
      </Event>
    </History>
  </Task>
  <Task id="{fbbb6962-f7a7-42c1-9848-199a64ce160c}">
    <Anchor>
      <Comment id="{9e3c3fe0-1317-45d1-96d6-6acc6df46b74}"/>
    </Anchor>
    <History>
      <Event time="2025-10-22T11:05:14.00" id="{cf937321-4e4d-406c-a171-0f2bf2ed3e26}">
        <Attribution userId="placeholder@email.com" userName="Sara Jannelli SG" userProvider="google-sheets"/>
        <Anchor>
          <Comment id="{9e3c3fe0-1317-45d1-96d6-6acc6df46b74}"/>
        </Anchor>
        <Create/>
      </Event>
      <Event time="2025-10-22T11:05:14.00" id="{0bee87cf-a249-4e55-a770-9ec08e9c2a54}">
        <Attribution userId="placeholder@email.com" userName="Sara Jannelli SG" userProvider="google-sheets"/>
        <Anchor>
          <Comment id="{9e3c3fe0-1317-45d1-96d6-6acc6df46b74}"/>
        </Anchor>
        <Assign userId="santo@studio-gem.it" userName="santo@studio-gem.it" userProvider="google-sheets"/>
      </Event>
    </History>
  </Task>
  <Task id="{42ccb2b4-7828-4388-98fd-13a6dd1bf809}">
    <Anchor>
      <Comment id="{9dfa1c04-96a5-45b3-9b67-36fe007ef6a5}"/>
    </Anchor>
    <History>
      <Event time="2025-10-29T11:42:07.00" id="{86043ca0-807f-4237-a0fa-e686e167ed91}">
        <Attribution userId="placeholder@email.com" userName="Amm_Gem SG" userProvider="google-sheets"/>
        <Anchor>
          <Comment id="{9dfa1c04-96a5-45b3-9b67-36fe007ef6a5}"/>
        </Anchor>
        <Create/>
      </Event>
      <Event time="2025-10-29T11:42:07.00" id="{afde645c-3108-4e0e-af35-194fc758b77c}">
        <Attribution userId="placeholder@email.com" userName="Amm_Gem SG" userProvider="google-sheets"/>
        <Anchor>
          <Comment id="{9dfa1c04-96a5-45b3-9b67-36fe007ef6a5}"/>
        </Anchor>
        <Assign userId="estefany@studio-gem.it" userName="estefany@studio-gem.it" userProvider="google-sheets"/>
      </Event>
    </History>
  </Task>
  <Task id="{faf88b06-85d7-45a1-b6f4-eaa0ae6c9211}">
    <Anchor>
      <Comment id="{0e05a834-010f-49f0-bc1b-65308e28e0d4}"/>
    </Anchor>
    <History>
      <Event time="2025-10-22T11:04:35.00" id="{a87f2b93-d1de-4222-8166-8c9aad730e79}">
        <Attribution userId="placeholder@email.com" userName="Sara Jannelli SG" userProvider="google-sheets"/>
        <Anchor>
          <Comment id="{0e05a834-010f-49f0-bc1b-65308e28e0d4}"/>
        </Anchor>
        <Create/>
      </Event>
      <Event time="2025-10-22T11:04:35.00" id="{ef7c8e89-b295-463a-9166-d3135fa5dc75}">
        <Attribution userId="placeholder@email.com" userName="Sara Jannelli SG" userProvider="google-sheets"/>
        <Anchor>
          <Comment id="{0e05a834-010f-49f0-bc1b-65308e28e0d4}"/>
        </Anchor>
        <Assign userId="santo@studio-gem.it" userName="santo@studio-gem.it" userProvider="google-sheets"/>
      </Event>
    </History>
  </Task>
  <Task id="{2152c21d-12e2-41eb-b4ba-ff2699a2eb4d}">
    <Anchor>
      <Comment id="{5a7de387-577a-4216-a9b0-233b57497487}"/>
    </Anchor>
    <History>
      <Event time="2025-10-29T11:43:20.00" id="{fc863b7b-fd97-4bf0-85c0-10c321f9c548}">
        <Attribution userId="placeholder@email.com" userName="Amm_Gem SG" userProvider="google-sheets"/>
        <Anchor>
          <Comment id="{5a7de387-577a-4216-a9b0-233b57497487}"/>
        </Anchor>
        <Create/>
      </Event>
      <Event time="2025-10-29T11:43:20.00" id="{d64ac6f2-dce3-451b-b8fd-20515f521c05}">
        <Attribution userId="placeholder@email.com" userName="Amm_Gem SG" userProvider="google-sheets"/>
        <Anchor>
          <Comment id="{5a7de387-577a-4216-a9b0-233b57497487}"/>
        </Anchor>
        <Assign userId="estefany@studio-gem.it" userName="estefany@studio-gem.it" userProvider="google-sheets"/>
      </Event>
    </History>
  </Task>
  <Task id="{679aeb95-30a7-4eb0-a509-d57a1b76e13b}">
    <Anchor>
      <Comment id="{8fcde05b-0a06-4932-a10f-d537fd990782}"/>
    </Anchor>
    <History>
      <Event time="2025-10-22T14:03:06.00" id="{86991e11-8017-405a-a68d-db8b67e41dcf}">
        <Attribution userId="placeholder@email.com" userName="Sara Jannelli SG" userProvider="google-sheets"/>
        <Anchor>
          <Comment id="{8fcde05b-0a06-4932-a10f-d537fd990782}"/>
        </Anchor>
        <Create/>
      </Event>
      <Event time="2025-10-22T14:03:06.00" id="{86ffc72a-62cd-4b4e-b056-a43862a0a855}">
        <Attribution userId="placeholder@email.com" userName="Sara Jannelli SG" userProvider="google-sheets"/>
        <Anchor>
          <Comment id="{8fcde05b-0a06-4932-a10f-d537fd990782}"/>
        </Anchor>
        <Assign userId="gaechacha@gmail.com" userName="gaechacha@gmail.com" userProvider="google-sheets"/>
      </Event>
    </History>
  </Task>
  <Task id="{2848e735-0834-4533-9363-3ceafb254f3c}">
    <Anchor>
      <Comment id="{da91fdc5-fac3-4d81-ad64-c7a362aebe7b}"/>
    </Anchor>
    <History>
      <Event time="2025-10-22T14:03:03.00" id="{1f2d5f89-7421-4dc5-b475-484a7d257df9}">
        <Attribution userId="placeholder@email.com" userName="Sara Jannelli SG" userProvider="google-sheets"/>
        <Anchor>
          <Comment id="{da91fdc5-fac3-4d81-ad64-c7a362aebe7b}"/>
        </Anchor>
        <Create/>
      </Event>
      <Event time="2025-10-22T14:03:03.00" id="{737dbd4f-4789-44e7-b787-0163dcf3676a}">
        <Attribution userId="placeholder@email.com" userName="Sara Jannelli SG" userProvider="google-sheets"/>
        <Anchor>
          <Comment id="{da91fdc5-fac3-4d81-ad64-c7a362aebe7b}"/>
        </Anchor>
        <Assign userId="gaechacha@gmail.com" userName="gaechacha@gmail.com" userProvider="google-sheets"/>
      </Event>
    </History>
  </Task>
</Tasks>
</file>

<file path=xl/documenttasks/documenttask14.xml><?xml version="1.0" encoding="utf-8"?>
<Tasks xmlns="http://schemas.microsoft.com/office/tasks/2019/documenttasks"/>
</file>

<file path=xl/documenttasks/documenttask15.xml><?xml version="1.0" encoding="utf-8"?>
<Tasks xmlns="http://schemas.microsoft.com/office/tasks/2019/documenttasks">
  <Task id="{3fb66c6d-b30c-41de-950b-35d95bdd8712}">
    <Anchor>
      <Comment id="{4353df50-e5f0-4fa8-a9fc-8626e54017c8}"/>
    </Anchor>
    <History>
      <Event time="2025-10-17T13:28:53.00" id="{5da75b6a-a22d-404f-a7de-70679df0f89f}">
        <Attribution userId="placeholder@email.com" userName="Sara Jannelli SG" userProvider="google-sheets"/>
        <Anchor>
          <Comment id="{4353df50-e5f0-4fa8-a9fc-8626e54017c8}"/>
        </Anchor>
        <Create/>
      </Event>
      <Event time="2025-10-17T13:28:53.00" id="{1cc6d082-6f9a-48dc-b862-4b9fb892c0aa}">
        <Attribution userId="placeholder@email.com" userName="Sara Jannelli SG" userProvider="google-sheets"/>
        <Anchor>
          <Comment id="{4353df50-e5f0-4fa8-a9fc-8626e54017c8}"/>
        </Anchor>
        <Assign userId="alexandra@studio-gem.it" userName="alexandra@studio-gem.it" userProvider="google-sheets"/>
      </Event>
    </History>
  </Task>
</Tasks>
</file>

<file path=xl/documenttasks/documenttask16.xml><?xml version="1.0" encoding="utf-8"?>
<Tasks xmlns="http://schemas.microsoft.com/office/tasks/2019/documenttasks">
  <Task id="{7a0fb709-ffc5-47e6-9331-87c8502a5ad2}">
    <Anchor>
      <Comment id="{0a05ea05-3366-4e19-b8ed-293ada56509a}"/>
    </Anchor>
    <History>
      <Event time="2025-12-17T11:35:59.00" id="{1650fea8-524b-408a-803b-c4a535a15b57}">
        <Attribution userId="placeholder@email.com" userName="Joel gem" userProvider="google-sheets"/>
        <Anchor>
          <Comment id="{0a05ea05-3366-4e19-b8ed-293ada56509a}"/>
        </Anchor>
        <Create/>
      </Event>
      <Event time="2025-12-17T11:35:59.00" id="{66bcfc3c-e7b9-45e2-8b60-220efb972734}">
        <Attribution userId="placeholder@email.com" userName="Joel gem" userProvider="google-sheets"/>
        <Anchor>
          <Comment id="{0a05ea05-3366-4e19-b8ed-293ada56509a}"/>
        </Anchor>
        <Assign userId="gaechacha@gmail.com" userName="gaechacha@gmail.com" userProvider="google-sheets"/>
      </Event>
    </History>
  </Task>
  <Task id="{c5fc1035-74aa-4191-98da-b7874c190cc7}">
    <Anchor>
      <Comment id="{ead05a93-e0bc-4601-9d8e-a8e1b4cc3113}"/>
    </Anchor>
    <History>
      <Event time="2025-12-17T11:32:52.00" id="{c34ecd46-11a1-454a-9b6e-343dda6012d1}">
        <Attribution userId="placeholder@email.com" userName="Joel gem" userProvider="google-sheets"/>
        <Anchor>
          <Comment id="{ead05a93-e0bc-4601-9d8e-a8e1b4cc3113}"/>
        </Anchor>
        <Create/>
      </Event>
      <Event time="2025-12-17T11:32:52.00" id="{fe136fdc-d016-4d5b-802d-23559ae6485b}">
        <Attribution userId="placeholder@email.com" userName="Joel gem" userProvider="google-sheets"/>
        <Anchor>
          <Comment id="{ead05a93-e0bc-4601-9d8e-a8e1b4cc3113}"/>
        </Anchor>
        <Assign userId="gaechacha@gmail.com" userName="gaechacha@gmail.com" userProvider="google-sheets"/>
      </Event>
    </History>
  </Task>
  <Task id="{5a499789-2607-40ee-b85a-beb340041088}">
    <Anchor>
      <Comment id="{11914f77-2943-4981-9475-fedd0aa6fe1c}"/>
    </Anchor>
    <History>
      <Event time="2025-11-28T14:55:29.00" id="{1cba96fa-5ec5-4868-9bd0-2cd60d3d740d}">
        <Attribution userId="placeholder@email.com" userName="Sara Jannelli SG" userProvider="google-sheets"/>
        <Anchor>
          <Comment id="{11914f77-2943-4981-9475-fedd0aa6fe1c}"/>
        </Anchor>
        <Create/>
      </Event>
      <Event time="2025-11-28T14:55:29.00" id="{3a257a8a-5fb8-4734-a0d1-f2857795cb7d}">
        <Attribution userId="placeholder@email.com" userName="Sara Jannelli SG" userProvider="google-sheets"/>
        <Anchor>
          <Comment id="{11914f77-2943-4981-9475-fedd0aa6fe1c}"/>
        </Anchor>
        <Assign userId="gaechacha@gmail.com" userName="gaechacha@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ura@studio-gem.it" id="{a3346601-e4db-41e6-ba5f-89363e6d12b5}" userId="nura@studio-gem.it" providerId="google-sheets"/>
  <x18tc:person displayName="Estefany Gem" id="{87150d1f-8c6b-4350-b7d6-a0d3c65fe760}" providerId="google-sheets"/>
  <x18tc:person displayName="estefany@studio-gem.it" id="{c05ca2eb-0197-40bd-b6a0-de5b45759285}" userId="estefany@studio-gem.it" providerId="google-sheets"/>
  <x18tc:person displayName="Joel gem" id="{6c08ef81-ef40-465e-9860-ddb519292ada}" providerId="google-sheets"/>
  <x18tc:person displayName="gaechacha@gmail.com" id="{67d1cc61-6ff6-488a-84f1-e6c01912840f}" userId="gaechacha@gmail.com" providerId="google-sheets"/>
  <x18tc:person displayName="Gaetano Ambrosio" id="{5866444d-65c7-49cf-acb5-15aed77bc799}" providerId="google-sheets"/>
  <x18tc:person displayName="amminstrazione@studio-gem.it" id="{e44b42a0-7d41-47ab-937f-303f6a174021}" userId="amminstrazione@studio-gem.it" providerId="google-sheets"/>
  <x18tc:person displayName="Amm_Gem SG" id="{0b571afd-7d67-4274-99fa-b007c2378668}" providerId="google-sheets"/>
  <x18tc:person displayName="alexandra@studio-gem.it" id="{4c54b38e-210f-495f-bda2-931acfb7497c}" userId="alexandra@studio-gem.it" providerId="google-sheets"/>
  <x18tc:person displayName="amministrazione@studio-gem.it" id="{24616afa-5e2b-46bf-8965-6602f4c2755d}" userId="amministrazione@studio-gem.it" providerId="google-sheets"/>
  <x18tc:person displayName="Alexandra Gem" id="{a9ca7f46-66ed-49c7-9097-26f6f6666bb6}" providerId="google-sheets"/>
  <x18tc:person displayName="Nura StudioGem" id="{1b71aa1a-d833-4516-98e6-711bae2d3523}" providerId="google-sheets"/>
  <x18tc:person displayName="Giuditta Gem" id="{ff0e103e-6ca8-447c-980c-190d100fed46}" providerId="google-sheets"/>
  <x18tc:person displayName="joel@studio-gem.it" id="{ff2ca417-8d2f-481d-8e8e-60661042ab74}" userId="joel@studio-gem.it" providerId="google-sheets"/>
  <x18tc:person displayName="office@studio-gem.it" id="{e3a49d8e-be02-4185-9bc2-d9c80edb3ded}" userId="office@studio-gem.it" providerId="google-sheets"/>
  <x18tc:person displayName="Sara Jannelli SG" id="{b2f0a95f-66cc-47d6-8940-5cdfd98d7d12}" providerId="google-sheets"/>
  <x18tc:person displayName="santo@studio-gem.it" id="{ff64b710-1afa-4198-bddf-fe64b943a92f}" userId="santo@studio-gem.it"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3T11:15:43.00" personId="{87150d1f-8c6b-4350-b7d6-a0d3c65fe760}" id="{cd0d5139-4134-4325-b84c-6864070c6936}" done="0">
    <x18tc:text xml:space="preserve">CHIARA CARRIERA VIENE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 dT="2026-02-27T09:46:43.00" personId="{6c08ef81-ef40-465e-9860-ddb519292ada}" id="{7f75d3ed-5b9a-4929-b383-1849c91de474}" done="1">
    <x18tc:text xml:space="preserve">chiedere a estefany se effettivamente entrato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6-02-13T11:16:11.00" personId="{87150d1f-8c6b-4350-b7d6-a0d3c65fe760}" id="{f532ff91-156c-45ed-b5d9-c5545305b942}" done="0">
    <x18tc:text xml:space="preserve">VIENE CHIARA CARRIERA</x18tc:text>
  </x18tc:threadedComment>
  <x18tc:threadedComment ref="E144" dT="2026-03-13T19:01:05.00" personId="{ff0e103e-6ca8-447c-980c-190d100fed46}" id="{a454a64c-9eb4-49f8-a4ef-c18f244e2b7a}" done="0">
    <x18tc:text xml:space="preserve">Cutti Jessica ha ceduto a questo ragazzo il Voucher vinto al Bobino domenica 08/03</x18tc:text>
  </x18tc:threadedComment>
  <x18tc:threadedComment ref="B269" dT="2026-03-02T14:09:50.00" personId="{b2f0a95f-66cc-47d6-8940-5cdfd98d7d12}" id="{e9626a8f-be8b-446a-a962-00678ba5ed7f}" done="1">
    <x18tc:text xml:space="preserve">NON CALCOLARE</x18tc:text>
  </x18tc:threadedComment>
  <x18tc:threadedComment ref="E222" dT="2026-03-15T13:43:17.00" personId="{a9ca7f46-66ed-49c7-9097-26f6f6666bb6}" id="{678e160c-a869-4f31-8976-895b8f980294}" done="0">
    <x18tc:text xml:space="preserve">AVARINO  LUCIANA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4" dT="2026-02-25T13:38:23.00" personId="{1b71aa1a-d833-4516-98e6-711bae2d3523}" id="{b67d40ba-6eba-4323-8e92-079d3b930f32}" done="0">
    <x18tc:text xml:space="preserve">dati richiesti</x18tc:text>
  </x18tc:threadedComment>
  <x18tc:threadedComment ref="F39" dT="2026-02-06T08:48:42.00" personId="{a9ca7f46-66ed-49c7-9097-26f6f6666bb6}" id="{636918c4-f0e5-4c8b-a3c3-e3024ee33dd7}" done="0">
    <x18tc:text xml:space="preserve">CHLOE</x18tc:text>
  </x18tc:threadedComment>
  <x18tc:threadedComment ref="P10" dT="2025-12-22T14:20:04.00" personId="{1b71aa1a-d833-4516-98e6-711bae2d3523}" id="{58de1440-bdb1-4567-8400-80f40701c66f}" done="0">
    <x18tc:text xml:space="preserve">@amministrazione@studio-gem.it
Attività assegnata a amministrazione@studio-gem.it</x18tc:text>
    <x18tc:mentions>
      <x18tc:mention mentionpersonId="{24616afa-5e2b-46bf-8965-6602f4c2755d}" mentionId="{d1e8d164-04c6-4f2c-b61f-41839948bcfc}" startIndex="0" length="30"/>
    </x18tc:mentions>
  </x18tc:threadedComment>
  <x18tc:threadedComment ref="E41" dT="2026-01-16T16:06:54.00" personId="{0b571afd-7d67-4274-99fa-b007c2378668}" id="{0d784efe-3ef5-4748-8859-360af6544d9a}" done="0">
    <x18tc:text xml:space="preserve">@estefany@studio-gem.it manca il codice univoco per fare la fattura
Attività assegnata a estefany@studio-gem.it</x18tc:text>
    <x18tc:mentions>
      <x18tc:mention mentionpersonId="{c05ca2eb-0197-40bd-b6a0-de5b45759285}" mentionId="{044dcbfd-e6ad-47ed-87ff-2c8124691438}" startIndex="0" length="23"/>
    </x18tc:mentions>
  </x18tc:threadedComment>
  <x18tc:threadedComment ref="E41" dT="2026-01-21T17:46:09.00" personId="{87150d1f-8c6b-4350-b7d6-a0d3c65fe760}" id="{16461927-7048-4c03-bf32-eb99b2ae0adc}" parentId="{0d784efe-3ef5-4748-8859-360af6544d9a}">
    <x18tc:text xml:space="preserve">91032530171 non so dove si inserisce</x18tc:text>
  </x18tc:threadedComment>
  <x18tc:threadedComment ref="E41" dT="2026-01-29T11:48:05.00" personId="{0b571afd-7d67-4274-99fa-b007c2378668}" id="{395fd57b-8938-413c-82f2-00b535669552}" parentId="{0d784efe-3ef5-4748-8859-360af6544d9a}">
    <x18tc:text xml:space="preserve">quello non è il codice univoco è la partita iva, mi serve il codice univoco per la fatturazione elettronica</x18tc:text>
  </x18tc:threadedComment>
  <x18tc:threadedComment ref="E39" dT="2026-02-06T08:48:25.00" personId="{a9ca7f46-66ed-49c7-9097-26f6f6666bb6}" id="{e5f8a4bc-d5ac-47a7-8d13-f3243f70bc6e}" done="0">
    <x18tc:text xml:space="preserve">DIAZ</x18tc:text>
  </x18tc:threadedComment>
  <x18tc:threadedComment ref="P10" dT="2025-12-22T14:19:41.00" personId="{1b71aa1a-d833-4516-98e6-711bae2d3523}" id="{45a64ab8-e338-46ca-b921-039c7c24ffd9}" done="1">
    <x18tc:text xml:space="preserve">@amminstrazione@studio-gem.it
Attività assegnata a amminstrazione@studio-gem.it</x18tc:text>
    <x18tc:mentions>
      <x18tc:mention mentionpersonId="{e44b42a0-7d41-47ab-937f-303f6a174021}" mentionId="{83dbbba2-2794-4851-9706-f75c911ce619}" startIndex="0" length="29"/>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3" dT="2026-02-01T12:24:07.00" personId="{87150d1f-8c6b-4350-b7d6-a0d3c65fe760}" id="{02b7c780-793e-40cf-b022-7c54aead88af}" done="1">
    <x18tc:text xml:space="preserve">GUGLIELMINI MANUELA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5-11-13T20:55:33.00" personId="{6c08ef81-ef40-465e-9860-ddb519292ada}" id="{1ec37995-bd21-44c2-8176-85d173f743a5}" done="1">
    <x18tc:text xml:space="preserve">MANDERA' una mail nei prossimi giorni con tutti i dati che ci servono</x18tc:text>
  </x18tc:threadedComment>
  <x18tc:threadedComment ref="D218" dT="2025-12-14T20:17:25.00" personId="{a9ca7f46-66ed-49c7-9097-26f6f6666bb6}" id="{025858ff-a1a5-4693-bc82-911522d5fde1}" done="1">
    <x18tc:text xml:space="preserve">aveva pagato per due</x18tc:text>
  </x18tc:threadedComment>
  <x18tc:threadedComment ref="G140" dT="2025-11-18T20:40:45.00" personId="{6c08ef81-ef40-465e-9860-ddb519292ada}" id="{ada2eebf-ab31-4405-b225-f42b77b80a75}" done="1">
    <x18tc:text xml:space="preserve">MANDERA' una mail nei prossimi giorni con tutti i dati che ci servono</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3" dT="2025-12-03T19:17:19.00" personId="{ff0e103e-6ca8-447c-980c-190d100fed46}" id="{99386dd9-f6fe-44cb-a763-6aa7ce2b2b82}" done="1">
    <x18tc:text xml:space="preserve">non può più venire. Se chiede qualcuno inserirla al suo posto.</x18tc:text>
  </x18tc:threadedComment>
  <x18tc:threadedComment ref="D43" dT="2025-12-10T19:00:05.00" personId="{ff0e103e-6ca8-447c-980c-190d100fed46}" id="{bf390d84-32a0-4541-841a-68ce3973948f}" done="0">
    <x18tc:text xml:space="preserve">inserita al posto di Maryam Zareie</x18tc:text>
  </x18tc:threadedComment>
  <x18tc:threadedComment ref="D43" dT="2025-12-03T20:36:26.00" personId="{ff0e103e-6ca8-447c-980c-190d100fed46}" id="{56a0b2bb-b4be-416e-9f62-9a5dcbb8a507}" done="1">
    <x18tc:text xml:space="preserve">@estefany@studio-gem.it fare ricevuta istituzionale
Attività assegnata a estefany@studio-gem.it</x18tc:text>
    <x18tc:mentions>
      <x18tc:mention mentionpersonId="{c05ca2eb-0197-40bd-b6a0-de5b45759285}" mentionId="{b53f5a24-87ad-45ed-8ad8-d7084c99b70c}" startIndex="0" length="23"/>
    </x18tc:mentions>
  </x18tc:threadedComment>
  <x18tc:threadedComment ref="G38" dT="2025-11-27T15:26:37.00" personId="{1b71aa1a-d833-4516-98e6-711bae2d3523}" id="{c32bc640-60c2-4d76-ac17-432ec729351b}" done="1">
    <x18tc:text xml:space="preserve">attesa dati</x18tc:text>
  </x18tc:threadedComment>
  <x18tc:threadedComment ref="G106" dT="2025-11-27T15:26:27.00" personId="{1b71aa1a-d833-4516-98e6-711bae2d3523}" id="{61e8e0c3-5b7e-4a9d-83f6-1e33f0293a4a}" done="1">
    <x18tc:text xml:space="preserve">attesa dati</x18tc:text>
  </x18tc:threadedComment>
  <x18tc:threadedComment ref="D121" dT="2025-12-03T16:13:53.00" personId="{87150d1f-8c6b-4350-b7d6-a0d3c65fe760}" id="{5841d4ce-a96e-451f-8761-cb78dfd7c87a}" done="1">
    <x18tc:text xml:space="preserve">ricevuta da fare</x18tc:text>
  </x18tc:threadedComment>
  <x18tc:threadedComment ref="O127" dT="2025-12-06T08:36:48.00" personId="{1b71aa1a-d833-4516-98e6-711bae2d3523}" id="{40cbea76-ca31-485f-8923-18c05376d556}" done="0">
    <x18tc:text xml:space="preserve">@estefany@studio-gem.it
Attività assegnata a estefany@studio-gem.it</x18tc:text>
    <x18tc:mentions>
      <x18tc:mention mentionpersonId="{c05ca2eb-0197-40bd-b6a0-de5b45759285}" mentionId="{4defa9a4-a97f-4ba4-bdc7-7ad095db27ff}" startIndex="0" length="23"/>
    </x18tc:mentions>
  </x18tc:threadedComment>
  <x18tc:threadedComment ref="O127" dT="2025-12-06T08:37:15.00" personId="{1b71aa1a-d833-4516-98e6-711bae2d3523}" id="{c0775053-d5f2-4ed6-9944-1cc717bb6960}" parentId="{40cbea76-ca31-485f-8923-18c05376d556}">
    <x18tc:text xml:space="preserve">Gli ho fatto solo la ricevuta dei €30, manca ricevuta dei €20 pagati online</x18tc:text>
  </x18tc:threadedComment>
  <x18tc:threadedComment ref="D58" dT="2025-12-04T14:39:04.00" personId="{87150d1f-8c6b-4350-b7d6-a0d3c65fe760}" id="{407f5c90-ff4c-43ad-9d87-4df9d6d692c3}" done="1">
    <x18tc:text xml:space="preserve">ESTEFANY DA SISTEMARE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5-12-10T13:45:41.00" personId="{1b71aa1a-d833-4516-98e6-711bae2d3523}" id="{07b0c0c6-8fbf-4ed3-80a9-7b4c2ac2fc00}" done="1">
    <x18tc:text xml:space="preserve">Nr 1</x18tc:text>
  </x18tc:threadedComment>
  <x18tc:threadedComment ref="D88" dT="2025-12-11T18:57:33.00" personId="{ff0e103e-6ca8-447c-980c-190d100fed46}" id="{3feaa420-3ecf-4043-b240-85924c1b94f9}" done="0">
    <x18tc:text xml:space="preserve">SPOSTATA DAI WS FESTA DI NATALE E INSERITA CON NEREA. HA PAGATO UNA DIFFERENZA DI 2 EURO</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5-10-13T13:15:05.00" personId="{87150d1f-8c6b-4350-b7d6-a0d3c65fe760}" id="{f353c289-0410-40dd-a2da-9a2c7fa2fb3f}" done="1">
    <x18tc:text xml:space="preserve">HA PAGATO X2 IN ATETSA DATI</x18tc:text>
  </x18tc:threadedComment>
  <x18tc:threadedComment ref="D9" dT="2025-10-14T12:15:22.00" personId="{0b571afd-7d67-4274-99fa-b007c2378668}" id="{eb718211-f0ea-4bd6-82fc-a4297249f673}" parentId="{f353c289-0410-40dd-a2da-9a2c7fa2fb3f}">
    <x18tc:text xml:space="preserve">FATTA UNA FATTURA UNICA</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 dT="2025-11-11T12:04:34.00" personId="{87150d1f-8c6b-4350-b7d6-a0d3c65fe760}" id="{0a9fdd50-c0da-43dd-bccd-49284e996e98}" done="1">
    <x18tc:text xml:space="preserve">@alexandra@studio-gem.it sistemare sede?cash?online?ricevuta fatta?partecipazione?
Attività assegnata a alexandra@studio-gem.it</x18tc:text>
    <x18tc:mentions>
      <x18tc:mention mentionpersonId="{4c54b38e-210f-495f-bda2-931acfb7497c}" mentionId="{6ae220d0-941a-4802-96df-f20537d88e67}" startIndex="0" length="24"/>
    </x18tc:mentions>
  </x18tc:threadedComment>
  <x18tc:threadedComment ref="L46" dT="2025-11-14T17:45:55.00" personId="{1b71aa1a-d833-4516-98e6-711bae2d3523}" id="{da8765c7-bef5-444e-9ca4-2e2178f9ec17}" done="1">
    <x18tc:text xml:space="preserve">gaetano@studio-gem.it puoi aggiungere il codice 2526WS.STAFF20</x18tc:text>
  </x18tc:threadedComment>
  <x18tc:threadedComment ref="D13" dT="2025-11-11T12:04:14.00" personId="{87150d1f-8c6b-4350-b7d6-a0d3c65fe760}" id="{bd14f32f-e5bf-4c55-9ebd-ea0a55b79be0}" done="1">
    <x18tc:text xml:space="preserve">@nura@studio-gem.it  sistemare sede?cash?online?ricevuta fatta?
Attività assegnata a nura@studio-gem.it</x18tc:text>
    <x18tc:mentions>
      <x18tc:mention mentionpersonId="{a3346601-e4db-41e6-ba5f-89363e6d12b5}" mentionId="{bdca574b-af20-4140-9b99-c7c670a53644}" startIndex="0" length="19"/>
    </x18tc:mentions>
  </x18tc:threadedComment>
  <x18tc:threadedComment ref="D61" dT="2025-11-25T15:26:14.00" personId="{1b71aa1a-d833-4516-98e6-711bae2d3523}" id="{7cfc3cf9-ad73-4e31-a35f-4ed7b953ed38}" done="1">
    <x18tc:text xml:space="preserve">Attesa dati</x18tc:text>
  </x18tc:threadedComment>
  <x18tc:threadedComment ref="D13" dT="2025-10-30T08:48:26.00" personId="{0b571afd-7d67-4274-99fa-b007c2378668}" id="{9913eaea-3cfb-423f-ae46-12b06f13ab48}" done="1">
    <x18tc:text xml:space="preserve">@estefany@studio-gem.it mancano i dati su athena
Attività assegnata a estefany@studio-gem.it</x18tc:text>
    <x18tc:mentions>
      <x18tc:mention mentionpersonId="{c05ca2eb-0197-40bd-b6a0-de5b45759285}" mentionId="{3d33f5f5-05ff-4d15-ba41-abe1e4dcf6e2}" startIndex="0" length="23"/>
    </x18tc:mentions>
  </x18tc:threadedComment>
  <x18tc:threadedComment ref="S75" dT="2025-11-21T14:32:27.00" personId="{b2f0a95f-66cc-47d6-8940-5cdfd98d7d12}" id="{d91d0972-5b0e-44c4-8f53-120c5fda5bdd}" done="0">
    <x18tc:text xml:space="preserve">Il totale è corretto ma per mancanza di spazio dove poter scrivere l'impostazione dei prezzi, dà errore</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4" dT="2025-11-10T12:12:09.00" personId="{b2f0a95f-66cc-47d6-8940-5cdfd98d7d12}" id="{1236c7e5-f33a-4e7d-9324-1f5b673b06ad}" done="1">
    <x18tc:text xml:space="preserve">@alexandra@studio-gem.it Come mai non c'è il pagamento?
Attività assegnata a alexandra@studio-gem.it</x18tc:text>
    <x18tc:mentions>
      <x18tc:mention mentionpersonId="{4c54b38e-210f-495f-bda2-931acfb7497c}" mentionId="{3ec2b71f-7691-4a7d-b83c-cf7e70b3b5e9}" startIndex="0" length="24"/>
    </x18tc:mentions>
  </x18tc:threadedComment>
  <x18tc:threadedComment ref="J64" dT="2025-11-10T12:22:09.00" personId="{a9ca7f46-66ed-49c7-9097-26f6f6666bb6}" id="{289c1c11-4301-46b1-b694-8f5f393936ee}" parentId="{1236c7e5-f33a-4e7d-9324-1f5b673b06ad}">
    <x18tc:text xml:space="preserve">sistemato</x18tc:text>
  </x18tc:threadedComment>
  <x18tc:threadedComment ref="D27" dT="2025-10-13T20:26:54.00" personId="{6c08ef81-ef40-465e-9860-ddb519292ada}" id="{b67dc0ae-1e50-42bf-9a93-9ba5398e238f}" done="1">
    <x18tc:text xml:space="preserve">Ha pagato per due persone, in attesa dati</x18tc:text>
  </x18tc:threadedComment>
  <x18tc:threadedComment ref="A4" dT="2025-07-28T12:16:38.00" personId="{6c08ef81-ef40-465e-9860-ddb519292ada}" id="{a92011fd-3166-4a8f-8530-73ed791e1e52}" done="1">
    <x18tc:text xml:space="preserve">Estefany
Attività assegnata a gaechacha@gmail.com</x18tc:text>
  </x18tc:threadedComment>
  <x18tc:threadedComment ref="L7" dT="2025-08-27T14:43:41.00" personId="{87150d1f-8c6b-4350-b7d6-a0d3c65fe760}" id="{3b7b6574-dc04-4582-96c4-13e618e2c0d9}" done="1">
    <x18tc:text xml:space="preserve">IN ATTESA AGGIORNAMENTO PER VEDERE CODICE</x18tc:text>
  </x18tc:threadedComment>
  <x18tc:threadedComment ref="J65" dT="2025-11-10T12:12:14.00" personId="{b2f0a95f-66cc-47d6-8940-5cdfd98d7d12}" id="{c6ee599a-5cf2-4e51-9163-ffdcbec87775}" done="1">
    <x18tc:text xml:space="preserve">@alexandra@studio-gem.it Come mai non c'è il pagamento?
Attività assegnata a alexandra@studio-gem.it</x18tc:text>
    <x18tc:mentions>
      <x18tc:mention mentionpersonId="{4c54b38e-210f-495f-bda2-931acfb7497c}" mentionId="{15f92c83-efb6-4610-af34-2eb8bd51b4de}" startIndex="0" length="24"/>
    </x18tc:mentions>
  </x18tc:threadedComment>
  <x18tc:threadedComment ref="J65" dT="2025-11-10T12:25:19.00" personId="{a9ca7f46-66ed-49c7-9097-26f6f6666bb6}" id="{d5ab8745-df20-4052-a29a-6a8646ddeccf}" parentId="{c6ee599a-5cf2-4e51-9163-ffdcbec87775}">
    <x18tc:text xml:space="preserve">sul file vendita non si vedeva  il numero di transazione, adesso lo vedo</x18tc:text>
  </x18tc:threadedComment>
  <x18tc:threadedComment ref="G18" dT="2025-10-13T14:14:14.00" personId="{87150d1f-8c6b-4350-b7d6-a0d3c65fe760}" id="{eb1b8c75-0265-4ee1-9102-bf40ba509f42}" done="1">
    <x18tc:text xml:space="preserve">IN ATTESA C.F</x18tc:text>
  </x18tc:threadedComment>
  <x18tc:threadedComment ref="G13" dT="2025-10-13T11:59:10.00" personId="{87150d1f-8c6b-4350-b7d6-a0d3c65fe760}" id="{694dc29b-668e-4b4d-9f7f-ff382a6c6517}" done="1">
    <x18tc:text xml:space="preserve">errato in attesa corretto</x18tc:text>
  </x18tc:threadedComment>
  <x18tc:threadedComment ref="D37" dT="2025-10-29T14:45:51.00" personId="{0b571afd-7d67-4274-99fa-b007c2378668}" id="{900ebe56-05d5-4f00-82f9-cc2c8d2f2f7c}" done="1">
    <x18tc:text xml:space="preserve">@estefany@studio-gem.it dati su athena incompleti
Attività assegnata a estefany@studio-gem.it</x18tc:text>
    <x18tc:mentions>
      <x18tc:mention mentionpersonId="{c05ca2eb-0197-40bd-b6a0-de5b45759285}" mentionId="{830a5515-15b2-4c35-a3c6-3e3efd4f91f4}" startIndex="0" length="23"/>
    </x18tc:mentions>
  </x18tc:threadedComment>
  <x18tc:threadedComment ref="A2" dT="2025-07-28T12:21:08.00" personId="{6c08ef81-ef40-465e-9860-ddb519292ada}" id="{8a0513d9-833b-4fb9-8228-4b2ba1635528}" done="1">
    <x18tc:text xml:space="preserve">@gaechacha@gmail.com Gae c'è qualcosa di sbagliato perché al posto dei nostri nomi in questa colonna ci sono degli orari
Attività assegnata a gaechacha@gmail.com</x18tc:text>
    <x18tc:mentions>
      <x18tc:mention mentionpersonId="{67d1cc61-6ff6-488a-84f1-e6c01912840f}" mentionId="{f5112a04-9abd-4e1c-8a52-102281eb559d}" startIndex="0" length="20"/>
    </x18tc:mentions>
  </x18tc:threadedComment>
  <x18tc:threadedComment ref="A2" dT="2025-07-28T13:03:11.00" personId="{b2f0a95f-66cc-47d6-8940-5cdfd98d7d12}" id="{abaec401-f815-4adc-9ccf-6383702dd350}" parentId="{8a0513d9-833b-4fb9-8228-4b2ba1635528}">
    <x18tc:text xml:space="preserve">@joel@studio-gem.it Risolto</x18tc:text>
    <x18tc:mentions>
      <x18tc:mention mentionpersonId="{ff2ca417-8d2f-481d-8e8e-60661042ab74}" mentionId="{11900f3c-289f-4021-b546-35ff18470708}" startIndex="0" length="19"/>
    </x18tc:mentions>
  </x18tc:threadedComment>
  <x18tc:threadedComment ref="D41" dT="2025-10-25T13:36:57.00" personId="{6c08ef81-ef40-465e-9860-ddb519292ada}" id="{a734554a-6d4b-4d1b-80fa-8e03ba82ad4a}" done="1">
    <x18tc:text xml:space="preserve">chiedere info per le altre persone a cui ha pagato</x18tc:text>
  </x18tc:threadedComment>
  <x18tc:threadedComment ref="D40" dT="2025-10-25T13:36:54.00" personId="{6c08ef81-ef40-465e-9860-ddb519292ada}" id="{1599b80b-2eb7-4321-90c1-c3b48849869a}" done="1">
    <x18tc:text xml:space="preserve">chiedere info per le altre persone a cui ha pagato</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9" dT="2025-10-28T15:52:51.00" personId="{0b571afd-7d67-4274-99fa-b007c2378668}" id="{5b8bfd51-4eb9-4059-be06-5cda8bf8886d}" done="1">
    <x18tc:text xml:space="preserve">@estefany@studio-gem.it mancano i dati su athena
Attività assegnata a estefany@studio-gem.it</x18tc:text>
    <x18tc:mentions>
      <x18tc:mention mentionpersonId="{c05ca2eb-0197-40bd-b6a0-de5b45759285}" mentionId="{ca4bbb24-a826-4837-bc26-27db1b14196a}" startIndex="0" length="23"/>
    </x18tc:mentions>
  </x18tc:threadedComment>
  <x18tc:threadedComment ref="F58" dT="2025-12-06T15:42:25.00" personId="{1b71aa1a-d833-4516-98e6-711bae2d3523}" id="{4b64db84-6927-4d33-84a5-37e51171d6c8}" done="1">
    <x18tc:text xml:space="preserve">@estefany@studio-gem.it
Attività assegnata a estefany@studio-gem.it</x18tc:text>
    <x18tc:mentions>
      <x18tc:mention mentionpersonId="{c05ca2eb-0197-40bd-b6a0-de5b45759285}" mentionId="{39f54982-411c-4a47-8157-2d6c6c4dcdc9}" startIndex="0" length="23"/>
    </x18tc:mentions>
  </x18tc:threadedComment>
  <x18tc:threadedComment ref="D24" dT="2025-10-13T12:41:41.00" personId="{87150d1f-8c6b-4350-b7d6-a0d3c65fe760}" id="{5784e658-3929-4dda-ac00-68f89ff80a57}" done="1">
    <x18tc:text xml:space="preserve">ha pagato x2 in attesa dati</x18tc:text>
  </x18tc:threadedComment>
  <x18tc:threadedComment ref="D24" dT="2025-10-14T11:41:48.00" personId="{0b571afd-7d67-4274-99fa-b007c2378668}" id="{6bdb72b8-cbe0-4cbb-9060-fa40afd47de1}" parentId="{5784e658-3929-4dda-ac00-68f89ff80a57}">
    <x18tc:text xml:space="preserve">fatta una fattura unica</x18tc:text>
  </x18tc:threadedComment>
  <x18tc:threadedComment ref="D6" dT="2025-08-29T12:43:24.00" personId="{87150d1f-8c6b-4350-b7d6-a0d3c65fe760}" id="{bb468eda-44c9-47a4-bc11-8c7b22aad84c}" done="1">
    <x18tc:text xml:space="preserve">verificare se è entrato il pagamento</x18tc:text>
  </x18tc:threadedComment>
  <x18tc:threadedComment ref="D25" dT="2025-10-28T15:51:40.00" personId="{0b571afd-7d67-4274-99fa-b007c2378668}" id="{424d2cb1-60c1-477c-a9e4-eb1688fdbd26}" done="1">
    <x18tc:text xml:space="preserve">@estefany@studio-gem.it mancano i dati su athena
Attività assegnata a estefany@studio-gem.it</x18tc:text>
    <x18tc:mentions>
      <x18tc:mention mentionpersonId="{c05ca2eb-0197-40bd-b6a0-de5b45759285}" mentionId="{3d30643d-4ea1-4357-8b7d-1e468d237eee}" startIndex="0" length="23"/>
    </x18tc:mentions>
  </x18tc:threadedComment>
  <x18tc:threadedComment ref="B49" dT="2025-10-24T12:27:43.00" personId="{1b71aa1a-d833-4516-98e6-711bae2d3523}" id="{8147e667-92ef-46d7-b0cb-f59299d7e45f}" done="1">
    <x18tc:text xml:space="preserve">sono stati mandati per fare il B/B perche non è riuscita a fare il pagamento online, ha provato più di 3 volte</x18tc:text>
  </x18tc:threadedComment>
  <x18tc:threadedComment ref="B49" dT="2025-10-25T13:39:20.00" personId="{1b71aa1a-d833-4516-98e6-711bae2d3523}" id="{da370901-a0a7-43b2-a3d8-b7f315ca4abc}" parentId="{8147e667-92ef-46d7-b0cb-f59299d7e45f}">
    <x18tc:text xml:space="preserve">bonifico fatto</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4" dT="2025-10-24T10:05:59.00" personId="{1b71aa1a-d833-4516-98e6-711bae2d3523}" id="{9c248748-efe6-4386-a4cb-84233d5e817e}" done="1">
    <x18tc:text xml:space="preserve">aggiornare la colonna I quando il pagamento è entrato. @amministrazione@studio-gem.it
Attività assegnata a amministrazione@studio-gem.it</x18tc:text>
    <x18tc:mentions>
      <x18tc:mention mentionpersonId="{24616afa-5e2b-46bf-8965-6602f4c2755d}" mentionId="{e21551f2-6bb5-4822-937e-37e38f7b9188}" startIndex="55" length="30"/>
    </x18tc:mentions>
  </x18tc:threadedComment>
  <x18tc:threadedComment ref="I54" dT="2025-10-24T10:17:08.00" personId="{0b571afd-7d67-4274-99fa-b007c2378668}" id="{276dd458-ce7e-4f96-a93b-ac0dba7fa4ef}" parentId="{9c248748-efe6-4386-a4cb-84233d5e817e}">
    <x18tc:text xml:space="preserve">per i bonifici non inserisco qui la data , riporto l'entrata del bonifico nel file Bonifici-IN</x18tc:text>
  </x18tc:threadedComment>
  <x18tc:threadedComment ref="I54" dT="2025-10-24T10:23:42.00" personId="{1b71aa1a-d833-4516-98e6-711bae2d3523}" id="{d1ef689b-fd88-4beb-99d5-5b03aa403f75}" parentId="{9c248748-efe6-4386-a4cb-84233d5e817e}">
    <x18tc:text xml:space="preserve">Ok grazie</x18tc:text>
  </x18tc:threadedComment>
  <x18tc:threadedComment ref="K54" dT="2025-10-24T10:04:53.00" personId="{1b71aa1a-d833-4516-98e6-711bae2d3523}" id="{1a3d4f08-b617-474d-acd7-9a4746a8ff2b}" done="1">
    <x18tc:text xml:space="preserve">@amministrazione@studio-gem.it @office@studio-gem.it  in attesa di ricevere la conferma di bonifico
Attività assegnata a office@studio-gem.it</x18tc:text>
    <x18tc:mentions>
      <x18tc:mention mentionpersonId="{24616afa-5e2b-46bf-8965-6602f4c2755d}" mentionId="{c97f3000-1f57-45f6-b46f-0f91aecf6713}" startIndex="0" length="30"/>
      <x18tc:mention mentionpersonId="{e3a49d8e-be02-4185-9bc2-d9c80edb3ded}" mentionId="{2810dc34-ad1e-4774-8b8b-ef4edcb7515e}" startIndex="31" length="21"/>
    </x18tc:mentions>
  </x18tc:threadedComment>
  <x18tc:threadedComment ref="K54" dT="2025-10-25T13:39:39.00" personId="{1b71aa1a-d833-4516-98e6-711bae2d3523}" id="{b45f47dc-e9bd-4faf-8226-293a864207b1}" parentId="{1a3d4f08-b617-474d-acd7-9a4746a8ff2b}">
    <x18tc:text xml:space="preserve">bonifico fatto</x18tc:text>
  </x18tc:threadedComment>
  <x18tc:threadedComment ref="B54" dT="2025-10-24T10:04:01.00" personId="{1b71aa1a-d833-4516-98e6-711bae2d3523}" id="{3b138005-54d9-40d8-9f78-389c6af194c1}" done="1">
    <x18tc:text xml:space="preserve">Mail per effettuare il bonifico mandata</x18tc:text>
  </x18tc:threadedComment>
  <x18tc:threadedComment ref="B54" dT="2025-10-25T13:39:47.00" personId="{1b71aa1a-d833-4516-98e6-711bae2d3523}" id="{c2d5977f-e9a6-4dda-a0d0-86db12e3fbfc}" parentId="{3b138005-54d9-40d8-9f78-389c6af194c1}">
    <x18tc:text xml:space="preserve">bonifico fatto</x18tc:text>
  </x18tc:threadedComment>
  <x18tc:threadedComment ref="S88" dT="2025-09-09T13:50:46.00" personId="{b2f0a95f-66cc-47d6-8940-5cdfd98d7d12}" id="{d64fbca4-ce90-4887-bb7a-5b04605cf805}" done="1">
    <x18tc:text xml:space="preserve">@gaechacha@gmail.com Come mai se inserisco 45 nella colonna J o 43 nella colonna K esce errore qui? In basso, nella griglia dei prezzi, o inserito i prezzi (F153 e F154 come mi hai detto di fare tu)
Attività assegnata a gaechacha@gmail.com</x18tc:text>
    <x18tc:mentions>
      <x18tc:mention mentionpersonId="{67d1cc61-6ff6-488a-84f1-e6c01912840f}" mentionId="{7ed438cf-9205-4316-9c62-95d2ae80f0a8}" startIndex="0" length="20"/>
    </x18tc:mentions>
  </x18tc:threadedComment>
  <x18tc:threadedComment ref="O51" dT="2025-10-24T07:48:07.00" personId="{b2f0a95f-66cc-47d6-8940-5cdfd98d7d12}" id="{87c8e593-b116-4ee8-979e-f70b1ae22cf0}" done="1">
    <x18tc:text xml:space="preserve">@estefany@studio-gem.it Chi è la seconda persona per cui ha pagato?
Attività assegnata a estefany@studio-gem.it</x18tc:text>
    <x18tc:mentions>
      <x18tc:mention mentionpersonId="{c05ca2eb-0197-40bd-b6a0-de5b45759285}" mentionId="{96be22de-99a8-4e15-8505-bbf204f1f552}" startIndex="0" length="23"/>
    </x18tc:mentions>
  </x18tc:threadedComment>
  <x18tc:threadedComment ref="B170" dT="2025-10-22T14:02:56.00" personId="{b2f0a95f-66cc-47d6-8940-5cdfd98d7d12}" id="{19810703-539a-4732-bfc6-6ab6dab68e84}" done="1">
    <x18tc:text xml:space="preserve">@gaechacha@gmail.com Manca la formula in tutta la riga
Attività assegnata a gaechacha@gmail.com</x18tc:text>
    <x18tc:mentions>
      <x18tc:mention mentionpersonId="{67d1cc61-6ff6-488a-84f1-e6c01912840f}" mentionId="{79115f46-97f3-463b-a399-53d6e31f9e9e}" startIndex="0" length="20"/>
    </x18tc:mentions>
  </x18tc:threadedComment>
  <x18tc:threadedComment ref="D69" dT="2025-10-28T15:49:01.00" personId="{0b571afd-7d67-4274-99fa-b007c2378668}" id="{d13e98f0-7f03-4976-ac46-9a17d4122bc3}" done="1">
    <x18tc:text xml:space="preserve">@estefany@studio-gem.it mancani i dati su athena</x18tc:text>
    <x18tc:mentions>
      <x18tc:mention mentionpersonId="{c05ca2eb-0197-40bd-b6a0-de5b45759285}" mentionId="{bde59ebc-8181-416d-8e8c-75928bf88616}" startIndex="0" length="23"/>
    </x18tc:mentions>
  </x18tc:threadedComment>
  <x18tc:threadedComment ref="D37" dT="2025-10-29T11:27:21.00" personId="{0b571afd-7d67-4274-99fa-b007c2378668}" id="{ba67fe8e-be79-4cea-b052-1e2439b52bb2}" done="1">
    <x18tc:text xml:space="preserve">@estefany@studio-gem.it non c'è il flag " ricevuta " mi verifichi se è stata fatta ?
Attività assegnata a estefany@studio-gem.it</x18tc:text>
    <x18tc:mentions>
      <x18tc:mention mentionpersonId="{c05ca2eb-0197-40bd-b6a0-de5b45759285}" mentionId="{c6e3f00e-769b-4d9e-a7fc-47f76b2239f0}" startIndex="0" length="23"/>
    </x18tc:mentions>
  </x18tc:threadedComment>
  <x18tc:threadedComment ref="D15" dT="2025-10-28T15:47:44.00" personId="{0b571afd-7d67-4274-99fa-b007c2378668}" id="{231352b0-41d1-4c1b-baae-ae015aaa9248}" done="1">
    <x18tc:text xml:space="preserve">@estefany@studio-gem.it mancano dati su athena
Attività assegnata a estefany@studio-gem.it</x18tc:text>
    <x18tc:mentions>
      <x18tc:mention mentionpersonId="{c05ca2eb-0197-40bd-b6a0-de5b45759285}" mentionId="{38ac1d40-f578-4379-bd11-880a18cb09ab}" startIndex="0" length="23"/>
    </x18tc:mentions>
  </x18tc:threadedComment>
  <x18tc:threadedComment ref="S44" dT="2025-10-22T11:16:33.00" personId="{b2f0a95f-66cc-47d6-8940-5cdfd98d7d12}" id="{aafee620-6c87-4f65-9af2-c77aa44bae17}" done="1">
    <x18tc:text xml:space="preserve">@santo@studio-gem.it Vedi cella J44
Attività assegnata a santo@studio-gem.it</x18tc:text>
    <x18tc:mentions>
      <x18tc:mention mentionpersonId="{ff64b710-1afa-4198-bddf-fe64b943a92f}" mentionId="{cd81b7b9-5757-47b7-b013-a92e6c4b34d5}" startIndex="0" length="20"/>
    </x18tc:mentions>
  </x18tc:threadedComment>
  <x18tc:threadedComment ref="D54" dT="2025-10-28T15:50:34.00" personId="{0b571afd-7d67-4274-99fa-b007c2378668}" id="{feb2bd55-05c5-4c88-9fb0-7771bb497ff9}" done="1">
    <x18tc:text xml:space="preserve">@estefany@studio-gem.it mancano i dati su athena
Attività assegnata a estefany@studio-gem.it</x18tc:text>
    <x18tc:mentions>
      <x18tc:mention mentionpersonId="{c05ca2eb-0197-40bd-b6a0-de5b45759285}" mentionId="{be38724d-a799-438e-bdc5-897ee948f372}" startIndex="0" length="23"/>
    </x18tc:mentions>
  </x18tc:threadedComment>
  <x18tc:threadedComment ref="J44" dT="2025-10-22T11:16:14.00" personId="{b2f0a95f-66cc-47d6-8940-5cdfd98d7d12}" id="{2419eaa5-002f-4323-9eeb-4bb20d28789f}" done="1">
    <x18tc:text xml:space="preserve">@santo@studio-gem.it Per lei ha pagato Shiri Carrara
Attività assegnata a santo@studio-gem.it</x18tc:text>
    <x18tc:mentions>
      <x18tc:mention mentionpersonId="{ff64b710-1afa-4198-bddf-fe64b943a92f}" mentionId="{d03aea1a-ddad-41b6-937b-114821f4134f}" startIndex="0" length="20"/>
    </x18tc:mentions>
  </x18tc:threadedComment>
  <x18tc:threadedComment ref="K33" dT="2025-10-15T07:58:02.00" personId="{6c08ef81-ef40-465e-9860-ddb519292ada}" id="{2e25cff8-572a-40b9-b80e-f6edd37b653f}" done="1">
    <x18tc:text xml:space="preserve">Transazione non andata a buon fine, ragazza iscritta anche ad un altro WS ed ha avuto problemi anche con quell'iscrizione.</x18tc:text>
  </x18tc:threadedComment>
  <x18tc:threadedComment ref="J34" dT="2025-10-15T08:01:00.00" personId="{6c08ef81-ef40-465e-9860-ddb519292ada}" id="{cb345d85-63e5-4967-b4f0-03c752d43c57}" done="1">
    <x18tc:text xml:space="preserve">PAGAMENTO NON ANDATO A BUON FINE, CONTATTARE PER RIFARE IL PAGAMENTO (SUL FILE VENDITA NON C'E ID TRANSAZIONE)</x18tc:text>
  </x18tc:threadedComment>
  <x18tc:threadedComment ref="S43" dT="2025-10-22T11:05:14.00" personId="{b2f0a95f-66cc-47d6-8940-5cdfd98d7d12}" id="{9e3c3fe0-1317-45d1-96d6-6acc6df46b74}" done="1">
    <x18tc:text xml:space="preserve">@santo@studio-gem.it Vedi cella J43
Attività assegnata a santo@studio-gem.it</x18tc:text>
    <x18tc:mentions>
      <x18tc:mention mentionpersonId="{ff64b710-1afa-4198-bddf-fe64b943a92f}" mentionId="{8ab0f3f5-a5a8-4339-8e2b-29ea3635395e}" startIndex="0" length="20"/>
    </x18tc:mentions>
  </x18tc:threadedComment>
  <x18tc:threadedComment ref="D51" dT="2025-10-29T11:42:07.00" personId="{0b571afd-7d67-4274-99fa-b007c2378668}" id="{9dfa1c04-96a5-45b3-9b67-36fe007ef6a5}" done="1">
    <x18tc:text xml:space="preserve">@estefany@studio-gem.it  dati su athena incompleti
Attività assegnata a estefany@studio-gem.it</x18tc:text>
    <x18tc:mentions>
      <x18tc:mention mentionpersonId="{c05ca2eb-0197-40bd-b6a0-de5b45759285}" mentionId="{73b32412-b14a-4128-bb10-6a52b52951d9}" startIndex="0" length="23"/>
    </x18tc:mentions>
  </x18tc:threadedComment>
  <x18tc:threadedComment ref="J43" dT="2025-10-22T11:04:35.00" personId="{b2f0a95f-66cc-47d6-8940-5cdfd98d7d12}" id="{0e05a834-010f-49f0-bc1b-65308e28e0d4}" done="1">
    <x18tc:text xml:space="preserve">@santo@studio-gem.it Questa persona ha pagato €90 in realtà: €45 per sè e €45 per la sua amica Vanessa Alborghetti. Fare fattura di €90
Attività assegnata a santo@studio-gem.it</x18tc:text>
    <x18tc:mentions>
      <x18tc:mention mentionpersonId="{ff64b710-1afa-4198-bddf-fe64b943a92f}" mentionId="{825ec78a-373f-40ce-8229-07c1fd3709b3}" startIndex="0" length="20"/>
    </x18tc:mentions>
  </x18tc:threadedComment>
  <x18tc:threadedComment ref="D52" dT="2025-10-29T11:43:20.00" personId="{0b571afd-7d67-4274-99fa-b007c2378668}" id="{5a7de387-577a-4216-a9b0-233b57497487}" done="1">
    <x18tc:text xml:space="preserve">@estefany@studio-gem.it dati su athena incompleti
Attività assegnata a estefany@studio-gem.it</x18tc:text>
    <x18tc:mentions>
      <x18tc:mention mentionpersonId="{c05ca2eb-0197-40bd-b6a0-de5b45759285}" mentionId="{22cf1f61-9b6e-4e40-8807-b63f17212447}" startIndex="0" length="23"/>
    </x18tc:mentions>
  </x18tc:threadedComment>
  <x18tc:threadedComment ref="B172" dT="2025-10-22T14:03:06.00" personId="{b2f0a95f-66cc-47d6-8940-5cdfd98d7d12}" id="{8fcde05b-0a06-4932-a10f-d537fd990782}" done="1">
    <x18tc:text xml:space="preserve">@gaechacha@gmail.com Manca la formula
Attività assegnata a gaechacha@gmail.com</x18tc:text>
    <x18tc:mentions>
      <x18tc:mention mentionpersonId="{67d1cc61-6ff6-488a-84f1-e6c01912840f}" mentionId="{6ed3aa47-e771-4c46-bb3c-4d0b03766ea4}" startIndex="0" length="20"/>
    </x18tc:mentions>
  </x18tc:threadedComment>
  <x18tc:threadedComment ref="B171" dT="2025-10-22T14:03:03.00" personId="{b2f0a95f-66cc-47d6-8940-5cdfd98d7d12}" id="{da91fdc5-fac3-4d81-ad64-c7a362aebe7b}" done="1">
    <x18tc:text xml:space="preserve">@gaechacha@gmail.com Manca la formula
Attività assegnata a gaechacha@gmail.com</x18tc:text>
    <x18tc:mentions>
      <x18tc:mention mentionpersonId="{67d1cc61-6ff6-488a-84f1-e6c01912840f}" mentionId="{625a1170-8063-4283-ac17-7bf41837ab60}" startIndex="0" length="20"/>
    </x18tc:mentions>
  </x18tc:threadedComment>
  <x18tc:threadedComment ref="D19" dT="2025-10-13T17:47:19.00" personId="{87150d1f-8c6b-4350-b7d6-a0d3c65fe760}" id="{6a749b67-225c-41cb-9dea-9407818e52c7}" done="1">
    <x18tc:text xml:space="preserve">HA PAGATO PER 2 IN ATTESA DATI</x18tc:text>
  </x18tc:threadedComment>
  <x18tc:threadedComment ref="D19" dT="2025-10-14T11:31:44.00" personId="{0b571afd-7d67-4274-99fa-b007c2378668}" id="{4dd74a4a-daf4-4607-b580-1a8f1f0c9895}" parentId="{6a749b67-225c-41cb-9dea-9407818e52c7}">
    <x18tc:text xml:space="preserve">ho fatto una fattura sola da 90€</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5-09-24T08:05:09.00" personId="{0b571afd-7d67-4274-99fa-b007c2378668}" id="{3012b20f-b149-443b-b894-42c1099b7fb6}" done="1">
    <x18tc:text xml:space="preserve">@estefany@studio-gem.it verificare ricevuta non c'è il flag</x18tc:text>
    <x18tc:mentions>
      <x18tc:mention mentionpersonId="{c05ca2eb-0197-40bd-b6a0-de5b45759285}" mentionId="{25d40548-3bf7-407b-95ec-9a4657762cb9}" startIndex="0" length="23"/>
    </x18tc:mentions>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7" dT="2025-10-17T12:54:09.00" personId="{6c08ef81-ef40-465e-9860-ddb519292ada}" id="{49e946e5-d9b2-4a3b-836c-7920eb48e05b}" done="1">
    <x18tc:text xml:space="preserve">NEL FILE VENDITA VEDO UN ENTRATA DI 111€ PRESUMO ABBIA PAGATO PER TRE</x18tc:text>
  </x18tc:threadedComment>
  <x18tc:threadedComment ref="E35" dT="2025-10-13T11:38:05.00" personId="{87150d1f-8c6b-4350-b7d6-a0d3c65fe760}" id="{24c08f05-7ba4-4520-8d0a-8b7e5120361c}" done="1">
    <x18tc:text xml:space="preserve">ha pagato per 3 in attesa dati partecipanti</x18tc:text>
  </x18tc:threadedComment>
  <x18tc:threadedComment ref="E35" dT="2025-10-14T10:20:42.00" personId="{0b571afd-7d67-4274-99fa-b007c2378668}" id="{f6a19ac7-eb0c-4c4e-abda-b513eb7bf4ed}" parentId="{24c08f05-7ba4-4520-8d0a-8b7e5120361c}">
    <x18tc:text xml:space="preserve">ho fatto un'inca fattura a Rocca</x18tc:text>
  </x18tc:threadedComment>
  <x18tc:threadedComment ref="D76" dT="2025-10-17T12:54:02.00" personId="{6c08ef81-ef40-465e-9860-ddb519292ada}" id="{a9d69ca4-b01f-4c93-8a2a-e3b37b58ab86}" done="1">
    <x18tc:text xml:space="preserve">NEL FILE VENDITA VEDO UN ENTRATA DI 111€ PRESUMO ABBIA PAGATO PER TRE</x18tc:text>
  </x18tc:threadedComment>
  <x18tc:threadedComment ref="A5" dT="2025-07-28T12:38:25.00" personId="{87150d1f-8c6b-4350-b7d6-a0d3c65fe760}" id="{b6ddfec6-8fca-4eb8-848e-3395d5b6b439}" done="1">
    <x18tc:text xml:space="preserve">estefany</x18tc:text>
  </x18tc:threadedComment>
  <x18tc:threadedComment ref="A4" dT="2025-07-28T12:38:22.00" personId="{87150d1f-8c6b-4350-b7d6-a0d3c65fe760}" id="{5373e2be-56cd-4d86-875a-44e288b052a5}" done="1">
    <x18tc:text xml:space="preserve">estefany</x18tc:text>
  </x18tc:threadedComment>
  <x18tc:threadedComment ref="D20" dT="2025-11-29T15:48:42.00" personId="{87150d1f-8c6b-4350-b7d6-a0d3c65fe760}" id="{ec9e105f-2468-4cf4-915b-0f77d4556f1a}" done="1">
    <x18tc:text xml:space="preserve">arrivata qui</x18tc:text>
  </x18tc:threadedComment>
  <x18tc:threadedComment ref="G32" dT="2025-10-09T08:45:27.00" personId="{87150d1f-8c6b-4350-b7d6-a0d3c65fe760}" id="{634db5db-b61c-436d-9546-e582b06902a5}" done="1">
    <x18tc:text xml:space="preserve">chiedere se davvero non ha un CF se no chiedere dati per calcolarlo</x18tc:text>
  </x18tc:threadedComment>
  <x18tc:threadedComment ref="D13" dT="2025-11-28T20:17:17.00" personId="{87150d1f-8c6b-4350-b7d6-a0d3c65fe760}" id="{dc091b9e-accd-4fe1-a48f-7d44ba111a0f}" done="1">
    <x18tc:text xml:space="preserve">arrivata qui controllo</x18tc:text>
  </x18tc:threadedComment>
  <x18tc:threadedComment ref="K37" dT="2025-10-17T13:28:53.00" personId="{b2f0a95f-66cc-47d6-8940-5cdfd98d7d12}" id="{4353df50-e5f0-4fa8-a9fc-8626e54017c8}" done="1">
    <x18tc:text xml:space="preserve">@alexandra@studio-gem.it Per Ale: questa ragazza pagherà €35 in via eccezionale con codice estefany. Inoltre, dovrà pagare Timor + Deborah
Attività assegnata a alexandra@studio-gem.it</x18tc:text>
    <x18tc:mentions>
      <x18tc:mention mentionpersonId="{4c54b38e-210f-495f-bda2-931acfb7497c}" mentionId="{a60e529a-cb12-43b4-99d2-35e9f4b98554}" startIndex="0" length="24"/>
    </x18tc:mentions>
  </x18tc:threadedComment>
  <x18tc:threadedComment ref="E5" dT="2025-10-17T13:20:05.00" personId="{87150d1f-8c6b-4350-b7d6-a0d3c65fe760}" id="{772238b9-1ce1-4d22-93ba-661bf1e193da}" done="1">
    <x18tc:text xml:space="preserve">VERRA GAIA FORMAGGINI</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 dT="2025-12-17T11:35:59.00" personId="{6c08ef81-ef40-465e-9860-ddb519292ada}" id="{0a05ea05-3366-4e19-b8ed-293ada56509a}" done="0">
    <x18tc:text xml:space="preserve">@gaechacha@gmail.com è possibile aggiungere le voci "CARTA-TESSERATO" e "CARTA-NON TESSERATO"?
perché io ricordo che cash era per sia contanti che carta fatti in sede mentre Digitale era solo per chi acquistava online. Mi diceva Santo però che trovava difficoltà al momento di fare fattura non sapendo effettivamente se hanno pagato in contanti o carta
Attività assegnata a gaechacha@gmail.com</x18tc:text>
    <x18tc:mentions>
      <x18tc:mention mentionpersonId="{67d1cc61-6ff6-488a-84f1-e6c01912840f}" mentionId="{6c556a66-37bd-42b9-89ff-dd652642a045}" startIndex="0" length="20"/>
    </x18tc:mentions>
  </x18tc:threadedComment>
  <x18tc:threadedComment ref="D2" dT="2025-12-17T11:32:52.00" personId="{6c08ef81-ef40-465e-9860-ddb519292ada}" id="{ead05a93-e0bc-4601-9d8e-a8e1b4cc3113}" done="0">
    <x18tc:text xml:space="preserve">@gaechacha@gmail.com dobbiamo copiare l'ID anagrafica dal File Master? e se non sono tesserati come facciamo?
Attività assegnata a gaechacha@gmail.com</x18tc:text>
    <x18tc:mentions>
      <x18tc:mention mentionpersonId="{67d1cc61-6ff6-488a-84f1-e6c01912840f}" mentionId="{5803c3f5-651d-4fa3-9bf9-2a28627c501d}" startIndex="0" length="20"/>
    </x18tc:mentions>
  </x18tc:threadedComment>
  <x18tc:threadedComment ref="N2" dT="2025-11-28T14:55:29.00" personId="{b2f0a95f-66cc-47d6-8940-5cdfd98d7d12}" id="{11914f77-2943-4981-9475-fedd0aa6fe1c}" done="1">
    <x18tc:text xml:space="preserve">@gaechacha@gmail.com CORREGGERE LA DESCRIZIONE DI QUESTA CELLA N2 in "DIGIT/CASH - TESS/NON TESS"
Attività assegnata a gaechacha@gmail.com</x18tc:text>
    <x18tc:mentions>
      <x18tc:mention mentionpersonId="{67d1cc61-6ff6-488a-84f1-e6c01912840f}" mentionId="{43b47b0b-fc04-49f1-aa29-1bbf6b1f22af}" startIndex="0" length="20"/>
    </x18tc:mentions>
  </x18tc:threadedComment>
  <x18tc:threadedComment ref="N2" dT="2025-12-16T16:07:46.00" personId="{5866444d-65c7-49cf-acb5-15aed77bc799}" id="{c7883bc0-e36b-4ba6-8613-536f1288dbb2}" parentId="{11914f77-2943-4981-9475-fedd0aa6fe1c}">
    <x18tc:text xml:space="preserve">FATTO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ILHl0OwOdAjOXVKXIE4M5uLeKxC72h8raXJ5VnnwQIM/edit?gid=123984173"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ILHl0OwOdAjOXVKXIE4M5uLeKxC72h8raXJ5VnnwQIM/edit?gid=1814967349"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ILHl0OwOdAjOXVKXIE4M5uLeKxC72h8raXJ5VnnwQIM/edit?gid=1831136091" TargetMode="External"/><Relationship Id="rId5" Type="http://schemas.openxmlformats.org/officeDocument/2006/relationships/drawing" Target="../drawings/drawing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ILHl0OwOdAjOXVKXIE4M5uLeKxC72h8raXJ5VnnwQIM/edit?gid=555335760" TargetMode="External"/><Relationship Id="rId3" Type="http://schemas.openxmlformats.org/officeDocument/2006/relationships/drawing" Target="../drawings/drawing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ILHl0OwOdAjOXVKXIE4M5uLeKxC72h8raXJ5VnnwQIM/edit?gid=1446630281" TargetMode="Externa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ocs.google.com/spreadsheets/d/1ILHl0OwOdAjOXVKXIE4M5uLeKxC72h8raXJ5VnnwQIM/edit?gid=1590755031" TargetMode="External"/><Relationship Id="rId5" Type="http://schemas.openxmlformats.org/officeDocument/2006/relationships/drawing" Target="../drawings/drawing10.xml"/><Relationship Id="rId6"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spreadsheets/d/1ILHl0OwOdAjOXVKXIE4M5uLeKxC72h8raXJ5VnnwQIM/edit?gid=1874486717" TargetMode="External"/><Relationship Id="rId5" Type="http://schemas.openxmlformats.org/officeDocument/2006/relationships/drawing" Target="../drawings/drawing11.xml"/><Relationship Id="rId6"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ocs.google.com/spreadsheets/d/1ILHl0OwOdAjOXVKXIE4M5uLeKxC72h8raXJ5VnnwQIM/edit?gid=954165568" TargetMode="External"/><Relationship Id="rId5" Type="http://schemas.openxmlformats.org/officeDocument/2006/relationships/drawing" Target="../drawings/drawing12.xml"/><Relationship Id="rId6"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ILHl0OwOdAjOXVKXIE4M5uLeKxC72h8raXJ5VnnwQIM/edit?gid=1113522688" TargetMode="External"/><Relationship Id="rId5" Type="http://schemas.openxmlformats.org/officeDocument/2006/relationships/drawing" Target="../drawings/drawing13.xml"/><Relationship Id="rId6"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ILHl0OwOdAjOXVKXIE4M5uLeKxC72h8raXJ5VnnwQIM/edit?gid=346376049" TargetMode="External"/><Relationship Id="rId5" Type="http://schemas.openxmlformats.org/officeDocument/2006/relationships/drawing" Target="../drawings/drawing14.xml"/><Relationship Id="rId6"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docs.google.com/spreadsheets/d/1ILHl0OwOdAjOXVKXIE4M5uLeKxC72h8raXJ5VnnwQIM/edit?gid=2005275646" TargetMode="External"/><Relationship Id="rId5" Type="http://schemas.openxmlformats.org/officeDocument/2006/relationships/drawing" Target="../drawings/drawing15.xml"/><Relationship Id="rId6"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docs.google.com/spreadsheets/d/1ILHl0OwOdAjOXVKXIE4M5uLeKxC72h8raXJ5VnnwQIM/edit?gid=54355521" TargetMode="External"/><Relationship Id="rId5" Type="http://schemas.openxmlformats.org/officeDocument/2006/relationships/drawing" Target="../drawings/drawing16.xml"/><Relationship Id="rId6"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docs.google.com/spreadsheets/d/1ILHl0OwOdAjOXVKXIE4M5uLeKxC72h8raXJ5VnnwQIM/edit?gid=1339966351" TargetMode="External"/><Relationship Id="rId5" Type="http://schemas.openxmlformats.org/officeDocument/2006/relationships/drawing" Target="../drawings/drawing17.xml"/><Relationship Id="rId6"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19.xml"/><Relationship Id="rId5"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3.xml"/><Relationship Id="rId3"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190" Type="http://schemas.openxmlformats.org/officeDocument/2006/relationships/hyperlink" Target="https://docs.google.com/spreadsheets/d/1ECVes277rJcxKO2qUYRWlsClB9bGe_uagrRL-_g4g6o/edit?usp=drivesdk" TargetMode="External"/><Relationship Id="rId194" Type="http://schemas.openxmlformats.org/officeDocument/2006/relationships/hyperlink" Target="https://docs.google.com/spreadsheets/d/1S-r1T1r6-JcLJLk_Jl0YsXFeNmz3_WPHT7ur7lZjScA/edit?usp=drivesdk" TargetMode="External"/><Relationship Id="rId193" Type="http://schemas.openxmlformats.org/officeDocument/2006/relationships/hyperlink" Target="https://docs.google.com/spreadsheets/d/1AK6Q1iz-pj61NBk-rSz8I8mFVEeusK_VfY5XnlUFPw0/edit?usp=drivesdk" TargetMode="External"/><Relationship Id="rId192" Type="http://schemas.openxmlformats.org/officeDocument/2006/relationships/hyperlink" Target="https://docs.google.com/spreadsheets/d/1AK6Q1iz-pj61NBk-rSz8I8mFVEeusK_VfY5XnlUFPw0/edit?usp=drivesdk" TargetMode="External"/><Relationship Id="rId191" Type="http://schemas.openxmlformats.org/officeDocument/2006/relationships/hyperlink" Target="https://docs.google.com/spreadsheets/d/1ECVes277rJcxKO2qUYRWlsClB9bGe_uagrRL-_g4g6o/edit?usp=drivesdk" TargetMode="External"/><Relationship Id="rId187" Type="http://schemas.openxmlformats.org/officeDocument/2006/relationships/hyperlink" Target="https://docs.google.com/spreadsheets/d/1L5W5lU3GNuScOglcufLtGfeszL4PXfM60pGgIHG5j3c/edit?usp=drivesdk" TargetMode="External"/><Relationship Id="rId186" Type="http://schemas.openxmlformats.org/officeDocument/2006/relationships/hyperlink" Target="https://docs.google.com/spreadsheets/d/1L5W5lU3GNuScOglcufLtGfeszL4PXfM60pGgIHG5j3c/edit?usp=drivesdk" TargetMode="External"/><Relationship Id="rId185" Type="http://schemas.openxmlformats.org/officeDocument/2006/relationships/hyperlink" Target="https://docs.google.com/spreadsheets/d/1J33aOqonZPZZkiy_u-nUihws_0Da1_AtzhOBp2Gj6mY/edit?usp=drivesdk" TargetMode="External"/><Relationship Id="rId184" Type="http://schemas.openxmlformats.org/officeDocument/2006/relationships/hyperlink" Target="https://docs.google.com/spreadsheets/d/1J33aOqonZPZZkiy_u-nUihws_0Da1_AtzhOBp2Gj6mY/edit?usp=drivesdk" TargetMode="External"/><Relationship Id="rId189" Type="http://schemas.openxmlformats.org/officeDocument/2006/relationships/hyperlink" Target="https://docs.google.com/spreadsheets/d/1HCH9Rck8B8PwxYf0kqWZs_8209i51QvVvzm5Wdnan9k/edit?usp=drivesdk" TargetMode="External"/><Relationship Id="rId188" Type="http://schemas.openxmlformats.org/officeDocument/2006/relationships/hyperlink" Target="https://docs.google.com/spreadsheets/d/1HCH9Rck8B8PwxYf0kqWZs_8209i51QvVvzm5Wdnan9k/edit?usp=drivesdk" TargetMode="External"/><Relationship Id="rId183" Type="http://schemas.openxmlformats.org/officeDocument/2006/relationships/hyperlink" Target="https://docs.google.com/spreadsheets/d/1GAwlDPtTbjbNmidCVrNAqPepzlub4hxrK6M0g1wKDwc/edit?usp=drivesdk" TargetMode="External"/><Relationship Id="rId182" Type="http://schemas.openxmlformats.org/officeDocument/2006/relationships/hyperlink" Target="https://docs.google.com/spreadsheets/d/1GAwlDPtTbjbNmidCVrNAqPepzlub4hxrK6M0g1wKDwc/edit?usp=drivesdk" TargetMode="External"/><Relationship Id="rId181" Type="http://schemas.openxmlformats.org/officeDocument/2006/relationships/hyperlink" Target="https://docs.google.com/spreadsheets/d/10AEKFuAR_x9Wbh9Jnlbn69XYmCQekOJnG-d-OWPEai8/edit?usp=drivesdk" TargetMode="External"/><Relationship Id="rId180" Type="http://schemas.openxmlformats.org/officeDocument/2006/relationships/hyperlink" Target="https://docs.google.com/spreadsheets/d/10AEKFuAR_x9Wbh9Jnlbn69XYmCQekOJnG-d-OWPEai8/edit?usp=drivesdk" TargetMode="External"/><Relationship Id="rId176" Type="http://schemas.openxmlformats.org/officeDocument/2006/relationships/hyperlink" Target="https://docs.google.com/spreadsheets/d/11e-WP5dJ1jl2Ar9IM8z26OhkVRxtnCZA5y_jkErpos0/edit?usp=drivesdk" TargetMode="External"/><Relationship Id="rId297" Type="http://schemas.openxmlformats.org/officeDocument/2006/relationships/hyperlink" Target="https://docs.google.com/spreadsheets/d/1aDsWG12rhFKROrVSzeVsTqXfdrFFQuJsWZ-CC0-VAfw/edit?usp=drivesdk" TargetMode="External"/><Relationship Id="rId175" Type="http://schemas.openxmlformats.org/officeDocument/2006/relationships/hyperlink" Target="https://docs.google.com/spreadsheets/d/1T6mEOyvTcDrwATvcH4j33Tx6jvMUG4XeyFAZj8zYtsg/edit?usp=drivesdk" TargetMode="External"/><Relationship Id="rId296" Type="http://schemas.openxmlformats.org/officeDocument/2006/relationships/hyperlink" Target="https://docs.google.com/spreadsheets/d/1aDsWG12rhFKROrVSzeVsTqXfdrFFQuJsWZ-CC0-VAfw/edit?usp=drivesdk" TargetMode="External"/><Relationship Id="rId174" Type="http://schemas.openxmlformats.org/officeDocument/2006/relationships/hyperlink" Target="https://docs.google.com/spreadsheets/d/1T6mEOyvTcDrwATvcH4j33Tx6jvMUG4XeyFAZj8zYtsg/edit?usp=drivesdk" TargetMode="External"/><Relationship Id="rId295" Type="http://schemas.openxmlformats.org/officeDocument/2006/relationships/hyperlink" Target="https://docs.google.com/spreadsheets/d/1riur2GPR_CpIpiOmLO2N8dLYV4UTc-TNJk5bUqtpOVs/edit?usp=drivesdk" TargetMode="External"/><Relationship Id="rId173" Type="http://schemas.openxmlformats.org/officeDocument/2006/relationships/hyperlink" Target="https://docs.google.com/spreadsheets/d/1TvA7mMfJNum0sOJc06BZxVE5cB3PEv4rsMeh5y1Gr9w/edit?usp=drivesdk" TargetMode="External"/><Relationship Id="rId294" Type="http://schemas.openxmlformats.org/officeDocument/2006/relationships/hyperlink" Target="https://docs.google.com/spreadsheets/d/1riur2GPR_CpIpiOmLO2N8dLYV4UTc-TNJk5bUqtpOVs/edit?usp=drivesdk" TargetMode="External"/><Relationship Id="rId179" Type="http://schemas.openxmlformats.org/officeDocument/2006/relationships/hyperlink" Target="https://docs.google.com/spreadsheets/d/1yc8qGqqafwqAkTPrKYNKlkhnC5Zm8hLLsAxe3R_WtSs/edit?usp=drivesdk" TargetMode="External"/><Relationship Id="rId178" Type="http://schemas.openxmlformats.org/officeDocument/2006/relationships/hyperlink" Target="https://docs.google.com/spreadsheets/d/1yc8qGqqafwqAkTPrKYNKlkhnC5Zm8hLLsAxe3R_WtSs/edit?usp=drivesdk" TargetMode="External"/><Relationship Id="rId299" Type="http://schemas.openxmlformats.org/officeDocument/2006/relationships/hyperlink" Target="https://docs.google.com/spreadsheets/d/1T0kNzUlRzmMZ1Y8PvnM74lDGAhLAzFYb2yHSzuuOhMo/edit?usp=drivesdk" TargetMode="External"/><Relationship Id="rId177" Type="http://schemas.openxmlformats.org/officeDocument/2006/relationships/hyperlink" Target="https://docs.google.com/spreadsheets/d/11e-WP5dJ1jl2Ar9IM8z26OhkVRxtnCZA5y_jkErpos0/edit?usp=drivesdk" TargetMode="External"/><Relationship Id="rId298" Type="http://schemas.openxmlformats.org/officeDocument/2006/relationships/hyperlink" Target="https://docs.google.com/spreadsheets/d/1T0kNzUlRzmMZ1Y8PvnM74lDGAhLAzFYb2yHSzuuOhMo/edit?usp=drivesdk" TargetMode="External"/><Relationship Id="rId198" Type="http://schemas.openxmlformats.org/officeDocument/2006/relationships/hyperlink" Target="https://docs.google.com/spreadsheets/d/1_DAr-d6ZPwtH3TDAOHXZ8YYtxtqOXI52XtXqBSVk3_U/edit?usp=drivesdk" TargetMode="External"/><Relationship Id="rId197" Type="http://schemas.openxmlformats.org/officeDocument/2006/relationships/hyperlink" Target="https://docs.google.com/spreadsheets/d/1WctBbck6kW38oMtQYS_eE8zHdBxc6oTfri81n81zc-I/edit?usp=drivesdk" TargetMode="External"/><Relationship Id="rId196" Type="http://schemas.openxmlformats.org/officeDocument/2006/relationships/hyperlink" Target="https://docs.google.com/spreadsheets/d/1WctBbck6kW38oMtQYS_eE8zHdBxc6oTfri81n81zc-I/edit?usp=drivesdk" TargetMode="External"/><Relationship Id="rId195" Type="http://schemas.openxmlformats.org/officeDocument/2006/relationships/hyperlink" Target="https://docs.google.com/spreadsheets/d/1S-r1T1r6-JcLJLk_Jl0YsXFeNmz3_WPHT7ur7lZjScA/edit?usp=drivesdk" TargetMode="External"/><Relationship Id="rId199" Type="http://schemas.openxmlformats.org/officeDocument/2006/relationships/hyperlink" Target="https://docs.google.com/spreadsheets/d/1_DAr-d6ZPwtH3TDAOHXZ8YYtxtqOXI52XtXqBSVk3_U/edit?usp=drivesdk" TargetMode="External"/><Relationship Id="rId150" Type="http://schemas.openxmlformats.org/officeDocument/2006/relationships/hyperlink" Target="https://docs.google.com/spreadsheets/d/1q3zJ1pUwPANDAfRWci582bPpXURUYGIZA0I7F1ULHl4/edit?usp=drivesdk" TargetMode="External"/><Relationship Id="rId271" Type="http://schemas.openxmlformats.org/officeDocument/2006/relationships/hyperlink" Target="https://docs.google.com/spreadsheets/d/15w3m-DMEdYJ_C6vnHcEqpGiv75O13XaP4TemrQSl3Xk/edit?usp=drivesdk" TargetMode="External"/><Relationship Id="rId392" Type="http://schemas.openxmlformats.org/officeDocument/2006/relationships/hyperlink" Target="https://docs.google.com/spreadsheets/d/15UIgMJ7FZVcPjWGanugpCIqeTiDT9IKU41kKraOhyq4/edit?usp=drivesdk" TargetMode="External"/><Relationship Id="rId270" Type="http://schemas.openxmlformats.org/officeDocument/2006/relationships/hyperlink" Target="https://docs.google.com/spreadsheets/d/15w3m-DMEdYJ_C6vnHcEqpGiv75O13XaP4TemrQSl3Xk/edit?usp=drivesdk" TargetMode="External"/><Relationship Id="rId391" Type="http://schemas.openxmlformats.org/officeDocument/2006/relationships/hyperlink" Target="https://docs.google.com/spreadsheets/d/1kE33e_Eu37sEHsRYcwSpoSlMCCdneoh14oD47pb6R-4/edit?usp=drivesdk" TargetMode="External"/><Relationship Id="rId390" Type="http://schemas.openxmlformats.org/officeDocument/2006/relationships/hyperlink" Target="https://docs.google.com/spreadsheets/d/1kE33e_Eu37sEHsRYcwSpoSlMCCdneoh14oD47pb6R-4/edit?usp=drivesdk" TargetMode="External"/><Relationship Id="rId1" Type="http://schemas.openxmlformats.org/officeDocument/2006/relationships/comments" Target="../comments22.xml"/><Relationship Id="rId2" Type="http://schemas.openxmlformats.org/officeDocument/2006/relationships/hyperlink" Target="https://docs.google.com/spreadsheets/d/1ZMj9MmlcWolWuTUKuPfdiZYVYSB6I88HxUS1ZjygKo0/edit" TargetMode="External"/><Relationship Id="rId3" Type="http://schemas.openxmlformats.org/officeDocument/2006/relationships/hyperlink" Target="https://docs.google.com/spreadsheets/d/1VmfA3aBKeZtwOGyWJZhUZl-QGJ-t64D2Kd0z6prR7Io/edit?usp=sharing" TargetMode="External"/><Relationship Id="rId149" Type="http://schemas.openxmlformats.org/officeDocument/2006/relationships/hyperlink" Target="https://docs.google.com/spreadsheets/d/1CxMQg-biAUCtAQ94h54aciQh4RtQAyi4qEZsHFT-akI/edit?usp=drivesdk" TargetMode="External"/><Relationship Id="rId4" Type="http://schemas.openxmlformats.org/officeDocument/2006/relationships/hyperlink" Target="https://docs.google.com/spreadsheets/d/1QD3tuixhQqxCFAvUH_LcWC7bt_Whhm8mMLYoyIkANeY/edit?usp=sharing" TargetMode="External"/><Relationship Id="rId148" Type="http://schemas.openxmlformats.org/officeDocument/2006/relationships/hyperlink" Target="https://docs.google.com/spreadsheets/d/1CxMQg-biAUCtAQ94h54aciQh4RtQAyi4qEZsHFT-akI/edit?usp=drivesdk" TargetMode="External"/><Relationship Id="rId269" Type="http://schemas.openxmlformats.org/officeDocument/2006/relationships/hyperlink" Target="https://docs.google.com/spreadsheets/d/1dWRBvXtLk9AyjLB-sa5BTUyuPED2wpCQU3D7WMW5IPk/edit?usp=drivesdk" TargetMode="External"/><Relationship Id="rId9" Type="http://schemas.openxmlformats.org/officeDocument/2006/relationships/hyperlink" Target="https://docs.google.com/spreadsheets/d/1DBsfnsNCSpJ2cWSE8CdnkpuAoJA5lpFzGydY35MAIT4/edit?usp=sharing" TargetMode="External"/><Relationship Id="rId143" Type="http://schemas.openxmlformats.org/officeDocument/2006/relationships/hyperlink" Target="https://docs.google.com/spreadsheets/d/1D_1YvP4-Y7guJBCfGqPRXxfCxvWteVmk6lCTAfb4dCA/edit?usp=drivesdk" TargetMode="External"/><Relationship Id="rId264" Type="http://schemas.openxmlformats.org/officeDocument/2006/relationships/hyperlink" Target="https://docs.google.com/spreadsheets/d/1hdpyJhgF7oBlC3PEpoWotNeVXKrPqqs5tOIEnd2-qKo/edit?usp=drivesdk" TargetMode="External"/><Relationship Id="rId385" Type="http://schemas.openxmlformats.org/officeDocument/2006/relationships/hyperlink" Target="https://docs.google.com/spreadsheets/d/1PowP0RdZJuOFl_TY5u6-QkxiUFYJRum74qEMccbK4mo/edit?usp=drivesdk" TargetMode="External"/><Relationship Id="rId142" Type="http://schemas.openxmlformats.org/officeDocument/2006/relationships/hyperlink" Target="https://docs.google.com/spreadsheets/d/1D_1YvP4-Y7guJBCfGqPRXxfCxvWteVmk6lCTAfb4dCA/edit?usp=drivesdk" TargetMode="External"/><Relationship Id="rId263" Type="http://schemas.openxmlformats.org/officeDocument/2006/relationships/hyperlink" Target="https://docs.google.com/spreadsheets/d/13IWD_ResJlZ9bJpMs2yXp3UbGbEI6di4jqj-zuIonoM/edit?usp=drivesdk" TargetMode="External"/><Relationship Id="rId384" Type="http://schemas.openxmlformats.org/officeDocument/2006/relationships/hyperlink" Target="https://docs.google.com/spreadsheets/d/1PowP0RdZJuOFl_TY5u6-QkxiUFYJRum74qEMccbK4mo/edit?usp=drivesdk" TargetMode="External"/><Relationship Id="rId141" Type="http://schemas.openxmlformats.org/officeDocument/2006/relationships/hyperlink" Target="https://docs.google.com/spreadsheets/d/1e2CSG44My30SeipbfCPvymkY6G9jHmzeU4P-rdtaMgE/edit?usp=drivesdk" TargetMode="External"/><Relationship Id="rId262" Type="http://schemas.openxmlformats.org/officeDocument/2006/relationships/hyperlink" Target="https://docs.google.com/spreadsheets/d/13IWD_ResJlZ9bJpMs2yXp3UbGbEI6di4jqj-zuIonoM/edit?usp=drivesdk" TargetMode="External"/><Relationship Id="rId383" Type="http://schemas.openxmlformats.org/officeDocument/2006/relationships/hyperlink" Target="https://docs.google.com/spreadsheets/d/15NkDrX5DN-r2cBE4mBdcDo1Dw5RcV9ffYDSd43rZ7sE/edit?usp=drivesdk" TargetMode="External"/><Relationship Id="rId140" Type="http://schemas.openxmlformats.org/officeDocument/2006/relationships/hyperlink" Target="https://docs.google.com/spreadsheets/d/1e2CSG44My30SeipbfCPvymkY6G9jHmzeU4P-rdtaMgE/edit?usp=drivesdk" TargetMode="External"/><Relationship Id="rId261" Type="http://schemas.openxmlformats.org/officeDocument/2006/relationships/hyperlink" Target="https://docs.google.com/spreadsheets/d/1Yx59Iv6t2b0oVwe7hHlnmCWSJWnY7BXXK4EThMZ2hGI/edit?usp=drivesdk" TargetMode="External"/><Relationship Id="rId382" Type="http://schemas.openxmlformats.org/officeDocument/2006/relationships/hyperlink" Target="https://docs.google.com/spreadsheets/d/15NkDrX5DN-r2cBE4mBdcDo1Dw5RcV9ffYDSd43rZ7sE/edit?usp=drivesdk" TargetMode="External"/><Relationship Id="rId5" Type="http://schemas.openxmlformats.org/officeDocument/2006/relationships/hyperlink" Target="https://docs.google.com/spreadsheets/d/12rWS1s2kwCVAvqZ7kRoQhDLVNt561SRwhoesZLszdLI/edit?usp=sharing" TargetMode="External"/><Relationship Id="rId147" Type="http://schemas.openxmlformats.org/officeDocument/2006/relationships/hyperlink" Target="https://docs.google.com/spreadsheets/d/1zhKW3uWFbQW2wypuanyT0u4iqz7XNJwZhe-cQ6ahdu0/edit?usp=drivesdk" TargetMode="External"/><Relationship Id="rId268" Type="http://schemas.openxmlformats.org/officeDocument/2006/relationships/hyperlink" Target="https://docs.google.com/spreadsheets/d/1dWRBvXtLk9AyjLB-sa5BTUyuPED2wpCQU3D7WMW5IPk/edit?usp=drivesdk" TargetMode="External"/><Relationship Id="rId389" Type="http://schemas.openxmlformats.org/officeDocument/2006/relationships/hyperlink" Target="https://docs.google.com/spreadsheets/d/1slFUF29bHuw36E5V5gARTJN4mWHIvQ2uN-rScsl6Np4/edit?usp=drivesdk" TargetMode="External"/><Relationship Id="rId6" Type="http://schemas.openxmlformats.org/officeDocument/2006/relationships/hyperlink" Target="https://docs.google.com/spreadsheets/d/18OQqOBm_s-mhKnINQD1xGQDGtbvHE7YfdYiSN1PAAOE/edit?usp=sharing" TargetMode="External"/><Relationship Id="rId146" Type="http://schemas.openxmlformats.org/officeDocument/2006/relationships/hyperlink" Target="https://docs.google.com/spreadsheets/d/1zhKW3uWFbQW2wypuanyT0u4iqz7XNJwZhe-cQ6ahdu0/edit?usp=drivesdk" TargetMode="External"/><Relationship Id="rId267" Type="http://schemas.openxmlformats.org/officeDocument/2006/relationships/hyperlink" Target="https://docs.google.com/spreadsheets/d/11j2NlLQ41vAozuQ96Y-A5NH_dhhWFSKoCmj0SuCFibA/edit?usp=drivesdk" TargetMode="External"/><Relationship Id="rId388" Type="http://schemas.openxmlformats.org/officeDocument/2006/relationships/hyperlink" Target="https://docs.google.com/spreadsheets/d/1slFUF29bHuw36E5V5gARTJN4mWHIvQ2uN-rScsl6Np4/edit?usp=drivesdk" TargetMode="External"/><Relationship Id="rId7" Type="http://schemas.openxmlformats.org/officeDocument/2006/relationships/hyperlink" Target="https://docs.google.com/spreadsheets/d/1gFq7NXlxtEt01Zdo8BAA4eeFnoApkreXuzrQBiIcbd0/edit?usp=sharing" TargetMode="External"/><Relationship Id="rId145" Type="http://schemas.openxmlformats.org/officeDocument/2006/relationships/hyperlink" Target="https://docs.google.com/spreadsheets/d/1zlof8nwkA6OzHH_r700VMrqXygSaGEYnscxTq4Rs0MY/edit?usp=drivesdk" TargetMode="External"/><Relationship Id="rId266" Type="http://schemas.openxmlformats.org/officeDocument/2006/relationships/hyperlink" Target="https://docs.google.com/spreadsheets/d/11j2NlLQ41vAozuQ96Y-A5NH_dhhWFSKoCmj0SuCFibA/edit?usp=drivesdk" TargetMode="External"/><Relationship Id="rId387" Type="http://schemas.openxmlformats.org/officeDocument/2006/relationships/hyperlink" Target="https://docs.google.com/spreadsheets/d/1mlrTqEE-P3ZvT0w1nTLr74UjIgAYGfPCU29pIEVKKd8/edit?usp=drivesdk" TargetMode="External"/><Relationship Id="rId8" Type="http://schemas.openxmlformats.org/officeDocument/2006/relationships/hyperlink" Target="https://docs.google.com/spreadsheets/d/131ubf3cr5EqcgnafiwL05IXx2XR6mxl1Pd1Mj_3_TUk/edit?usp=sharing" TargetMode="External"/><Relationship Id="rId144" Type="http://schemas.openxmlformats.org/officeDocument/2006/relationships/hyperlink" Target="https://docs.google.com/spreadsheets/d/1zlof8nwkA6OzHH_r700VMrqXygSaGEYnscxTq4Rs0MY/edit?usp=drivesdk" TargetMode="External"/><Relationship Id="rId265" Type="http://schemas.openxmlformats.org/officeDocument/2006/relationships/hyperlink" Target="https://docs.google.com/spreadsheets/d/1hdpyJhgF7oBlC3PEpoWotNeVXKrPqqs5tOIEnd2-qKo/edit?usp=drivesdk" TargetMode="External"/><Relationship Id="rId386" Type="http://schemas.openxmlformats.org/officeDocument/2006/relationships/hyperlink" Target="https://docs.google.com/spreadsheets/d/1mlrTqEE-P3ZvT0w1nTLr74UjIgAYGfPCU29pIEVKKd8/edit?usp=drivesdk" TargetMode="External"/><Relationship Id="rId260" Type="http://schemas.openxmlformats.org/officeDocument/2006/relationships/hyperlink" Target="https://docs.google.com/spreadsheets/d/1Yx59Iv6t2b0oVwe7hHlnmCWSJWnY7BXXK4EThMZ2hGI/edit?usp=drivesdk" TargetMode="External"/><Relationship Id="rId381" Type="http://schemas.openxmlformats.org/officeDocument/2006/relationships/hyperlink" Target="https://docs.google.com/spreadsheets/d/1aZrNm4cweuV1OhN3QaKnu8VGj_jG-Y-_CSerhqwp7jM/edit?usp=drivesdk" TargetMode="External"/><Relationship Id="rId380" Type="http://schemas.openxmlformats.org/officeDocument/2006/relationships/hyperlink" Target="https://docs.google.com/spreadsheets/d/1aZrNm4cweuV1OhN3QaKnu8VGj_jG-Y-_CSerhqwp7jM/edit?usp=drivesdk" TargetMode="External"/><Relationship Id="rId139" Type="http://schemas.openxmlformats.org/officeDocument/2006/relationships/hyperlink" Target="https://docs.google.com/spreadsheets/d/1VmbM-E04KqaatNitMdNpyAtW0LhXFV8EHfOYLl8rEHA/edit?usp=drivesdk" TargetMode="External"/><Relationship Id="rId138" Type="http://schemas.openxmlformats.org/officeDocument/2006/relationships/hyperlink" Target="https://docs.google.com/spreadsheets/d/1VmbM-E04KqaatNitMdNpyAtW0LhXFV8EHfOYLl8rEHA/edit?usp=drivesdk" TargetMode="External"/><Relationship Id="rId259" Type="http://schemas.openxmlformats.org/officeDocument/2006/relationships/hyperlink" Target="https://docs.google.com/spreadsheets/d/1F5fk_bdLARdXI1xWQ8CIgdGtN5pEy61gPFmrdfFLhUI/edit?usp=drivesdk" TargetMode="External"/><Relationship Id="rId137" Type="http://schemas.openxmlformats.org/officeDocument/2006/relationships/hyperlink" Target="https://docs.google.com/spreadsheets/d/1hN3hItdW0NpfOJ1yDvsLaDD1aBVRKD5NMaC0KQUuYbo/edit?usp=drivesdk" TargetMode="External"/><Relationship Id="rId258" Type="http://schemas.openxmlformats.org/officeDocument/2006/relationships/hyperlink" Target="https://docs.google.com/spreadsheets/d/1F5fk_bdLARdXI1xWQ8CIgdGtN5pEy61gPFmrdfFLhUI/edit?usp=drivesdk" TargetMode="External"/><Relationship Id="rId379" Type="http://schemas.openxmlformats.org/officeDocument/2006/relationships/hyperlink" Target="https://docs.google.com/spreadsheets/d/114qL9q9rpFCj-sBxlvUXqjPy0Kb0gdUj7zyzZ2qhIx8/edit?usp=drivesdk" TargetMode="External"/><Relationship Id="rId132" Type="http://schemas.openxmlformats.org/officeDocument/2006/relationships/hyperlink" Target="https://docs.google.com/spreadsheets/d/1P5KNcHFtrx6KGmPZdc1IG1lh_usC0IvBt31oGrYtB7Q/edit?usp=drivesdk" TargetMode="External"/><Relationship Id="rId253" Type="http://schemas.openxmlformats.org/officeDocument/2006/relationships/hyperlink" Target="https://docs.google.com/spreadsheets/d/1ZuTdEetmdCXJLEyoiDQ_NzgGuDHfUNdiudRG39NFP8s/edit?usp=drivesdk" TargetMode="External"/><Relationship Id="rId374" Type="http://schemas.openxmlformats.org/officeDocument/2006/relationships/hyperlink" Target="https://docs.google.com/spreadsheets/d/1UPQKkD_QfNmOraZiAkatuM1lbJmiaahdLwVExYVJxGU/edit?usp=drivesdk" TargetMode="External"/><Relationship Id="rId495" Type="http://schemas.openxmlformats.org/officeDocument/2006/relationships/hyperlink" Target="https://docs.google.com/spreadsheets/d/1_Q6bNg85tqLtAt9BaiFIaKYY0WM6hXpZNylM_1BX4FE/edit?usp=drivesdk" TargetMode="External"/><Relationship Id="rId131" Type="http://schemas.openxmlformats.org/officeDocument/2006/relationships/hyperlink" Target="https://docs.google.com/spreadsheets/d/1mk0zVogfi3jc0ucoYu-NkAYXNMtXEjSLMt845-cfc7s/edit?usp=drivesdk" TargetMode="External"/><Relationship Id="rId252" Type="http://schemas.openxmlformats.org/officeDocument/2006/relationships/hyperlink" Target="https://docs.google.com/spreadsheets/d/1ZuTdEetmdCXJLEyoiDQ_NzgGuDHfUNdiudRG39NFP8s/edit?usp=drivesdk" TargetMode="External"/><Relationship Id="rId373" Type="http://schemas.openxmlformats.org/officeDocument/2006/relationships/hyperlink" Target="https://docs.google.com/spreadsheets/d/1GrC3YZqsyLmQUvvuVMAtHMDGSaB__lnoy4lCdK2iKqM/edit?usp=drivesdk" TargetMode="External"/><Relationship Id="rId494" Type="http://schemas.openxmlformats.org/officeDocument/2006/relationships/hyperlink" Target="https://docs.google.com/spreadsheets/d/1_Q6bNg85tqLtAt9BaiFIaKYY0WM6hXpZNylM_1BX4FE/edit?usp=drivesdk" TargetMode="External"/><Relationship Id="rId130" Type="http://schemas.openxmlformats.org/officeDocument/2006/relationships/hyperlink" Target="https://docs.google.com/spreadsheets/d/1mk0zVogfi3jc0ucoYu-NkAYXNMtXEjSLMt845-cfc7s/edit?usp=drivesdk" TargetMode="External"/><Relationship Id="rId251" Type="http://schemas.openxmlformats.org/officeDocument/2006/relationships/hyperlink" Target="https://docs.google.com/spreadsheets/d/13EbzXpB_E06FBm9Th490ybyhOGGPiRoy9rnQJUj9cd0/edit?usp=drivesdk" TargetMode="External"/><Relationship Id="rId372" Type="http://schemas.openxmlformats.org/officeDocument/2006/relationships/hyperlink" Target="https://docs.google.com/spreadsheets/d/1GrC3YZqsyLmQUvvuVMAtHMDGSaB__lnoy4lCdK2iKqM/edit?usp=drivesdk" TargetMode="External"/><Relationship Id="rId493" Type="http://schemas.openxmlformats.org/officeDocument/2006/relationships/hyperlink" Target="https://docs.google.com/spreadsheets/d/1CnE8fXllENMyl3cIySZkZTZZSy3htCNf7hxSHsihDvg/edit?usp=drivesdk" TargetMode="External"/><Relationship Id="rId250" Type="http://schemas.openxmlformats.org/officeDocument/2006/relationships/hyperlink" Target="https://docs.google.com/spreadsheets/d/13EbzXpB_E06FBm9Th490ybyhOGGPiRoy9rnQJUj9cd0/edit?usp=drivesdk" TargetMode="External"/><Relationship Id="rId371" Type="http://schemas.openxmlformats.org/officeDocument/2006/relationships/hyperlink" Target="https://docs.google.com/spreadsheets/d/1dbcURYbBweXpfzOGpOShYXm9EeLZzW2sRJOh6ezwVY4/edit?usp=drivesdk" TargetMode="External"/><Relationship Id="rId492" Type="http://schemas.openxmlformats.org/officeDocument/2006/relationships/hyperlink" Target="https://docs.google.com/spreadsheets/d/1CnE8fXllENMyl3cIySZkZTZZSy3htCNf7hxSHsihDvg/edit?usp=drivesdk" TargetMode="External"/><Relationship Id="rId136" Type="http://schemas.openxmlformats.org/officeDocument/2006/relationships/hyperlink" Target="https://docs.google.com/spreadsheets/d/1hN3hItdW0NpfOJ1yDvsLaDD1aBVRKD5NMaC0KQUuYbo/edit?usp=drivesdk" TargetMode="External"/><Relationship Id="rId257" Type="http://schemas.openxmlformats.org/officeDocument/2006/relationships/hyperlink" Target="https://docs.google.com/spreadsheets/d/16uIigsQGqw3nPTb_cetdstoxvmVLwBBiyorsD7AxddI/edit?usp=drivesdk" TargetMode="External"/><Relationship Id="rId378" Type="http://schemas.openxmlformats.org/officeDocument/2006/relationships/hyperlink" Target="https://docs.google.com/spreadsheets/d/114qL9q9rpFCj-sBxlvUXqjPy0Kb0gdUj7zyzZ2qhIx8/edit?usp=drivesdk" TargetMode="External"/><Relationship Id="rId499" Type="http://schemas.openxmlformats.org/officeDocument/2006/relationships/hyperlink" Target="https://docs.google.com/spreadsheets/d/1_D04yEAHMZAmJQEPSBSBXWro0ekIZvwvDA4k1_y1Sp0/edit?usp=drivesdk" TargetMode="External"/><Relationship Id="rId135" Type="http://schemas.openxmlformats.org/officeDocument/2006/relationships/hyperlink" Target="https://docs.google.com/spreadsheets/d/1We2ocJsszHm6q4ia5TLNhseM52Km6PWgtIOaefwYpME/edit?usp=drivesdk" TargetMode="External"/><Relationship Id="rId256" Type="http://schemas.openxmlformats.org/officeDocument/2006/relationships/hyperlink" Target="https://docs.google.com/spreadsheets/d/16uIigsQGqw3nPTb_cetdstoxvmVLwBBiyorsD7AxddI/edit?usp=drivesdk" TargetMode="External"/><Relationship Id="rId377" Type="http://schemas.openxmlformats.org/officeDocument/2006/relationships/hyperlink" Target="https://docs.google.com/spreadsheets/d/1Y_uTW9BzUT2wPT9S9swVCzPBLPX0xAVvr6JhMHRH6is/edit?usp=drivesdk" TargetMode="External"/><Relationship Id="rId498" Type="http://schemas.openxmlformats.org/officeDocument/2006/relationships/hyperlink" Target="https://docs.google.com/spreadsheets/d/1_D04yEAHMZAmJQEPSBSBXWro0ekIZvwvDA4k1_y1Sp0/edit?usp=drivesdk" TargetMode="External"/><Relationship Id="rId134" Type="http://schemas.openxmlformats.org/officeDocument/2006/relationships/hyperlink" Target="https://docs.google.com/spreadsheets/d/1We2ocJsszHm6q4ia5TLNhseM52Km6PWgtIOaefwYpME/edit?usp=drivesdk" TargetMode="External"/><Relationship Id="rId255" Type="http://schemas.openxmlformats.org/officeDocument/2006/relationships/hyperlink" Target="https://docs.google.com/spreadsheets/d/1k3qMzNlQUDO15n-NQH33IbQcs8XPlVfNAOXogGaxsDU/edit?usp=drivesdk" TargetMode="External"/><Relationship Id="rId376" Type="http://schemas.openxmlformats.org/officeDocument/2006/relationships/hyperlink" Target="https://docs.google.com/spreadsheets/d/1Y_uTW9BzUT2wPT9S9swVCzPBLPX0xAVvr6JhMHRH6is/edit?usp=drivesdk" TargetMode="External"/><Relationship Id="rId497" Type="http://schemas.openxmlformats.org/officeDocument/2006/relationships/hyperlink" Target="https://docs.google.com/spreadsheets/d/1N5jWrNVvBpcqmVv-pXGBhpUt7lnw665gUtQk-CRlZrM/edit?usp=drivesdk" TargetMode="External"/><Relationship Id="rId133" Type="http://schemas.openxmlformats.org/officeDocument/2006/relationships/hyperlink" Target="https://docs.google.com/spreadsheets/d/1P5KNcHFtrx6KGmPZdc1IG1lh_usC0IvBt31oGrYtB7Q/edit?usp=drivesdk" TargetMode="External"/><Relationship Id="rId254" Type="http://schemas.openxmlformats.org/officeDocument/2006/relationships/hyperlink" Target="https://docs.google.com/spreadsheets/d/1k3qMzNlQUDO15n-NQH33IbQcs8XPlVfNAOXogGaxsDU/edit?usp=drivesdk" TargetMode="External"/><Relationship Id="rId375" Type="http://schemas.openxmlformats.org/officeDocument/2006/relationships/hyperlink" Target="https://docs.google.com/spreadsheets/d/1UPQKkD_QfNmOraZiAkatuM1lbJmiaahdLwVExYVJxGU/edit?usp=drivesdk" TargetMode="External"/><Relationship Id="rId496" Type="http://schemas.openxmlformats.org/officeDocument/2006/relationships/hyperlink" Target="https://docs.google.com/spreadsheets/d/1N5jWrNVvBpcqmVv-pXGBhpUt7lnw665gUtQk-CRlZrM/edit?usp=drivesdk" TargetMode="External"/><Relationship Id="rId172" Type="http://schemas.openxmlformats.org/officeDocument/2006/relationships/hyperlink" Target="https://docs.google.com/spreadsheets/d/1TvA7mMfJNum0sOJc06BZxVE5cB3PEv4rsMeh5y1Gr9w/edit?usp=drivesdk" TargetMode="External"/><Relationship Id="rId293" Type="http://schemas.openxmlformats.org/officeDocument/2006/relationships/hyperlink" Target="https://docs.google.com/spreadsheets/d/1JO7io_m6O_3--LzNZsHUE_zw-IsO9b229rgmigTcFqY/edit?usp=drivesdk" TargetMode="External"/><Relationship Id="rId171" Type="http://schemas.openxmlformats.org/officeDocument/2006/relationships/hyperlink" Target="https://docs.google.com/spreadsheets/d/1nLJRf2Z8F90iF4jlIsFJnVinguoBHopVRb8e_YpVsAc/edit?usp=drivesdk" TargetMode="External"/><Relationship Id="rId292" Type="http://schemas.openxmlformats.org/officeDocument/2006/relationships/hyperlink" Target="https://docs.google.com/spreadsheets/d/1JO7io_m6O_3--LzNZsHUE_zw-IsO9b229rgmigTcFqY/edit?usp=drivesdk" TargetMode="External"/><Relationship Id="rId170" Type="http://schemas.openxmlformats.org/officeDocument/2006/relationships/hyperlink" Target="https://docs.google.com/spreadsheets/d/1nLJRf2Z8F90iF4jlIsFJnVinguoBHopVRb8e_YpVsAc/edit?usp=drivesdk" TargetMode="External"/><Relationship Id="rId291" Type="http://schemas.openxmlformats.org/officeDocument/2006/relationships/hyperlink" Target="https://docs.google.com/spreadsheets/d/1h7K6TOmG-HBnH1KmaSUl8vAehv5QMdDsP2uN2-kCh4M/edit?usp=drivesdk" TargetMode="External"/><Relationship Id="rId290" Type="http://schemas.openxmlformats.org/officeDocument/2006/relationships/hyperlink" Target="https://docs.google.com/spreadsheets/d/1h7K6TOmG-HBnH1KmaSUl8vAehv5QMdDsP2uN2-kCh4M/edit?usp=drivesdk" TargetMode="External"/><Relationship Id="rId165" Type="http://schemas.openxmlformats.org/officeDocument/2006/relationships/hyperlink" Target="https://docs.google.com/spreadsheets/d/1O1B8aVhNtUMoKt6PWykYJE19sRiQygEX13Kf7Us7Qko/edit?usp=drivesdk" TargetMode="External"/><Relationship Id="rId286" Type="http://schemas.openxmlformats.org/officeDocument/2006/relationships/hyperlink" Target="https://docs.google.com/spreadsheets/d/1wCKwnxzozi9dpy-k2J6o5sbSJePV3ol6mNko1svUAFY/edit?usp=drivesdk" TargetMode="External"/><Relationship Id="rId164" Type="http://schemas.openxmlformats.org/officeDocument/2006/relationships/hyperlink" Target="https://docs.google.com/spreadsheets/d/1O1B8aVhNtUMoKt6PWykYJE19sRiQygEX13Kf7Us7Qko/edit?usp=drivesdk" TargetMode="External"/><Relationship Id="rId285" Type="http://schemas.openxmlformats.org/officeDocument/2006/relationships/hyperlink" Target="https://docs.google.com/spreadsheets/d/1KGPD0ckPyl4Sz4KjXfxr-H3SaNj4waEhBXo75eYjByA/edit?usp=drivesdk" TargetMode="External"/><Relationship Id="rId163" Type="http://schemas.openxmlformats.org/officeDocument/2006/relationships/hyperlink" Target="https://docs.google.com/spreadsheets/d/1mFedsRQAhRRoXO8j5RJnRyDhKqAwc26QqY4sXeRnslM/edit?usp=drivesdk" TargetMode="External"/><Relationship Id="rId284" Type="http://schemas.openxmlformats.org/officeDocument/2006/relationships/hyperlink" Target="https://docs.google.com/spreadsheets/d/1KGPD0ckPyl4Sz4KjXfxr-H3SaNj4waEhBXo75eYjByA/edit?usp=drivesdk" TargetMode="External"/><Relationship Id="rId162" Type="http://schemas.openxmlformats.org/officeDocument/2006/relationships/hyperlink" Target="https://docs.google.com/spreadsheets/d/1mFedsRQAhRRoXO8j5RJnRyDhKqAwc26QqY4sXeRnslM/edit?usp=drivesdk" TargetMode="External"/><Relationship Id="rId283" Type="http://schemas.openxmlformats.org/officeDocument/2006/relationships/hyperlink" Target="https://docs.google.com/spreadsheets/d/1Bwluu5HaDZstGgn3PvVdrVfwSylyHUYnjvwYIMiG9bY/edit?usp=drivesdk" TargetMode="External"/><Relationship Id="rId169" Type="http://schemas.openxmlformats.org/officeDocument/2006/relationships/hyperlink" Target="https://docs.google.com/spreadsheets/d/1E7fpn_Uc0qzReeyof55TnCZRjvNWiqUrwGj_q6OF78s/edit?usp=drivesdk" TargetMode="External"/><Relationship Id="rId168" Type="http://schemas.openxmlformats.org/officeDocument/2006/relationships/hyperlink" Target="https://docs.google.com/spreadsheets/d/1E7fpn_Uc0qzReeyof55TnCZRjvNWiqUrwGj_q6OF78s/edit?usp=drivesdk" TargetMode="External"/><Relationship Id="rId289" Type="http://schemas.openxmlformats.org/officeDocument/2006/relationships/hyperlink" Target="https://docs.google.com/spreadsheets/d/1W7I7FdfUxdrKz-vO9XI1x_QKViqUSRudUmXR-inVfxc/edit?usp=drivesdk" TargetMode="External"/><Relationship Id="rId167" Type="http://schemas.openxmlformats.org/officeDocument/2006/relationships/hyperlink" Target="https://docs.google.com/spreadsheets/d/1JOiCPOiUMtXCX4W5C0RGyaQ81bub8WF4duMy0zRKIX4/edit?usp=drivesdk" TargetMode="External"/><Relationship Id="rId288" Type="http://schemas.openxmlformats.org/officeDocument/2006/relationships/hyperlink" Target="https://docs.google.com/spreadsheets/d/1W7I7FdfUxdrKz-vO9XI1x_QKViqUSRudUmXR-inVfxc/edit?usp=drivesdk" TargetMode="External"/><Relationship Id="rId166" Type="http://schemas.openxmlformats.org/officeDocument/2006/relationships/hyperlink" Target="https://docs.google.com/spreadsheets/d/1JOiCPOiUMtXCX4W5C0RGyaQ81bub8WF4duMy0zRKIX4/edit?usp=drivesdk" TargetMode="External"/><Relationship Id="rId287" Type="http://schemas.openxmlformats.org/officeDocument/2006/relationships/hyperlink" Target="https://docs.google.com/spreadsheets/d/1wCKwnxzozi9dpy-k2J6o5sbSJePV3ol6mNko1svUAFY/edit?usp=drivesdk" TargetMode="External"/><Relationship Id="rId161" Type="http://schemas.openxmlformats.org/officeDocument/2006/relationships/hyperlink" Target="https://docs.google.com/spreadsheets/d/1zGUgfdzL2tjjHtt02E1hRUnHM3tUaNfRVB6_RDePKVI/edit?usp=drivesdk" TargetMode="External"/><Relationship Id="rId282" Type="http://schemas.openxmlformats.org/officeDocument/2006/relationships/hyperlink" Target="https://docs.google.com/spreadsheets/d/1Bwluu5HaDZstGgn3PvVdrVfwSylyHUYnjvwYIMiG9bY/edit?usp=drivesdk" TargetMode="External"/><Relationship Id="rId160" Type="http://schemas.openxmlformats.org/officeDocument/2006/relationships/hyperlink" Target="https://docs.google.com/spreadsheets/d/1zGUgfdzL2tjjHtt02E1hRUnHM3tUaNfRVB6_RDePKVI/edit?usp=drivesdk" TargetMode="External"/><Relationship Id="rId281" Type="http://schemas.openxmlformats.org/officeDocument/2006/relationships/hyperlink" Target="https://docs.google.com/spreadsheets/d/1ZdVOKHYdfXqvCubhpE2vF9NiD3n_TTg98DmHY1GXqfA/edit?usp=drivesdk" TargetMode="External"/><Relationship Id="rId280" Type="http://schemas.openxmlformats.org/officeDocument/2006/relationships/hyperlink" Target="https://docs.google.com/spreadsheets/d/1ZdVOKHYdfXqvCubhpE2vF9NiD3n_TTg98DmHY1GXqfA/edit?usp=drivesdk" TargetMode="External"/><Relationship Id="rId159" Type="http://schemas.openxmlformats.org/officeDocument/2006/relationships/hyperlink" Target="https://docs.google.com/spreadsheets/d/1y-eP_CgDYrrblZ1hcE-vh_iPodCRqZgrrRRFaZBMn9w/edit?usp=drivesdk" TargetMode="External"/><Relationship Id="rId154" Type="http://schemas.openxmlformats.org/officeDocument/2006/relationships/hyperlink" Target="https://docs.google.com/spreadsheets/d/1ZyROoc54ZjBJNduBEcW0DTmPGQ39gvMkGuWaRvRlemg/edit?usp=drivesdk" TargetMode="External"/><Relationship Id="rId275" Type="http://schemas.openxmlformats.org/officeDocument/2006/relationships/hyperlink" Target="https://docs.google.com/spreadsheets/d/1vhb0dVjqcjeodXOCpA3HuUOK4tg1zHgDEB_0C9qJos8/edit?usp=drivesdk" TargetMode="External"/><Relationship Id="rId396" Type="http://schemas.openxmlformats.org/officeDocument/2006/relationships/hyperlink" Target="https://docs.google.com/spreadsheets/d/14wVeBP3O0GqAZx9HULd8WhenJBVDa9KaPoYCeWT14M4/edit?usp=drivesdk" TargetMode="External"/><Relationship Id="rId153" Type="http://schemas.openxmlformats.org/officeDocument/2006/relationships/hyperlink" Target="https://docs.google.com/spreadsheets/d/1EoUTdLpnmqyakiEpHN1E6LDAApIeEbTzff4DnV1au_M/edit?usp=drivesdk" TargetMode="External"/><Relationship Id="rId274" Type="http://schemas.openxmlformats.org/officeDocument/2006/relationships/hyperlink" Target="https://docs.google.com/spreadsheets/d/1vhb0dVjqcjeodXOCpA3HuUOK4tg1zHgDEB_0C9qJos8/edit?usp=drivesdk" TargetMode="External"/><Relationship Id="rId395" Type="http://schemas.openxmlformats.org/officeDocument/2006/relationships/hyperlink" Target="https://docs.google.com/spreadsheets/d/1eWv2VeK3MhFFzRBWy1nlHt9g5Vrkfav6Tl6RyLluU0U/edit?usp=drivesdk" TargetMode="External"/><Relationship Id="rId152" Type="http://schemas.openxmlformats.org/officeDocument/2006/relationships/hyperlink" Target="https://docs.google.com/spreadsheets/d/1EoUTdLpnmqyakiEpHN1E6LDAApIeEbTzff4DnV1au_M/edit?usp=drivesdk" TargetMode="External"/><Relationship Id="rId273" Type="http://schemas.openxmlformats.org/officeDocument/2006/relationships/hyperlink" Target="https://docs.google.com/spreadsheets/d/161tpbNo2hRXu1e0lC8tz8E9lAa7A8aLY5d008o86xFk/edit?usp=drivesdk" TargetMode="External"/><Relationship Id="rId394" Type="http://schemas.openxmlformats.org/officeDocument/2006/relationships/hyperlink" Target="https://docs.google.com/spreadsheets/d/1eWv2VeK3MhFFzRBWy1nlHt9g5Vrkfav6Tl6RyLluU0U/edit?usp=drivesdk" TargetMode="External"/><Relationship Id="rId151" Type="http://schemas.openxmlformats.org/officeDocument/2006/relationships/hyperlink" Target="https://docs.google.com/spreadsheets/d/1q3zJ1pUwPANDAfRWci582bPpXURUYGIZA0I7F1ULHl4/edit?usp=drivesdk" TargetMode="External"/><Relationship Id="rId272" Type="http://schemas.openxmlformats.org/officeDocument/2006/relationships/hyperlink" Target="https://docs.google.com/spreadsheets/d/161tpbNo2hRXu1e0lC8tz8E9lAa7A8aLY5d008o86xFk/edit?usp=drivesdk" TargetMode="External"/><Relationship Id="rId393" Type="http://schemas.openxmlformats.org/officeDocument/2006/relationships/hyperlink" Target="https://docs.google.com/spreadsheets/d/15UIgMJ7FZVcPjWGanugpCIqeTiDT9IKU41kKraOhyq4/edit?usp=drivesdk" TargetMode="External"/><Relationship Id="rId158" Type="http://schemas.openxmlformats.org/officeDocument/2006/relationships/hyperlink" Target="https://docs.google.com/spreadsheets/d/1y-eP_CgDYrrblZ1hcE-vh_iPodCRqZgrrRRFaZBMn9w/edit?usp=drivesdk" TargetMode="External"/><Relationship Id="rId279" Type="http://schemas.openxmlformats.org/officeDocument/2006/relationships/hyperlink" Target="https://docs.google.com/spreadsheets/d/1y12ZFPtycX8Ai7-zs45fjU8dXqvJP8Wfi08YTx7uJtY/edit?usp=drivesdk" TargetMode="External"/><Relationship Id="rId157" Type="http://schemas.openxmlformats.org/officeDocument/2006/relationships/hyperlink" Target="https://docs.google.com/spreadsheets/d/1-69dpX589lvU7gjZJny3-Rpng-aAwA7D1d2PebnM29Y/edit?usp=drivesdk" TargetMode="External"/><Relationship Id="rId278" Type="http://schemas.openxmlformats.org/officeDocument/2006/relationships/hyperlink" Target="https://docs.google.com/spreadsheets/d/1y12ZFPtycX8Ai7-zs45fjU8dXqvJP8Wfi08YTx7uJtY/edit?usp=drivesdk" TargetMode="External"/><Relationship Id="rId399" Type="http://schemas.openxmlformats.org/officeDocument/2006/relationships/hyperlink" Target="https://docs.google.com/spreadsheets/d/16SbEcWe1HjbmBnJZvqJ50_rk6WZ2WIipcUkv8UV2ML4/edit?usp=drivesdk" TargetMode="External"/><Relationship Id="rId156" Type="http://schemas.openxmlformats.org/officeDocument/2006/relationships/hyperlink" Target="https://docs.google.com/spreadsheets/d/1-69dpX589lvU7gjZJny3-Rpng-aAwA7D1d2PebnM29Y/edit?usp=drivesdk" TargetMode="External"/><Relationship Id="rId277" Type="http://schemas.openxmlformats.org/officeDocument/2006/relationships/hyperlink" Target="https://docs.google.com/spreadsheets/d/1DvWZur_sMnxVpPUzTOBy3pXfBDxse5Rz5cjSiAKRhyk/edit?usp=drivesdk" TargetMode="External"/><Relationship Id="rId398" Type="http://schemas.openxmlformats.org/officeDocument/2006/relationships/hyperlink" Target="https://docs.google.com/spreadsheets/d/16SbEcWe1HjbmBnJZvqJ50_rk6WZ2WIipcUkv8UV2ML4/edit?usp=drivesdk" TargetMode="External"/><Relationship Id="rId155" Type="http://schemas.openxmlformats.org/officeDocument/2006/relationships/hyperlink" Target="https://docs.google.com/spreadsheets/d/1ZyROoc54ZjBJNduBEcW0DTmPGQ39gvMkGuWaRvRlemg/edit?usp=drivesdk" TargetMode="External"/><Relationship Id="rId276" Type="http://schemas.openxmlformats.org/officeDocument/2006/relationships/hyperlink" Target="https://docs.google.com/spreadsheets/d/1DvWZur_sMnxVpPUzTOBy3pXfBDxse5Rz5cjSiAKRhyk/edit?usp=drivesdk" TargetMode="External"/><Relationship Id="rId397" Type="http://schemas.openxmlformats.org/officeDocument/2006/relationships/hyperlink" Target="https://docs.google.com/spreadsheets/d/14wVeBP3O0GqAZx9HULd8WhenJBVDa9KaPoYCeWT14M4/edit?usp=drivesdk" TargetMode="External"/><Relationship Id="rId40" Type="http://schemas.openxmlformats.org/officeDocument/2006/relationships/hyperlink" Target="https://docs.google.com/spreadsheets/d/1e1lY6XsQARKf30wlhjYBQ-G5u988KOSLJb6u5C1MHVw/edit?usp=sharing" TargetMode="External"/><Relationship Id="rId42" Type="http://schemas.openxmlformats.org/officeDocument/2006/relationships/hyperlink" Target="https://docs.google.com/spreadsheets/d/1xRp6qzDSjUg1D_K3j6oqfBfjTW0nSfka_X5R5-v_QOg/edit?usp=sharing" TargetMode="External"/><Relationship Id="rId41" Type="http://schemas.openxmlformats.org/officeDocument/2006/relationships/hyperlink" Target="https://docs.google.com/spreadsheets/d/11R7KSzaE_YJU_rwEGUI7pYuVhq6MjlbRdrMcnA6Xjvg/edit?usp=sharing" TargetMode="External"/><Relationship Id="rId44" Type="http://schemas.openxmlformats.org/officeDocument/2006/relationships/hyperlink" Target="https://docs.google.com/spreadsheets/d/1u0kzu4apgox2GkBFbkwrnCdjPaNwss3kSSChYf3FlPU/edit?usp=sharing" TargetMode="External"/><Relationship Id="rId43" Type="http://schemas.openxmlformats.org/officeDocument/2006/relationships/hyperlink" Target="https://docs.google.com/spreadsheets/d/1gXCjzSaiAfGMnCXBkl9KMMeqOdroBCkQuJhlbp-gAas/edit?usp=sharing" TargetMode="External"/><Relationship Id="rId46" Type="http://schemas.openxmlformats.org/officeDocument/2006/relationships/hyperlink" Target="https://docs.google.com/spreadsheets/d/1R85XEQ4nnr9VN8fA5m8yhke-4CmlVk_X8IpkzO0ouUM/edit?usp=sharing" TargetMode="External"/><Relationship Id="rId45" Type="http://schemas.openxmlformats.org/officeDocument/2006/relationships/hyperlink" Target="https://docs.google.com/spreadsheets/d/11BV5Jv-Spo2q1RFkCMgbeJEahex-142j5Y-zlImvj2M/edit?usp=sharing" TargetMode="External"/><Relationship Id="rId509" Type="http://schemas.openxmlformats.org/officeDocument/2006/relationships/hyperlink" Target="https://docs.google.com/spreadsheets/d/1mtwhrhkOuWn-sJJpZfWI2InH4-FaXEbD2Hdv6YxNuSU/edit?usp=drivesdk" TargetMode="External"/><Relationship Id="rId508" Type="http://schemas.openxmlformats.org/officeDocument/2006/relationships/hyperlink" Target="https://docs.google.com/spreadsheets/d/1mtwhrhkOuWn-sJJpZfWI2InH4-FaXEbD2Hdv6YxNuSU/edit?usp=drivesdk" TargetMode="External"/><Relationship Id="rId629" Type="http://schemas.openxmlformats.org/officeDocument/2006/relationships/hyperlink" Target="https://docs.google.com/spreadsheets/d/17QXHxxrIvq3sITiMsaUfNJEkXKZYU1Eis8BdJIbb6T4/edit?usp=drivesdk" TargetMode="External"/><Relationship Id="rId503" Type="http://schemas.openxmlformats.org/officeDocument/2006/relationships/hyperlink" Target="https://docs.google.com/spreadsheets/d/1PRql7LMeDC1viXUksJE67tcowjnDBABD_u3IMdNcPqM/edit?usp=drivesdk" TargetMode="External"/><Relationship Id="rId624" Type="http://schemas.openxmlformats.org/officeDocument/2006/relationships/hyperlink" Target="https://docs.google.com/spreadsheets/d/1FwQcggK7W0IY8QPhFYkJt7EU0DntihM8qGWDyHaySWk/edit?usp=drivesdk" TargetMode="External"/><Relationship Id="rId502" Type="http://schemas.openxmlformats.org/officeDocument/2006/relationships/hyperlink" Target="https://docs.google.com/spreadsheets/d/1PRql7LMeDC1viXUksJE67tcowjnDBABD_u3IMdNcPqM/edit?usp=drivesdk" TargetMode="External"/><Relationship Id="rId623" Type="http://schemas.openxmlformats.org/officeDocument/2006/relationships/hyperlink" Target="https://docs.google.com/spreadsheets/d/1sgRWt7f5CmMeSxFkbYYfpM0Td7fLSOgqw-mrrMHJNpQ/edit?usp=drivesdk" TargetMode="External"/><Relationship Id="rId501" Type="http://schemas.openxmlformats.org/officeDocument/2006/relationships/hyperlink" Target="https://docs.google.com/spreadsheets/d/1VLsw2KJRNPNxEM-6ubKX2mw9y4bv8H6CWPUxGAlF5Ks/edit?usp=drivesdk" TargetMode="External"/><Relationship Id="rId622" Type="http://schemas.openxmlformats.org/officeDocument/2006/relationships/hyperlink" Target="https://docs.google.com/spreadsheets/d/1sgRWt7f5CmMeSxFkbYYfpM0Td7fLSOgqw-mrrMHJNpQ/edit?usp=drivesdk" TargetMode="External"/><Relationship Id="rId500" Type="http://schemas.openxmlformats.org/officeDocument/2006/relationships/hyperlink" Target="https://docs.google.com/spreadsheets/d/1VLsw2KJRNPNxEM-6ubKX2mw9y4bv8H6CWPUxGAlF5Ks/edit?usp=drivesdk" TargetMode="External"/><Relationship Id="rId621" Type="http://schemas.openxmlformats.org/officeDocument/2006/relationships/hyperlink" Target="https://docs.google.com/spreadsheets/d/1FHEPkj--kgcktqxbKZt-LVvOiDtcSf7sl-WwVbe03ts/edit?usp=drivesdk" TargetMode="External"/><Relationship Id="rId507" Type="http://schemas.openxmlformats.org/officeDocument/2006/relationships/hyperlink" Target="https://docs.google.com/spreadsheets/d/1Ts9eLNObJ1uU7YmhrC7leS6haMUmNEW9vQfA-UDgqWg/edit?usp=drivesdk" TargetMode="External"/><Relationship Id="rId628" Type="http://schemas.openxmlformats.org/officeDocument/2006/relationships/hyperlink" Target="https://docs.google.com/spreadsheets/d/17QXHxxrIvq3sITiMsaUfNJEkXKZYU1Eis8BdJIbb6T4/edit?usp=drivesdk" TargetMode="External"/><Relationship Id="rId506" Type="http://schemas.openxmlformats.org/officeDocument/2006/relationships/hyperlink" Target="https://docs.google.com/spreadsheets/d/1Ts9eLNObJ1uU7YmhrC7leS6haMUmNEW9vQfA-UDgqWg/edit?usp=drivesdk" TargetMode="External"/><Relationship Id="rId627" Type="http://schemas.openxmlformats.org/officeDocument/2006/relationships/hyperlink" Target="https://docs.google.com/spreadsheets/d/1HX1AYSYpoR7Je__bsRXAUDgbvb-6sGrJCKqPU4eVh5o/edit?usp=drivesdk" TargetMode="External"/><Relationship Id="rId505" Type="http://schemas.openxmlformats.org/officeDocument/2006/relationships/hyperlink" Target="https://docs.google.com/spreadsheets/d/1eF_SLic2B6uNfnm_lDkiLVGmCEaLuyTocuX6PlQ6AlI/edit?usp=drivesdk" TargetMode="External"/><Relationship Id="rId626" Type="http://schemas.openxmlformats.org/officeDocument/2006/relationships/hyperlink" Target="https://docs.google.com/spreadsheets/d/1HX1AYSYpoR7Je__bsRXAUDgbvb-6sGrJCKqPU4eVh5o/edit?usp=drivesdk" TargetMode="External"/><Relationship Id="rId504" Type="http://schemas.openxmlformats.org/officeDocument/2006/relationships/hyperlink" Target="https://docs.google.com/spreadsheets/d/1eF_SLic2B6uNfnm_lDkiLVGmCEaLuyTocuX6PlQ6AlI/edit?usp=drivesdk" TargetMode="External"/><Relationship Id="rId625" Type="http://schemas.openxmlformats.org/officeDocument/2006/relationships/hyperlink" Target="https://docs.google.com/spreadsheets/d/1FwQcggK7W0IY8QPhFYkJt7EU0DntihM8qGWDyHaySWk/edit?usp=drivesdk" TargetMode="External"/><Relationship Id="rId48" Type="http://schemas.openxmlformats.org/officeDocument/2006/relationships/hyperlink" Target="https://docs.google.com/spreadsheets/d/15KMmP1Vjl732i7j7OxuUchlhKrP5yvETS1EfwxmRccM/edit?usp=sharing" TargetMode="External"/><Relationship Id="rId47" Type="http://schemas.openxmlformats.org/officeDocument/2006/relationships/hyperlink" Target="https://docs.google.com/spreadsheets/d/1a6Tk_MRSk4HpAHc9W9T0D5DwDGx8b9-zeKxgeOFKgB8/edit?usp=sharing" TargetMode="External"/><Relationship Id="rId49" Type="http://schemas.openxmlformats.org/officeDocument/2006/relationships/hyperlink" Target="https://docs.google.com/spreadsheets/d/1CQ2t-B8fqf_DsTpo-v5lWuNbCkoLhhiwyqGfPJtJZpY/edit?usp=sharing" TargetMode="External"/><Relationship Id="rId620" Type="http://schemas.openxmlformats.org/officeDocument/2006/relationships/hyperlink" Target="https://docs.google.com/spreadsheets/d/1FHEPkj--kgcktqxbKZt-LVvOiDtcSf7sl-WwVbe03ts/edit?usp=drivesdk" TargetMode="External"/><Relationship Id="rId31" Type="http://schemas.openxmlformats.org/officeDocument/2006/relationships/hyperlink" Target="https://docs.google.com/spreadsheets/d/1YK_28C1m0nRBNIRPNebFDEXL4L8_pXYCUefhkwCQ_gI/edit?usp=sharing" TargetMode="External"/><Relationship Id="rId30" Type="http://schemas.openxmlformats.org/officeDocument/2006/relationships/hyperlink" Target="https://docs.google.com/spreadsheets/d/1vQuuIZwiVuo_vwGad5YtcZTekXnT84YcD3HD8zGWftg/edit?usp=sharing" TargetMode="External"/><Relationship Id="rId33" Type="http://schemas.openxmlformats.org/officeDocument/2006/relationships/hyperlink" Target="https://docs.google.com/spreadsheets/d/1qq6jtdLCSg-D-yDdatH-PBcqV_JJ_6NHSk7hSMR8RG4/edit?usp=sharing" TargetMode="External"/><Relationship Id="rId32" Type="http://schemas.openxmlformats.org/officeDocument/2006/relationships/hyperlink" Target="https://docs.google.com/spreadsheets/d/15boojvjooVV4VFyQrUsITmvusysXOSDYw0wO_Rnfrzg/edit?usp=sharing" TargetMode="External"/><Relationship Id="rId35" Type="http://schemas.openxmlformats.org/officeDocument/2006/relationships/hyperlink" Target="https://docs.google.com/spreadsheets/d/1BGi5gwoGHzU7JwtqlAd_LIVBLMkzBAH59ygY2U3ZrkU/edit?usp=sharing" TargetMode="External"/><Relationship Id="rId34" Type="http://schemas.openxmlformats.org/officeDocument/2006/relationships/hyperlink" Target="https://docs.google.com/spreadsheets/d/1BCqBK2K3gxxrUb0WlEDsRwXFiAwAJIOilTnkz_i8OQo/edit?usp=sharing" TargetMode="External"/><Relationship Id="rId619" Type="http://schemas.openxmlformats.org/officeDocument/2006/relationships/hyperlink" Target="https://docs.google.com/spreadsheets/d/1CcVDaglKqc3HhA2Fulj4LvjWn3SmVWRRk8hJ-G4bX4c/edit?usp=drivesdk" TargetMode="External"/><Relationship Id="rId618" Type="http://schemas.openxmlformats.org/officeDocument/2006/relationships/hyperlink" Target="https://docs.google.com/spreadsheets/d/1CcVDaglKqc3HhA2Fulj4LvjWn3SmVWRRk8hJ-G4bX4c/edit?usp=drivesdk" TargetMode="External"/><Relationship Id="rId613" Type="http://schemas.openxmlformats.org/officeDocument/2006/relationships/hyperlink" Target="https://docs.google.com/spreadsheets/d/1JK82v-0PuSb1EqodVpqCUKXiWsbW3oUSu--7ryqgD8U/edit?usp=drivesdk" TargetMode="External"/><Relationship Id="rId612" Type="http://schemas.openxmlformats.org/officeDocument/2006/relationships/hyperlink" Target="https://docs.google.com/spreadsheets/d/1JK82v-0PuSb1EqodVpqCUKXiWsbW3oUSu--7ryqgD8U/edit?usp=drivesdk" TargetMode="External"/><Relationship Id="rId611" Type="http://schemas.openxmlformats.org/officeDocument/2006/relationships/hyperlink" Target="https://docs.google.com/spreadsheets/d/15MZyOoHxntCgda-AsOX1FeMh0VW7UfAYmeC7GQ1GlJQ/edit?usp=drivesdk" TargetMode="External"/><Relationship Id="rId610" Type="http://schemas.openxmlformats.org/officeDocument/2006/relationships/hyperlink" Target="https://docs.google.com/spreadsheets/d/15MZyOoHxntCgda-AsOX1FeMh0VW7UfAYmeC7GQ1GlJQ/edit?usp=drivesdk" TargetMode="External"/><Relationship Id="rId617" Type="http://schemas.openxmlformats.org/officeDocument/2006/relationships/hyperlink" Target="https://docs.google.com/spreadsheets/d/1Ft9sL9A0KB7P6joJnPL6-kCEK_VO9esm6Rs5bIOdMH8/edit?usp=drivesdk" TargetMode="External"/><Relationship Id="rId616" Type="http://schemas.openxmlformats.org/officeDocument/2006/relationships/hyperlink" Target="https://docs.google.com/spreadsheets/d/1Ft9sL9A0KB7P6joJnPL6-kCEK_VO9esm6Rs5bIOdMH8/edit?usp=drivesdk" TargetMode="External"/><Relationship Id="rId615" Type="http://schemas.openxmlformats.org/officeDocument/2006/relationships/hyperlink" Target="https://docs.google.com/spreadsheets/d/16wGO1JedQTDCGsloMFZ6RR6xSImkuq8Tp4LnNmvrJVY/edit?usp=drivesdk" TargetMode="External"/><Relationship Id="rId614" Type="http://schemas.openxmlformats.org/officeDocument/2006/relationships/hyperlink" Target="https://docs.google.com/spreadsheets/d/16wGO1JedQTDCGsloMFZ6RR6xSImkuq8Tp4LnNmvrJVY/edit?usp=drivesdk" TargetMode="External"/><Relationship Id="rId37" Type="http://schemas.openxmlformats.org/officeDocument/2006/relationships/hyperlink" Target="https://docs.google.com/spreadsheets/d/1hqnZ7IVkf_s4mQ4AX1qb6U5f5WfKQTgQalSP5CEd8iI/edit?usp=sharing" TargetMode="External"/><Relationship Id="rId36" Type="http://schemas.openxmlformats.org/officeDocument/2006/relationships/hyperlink" Target="https://docs.google.com/spreadsheets/d/1yiNj2-Ymiuphg4xlKWzn4dBQ12E-Ob12O9SSTCZr6-I/edit?usp=sharing" TargetMode="External"/><Relationship Id="rId39" Type="http://schemas.openxmlformats.org/officeDocument/2006/relationships/hyperlink" Target="https://docs.google.com/spreadsheets/d/1-iRZJMDY2jhNLC-9LzZnBvaRhvUDN8l90aS9dU1DUPw/edit?usp=sharing" TargetMode="External"/><Relationship Id="rId38" Type="http://schemas.openxmlformats.org/officeDocument/2006/relationships/hyperlink" Target="https://docs.google.com/spreadsheets/d/1rWOPtD8a_jjsRLmFIdVPerNxT-GpZbudk3qpQFQmTmE/edit?usp=sharing" TargetMode="External"/><Relationship Id="rId20" Type="http://schemas.openxmlformats.org/officeDocument/2006/relationships/hyperlink" Target="https://docs.google.com/spreadsheets/d/1cJjgqBD_KkCXTCkikv7nSsVMZMtT5WjW9zJOLvRlZF4/edit?usp=sharing" TargetMode="External"/><Relationship Id="rId22" Type="http://schemas.openxmlformats.org/officeDocument/2006/relationships/hyperlink" Target="https://docs.google.com/spreadsheets/d/1H8CDutZuSwBJQL7Ij82yUaTi38M7ixOnL7jmEs9blLc/edit?usp=sharing" TargetMode="External"/><Relationship Id="rId21" Type="http://schemas.openxmlformats.org/officeDocument/2006/relationships/hyperlink" Target="https://docs.google.com/spreadsheets/d/19k0sG4HykUDbUujqM9tmTI7XV1RmbGFxjLfKbfRf-mU/edit?usp=sharing" TargetMode="External"/><Relationship Id="rId24" Type="http://schemas.openxmlformats.org/officeDocument/2006/relationships/hyperlink" Target="https://docs.google.com/spreadsheets/d/1bqo7WKTJpYGI85uCdvH4IezUjaVIvT8G8ZF7-rwLkYw/edit?usp=sharing" TargetMode="External"/><Relationship Id="rId23" Type="http://schemas.openxmlformats.org/officeDocument/2006/relationships/hyperlink" Target="https://docs.google.com/spreadsheets/d/1cWTc76KPGr2xS_GdjubSWcTXaTc4-FzF2p5wYasBXPM/edit?usp=sharing" TargetMode="External"/><Relationship Id="rId409" Type="http://schemas.openxmlformats.org/officeDocument/2006/relationships/hyperlink" Target="https://docs.google.com/spreadsheets/d/1MDWvchb_ULyNbuaN0FOFqbvHVsyyQIp9Nnj4NhpNvhg/edit?usp=drivesdk" TargetMode="External"/><Relationship Id="rId404" Type="http://schemas.openxmlformats.org/officeDocument/2006/relationships/hyperlink" Target="https://docs.google.com/spreadsheets/d/1F7MQ-qI8usvB7ct-3AQ6glzZAnIXoVZPq57XhM0vCJE/edit?usp=drivesdk" TargetMode="External"/><Relationship Id="rId525" Type="http://schemas.openxmlformats.org/officeDocument/2006/relationships/hyperlink" Target="https://docs.google.com/spreadsheets/d/1nNH2uJEKobfh71s4ovX5675_hZ7U3y9_TubgqhevWnI/edit?usp=drivesdk" TargetMode="External"/><Relationship Id="rId646" Type="http://schemas.openxmlformats.org/officeDocument/2006/relationships/hyperlink" Target="https://docs.google.com/spreadsheets/d/1v5y3AWFCFE1eMlaezyrGNEXYCByGhiWBQiXz_wjawis/edit?usp=drivesdk" TargetMode="External"/><Relationship Id="rId403" Type="http://schemas.openxmlformats.org/officeDocument/2006/relationships/hyperlink" Target="https://docs.google.com/spreadsheets/d/1A5lWGSn4XWwEZ0tGjaXP8aSFQakk9cb6-gOKWMpA0BY/edit?usp=drivesdk" TargetMode="External"/><Relationship Id="rId524" Type="http://schemas.openxmlformats.org/officeDocument/2006/relationships/hyperlink" Target="https://docs.google.com/spreadsheets/d/1nNH2uJEKobfh71s4ovX5675_hZ7U3y9_TubgqhevWnI/edit?usp=drivesdk" TargetMode="External"/><Relationship Id="rId645" Type="http://schemas.openxmlformats.org/officeDocument/2006/relationships/hyperlink" Target="https://docs.google.com/spreadsheets/d/12rbstDtGDh0WoKg6H2YCzPuns4evhJzm0GzUPcXsdUs/edit?usp=drivesdk" TargetMode="External"/><Relationship Id="rId402" Type="http://schemas.openxmlformats.org/officeDocument/2006/relationships/hyperlink" Target="https://docs.google.com/spreadsheets/d/1A5lWGSn4XWwEZ0tGjaXP8aSFQakk9cb6-gOKWMpA0BY/edit?usp=drivesdk" TargetMode="External"/><Relationship Id="rId523" Type="http://schemas.openxmlformats.org/officeDocument/2006/relationships/hyperlink" Target="https://docs.google.com/spreadsheets/d/1YEwI-2Vh9oDCm7r0H7KWc_XsWk-pWJ2nKNvjHoOGU-g/edit?usp=drivesdk" TargetMode="External"/><Relationship Id="rId644" Type="http://schemas.openxmlformats.org/officeDocument/2006/relationships/hyperlink" Target="https://docs.google.com/spreadsheets/d/12rbstDtGDh0WoKg6H2YCzPuns4evhJzm0GzUPcXsdUs/edit?usp=drivesdk" TargetMode="External"/><Relationship Id="rId401" Type="http://schemas.openxmlformats.org/officeDocument/2006/relationships/hyperlink" Target="https://docs.google.com/spreadsheets/d/1EfGT9hAJAPNDpAEAIFzYcoz58fbTWW4GYvLI0FJsXkc/edit?usp=drivesdk" TargetMode="External"/><Relationship Id="rId522" Type="http://schemas.openxmlformats.org/officeDocument/2006/relationships/hyperlink" Target="https://docs.google.com/spreadsheets/d/1YEwI-2Vh9oDCm7r0H7KWc_XsWk-pWJ2nKNvjHoOGU-g/edit?usp=drivesdk" TargetMode="External"/><Relationship Id="rId643" Type="http://schemas.openxmlformats.org/officeDocument/2006/relationships/hyperlink" Target="https://docs.google.com/spreadsheets/d/1W78wjQ7dNbMaEUkPj51x3a1QrGyXe0ze-KoGFvG-5vc/edit?usp=drivesdk" TargetMode="External"/><Relationship Id="rId408" Type="http://schemas.openxmlformats.org/officeDocument/2006/relationships/hyperlink" Target="https://docs.google.com/spreadsheets/d/1MDWvchb_ULyNbuaN0FOFqbvHVsyyQIp9Nnj4NhpNvhg/edit?usp=drivesdk" TargetMode="External"/><Relationship Id="rId529" Type="http://schemas.openxmlformats.org/officeDocument/2006/relationships/hyperlink" Target="https://docs.google.com/spreadsheets/d/1H8zY3Y6qtIE_KnCvcfWYYXywtOytzSr89W9x-UpykmA/edit?usp=drivesdk" TargetMode="External"/><Relationship Id="rId407" Type="http://schemas.openxmlformats.org/officeDocument/2006/relationships/hyperlink" Target="https://docs.google.com/spreadsheets/d/1aVNX3xa9IgBqaMksVquchKrUlIJVyyqauhssxv7CdvY/edit?usp=drivesdk" TargetMode="External"/><Relationship Id="rId528" Type="http://schemas.openxmlformats.org/officeDocument/2006/relationships/hyperlink" Target="https://docs.google.com/spreadsheets/d/1H8zY3Y6qtIE_KnCvcfWYYXywtOytzSr89W9x-UpykmA/edit?usp=drivesdk" TargetMode="External"/><Relationship Id="rId649" Type="http://schemas.openxmlformats.org/officeDocument/2006/relationships/hyperlink" Target="https://docs.google.com/spreadsheets/d/1odMYEfoQjtb3T-gPTvDdz84yQ1DjmsI5UVROqSoKOdo/edit?usp=drivesdk" TargetMode="External"/><Relationship Id="rId406" Type="http://schemas.openxmlformats.org/officeDocument/2006/relationships/hyperlink" Target="https://docs.google.com/spreadsheets/d/1aVNX3xa9IgBqaMksVquchKrUlIJVyyqauhssxv7CdvY/edit?usp=drivesdk" TargetMode="External"/><Relationship Id="rId527" Type="http://schemas.openxmlformats.org/officeDocument/2006/relationships/hyperlink" Target="https://docs.google.com/spreadsheets/d/12REPYOJnmmnWVd28e72rY3BehlHxUuDqK2IkFRlMv2c/edit?usp=drivesdk" TargetMode="External"/><Relationship Id="rId648" Type="http://schemas.openxmlformats.org/officeDocument/2006/relationships/hyperlink" Target="https://docs.google.com/spreadsheets/d/1odMYEfoQjtb3T-gPTvDdz84yQ1DjmsI5UVROqSoKOdo/edit?usp=drivesdk" TargetMode="External"/><Relationship Id="rId405" Type="http://schemas.openxmlformats.org/officeDocument/2006/relationships/hyperlink" Target="https://docs.google.com/spreadsheets/d/1F7MQ-qI8usvB7ct-3AQ6glzZAnIXoVZPq57XhM0vCJE/edit?usp=drivesdk" TargetMode="External"/><Relationship Id="rId526" Type="http://schemas.openxmlformats.org/officeDocument/2006/relationships/hyperlink" Target="https://docs.google.com/spreadsheets/d/12REPYOJnmmnWVd28e72rY3BehlHxUuDqK2IkFRlMv2c/edit?usp=drivesdk" TargetMode="External"/><Relationship Id="rId647" Type="http://schemas.openxmlformats.org/officeDocument/2006/relationships/hyperlink" Target="https://docs.google.com/spreadsheets/d/1v5y3AWFCFE1eMlaezyrGNEXYCByGhiWBQiXz_wjawis/edit?usp=drivesdk" TargetMode="External"/><Relationship Id="rId26" Type="http://schemas.openxmlformats.org/officeDocument/2006/relationships/hyperlink" Target="https://docs.google.com/spreadsheets/d/1hKrCEAzoTKTpo2TJOteO_k-1X55bw6gAMpPJLR7MxC4/edit?usp=sharing" TargetMode="External"/><Relationship Id="rId25" Type="http://schemas.openxmlformats.org/officeDocument/2006/relationships/hyperlink" Target="https://docs.google.com/spreadsheets/d/1kJ_uMQ9VHv2H9yC6dluK8Rhf-tosG1cUU7hiiVxO9co/edit?usp=sharing" TargetMode="External"/><Relationship Id="rId28" Type="http://schemas.openxmlformats.org/officeDocument/2006/relationships/hyperlink" Target="https://docs.google.com/spreadsheets/d/1BcRBMxCxyYu527WttL51tzsZ5yO7Xm4vj21UuAy9Uls/edit?usp=sharing" TargetMode="External"/><Relationship Id="rId27" Type="http://schemas.openxmlformats.org/officeDocument/2006/relationships/hyperlink" Target="https://docs.google.com/spreadsheets/d/1r7mRQFP35VAu1U8z4kQLJU0UGMx_kJqsHhcF3iIHAT4/edit?usp=sharing" TargetMode="External"/><Relationship Id="rId400" Type="http://schemas.openxmlformats.org/officeDocument/2006/relationships/hyperlink" Target="https://docs.google.com/spreadsheets/d/1EfGT9hAJAPNDpAEAIFzYcoz58fbTWW4GYvLI0FJsXkc/edit?usp=drivesdk" TargetMode="External"/><Relationship Id="rId521" Type="http://schemas.openxmlformats.org/officeDocument/2006/relationships/hyperlink" Target="https://docs.google.com/spreadsheets/d/1DpvsIX_AoIRkRVe6rd3MMLvtMPNcdywTv7LSkojEetI/edit?usp=drivesdk" TargetMode="External"/><Relationship Id="rId642" Type="http://schemas.openxmlformats.org/officeDocument/2006/relationships/hyperlink" Target="https://docs.google.com/spreadsheets/d/1W78wjQ7dNbMaEUkPj51x3a1QrGyXe0ze-KoGFvG-5vc/edit?usp=drivesdk" TargetMode="External"/><Relationship Id="rId29" Type="http://schemas.openxmlformats.org/officeDocument/2006/relationships/hyperlink" Target="https://docs.google.com/spreadsheets/d/1m2JjeoIcDUz86henY3q_VRtpcBqxjMjXGImprwPPxho/edit?usp=sharing" TargetMode="External"/><Relationship Id="rId520" Type="http://schemas.openxmlformats.org/officeDocument/2006/relationships/hyperlink" Target="https://docs.google.com/spreadsheets/d/1DpvsIX_AoIRkRVe6rd3MMLvtMPNcdywTv7LSkojEetI/edit?usp=drivesdk" TargetMode="External"/><Relationship Id="rId641" Type="http://schemas.openxmlformats.org/officeDocument/2006/relationships/hyperlink" Target="https://docs.google.com/spreadsheets/d/1kTSJtYmCx-g7v8lV192MP1kr7fGa5CAeYCkKfm8-aps/edit?usp=drivesdk" TargetMode="External"/><Relationship Id="rId640" Type="http://schemas.openxmlformats.org/officeDocument/2006/relationships/hyperlink" Target="https://docs.google.com/spreadsheets/d/1kTSJtYmCx-g7v8lV192MP1kr7fGa5CAeYCkKfm8-aps/edit?usp=drivesdk" TargetMode="External"/><Relationship Id="rId11" Type="http://schemas.openxmlformats.org/officeDocument/2006/relationships/hyperlink" Target="https://docs.google.com/spreadsheets/d/14PQ7mttPlhjsBUzVSgUMWCZGjOvkvwAiR2r7ofBp7C0/edit?usp=sharing" TargetMode="External"/><Relationship Id="rId10" Type="http://schemas.openxmlformats.org/officeDocument/2006/relationships/hyperlink" Target="https://docs.google.com/spreadsheets/d/16OLl_KrxSpoZlECZYDzGPEGkrIrKT7G4f-CeIw6jHV4/edit?usp=sharing" TargetMode="External"/><Relationship Id="rId13" Type="http://schemas.openxmlformats.org/officeDocument/2006/relationships/hyperlink" Target="https://docs.google.com/spreadsheets/d/1PrU2KOmWsjcGVk9fBwY2O2QDhWaNsUQHbPDw_RPObvs/edit?usp=sharing" TargetMode="External"/><Relationship Id="rId12" Type="http://schemas.openxmlformats.org/officeDocument/2006/relationships/hyperlink" Target="https://docs.google.com/spreadsheets/d/157bIFpcMK067vplcy2MB0JYnEtcG7gM6Icj8cpAxIBM/edit?usp=sharing" TargetMode="External"/><Relationship Id="rId519" Type="http://schemas.openxmlformats.org/officeDocument/2006/relationships/hyperlink" Target="https://docs.google.com/spreadsheets/d/1DU8fGq8IGd0N6niRsvIKecLbq_ZtONLE7TOCeM2-JIY/edit?usp=drivesdk" TargetMode="External"/><Relationship Id="rId514" Type="http://schemas.openxmlformats.org/officeDocument/2006/relationships/hyperlink" Target="https://docs.google.com/spreadsheets/d/1Rr8QotvrVvCIGwVaFWeJxU18QzWlCfU9a9OaHIovNpI/edit?usp=drivesdk" TargetMode="External"/><Relationship Id="rId635" Type="http://schemas.openxmlformats.org/officeDocument/2006/relationships/hyperlink" Target="https://docs.google.com/spreadsheets/d/1nUcDQCktOtI0rPFx-EFOlKGRVKmaFoMFgfTKG9MclXc/edit?usp=drivesdk" TargetMode="External"/><Relationship Id="rId513" Type="http://schemas.openxmlformats.org/officeDocument/2006/relationships/hyperlink" Target="https://docs.google.com/spreadsheets/d/1VaF7U5XEW0pCj-w6tW7LWqvba20WhkcDtCFdaDAWu1I/edit?usp=drivesdk" TargetMode="External"/><Relationship Id="rId634" Type="http://schemas.openxmlformats.org/officeDocument/2006/relationships/hyperlink" Target="https://docs.google.com/spreadsheets/d/1nUcDQCktOtI0rPFx-EFOlKGRVKmaFoMFgfTKG9MclXc/edit?usp=drivesdk" TargetMode="External"/><Relationship Id="rId512" Type="http://schemas.openxmlformats.org/officeDocument/2006/relationships/hyperlink" Target="https://docs.google.com/spreadsheets/d/1VaF7U5XEW0pCj-w6tW7LWqvba20WhkcDtCFdaDAWu1I/edit?usp=drivesdk" TargetMode="External"/><Relationship Id="rId633" Type="http://schemas.openxmlformats.org/officeDocument/2006/relationships/hyperlink" Target="https://docs.google.com/spreadsheets/d/1R2i0q8-tkZ5N5V1Q2oG3fXf6TrZcQthwwafkrg0HASI/edit?usp=drivesdk" TargetMode="External"/><Relationship Id="rId511" Type="http://schemas.openxmlformats.org/officeDocument/2006/relationships/hyperlink" Target="https://docs.google.com/spreadsheets/d/1tI2kDCjrrm4G4kjELasYZsScgDoi_sOI4LXzLVZz1cI/edit?usp=drivesdk" TargetMode="External"/><Relationship Id="rId632" Type="http://schemas.openxmlformats.org/officeDocument/2006/relationships/hyperlink" Target="https://docs.google.com/spreadsheets/d/1R2i0q8-tkZ5N5V1Q2oG3fXf6TrZcQthwwafkrg0HASI/edit?usp=drivesdk" TargetMode="External"/><Relationship Id="rId518" Type="http://schemas.openxmlformats.org/officeDocument/2006/relationships/hyperlink" Target="https://docs.google.com/spreadsheets/d/1DU8fGq8IGd0N6niRsvIKecLbq_ZtONLE7TOCeM2-JIY/edit?usp=drivesdk" TargetMode="External"/><Relationship Id="rId639" Type="http://schemas.openxmlformats.org/officeDocument/2006/relationships/hyperlink" Target="https://docs.google.com/spreadsheets/d/11OvwPCWHobg9K3June-HsTuWBkvAESgRXHhwgpUzXog/edit?usp=drivesdk" TargetMode="External"/><Relationship Id="rId517" Type="http://schemas.openxmlformats.org/officeDocument/2006/relationships/hyperlink" Target="https://docs.google.com/spreadsheets/d/19wxZcyUN8gQ4LDZenwo8V1RA_q21RWQu6tmaefO3qJ0/edit?usp=drivesdk" TargetMode="External"/><Relationship Id="rId638" Type="http://schemas.openxmlformats.org/officeDocument/2006/relationships/hyperlink" Target="https://docs.google.com/spreadsheets/d/11OvwPCWHobg9K3June-HsTuWBkvAESgRXHhwgpUzXog/edit?usp=drivesdk" TargetMode="External"/><Relationship Id="rId516" Type="http://schemas.openxmlformats.org/officeDocument/2006/relationships/hyperlink" Target="https://docs.google.com/spreadsheets/d/19wxZcyUN8gQ4LDZenwo8V1RA_q21RWQu6tmaefO3qJ0/edit?usp=drivesdk" TargetMode="External"/><Relationship Id="rId637" Type="http://schemas.openxmlformats.org/officeDocument/2006/relationships/hyperlink" Target="https://docs.google.com/spreadsheets/d/1K-5eiahvRXx7UwNAXclUB3xNgREsYM_aljnX6QT_keE/edit?usp=drivesdk" TargetMode="External"/><Relationship Id="rId515" Type="http://schemas.openxmlformats.org/officeDocument/2006/relationships/hyperlink" Target="https://docs.google.com/spreadsheets/d/1Rr8QotvrVvCIGwVaFWeJxU18QzWlCfU9a9OaHIovNpI/edit?usp=drivesdk" TargetMode="External"/><Relationship Id="rId636" Type="http://schemas.openxmlformats.org/officeDocument/2006/relationships/hyperlink" Target="https://docs.google.com/spreadsheets/d/1K-5eiahvRXx7UwNAXclUB3xNgREsYM_aljnX6QT_keE/edit?usp=drivesdk" TargetMode="External"/><Relationship Id="rId15" Type="http://schemas.openxmlformats.org/officeDocument/2006/relationships/hyperlink" Target="https://docs.google.com/spreadsheets/d/1YcRwILBiOvuGMWU_xzi0htKpb_2BarS6h24Jzk0Dv80/edit?usp=sharing" TargetMode="External"/><Relationship Id="rId14" Type="http://schemas.openxmlformats.org/officeDocument/2006/relationships/hyperlink" Target="https://docs.google.com/spreadsheets/d/1hHdO2u5y23WiffkNz0eJtqevgP9UYshH78KBzLWx0XY/edit?usp=sharing" TargetMode="External"/><Relationship Id="rId17" Type="http://schemas.openxmlformats.org/officeDocument/2006/relationships/hyperlink" Target="https://docs.google.com/spreadsheets/d/18O4Mi1S90wJ24X3Y15CodcYDI_A2w3f16M_y9sIAn1o/edit?usp=sharing" TargetMode="External"/><Relationship Id="rId16" Type="http://schemas.openxmlformats.org/officeDocument/2006/relationships/hyperlink" Target="https://docs.google.com/spreadsheets/d/1nApIXa3DnVSAf4XnicB6vFxgtpVqvfZAQDf9Qp4OSD4/edit?usp=sharing" TargetMode="External"/><Relationship Id="rId19" Type="http://schemas.openxmlformats.org/officeDocument/2006/relationships/hyperlink" Target="https://docs.google.com/spreadsheets/d/1k4dbkOKt7jibCKSmckfs2uWb4DHa4lr9ZuB_hn0KOms/edit?usp=sharing" TargetMode="External"/><Relationship Id="rId510" Type="http://schemas.openxmlformats.org/officeDocument/2006/relationships/hyperlink" Target="https://docs.google.com/spreadsheets/d/1tI2kDCjrrm4G4kjELasYZsScgDoi_sOI4LXzLVZz1cI/edit?usp=drivesdk" TargetMode="External"/><Relationship Id="rId631" Type="http://schemas.openxmlformats.org/officeDocument/2006/relationships/hyperlink" Target="https://docs.google.com/spreadsheets/d/1dgnNcNsTYtVC4j75gPc69AD_JOsUO-ZDsl-BjF-M-es/edit?usp=drivesdk" TargetMode="External"/><Relationship Id="rId18" Type="http://schemas.openxmlformats.org/officeDocument/2006/relationships/hyperlink" Target="https://docs.google.com/spreadsheets/d/1gMxX8VXCTQ-37tqVtTJV_BKEpkh-V4phb4bAy1gk290/edit?usp=sharing" TargetMode="External"/><Relationship Id="rId630" Type="http://schemas.openxmlformats.org/officeDocument/2006/relationships/hyperlink" Target="https://docs.google.com/spreadsheets/d/1dgnNcNsTYtVC4j75gPc69AD_JOsUO-ZDsl-BjF-M-es/edit?usp=drivesdk" TargetMode="External"/><Relationship Id="rId84" Type="http://schemas.openxmlformats.org/officeDocument/2006/relationships/hyperlink" Target="https://docs.google.com/spreadsheets/d/1GQKDnBKOQTpYkY_9weTvFvGbGwObeIXLZCNgdKNDZ0M/edit?usp=drivesdk" TargetMode="External"/><Relationship Id="rId83" Type="http://schemas.openxmlformats.org/officeDocument/2006/relationships/hyperlink" Target="https://docs.google.com/spreadsheets/d/1ewc8ZWcN4bdyAlLqkib6STqFS7VAPVkcVw_I_Q-s6cY/edit?usp=drive_web&amp;ouid=115492482843041064562" TargetMode="External"/><Relationship Id="rId86" Type="http://schemas.openxmlformats.org/officeDocument/2006/relationships/hyperlink" Target="https://docs.google.com/spreadsheets/d/1QN2HhqZ4Gxo04wvl30779Mc6LNOgM98Gva15of1htEg/edit?usp=drivesdk" TargetMode="External"/><Relationship Id="rId85" Type="http://schemas.openxmlformats.org/officeDocument/2006/relationships/hyperlink" Target="https://docs.google.com/spreadsheets/d/1GQKDnBKOQTpYkY_9weTvFvGbGwObeIXLZCNgdKNDZ0M/edit?usp=drivesdk" TargetMode="External"/><Relationship Id="rId88" Type="http://schemas.openxmlformats.org/officeDocument/2006/relationships/hyperlink" Target="https://docs.google.com/spreadsheets/d/1K66Mt8OAxS3zqx3cMJZ7CWzC0ScfTXh9-OmrK35dx2M/edit?usp=drivesdk" TargetMode="External"/><Relationship Id="rId87" Type="http://schemas.openxmlformats.org/officeDocument/2006/relationships/hyperlink" Target="https://docs.google.com/spreadsheets/d/1QN2HhqZ4Gxo04wvl30779Mc6LNOgM98Gva15of1htEg/edit?usp=drivesdk" TargetMode="External"/><Relationship Id="rId89" Type="http://schemas.openxmlformats.org/officeDocument/2006/relationships/hyperlink" Target="https://docs.google.com/spreadsheets/d/1K66Mt8OAxS3zqx3cMJZ7CWzC0ScfTXh9-OmrK35dx2M/edit?usp=drivesdk" TargetMode="External"/><Relationship Id="rId80" Type="http://schemas.openxmlformats.org/officeDocument/2006/relationships/hyperlink" Target="https://docs.google.com/spreadsheets/d/1lPEsMDD_y6OqQ3aePEjUbscgKJdccVuo57A4quyz0ek/edit?usp=sharing" TargetMode="External"/><Relationship Id="rId82" Type="http://schemas.openxmlformats.org/officeDocument/2006/relationships/hyperlink" Target="https://docs.google.com/spreadsheets/d/1J7Qh7c-hEPEpzc-3LsjX3Pnc0XsOEdvYzqouf5PGhd8/edit?usp=drivesdk" TargetMode="External"/><Relationship Id="rId81" Type="http://schemas.openxmlformats.org/officeDocument/2006/relationships/hyperlink" Target="https://docs.google.com/spreadsheets/d/1J7Qh7c-hEPEpzc-3LsjX3Pnc0XsOEdvYzqouf5PGhd8/edit?usp=drivesdk" TargetMode="External"/><Relationship Id="rId73" Type="http://schemas.openxmlformats.org/officeDocument/2006/relationships/hyperlink" Target="https://docs.google.com/spreadsheets/d/1McyDZYZrD9t4Z9ZAJ63UWOBGoFiVLKHsv5LfgoB7tGo/edit?usp=sharing" TargetMode="External"/><Relationship Id="rId72" Type="http://schemas.openxmlformats.org/officeDocument/2006/relationships/hyperlink" Target="https://docs.google.com/spreadsheets/d/1VKQBFK1HzhQ45gBGFsVUESP0rbriR23DmTV46rtWBW4/edit?usp=sharing" TargetMode="External"/><Relationship Id="rId75" Type="http://schemas.openxmlformats.org/officeDocument/2006/relationships/hyperlink" Target="https://docs.google.com/spreadsheets/d/1tBSWg01WLsXH5IJTeZByVNEzYnA-BE85pvDWovbG3jA/edit?usp=sharing" TargetMode="External"/><Relationship Id="rId74" Type="http://schemas.openxmlformats.org/officeDocument/2006/relationships/hyperlink" Target="https://docs.google.com/spreadsheets/d/1HrHYyhq9oFXlYGgwcQs1DC9j24E0-AgCAS1OATMiHRI/edit?usp=sharing" TargetMode="External"/><Relationship Id="rId77" Type="http://schemas.openxmlformats.org/officeDocument/2006/relationships/hyperlink" Target="https://docs.google.com/spreadsheets/d/1QPvPG560bJkk40FzPyWSf3SY1CWNCyRJof7738ItDCo/edit?usp=drivesdk" TargetMode="External"/><Relationship Id="rId76" Type="http://schemas.openxmlformats.org/officeDocument/2006/relationships/hyperlink" Target="https://docs.google.com/spreadsheets/d/1QPvPG560bJkk40FzPyWSf3SY1CWNCyRJof7738ItDCo/edit?usp=drivesdk" TargetMode="External"/><Relationship Id="rId79" Type="http://schemas.openxmlformats.org/officeDocument/2006/relationships/hyperlink" Target="https://docs.google.com/spreadsheets/d/1eEYTpjouBVhgDJGmOA8NKGvzp3ZQEasp6w3ISdZQElg/edit?usp=sharing" TargetMode="External"/><Relationship Id="rId78" Type="http://schemas.openxmlformats.org/officeDocument/2006/relationships/hyperlink" Target="https://docs.google.com/spreadsheets/d/1TQBKkJ_Gm0MlQlJrTKwBZFKkj-60xomk3TTAROCsmzE/edit?usp=sharing" TargetMode="External"/><Relationship Id="rId71" Type="http://schemas.openxmlformats.org/officeDocument/2006/relationships/hyperlink" Target="https://docs.google.com/spreadsheets/d/1zNLgFzG7IbiVAHLoRkCOviJQxem5aWlsoPmjQnYGG3g/edit?usp=sharing" TargetMode="External"/><Relationship Id="rId70" Type="http://schemas.openxmlformats.org/officeDocument/2006/relationships/hyperlink" Target="https://docs.google.com/spreadsheets/d/17lrJR7r5haa7hZwK1Deqd42saFPKUsdwPat5UVPF-uI/edit?usp=sharing" TargetMode="External"/><Relationship Id="rId62" Type="http://schemas.openxmlformats.org/officeDocument/2006/relationships/hyperlink" Target="https://docs.google.com/spreadsheets/d/1lyixNNoSp3FreqNP9sLYfhEhk2yhs8Wa7Zf_c_aDYDc/edit?usp=sharing" TargetMode="External"/><Relationship Id="rId61" Type="http://schemas.openxmlformats.org/officeDocument/2006/relationships/hyperlink" Target="https://docs.google.com/spreadsheets/d/1FpqeKnv71gfY6rzQn43sk8xR7gtPHh6GnoSEpLksvdo/edit" TargetMode="External"/><Relationship Id="rId64" Type="http://schemas.openxmlformats.org/officeDocument/2006/relationships/hyperlink" Target="https://docs.google.com/spreadsheets/d/1F_nTWxkQONo6U8H60UL7Ug-pROgAc5VhSvvtf1VAhpk/edit?usp=sharing" TargetMode="External"/><Relationship Id="rId63" Type="http://schemas.openxmlformats.org/officeDocument/2006/relationships/hyperlink" Target="https://docs.google.com/spreadsheets/d/1ed_s7Zidxb5_kILXLLwBm1jwI3i7hORJ7zIEvqmYkzs/edit?usp=sharing" TargetMode="External"/><Relationship Id="rId66" Type="http://schemas.openxmlformats.org/officeDocument/2006/relationships/hyperlink" Target="https://docs.google.com/spreadsheets/d/1OiXgolE8vUXlbKV-GdG4PK1gdGFf8ETXRWoBmlvOVtA/edit?usp=sharing" TargetMode="External"/><Relationship Id="rId65" Type="http://schemas.openxmlformats.org/officeDocument/2006/relationships/hyperlink" Target="https://docs.google.com/spreadsheets/d/1iARBCfLdDNZfA2zFt7qj6v9kM5Iki1GbnoQn53ftBWQ/edit?usp=sharing" TargetMode="External"/><Relationship Id="rId68" Type="http://schemas.openxmlformats.org/officeDocument/2006/relationships/hyperlink" Target="https://docs.google.com/spreadsheets/d/1ZTN9FFdbtKqrByP0vKvih6xFI2fF8x3nMqFNLzgKDbw/edit?usp=drivesdk" TargetMode="External"/><Relationship Id="rId67" Type="http://schemas.openxmlformats.org/officeDocument/2006/relationships/hyperlink" Target="https://docs.google.com/spreadsheets/d/1lm2fRsfeEk6K3SIRf1wJTlGskYc7v8p4id3LSa-GaRI/edit?usp=sharing" TargetMode="External"/><Relationship Id="rId609" Type="http://schemas.openxmlformats.org/officeDocument/2006/relationships/hyperlink" Target="https://docs.google.com/spreadsheets/d/1rNp9fqZHYJPeu8Vn8twZz7bSfBB7mdmSnzKnymrd_YE/edit?usp=drivesdk" TargetMode="External"/><Relationship Id="rId608" Type="http://schemas.openxmlformats.org/officeDocument/2006/relationships/hyperlink" Target="https://docs.google.com/spreadsheets/d/1rNp9fqZHYJPeu8Vn8twZz7bSfBB7mdmSnzKnymrd_YE/edit?usp=drivesdk" TargetMode="External"/><Relationship Id="rId607" Type="http://schemas.openxmlformats.org/officeDocument/2006/relationships/hyperlink" Target="https://docs.google.com/spreadsheets/d/1owb8Y7KoGZj_CgSoLezFs0sScsZm-KpJSRPtz1-XD48/edit?usp=drivesdk" TargetMode="External"/><Relationship Id="rId60" Type="http://schemas.openxmlformats.org/officeDocument/2006/relationships/hyperlink" Target="https://docs.google.com/spreadsheets/d/1xSij9DvAVfkLcXMI8SF8-5tuTg8jm4XD1rUd7aol2-0/edit?usp=sharing" TargetMode="External"/><Relationship Id="rId602" Type="http://schemas.openxmlformats.org/officeDocument/2006/relationships/hyperlink" Target="https://docs.google.com/spreadsheets/d/1r7ymTYGcEBMNrIcwX4PZNzOqMnxEZhpY0Xk9pIGiKdc/edit?usp=drivesdk" TargetMode="External"/><Relationship Id="rId601" Type="http://schemas.openxmlformats.org/officeDocument/2006/relationships/hyperlink" Target="https://docs.google.com/spreadsheets/d/1T42NTMDuIo29G1qLM4Bng_pz0AGPF0vmuuYSUO7qasY/edit?usp=drivesdk" TargetMode="External"/><Relationship Id="rId600" Type="http://schemas.openxmlformats.org/officeDocument/2006/relationships/hyperlink" Target="https://docs.google.com/spreadsheets/d/1T42NTMDuIo29G1qLM4Bng_pz0AGPF0vmuuYSUO7qasY/edit?usp=drivesdk" TargetMode="External"/><Relationship Id="rId606" Type="http://schemas.openxmlformats.org/officeDocument/2006/relationships/hyperlink" Target="https://docs.google.com/spreadsheets/d/1owb8Y7KoGZj_CgSoLezFs0sScsZm-KpJSRPtz1-XD48/edit?usp=drivesdk" TargetMode="External"/><Relationship Id="rId605" Type="http://schemas.openxmlformats.org/officeDocument/2006/relationships/hyperlink" Target="https://docs.google.com/spreadsheets/d/1J610yQrdj-rBvkPqnQvAPM0udvYgHjRzKKlPCgIIdcI/edit?usp=drivesdk" TargetMode="External"/><Relationship Id="rId604" Type="http://schemas.openxmlformats.org/officeDocument/2006/relationships/hyperlink" Target="https://docs.google.com/spreadsheets/d/1J610yQrdj-rBvkPqnQvAPM0udvYgHjRzKKlPCgIIdcI/edit?usp=drivesdk" TargetMode="External"/><Relationship Id="rId603" Type="http://schemas.openxmlformats.org/officeDocument/2006/relationships/hyperlink" Target="https://docs.google.com/spreadsheets/d/1r7ymTYGcEBMNrIcwX4PZNzOqMnxEZhpY0Xk9pIGiKdc/edit?usp=drivesdk" TargetMode="External"/><Relationship Id="rId69" Type="http://schemas.openxmlformats.org/officeDocument/2006/relationships/hyperlink" Target="https://docs.google.com/spreadsheets/d/1ZTN9FFdbtKqrByP0vKvih6xFI2fF8x3nMqFNLzgKDbw/edit?usp=drivesdk" TargetMode="External"/><Relationship Id="rId51" Type="http://schemas.openxmlformats.org/officeDocument/2006/relationships/hyperlink" Target="https://docs.google.com/spreadsheets/d/18B75LJT-p29Da9Nm25eKk1GMuSHrgwz0rvUx2JZsXu0/edit?usp=sharing" TargetMode="External"/><Relationship Id="rId50" Type="http://schemas.openxmlformats.org/officeDocument/2006/relationships/hyperlink" Target="https://docs.google.com/spreadsheets/d/1_TBj88eoJBB_8tKE5AddOALjlLXfPISU6WN-LeVsNhI/edit?usp=sharing" TargetMode="External"/><Relationship Id="rId53" Type="http://schemas.openxmlformats.org/officeDocument/2006/relationships/hyperlink" Target="https://docs.google.com/spreadsheets/d/1fagrevsE8xabNxwchO0N-DLg5QPBKUuN8-n5kaGKgL0/edit?gid=1932012694" TargetMode="External"/><Relationship Id="rId52" Type="http://schemas.openxmlformats.org/officeDocument/2006/relationships/hyperlink" Target="https://docs.google.com/spreadsheets/d/1ggLAtcWaxzX2Bpf_zz1Fxl1tT-zEfhhEMimZtmf1Ezc/edit?usp=sharing" TargetMode="External"/><Relationship Id="rId55" Type="http://schemas.openxmlformats.org/officeDocument/2006/relationships/hyperlink" Target="https://docs.google.com/spreadsheets/d/1jqh0HfpAoYws0sbj-VImPSOSkilIfZh2Iht1j8-xdRY/edit?usp=drivesdk" TargetMode="External"/><Relationship Id="rId54" Type="http://schemas.openxmlformats.org/officeDocument/2006/relationships/hyperlink" Target="https://docs.google.com/spreadsheets/d/1jqh0HfpAoYws0sbj-VImPSOSkilIfZh2Iht1j8-xdRY/edit?usp=drivesdk" TargetMode="External"/><Relationship Id="rId57" Type="http://schemas.openxmlformats.org/officeDocument/2006/relationships/hyperlink" Target="https://docs.google.com/spreadsheets/d/1jg6T6dLfMjPXWPkOBIhbXR-1Ug_VkwjdVLAmBpD0M_Q/edit?usp=sharing" TargetMode="External"/><Relationship Id="rId56" Type="http://schemas.openxmlformats.org/officeDocument/2006/relationships/hyperlink" Target="https://docs.google.com/spreadsheets/d/16k5eL1WDz-vRWlOUSE01IzPK8xlOE-IUognKuVXZuIA/edit?usp=sharing" TargetMode="External"/><Relationship Id="rId59" Type="http://schemas.openxmlformats.org/officeDocument/2006/relationships/hyperlink" Target="https://docs.google.com/spreadsheets/d/16oF-f1m2Bj91zc7WEN3MDWwWUAtrggheecSIpOJIylA/edit?usp=sharing" TargetMode="External"/><Relationship Id="rId58" Type="http://schemas.openxmlformats.org/officeDocument/2006/relationships/hyperlink" Target="https://docs.google.com/spreadsheets/d/1CVuTnrj0L4jYjy59Bp8oWU3eNw2aGB-8nTXaGi3z3oU/edit?usp=sharing" TargetMode="External"/><Relationship Id="rId590" Type="http://schemas.openxmlformats.org/officeDocument/2006/relationships/hyperlink" Target="https://docs.google.com/spreadsheets/d/1cwEXcVt3ysC-EKIRfnjWgi3uf24I9uzFZ806ggGuuAg/edit?usp=drivesdk" TargetMode="External"/><Relationship Id="rId107" Type="http://schemas.openxmlformats.org/officeDocument/2006/relationships/hyperlink" Target="https://docs.google.com/spreadsheets/d/1Gw4lUNDr-7VTmS9o40Pf0RJN4nOeFKYT82-W4vMCHco/edit?usp=drivesdk" TargetMode="External"/><Relationship Id="rId228" Type="http://schemas.openxmlformats.org/officeDocument/2006/relationships/hyperlink" Target="https://docs.google.com/spreadsheets/d/1hjHnzM66TTcxTpfeBt7pZGBoHEuIBPOPVE0YeHafBSU/edit?usp=drivesdk" TargetMode="External"/><Relationship Id="rId349" Type="http://schemas.openxmlformats.org/officeDocument/2006/relationships/hyperlink" Target="https://docs.google.com/spreadsheets/d/15BN7lODby00tXNpNVqzubMJXR1lbIrCRHHhbgvDhP-g/edit?usp=drivesdk" TargetMode="External"/><Relationship Id="rId106" Type="http://schemas.openxmlformats.org/officeDocument/2006/relationships/hyperlink" Target="https://docs.google.com/spreadsheets/d/1Gw4lUNDr-7VTmS9o40Pf0RJN4nOeFKYT82-W4vMCHco/edit?usp=drivesdk" TargetMode="External"/><Relationship Id="rId227" Type="http://schemas.openxmlformats.org/officeDocument/2006/relationships/hyperlink" Target="https://docs.google.com/spreadsheets/d/1rBhvTizSXYXwSNZJeuLgbWhjEb_H5eT2mKEi706PBDg/edit?usp=drivesdk" TargetMode="External"/><Relationship Id="rId348" Type="http://schemas.openxmlformats.org/officeDocument/2006/relationships/hyperlink" Target="https://docs.google.com/spreadsheets/d/15BN7lODby00tXNpNVqzubMJXR1lbIrCRHHhbgvDhP-g/edit?usp=drivesdk" TargetMode="External"/><Relationship Id="rId469" Type="http://schemas.openxmlformats.org/officeDocument/2006/relationships/hyperlink" Target="https://docs.google.com/spreadsheets/d/1VIQ6xuThDjBu8SxUDQSUfoE0nel5EKUst0a7Wjrbql0/edit?usp=drivesdk" TargetMode="External"/><Relationship Id="rId105" Type="http://schemas.openxmlformats.org/officeDocument/2006/relationships/hyperlink" Target="https://docs.google.com/spreadsheets/d/1FLsWf4uWiPJkD85YXv3FlvulHQ0wJeYuRm_t2W0aHIo/edit?usp=drivesdk" TargetMode="External"/><Relationship Id="rId226" Type="http://schemas.openxmlformats.org/officeDocument/2006/relationships/hyperlink" Target="https://docs.google.com/spreadsheets/d/1rBhvTizSXYXwSNZJeuLgbWhjEb_H5eT2mKEi706PBDg/edit?usp=drivesdk" TargetMode="External"/><Relationship Id="rId347" Type="http://schemas.openxmlformats.org/officeDocument/2006/relationships/hyperlink" Target="https://docs.google.com/spreadsheets/d/1j7V91mf4G9eMc03QG8oLXkCPO1dCAeu8qy-thkpiQ18/edit?usp=drivesdk" TargetMode="External"/><Relationship Id="rId468" Type="http://schemas.openxmlformats.org/officeDocument/2006/relationships/hyperlink" Target="https://docs.google.com/spreadsheets/d/1VIQ6xuThDjBu8SxUDQSUfoE0nel5EKUst0a7Wjrbql0/edit?usp=drivesdk" TargetMode="External"/><Relationship Id="rId589" Type="http://schemas.openxmlformats.org/officeDocument/2006/relationships/hyperlink" Target="https://docs.google.com/spreadsheets/d/1KiZvARDBAgYBZxn9Oh_aVB9X_9YlLy5IwaIkfodX_CE/edit?usp=drivesdk" TargetMode="External"/><Relationship Id="rId104" Type="http://schemas.openxmlformats.org/officeDocument/2006/relationships/hyperlink" Target="https://docs.google.com/spreadsheets/d/1FLsWf4uWiPJkD85YXv3FlvulHQ0wJeYuRm_t2W0aHIo/edit?usp=drivesdk" TargetMode="External"/><Relationship Id="rId225" Type="http://schemas.openxmlformats.org/officeDocument/2006/relationships/hyperlink" Target="https://docs.google.com/spreadsheets/d/1nE29gtwxTGvpXTpAeA-pN9opXhMeQfmx14P2ghbOkhA/edit?usp=drivesdk" TargetMode="External"/><Relationship Id="rId346" Type="http://schemas.openxmlformats.org/officeDocument/2006/relationships/hyperlink" Target="https://docs.google.com/spreadsheets/d/1j7V91mf4G9eMc03QG8oLXkCPO1dCAeu8qy-thkpiQ18/edit?usp=drivesdk" TargetMode="External"/><Relationship Id="rId467" Type="http://schemas.openxmlformats.org/officeDocument/2006/relationships/hyperlink" Target="https://docs.google.com/spreadsheets/d/181gdzKN4_yd7IMFWnIh0068mwFj_70-LTzUStFujpN8/edit?usp=drivesdk" TargetMode="External"/><Relationship Id="rId588" Type="http://schemas.openxmlformats.org/officeDocument/2006/relationships/hyperlink" Target="https://docs.google.com/spreadsheets/d/1KiZvARDBAgYBZxn9Oh_aVB9X_9YlLy5IwaIkfodX_CE/edit?usp=drivesdk" TargetMode="External"/><Relationship Id="rId109" Type="http://schemas.openxmlformats.org/officeDocument/2006/relationships/hyperlink" Target="https://docs.google.com/spreadsheets/d/1Dwd4iYnYhEayLqwZrOU8m2EmJi-k-pq4_w2wVhXgeWQ/edit?usp=drivesdk" TargetMode="External"/><Relationship Id="rId108" Type="http://schemas.openxmlformats.org/officeDocument/2006/relationships/hyperlink" Target="https://docs.google.com/spreadsheets/d/1Dwd4iYnYhEayLqwZrOU8m2EmJi-k-pq4_w2wVhXgeWQ/edit?usp=drivesdk" TargetMode="External"/><Relationship Id="rId229" Type="http://schemas.openxmlformats.org/officeDocument/2006/relationships/hyperlink" Target="https://docs.google.com/spreadsheets/d/1hjHnzM66TTcxTpfeBt7pZGBoHEuIBPOPVE0YeHafBSU/edit?usp=drivesdk" TargetMode="External"/><Relationship Id="rId220" Type="http://schemas.openxmlformats.org/officeDocument/2006/relationships/hyperlink" Target="https://docs.google.com/spreadsheets/d/1ncSn802agZN2v_-Cl8dESv0691YzuhwYT2UtgHztLBg/edit?usp=drivesdk" TargetMode="External"/><Relationship Id="rId341" Type="http://schemas.openxmlformats.org/officeDocument/2006/relationships/hyperlink" Target="https://docs.google.com/spreadsheets/d/1aSVEOP3En2c8KAaFqtSl4EamHR2tfFldFBlsHrBycH4/edit?usp=drivesdk" TargetMode="External"/><Relationship Id="rId462" Type="http://schemas.openxmlformats.org/officeDocument/2006/relationships/hyperlink" Target="https://docs.google.com/spreadsheets/d/1R4w5lTJMfT4d7ng1uXTE5IhCB9OIiEHEKhKDkAmbJGc/edit?usp=drivesdk" TargetMode="External"/><Relationship Id="rId583" Type="http://schemas.openxmlformats.org/officeDocument/2006/relationships/hyperlink" Target="https://docs.google.com/spreadsheets/d/1nGR2eXIywbR9OT3uaNuCiDn3rmPA0Tp8wJob2Emmu6Q/edit?usp=drivesdk" TargetMode="External"/><Relationship Id="rId340" Type="http://schemas.openxmlformats.org/officeDocument/2006/relationships/hyperlink" Target="https://docs.google.com/spreadsheets/d/1aSVEOP3En2c8KAaFqtSl4EamHR2tfFldFBlsHrBycH4/edit?usp=drivesdk" TargetMode="External"/><Relationship Id="rId461" Type="http://schemas.openxmlformats.org/officeDocument/2006/relationships/hyperlink" Target="https://docs.google.com/spreadsheets/d/1cgbiVU1YOS2KwEXFrTTwEJ2q0Mkx4OKaVvv3z3oQZVE/edit?usp=drivesdk" TargetMode="External"/><Relationship Id="rId582" Type="http://schemas.openxmlformats.org/officeDocument/2006/relationships/hyperlink" Target="https://docs.google.com/spreadsheets/d/1nGR2eXIywbR9OT3uaNuCiDn3rmPA0Tp8wJob2Emmu6Q/edit?usp=drivesdk" TargetMode="External"/><Relationship Id="rId460" Type="http://schemas.openxmlformats.org/officeDocument/2006/relationships/hyperlink" Target="https://docs.google.com/spreadsheets/d/1cgbiVU1YOS2KwEXFrTTwEJ2q0Mkx4OKaVvv3z3oQZVE/edit?usp=drivesdk" TargetMode="External"/><Relationship Id="rId581" Type="http://schemas.openxmlformats.org/officeDocument/2006/relationships/hyperlink" Target="https://docs.google.com/spreadsheets/d/1g_RvbsfphnLtp6ZGV7_oyfrjIMe4EMDbzql0Sq7UBhw/edit?usp=drivesdk" TargetMode="External"/><Relationship Id="rId580" Type="http://schemas.openxmlformats.org/officeDocument/2006/relationships/hyperlink" Target="https://docs.google.com/spreadsheets/d/1g_RvbsfphnLtp6ZGV7_oyfrjIMe4EMDbzql0Sq7UBhw/edit?usp=drivesdk" TargetMode="External"/><Relationship Id="rId103" Type="http://schemas.openxmlformats.org/officeDocument/2006/relationships/hyperlink" Target="https://docs.google.com/spreadsheets/d/1bKz9StMDrKM91S0l5Ud3_YuUZJh_8J_pTglTYlTJkbA/edit?usp=drivesdk" TargetMode="External"/><Relationship Id="rId224" Type="http://schemas.openxmlformats.org/officeDocument/2006/relationships/hyperlink" Target="https://docs.google.com/spreadsheets/d/1nE29gtwxTGvpXTpAeA-pN9opXhMeQfmx14P2ghbOkhA/edit?usp=drivesdk" TargetMode="External"/><Relationship Id="rId345" Type="http://schemas.openxmlformats.org/officeDocument/2006/relationships/hyperlink" Target="https://docs.google.com/spreadsheets/d/1mXUVaDSIxf0Agirl4EOkFH-Qn9QLCjFKvfwc2AQAt18/edit?usp=drivesdk" TargetMode="External"/><Relationship Id="rId466" Type="http://schemas.openxmlformats.org/officeDocument/2006/relationships/hyperlink" Target="https://docs.google.com/spreadsheets/d/181gdzKN4_yd7IMFWnIh0068mwFj_70-LTzUStFujpN8/edit?usp=drivesdk" TargetMode="External"/><Relationship Id="rId587" Type="http://schemas.openxmlformats.org/officeDocument/2006/relationships/hyperlink" Target="https://docs.google.com/spreadsheets/d/1wK0NT-L9kPvhYrNGSP_5tnDAA_2riBpMrptYmFdhN6E/edit?usp=drivesdk" TargetMode="External"/><Relationship Id="rId102" Type="http://schemas.openxmlformats.org/officeDocument/2006/relationships/hyperlink" Target="https://docs.google.com/spreadsheets/d/1bKz9StMDrKM91S0l5Ud3_YuUZJh_8J_pTglTYlTJkbA/edit?usp=drivesdk" TargetMode="External"/><Relationship Id="rId223" Type="http://schemas.openxmlformats.org/officeDocument/2006/relationships/hyperlink" Target="https://docs.google.com/spreadsheets/d/1XKLpK3tvcsUKfqJtq6PLIqplNIvTZK-ivMxCwWpaIBU/edit?usp=drivesdk" TargetMode="External"/><Relationship Id="rId344" Type="http://schemas.openxmlformats.org/officeDocument/2006/relationships/hyperlink" Target="https://docs.google.com/spreadsheets/d/1mXUVaDSIxf0Agirl4EOkFH-Qn9QLCjFKvfwc2AQAt18/edit?usp=drivesdk" TargetMode="External"/><Relationship Id="rId465" Type="http://schemas.openxmlformats.org/officeDocument/2006/relationships/hyperlink" Target="https://docs.google.com/spreadsheets/d/11a9WkwnLHZTozzjz25CSPBxnLtBcx_gIyokoW5QxYgM/edit?usp=drivesdk" TargetMode="External"/><Relationship Id="rId586" Type="http://schemas.openxmlformats.org/officeDocument/2006/relationships/hyperlink" Target="https://docs.google.com/spreadsheets/d/1wK0NT-L9kPvhYrNGSP_5tnDAA_2riBpMrptYmFdhN6E/edit?usp=drivesdk" TargetMode="External"/><Relationship Id="rId101" Type="http://schemas.openxmlformats.org/officeDocument/2006/relationships/hyperlink" Target="https://docs.google.com/spreadsheets/d/1yIbudsF_rP-0FCjJvGFtFSCzL9lYez_JGiIHz7L7GuY/edit?usp=drivesdk" TargetMode="External"/><Relationship Id="rId222" Type="http://schemas.openxmlformats.org/officeDocument/2006/relationships/hyperlink" Target="https://docs.google.com/spreadsheets/d/1XKLpK3tvcsUKfqJtq6PLIqplNIvTZK-ivMxCwWpaIBU/edit?usp=drivesdk" TargetMode="External"/><Relationship Id="rId343" Type="http://schemas.openxmlformats.org/officeDocument/2006/relationships/hyperlink" Target="https://docs.google.com/spreadsheets/d/15WhxoN7BkejEgMplicdF79IK7CcSYM8pzxJgqNZhTy8/edit?usp=drivesdk" TargetMode="External"/><Relationship Id="rId464" Type="http://schemas.openxmlformats.org/officeDocument/2006/relationships/hyperlink" Target="https://docs.google.com/spreadsheets/d/11a9WkwnLHZTozzjz25CSPBxnLtBcx_gIyokoW5QxYgM/edit?usp=drivesdk" TargetMode="External"/><Relationship Id="rId585" Type="http://schemas.openxmlformats.org/officeDocument/2006/relationships/hyperlink" Target="https://docs.google.com/spreadsheets/d/13m-vif0Xd60ClJzk11Rm5Nt6lvGl7EGTu-VDID4BF9k/edit?usp=drivesdk" TargetMode="External"/><Relationship Id="rId100" Type="http://schemas.openxmlformats.org/officeDocument/2006/relationships/hyperlink" Target="https://docs.google.com/spreadsheets/d/1yIbudsF_rP-0FCjJvGFtFSCzL9lYez_JGiIHz7L7GuY/edit?usp=drivesdk" TargetMode="External"/><Relationship Id="rId221" Type="http://schemas.openxmlformats.org/officeDocument/2006/relationships/hyperlink" Target="https://docs.google.com/spreadsheets/d/1ncSn802agZN2v_-Cl8dESv0691YzuhwYT2UtgHztLBg/edit?usp=drivesdk" TargetMode="External"/><Relationship Id="rId342" Type="http://schemas.openxmlformats.org/officeDocument/2006/relationships/hyperlink" Target="https://docs.google.com/spreadsheets/d/15WhxoN7BkejEgMplicdF79IK7CcSYM8pzxJgqNZhTy8/edit?usp=drivesdk" TargetMode="External"/><Relationship Id="rId463" Type="http://schemas.openxmlformats.org/officeDocument/2006/relationships/hyperlink" Target="https://docs.google.com/spreadsheets/d/1R4w5lTJMfT4d7ng1uXTE5IhCB9OIiEHEKhKDkAmbJGc/edit?usp=drivesdk" TargetMode="External"/><Relationship Id="rId584" Type="http://schemas.openxmlformats.org/officeDocument/2006/relationships/hyperlink" Target="https://docs.google.com/spreadsheets/d/13m-vif0Xd60ClJzk11Rm5Nt6lvGl7EGTu-VDID4BF9k/edit?usp=drivesdk" TargetMode="External"/><Relationship Id="rId217" Type="http://schemas.openxmlformats.org/officeDocument/2006/relationships/hyperlink" Target="https://docs.google.com/spreadsheets/d/1pactnCZyewLvVFWyD4ZBORbImElTBoSbMSnXjabaens/edit?usp=drivesdk" TargetMode="External"/><Relationship Id="rId338" Type="http://schemas.openxmlformats.org/officeDocument/2006/relationships/hyperlink" Target="https://docs.google.com/spreadsheets/d/1a7EneXzgRXGLDKgackHAFYflEl3lyWoUVbaCeOztfok/edit?usp=drivesdk" TargetMode="External"/><Relationship Id="rId459" Type="http://schemas.openxmlformats.org/officeDocument/2006/relationships/hyperlink" Target="https://docs.google.com/spreadsheets/d/10K__d3riOMxDSytX0QAwK6bBxqZ9gsdOBhMCMYmhv9A/edit?usp=drivesdk" TargetMode="External"/><Relationship Id="rId216" Type="http://schemas.openxmlformats.org/officeDocument/2006/relationships/hyperlink" Target="https://docs.google.com/spreadsheets/d/1pactnCZyewLvVFWyD4ZBORbImElTBoSbMSnXjabaens/edit?usp=drivesdk" TargetMode="External"/><Relationship Id="rId337" Type="http://schemas.openxmlformats.org/officeDocument/2006/relationships/hyperlink" Target="https://docs.google.com/spreadsheets/d/1M8x2G18ps9uct0zmc401eWexdzPs8F_yPJmj0o3cE7o/edit?usp=drivesdk" TargetMode="External"/><Relationship Id="rId458" Type="http://schemas.openxmlformats.org/officeDocument/2006/relationships/hyperlink" Target="https://docs.google.com/spreadsheets/d/10K__d3riOMxDSytX0QAwK6bBxqZ9gsdOBhMCMYmhv9A/edit?usp=drivesdk" TargetMode="External"/><Relationship Id="rId579" Type="http://schemas.openxmlformats.org/officeDocument/2006/relationships/hyperlink" Target="https://docs.google.com/spreadsheets/d/1oKfjSFVTCmsvwaHtx-tcAhxPGWc7Xx62G29FYL0_Tig/edit?usp=drivesdk" TargetMode="External"/><Relationship Id="rId215" Type="http://schemas.openxmlformats.org/officeDocument/2006/relationships/hyperlink" Target="https://docs.google.com/spreadsheets/d/1N2XFjhKHlpB6vk10t_F1Wk0jqk2SFvdZROxcj7Syu38/edit?usp=drivesdk" TargetMode="External"/><Relationship Id="rId336" Type="http://schemas.openxmlformats.org/officeDocument/2006/relationships/hyperlink" Target="https://docs.google.com/spreadsheets/d/1M8x2G18ps9uct0zmc401eWexdzPs8F_yPJmj0o3cE7o/edit?usp=drivesdk" TargetMode="External"/><Relationship Id="rId457" Type="http://schemas.openxmlformats.org/officeDocument/2006/relationships/hyperlink" Target="https://docs.google.com/spreadsheets/d/18XsgTwIXdyEAV93QJaxsuQ1xU2PgveQTkZHuZhJnBbw/edit?usp=drivesdk" TargetMode="External"/><Relationship Id="rId578" Type="http://schemas.openxmlformats.org/officeDocument/2006/relationships/hyperlink" Target="https://docs.google.com/spreadsheets/d/1oKfjSFVTCmsvwaHtx-tcAhxPGWc7Xx62G29FYL0_Tig/edit?usp=drivesdk" TargetMode="External"/><Relationship Id="rId214" Type="http://schemas.openxmlformats.org/officeDocument/2006/relationships/hyperlink" Target="https://docs.google.com/spreadsheets/d/1N2XFjhKHlpB6vk10t_F1Wk0jqk2SFvdZROxcj7Syu38/edit?usp=drivesdk" TargetMode="External"/><Relationship Id="rId335" Type="http://schemas.openxmlformats.org/officeDocument/2006/relationships/hyperlink" Target="https://docs.google.com/spreadsheets/d/1nOLU8DAcgBoQJhE8h3Eh_4FJw8hInwPu7MhvpeewUwI/edit?usp=drivesdk" TargetMode="External"/><Relationship Id="rId456" Type="http://schemas.openxmlformats.org/officeDocument/2006/relationships/hyperlink" Target="https://docs.google.com/spreadsheets/d/18XsgTwIXdyEAV93QJaxsuQ1xU2PgveQTkZHuZhJnBbw/edit?usp=drivesdk" TargetMode="External"/><Relationship Id="rId577" Type="http://schemas.openxmlformats.org/officeDocument/2006/relationships/hyperlink" Target="https://docs.google.com/spreadsheets/d/1eGEfYdoAcjlEvQmsjLtVM2qzjQHq4zfPwOtRXxolSzI/edit?usp=drivesdk" TargetMode="External"/><Relationship Id="rId219" Type="http://schemas.openxmlformats.org/officeDocument/2006/relationships/hyperlink" Target="https://docs.google.com/spreadsheets/d/1RCFxwkNqBlLPapByO2rBdFnEyvU6QFp837IvRkafQsc/edit?usp=drivesdk" TargetMode="External"/><Relationship Id="rId218" Type="http://schemas.openxmlformats.org/officeDocument/2006/relationships/hyperlink" Target="https://docs.google.com/spreadsheets/d/1RCFxwkNqBlLPapByO2rBdFnEyvU6QFp837IvRkafQsc/edit?usp=drivesdk" TargetMode="External"/><Relationship Id="rId339" Type="http://schemas.openxmlformats.org/officeDocument/2006/relationships/hyperlink" Target="https://docs.google.com/spreadsheets/d/1a7EneXzgRXGLDKgackHAFYflEl3lyWoUVbaCeOztfok/edit?usp=drivesdk" TargetMode="External"/><Relationship Id="rId330" Type="http://schemas.openxmlformats.org/officeDocument/2006/relationships/hyperlink" Target="https://docs.google.com/spreadsheets/d/1xBV67Auq2pJ_BZHNFsq-GLhbhb48SRlf5t-ra2iDjAc/edit?usp=drivesdk" TargetMode="External"/><Relationship Id="rId451" Type="http://schemas.openxmlformats.org/officeDocument/2006/relationships/hyperlink" Target="https://docs.google.com/spreadsheets/d/1CBOduFEEbMMNeEzSWxxJwbDHi-9j3zwapE6yTWOEmFg/edit?usp=drivesdk" TargetMode="External"/><Relationship Id="rId572" Type="http://schemas.openxmlformats.org/officeDocument/2006/relationships/hyperlink" Target="https://docs.google.com/spreadsheets/d/1B-X9vhrCRG4uGB4ISqS0F4ByxCkYQExKlk2_N18w7Q4/edit?usp=drivesdk" TargetMode="External"/><Relationship Id="rId450" Type="http://schemas.openxmlformats.org/officeDocument/2006/relationships/hyperlink" Target="https://docs.google.com/spreadsheets/d/1CBOduFEEbMMNeEzSWxxJwbDHi-9j3zwapE6yTWOEmFg/edit?usp=drivesdk" TargetMode="External"/><Relationship Id="rId571" Type="http://schemas.openxmlformats.org/officeDocument/2006/relationships/hyperlink" Target="https://docs.google.com/spreadsheets/d/16nFUsGeauNlq45uNYgIbYxzGyV9Q7tDDrwJjyRP6xA8/edit?usp=drivesdk" TargetMode="External"/><Relationship Id="rId570" Type="http://schemas.openxmlformats.org/officeDocument/2006/relationships/hyperlink" Target="https://docs.google.com/spreadsheets/d/16nFUsGeauNlq45uNYgIbYxzGyV9Q7tDDrwJjyRP6xA8/edit?usp=drivesdk" TargetMode="External"/><Relationship Id="rId213" Type="http://schemas.openxmlformats.org/officeDocument/2006/relationships/hyperlink" Target="https://docs.google.com/spreadsheets/d/178zd4fmhqh7x4B0oDqQBUNPijkwRVlSGveYknAbF51E/edit?usp=drivesdk" TargetMode="External"/><Relationship Id="rId334" Type="http://schemas.openxmlformats.org/officeDocument/2006/relationships/hyperlink" Target="https://docs.google.com/spreadsheets/d/1nOLU8DAcgBoQJhE8h3Eh_4FJw8hInwPu7MhvpeewUwI/edit?usp=drivesdk" TargetMode="External"/><Relationship Id="rId455" Type="http://schemas.openxmlformats.org/officeDocument/2006/relationships/hyperlink" Target="https://docs.google.com/spreadsheets/d/13TbpzL64F8fp1NEs50gMVijNsUTPUjph9JwrV1SAM6k/edit?usp=drivesdk" TargetMode="External"/><Relationship Id="rId576" Type="http://schemas.openxmlformats.org/officeDocument/2006/relationships/hyperlink" Target="https://docs.google.com/spreadsheets/d/1eGEfYdoAcjlEvQmsjLtVM2qzjQHq4zfPwOtRXxolSzI/edit?usp=drivesdk" TargetMode="External"/><Relationship Id="rId212" Type="http://schemas.openxmlformats.org/officeDocument/2006/relationships/hyperlink" Target="https://docs.google.com/spreadsheets/d/178zd4fmhqh7x4B0oDqQBUNPijkwRVlSGveYknAbF51E/edit?usp=drivesdk" TargetMode="External"/><Relationship Id="rId333" Type="http://schemas.openxmlformats.org/officeDocument/2006/relationships/hyperlink" Target="https://docs.google.com/spreadsheets/d/1hJpiIQ1aCwLKx_9J1jRHDymUYpiC4VOW7wejv3XiNug/edit?usp=drivesdk" TargetMode="External"/><Relationship Id="rId454" Type="http://schemas.openxmlformats.org/officeDocument/2006/relationships/hyperlink" Target="https://docs.google.com/spreadsheets/d/13TbpzL64F8fp1NEs50gMVijNsUTPUjph9JwrV1SAM6k/edit?usp=drivesdk" TargetMode="External"/><Relationship Id="rId575" Type="http://schemas.openxmlformats.org/officeDocument/2006/relationships/hyperlink" Target="https://docs.google.com/spreadsheets/d/1oa_sEJPs_FHVf23m4i_uR_42nxJ7rWii-iu42ShhFh0/edit?usp=drivesdk" TargetMode="External"/><Relationship Id="rId211" Type="http://schemas.openxmlformats.org/officeDocument/2006/relationships/hyperlink" Target="https://docs.google.com/spreadsheets/d/1SO17BH2UPwJ81aJ2ik8hDxKmfj0xa8QXMqG6xPSNvf8/edit?usp=drivesdk" TargetMode="External"/><Relationship Id="rId332" Type="http://schemas.openxmlformats.org/officeDocument/2006/relationships/hyperlink" Target="https://docs.google.com/spreadsheets/d/1hJpiIQ1aCwLKx_9J1jRHDymUYpiC4VOW7wejv3XiNug/edit?usp=drivesdk" TargetMode="External"/><Relationship Id="rId453" Type="http://schemas.openxmlformats.org/officeDocument/2006/relationships/hyperlink" Target="https://docs.google.com/spreadsheets/d/1Irhc1whPmGEvZKai_whB3rxASGQBwBEg35sG3K8Vvrs/edit?usp=drivesdk" TargetMode="External"/><Relationship Id="rId574" Type="http://schemas.openxmlformats.org/officeDocument/2006/relationships/hyperlink" Target="https://docs.google.com/spreadsheets/d/1oa_sEJPs_FHVf23m4i_uR_42nxJ7rWii-iu42ShhFh0/edit?usp=drivesdk" TargetMode="External"/><Relationship Id="rId210" Type="http://schemas.openxmlformats.org/officeDocument/2006/relationships/hyperlink" Target="https://docs.google.com/spreadsheets/d/1SO17BH2UPwJ81aJ2ik8hDxKmfj0xa8QXMqG6xPSNvf8/edit?usp=drivesdk" TargetMode="External"/><Relationship Id="rId331" Type="http://schemas.openxmlformats.org/officeDocument/2006/relationships/hyperlink" Target="https://docs.google.com/spreadsheets/d/1xBV67Auq2pJ_BZHNFsq-GLhbhb48SRlf5t-ra2iDjAc/edit?usp=drivesdk" TargetMode="External"/><Relationship Id="rId452" Type="http://schemas.openxmlformats.org/officeDocument/2006/relationships/hyperlink" Target="https://docs.google.com/spreadsheets/d/1Irhc1whPmGEvZKai_whB3rxASGQBwBEg35sG3K8Vvrs/edit?usp=drivesdk" TargetMode="External"/><Relationship Id="rId573" Type="http://schemas.openxmlformats.org/officeDocument/2006/relationships/hyperlink" Target="https://docs.google.com/spreadsheets/d/1B-X9vhrCRG4uGB4ISqS0F4ByxCkYQExKlk2_N18w7Q4/edit?usp=drivesdk" TargetMode="External"/><Relationship Id="rId370" Type="http://schemas.openxmlformats.org/officeDocument/2006/relationships/hyperlink" Target="https://docs.google.com/spreadsheets/d/1dbcURYbBweXpfzOGpOShYXm9EeLZzW2sRJOh6ezwVY4/edit?usp=drivesdk" TargetMode="External"/><Relationship Id="rId491" Type="http://schemas.openxmlformats.org/officeDocument/2006/relationships/hyperlink" Target="https://docs.google.com/spreadsheets/d/1R0h0AEO8S8P85IOvRzwtODeeTeDkIjgLMMFIqYeJGWU/edit?usp=drivesdk" TargetMode="External"/><Relationship Id="rId490" Type="http://schemas.openxmlformats.org/officeDocument/2006/relationships/hyperlink" Target="https://docs.google.com/spreadsheets/d/1R0h0AEO8S8P85IOvRzwtODeeTeDkIjgLMMFIqYeJGWU/edit?usp=drivesdk" TargetMode="External"/><Relationship Id="rId129" Type="http://schemas.openxmlformats.org/officeDocument/2006/relationships/hyperlink" Target="https://docs.google.com/spreadsheets/d/1UAOvJHYmNlTC51IFgNq1NXl9JjM-X_RMP1az5cyIs50/edit?usp=drivesdk" TargetMode="External"/><Relationship Id="rId128" Type="http://schemas.openxmlformats.org/officeDocument/2006/relationships/hyperlink" Target="https://docs.google.com/spreadsheets/d/1UAOvJHYmNlTC51IFgNq1NXl9JjM-X_RMP1az5cyIs50/edit?usp=drivesdk" TargetMode="External"/><Relationship Id="rId249" Type="http://schemas.openxmlformats.org/officeDocument/2006/relationships/hyperlink" Target="https://docs.google.com/spreadsheets/d/13yJqL4OCeZ6t-NbuHGHud8wi8Rg-Q396cE2Q2hqfT70/edit?usp=drivesdk" TargetMode="External"/><Relationship Id="rId127" Type="http://schemas.openxmlformats.org/officeDocument/2006/relationships/hyperlink" Target="https://docs.google.com/spreadsheets/d/12WkD328yw1p5K3NJ3XNNYEYVwk1_FuDpUY5Hu9RqcHY/edit?usp=drivesdk" TargetMode="External"/><Relationship Id="rId248" Type="http://schemas.openxmlformats.org/officeDocument/2006/relationships/hyperlink" Target="https://docs.google.com/spreadsheets/d/13yJqL4OCeZ6t-NbuHGHud8wi8Rg-Q396cE2Q2hqfT70/edit?usp=drivesdk" TargetMode="External"/><Relationship Id="rId369" Type="http://schemas.openxmlformats.org/officeDocument/2006/relationships/hyperlink" Target="https://docs.google.com/spreadsheets/d/1nh1r0DZJZPE6j29KQKZCuewJAyxemO8UZkqsLGDuZwg/edit?usp=drivesdk" TargetMode="External"/><Relationship Id="rId126" Type="http://schemas.openxmlformats.org/officeDocument/2006/relationships/hyperlink" Target="https://docs.google.com/spreadsheets/d/12WkD328yw1p5K3NJ3XNNYEYVwk1_FuDpUY5Hu9RqcHY/edit?usp=drivesdk" TargetMode="External"/><Relationship Id="rId247" Type="http://schemas.openxmlformats.org/officeDocument/2006/relationships/hyperlink" Target="https://docs.google.com/spreadsheets/d/1sBMdehBDW2kkXsGkPCcWz-l3aVWLChCYIl5yzpLmw-g/edit?usp=drivesdk" TargetMode="External"/><Relationship Id="rId368" Type="http://schemas.openxmlformats.org/officeDocument/2006/relationships/hyperlink" Target="https://docs.google.com/spreadsheets/d/1nh1r0DZJZPE6j29KQKZCuewJAyxemO8UZkqsLGDuZwg/edit?usp=drivesdk" TargetMode="External"/><Relationship Id="rId489" Type="http://schemas.openxmlformats.org/officeDocument/2006/relationships/hyperlink" Target="https://docs.google.com/spreadsheets/d/1UMXeQRo7BJduKqdjTvRlbZmKAf0XZrcSrKbfzNDDixU/edit?usp=drivesdk" TargetMode="External"/><Relationship Id="rId121" Type="http://schemas.openxmlformats.org/officeDocument/2006/relationships/hyperlink" Target="https://docs.google.com/spreadsheets/d/1jkx6S3HOeh8_IR6mIG9SPRIXwr4O3T7TxPHc022ddPg/edit?usp=drivesdk" TargetMode="External"/><Relationship Id="rId242" Type="http://schemas.openxmlformats.org/officeDocument/2006/relationships/hyperlink" Target="https://docs.google.com/spreadsheets/d/1i0L4KJ_I0R8SIGxgpeEquSCF5c5VcvkVOdJTZ1ANEUk/edit?usp=drivesdk" TargetMode="External"/><Relationship Id="rId363" Type="http://schemas.openxmlformats.org/officeDocument/2006/relationships/hyperlink" Target="https://docs.google.com/spreadsheets/d/1R0tm_Lh8YTAgaK1nGSjvFpxOuXnlqAJXuPrNgzfu0Rw/edit?usp=drivesdk" TargetMode="External"/><Relationship Id="rId484" Type="http://schemas.openxmlformats.org/officeDocument/2006/relationships/hyperlink" Target="https://docs.google.com/spreadsheets/d/1s6ouP-dfmfoHOdp3DVD4HWpvbYo6z0GkKx5gJBs4kt4/edit?usp=drivesdk" TargetMode="External"/><Relationship Id="rId120" Type="http://schemas.openxmlformats.org/officeDocument/2006/relationships/hyperlink" Target="https://docs.google.com/spreadsheets/d/1jkx6S3HOeh8_IR6mIG9SPRIXwr4O3T7TxPHc022ddPg/edit?usp=drivesdk" TargetMode="External"/><Relationship Id="rId241" Type="http://schemas.openxmlformats.org/officeDocument/2006/relationships/hyperlink" Target="https://docs.google.com/spreadsheets/d/15Fy_ZtTQEHw6mJ_o5Cgx6dmC2OfeVmTDLXrLY-6b0ds/edit?usp=drivesdk" TargetMode="External"/><Relationship Id="rId362" Type="http://schemas.openxmlformats.org/officeDocument/2006/relationships/hyperlink" Target="https://docs.google.com/spreadsheets/d/1R0tm_Lh8YTAgaK1nGSjvFpxOuXnlqAJXuPrNgzfu0Rw/edit?usp=drivesdk" TargetMode="External"/><Relationship Id="rId483" Type="http://schemas.openxmlformats.org/officeDocument/2006/relationships/hyperlink" Target="https://docs.google.com/spreadsheets/d/1vhpKpucbDveqHLTi1eUwqmmu-Jrqvbf-xHVFYHYLpJI/edit?usp=drivesdk" TargetMode="External"/><Relationship Id="rId240" Type="http://schemas.openxmlformats.org/officeDocument/2006/relationships/hyperlink" Target="https://docs.google.com/spreadsheets/d/15Fy_ZtTQEHw6mJ_o5Cgx6dmC2OfeVmTDLXrLY-6b0ds/edit?usp=drivesdk" TargetMode="External"/><Relationship Id="rId361" Type="http://schemas.openxmlformats.org/officeDocument/2006/relationships/hyperlink" Target="https://docs.google.com/spreadsheets/d/1jWAmanKSU1PvhUrRPXPbCdPyuDbYulasfC6VEd9KlDM/edit?usp=drivesdk" TargetMode="External"/><Relationship Id="rId482" Type="http://schemas.openxmlformats.org/officeDocument/2006/relationships/hyperlink" Target="https://docs.google.com/spreadsheets/d/1vhpKpucbDveqHLTi1eUwqmmu-Jrqvbf-xHVFYHYLpJI/edit?usp=drivesdk" TargetMode="External"/><Relationship Id="rId360" Type="http://schemas.openxmlformats.org/officeDocument/2006/relationships/hyperlink" Target="https://docs.google.com/spreadsheets/d/1jWAmanKSU1PvhUrRPXPbCdPyuDbYulasfC6VEd9KlDM/edit?usp=drivesdk" TargetMode="External"/><Relationship Id="rId481" Type="http://schemas.openxmlformats.org/officeDocument/2006/relationships/hyperlink" Target="https://docs.google.com/spreadsheets/d/1HVPNnRJcmD8vpL-fi8laz6uW3EHZuF27tt5FPAGuiyI/edit?usp=drivesdk" TargetMode="External"/><Relationship Id="rId125" Type="http://schemas.openxmlformats.org/officeDocument/2006/relationships/hyperlink" Target="https://docs.google.com/spreadsheets/d/1kR1yFIDeFWGdj8L7WsjI7Gpp5SdsxefQx3kR_MlzuaY/edit?usp=drivesdk" TargetMode="External"/><Relationship Id="rId246" Type="http://schemas.openxmlformats.org/officeDocument/2006/relationships/hyperlink" Target="https://docs.google.com/spreadsheets/d/1sBMdehBDW2kkXsGkPCcWz-l3aVWLChCYIl5yzpLmw-g/edit?usp=drivesdk" TargetMode="External"/><Relationship Id="rId367" Type="http://schemas.openxmlformats.org/officeDocument/2006/relationships/hyperlink" Target="https://docs.google.com/spreadsheets/d/1Uq0f___WRkzAEVl-az13G4LyBna3I_lBf3CV20ZY2qk/edit?usp=drivesdk" TargetMode="External"/><Relationship Id="rId488" Type="http://schemas.openxmlformats.org/officeDocument/2006/relationships/hyperlink" Target="https://docs.google.com/spreadsheets/d/1UMXeQRo7BJduKqdjTvRlbZmKAf0XZrcSrKbfzNDDixU/edit?usp=drivesdk" TargetMode="External"/><Relationship Id="rId124" Type="http://schemas.openxmlformats.org/officeDocument/2006/relationships/hyperlink" Target="https://docs.google.com/spreadsheets/d/1kR1yFIDeFWGdj8L7WsjI7Gpp5SdsxefQx3kR_MlzuaY/edit?usp=drivesdk" TargetMode="External"/><Relationship Id="rId245" Type="http://schemas.openxmlformats.org/officeDocument/2006/relationships/hyperlink" Target="https://docs.google.com/spreadsheets/d/17rKoL9yGauYoQbmI1mDRY8lvt85dxCBmOScO3NPUuU8/edit?usp=drivesdk" TargetMode="External"/><Relationship Id="rId366" Type="http://schemas.openxmlformats.org/officeDocument/2006/relationships/hyperlink" Target="https://docs.google.com/spreadsheets/d/1Uq0f___WRkzAEVl-az13G4LyBna3I_lBf3CV20ZY2qk/edit?usp=drivesdk" TargetMode="External"/><Relationship Id="rId487" Type="http://schemas.openxmlformats.org/officeDocument/2006/relationships/hyperlink" Target="https://docs.google.com/spreadsheets/d/1BV9K4fFEcC_nN7nF67CLEOhg00KLwAJ2WagDj-NTc4k/edit?usp=drivesdk" TargetMode="External"/><Relationship Id="rId123" Type="http://schemas.openxmlformats.org/officeDocument/2006/relationships/hyperlink" Target="https://docs.google.com/spreadsheets/d/13vf_kJoXXdCp6ww3yw29wqbAYi38g9ODg7vEUJlDo3o/edit?usp=drivesdk" TargetMode="External"/><Relationship Id="rId244" Type="http://schemas.openxmlformats.org/officeDocument/2006/relationships/hyperlink" Target="https://docs.google.com/spreadsheets/d/17rKoL9yGauYoQbmI1mDRY8lvt85dxCBmOScO3NPUuU8/edit?usp=drivesdk" TargetMode="External"/><Relationship Id="rId365" Type="http://schemas.openxmlformats.org/officeDocument/2006/relationships/hyperlink" Target="https://docs.google.com/spreadsheets/d/1sICX5eAB9jTNlyHdvcGDX1dDkQFwGxDAXd94I8lc0BQ/edit?usp=drivesdk" TargetMode="External"/><Relationship Id="rId486" Type="http://schemas.openxmlformats.org/officeDocument/2006/relationships/hyperlink" Target="https://docs.google.com/spreadsheets/d/1BV9K4fFEcC_nN7nF67CLEOhg00KLwAJ2WagDj-NTc4k/edit?usp=drivesdk" TargetMode="External"/><Relationship Id="rId122" Type="http://schemas.openxmlformats.org/officeDocument/2006/relationships/hyperlink" Target="https://docs.google.com/spreadsheets/d/13vf_kJoXXdCp6ww3yw29wqbAYi38g9ODg7vEUJlDo3o/edit?usp=drivesdk" TargetMode="External"/><Relationship Id="rId243" Type="http://schemas.openxmlformats.org/officeDocument/2006/relationships/hyperlink" Target="https://docs.google.com/spreadsheets/d/1i0L4KJ_I0R8SIGxgpeEquSCF5c5VcvkVOdJTZ1ANEUk/edit?usp=drivesdk" TargetMode="External"/><Relationship Id="rId364" Type="http://schemas.openxmlformats.org/officeDocument/2006/relationships/hyperlink" Target="https://docs.google.com/spreadsheets/d/1sICX5eAB9jTNlyHdvcGDX1dDkQFwGxDAXd94I8lc0BQ/edit?usp=drivesdk" TargetMode="External"/><Relationship Id="rId485" Type="http://schemas.openxmlformats.org/officeDocument/2006/relationships/hyperlink" Target="https://docs.google.com/spreadsheets/d/1s6ouP-dfmfoHOdp3DVD4HWpvbYo6z0GkKx5gJBs4kt4/edit?usp=drivesdk" TargetMode="External"/><Relationship Id="rId95" Type="http://schemas.openxmlformats.org/officeDocument/2006/relationships/hyperlink" Target="https://docs.google.com/spreadsheets/d/1ZPeXnAZZDd99v01dq3HcmmGJ19Rl9YKDHuTCT79aXnk/edit?usp=drivesdk" TargetMode="External"/><Relationship Id="rId94" Type="http://schemas.openxmlformats.org/officeDocument/2006/relationships/hyperlink" Target="https://docs.google.com/spreadsheets/d/1ZPeXnAZZDd99v01dq3HcmmGJ19Rl9YKDHuTCT79aXnk/edit?usp=drivesdk" TargetMode="External"/><Relationship Id="rId97" Type="http://schemas.openxmlformats.org/officeDocument/2006/relationships/hyperlink" Target="https://docs.google.com/spreadsheets/d/1aSwuOJm0vAO6uHP4wwjjugUvMIDQ8j7JLlEMkddNuJA/edit?usp=drivesdk" TargetMode="External"/><Relationship Id="rId96" Type="http://schemas.openxmlformats.org/officeDocument/2006/relationships/hyperlink" Target="https://docs.google.com/spreadsheets/d/1aSwuOJm0vAO6uHP4wwjjugUvMIDQ8j7JLlEMkddNuJA/edit?usp=drivesdk" TargetMode="External"/><Relationship Id="rId99" Type="http://schemas.openxmlformats.org/officeDocument/2006/relationships/hyperlink" Target="https://docs.google.com/spreadsheets/d/1yPJpbQgP1IPlRB5wM8IspSGa4tDkZQlqTN36C_JbDAA/edit?usp=drivesdk" TargetMode="External"/><Relationship Id="rId480" Type="http://schemas.openxmlformats.org/officeDocument/2006/relationships/hyperlink" Target="https://docs.google.com/spreadsheets/d/1HVPNnRJcmD8vpL-fi8laz6uW3EHZuF27tt5FPAGuiyI/edit?usp=drivesdk" TargetMode="External"/><Relationship Id="rId98" Type="http://schemas.openxmlformats.org/officeDocument/2006/relationships/hyperlink" Target="https://docs.google.com/spreadsheets/d/1yPJpbQgP1IPlRB5wM8IspSGa4tDkZQlqTN36C_JbDAA/edit?usp=drivesdk" TargetMode="External"/><Relationship Id="rId91" Type="http://schemas.openxmlformats.org/officeDocument/2006/relationships/hyperlink" Target="https://docs.google.com/spreadsheets/d/1Hyhj0kSnYM4LEySL-Kg6k-Bd6P0m4ZlP6XNy-lys2LQ/edit?usp=drivesdk" TargetMode="External"/><Relationship Id="rId90" Type="http://schemas.openxmlformats.org/officeDocument/2006/relationships/hyperlink" Target="https://docs.google.com/spreadsheets/d/1Hyhj0kSnYM4LEySL-Kg6k-Bd6P0m4ZlP6XNy-lys2LQ/edit?usp=drivesdk" TargetMode="External"/><Relationship Id="rId93" Type="http://schemas.openxmlformats.org/officeDocument/2006/relationships/hyperlink" Target="https://docs.google.com/spreadsheets/d/1lCpYK_fCa0AxA3-ZNuws0sIJ2mctyJ4GVEufdXkpEeQ/edit?usp=drivesdk" TargetMode="External"/><Relationship Id="rId92" Type="http://schemas.openxmlformats.org/officeDocument/2006/relationships/hyperlink" Target="https://docs.google.com/spreadsheets/d/1lCpYK_fCa0AxA3-ZNuws0sIJ2mctyJ4GVEufdXkpEeQ/edit?usp=drivesdk" TargetMode="External"/><Relationship Id="rId118" Type="http://schemas.openxmlformats.org/officeDocument/2006/relationships/hyperlink" Target="https://docs.google.com/spreadsheets/d/1fjklXkhBKsNum0dJiM9ZR1RWIWEToPAInPLMgiSNcGQ/edit?usp=drivesdk" TargetMode="External"/><Relationship Id="rId239" Type="http://schemas.openxmlformats.org/officeDocument/2006/relationships/hyperlink" Target="https://docs.google.com/spreadsheets/d/1mzMBSr70UccyMVD61vAhwVSrRxRLX3MjKZjHLUjt4fQ/edit?usp=drivesdk" TargetMode="External"/><Relationship Id="rId117" Type="http://schemas.openxmlformats.org/officeDocument/2006/relationships/hyperlink" Target="https://docs.google.com/spreadsheets/d/1LfKbGMTVs-1Gi5-HVfcK3mGbeNPVQ20IiTPe0Yajqsg/edit?usp=drivesdk" TargetMode="External"/><Relationship Id="rId238" Type="http://schemas.openxmlformats.org/officeDocument/2006/relationships/hyperlink" Target="https://docs.google.com/spreadsheets/d/1mzMBSr70UccyMVD61vAhwVSrRxRLX3MjKZjHLUjt4fQ/edit?usp=drivesdk" TargetMode="External"/><Relationship Id="rId359" Type="http://schemas.openxmlformats.org/officeDocument/2006/relationships/hyperlink" Target="https://docs.google.com/spreadsheets/d/1Ri_a-mbe_WzrsPS9nGuRNkjNDD1ztpDJ6jUr4e-c03Q/edit?usp=drivesdk" TargetMode="External"/><Relationship Id="rId116" Type="http://schemas.openxmlformats.org/officeDocument/2006/relationships/hyperlink" Target="https://docs.google.com/spreadsheets/d/1LfKbGMTVs-1Gi5-HVfcK3mGbeNPVQ20IiTPe0Yajqsg/edit?usp=drivesdk" TargetMode="External"/><Relationship Id="rId237" Type="http://schemas.openxmlformats.org/officeDocument/2006/relationships/hyperlink" Target="https://docs.google.com/spreadsheets/d/1ghV5jp1JvFmTuMraIuLcf3h5azEBcWYP_-oQtM8MprI/edit?usp=drivesdk" TargetMode="External"/><Relationship Id="rId358" Type="http://schemas.openxmlformats.org/officeDocument/2006/relationships/hyperlink" Target="https://docs.google.com/spreadsheets/d/1Ri_a-mbe_WzrsPS9nGuRNkjNDD1ztpDJ6jUr4e-c03Q/edit?usp=drivesdk" TargetMode="External"/><Relationship Id="rId479" Type="http://schemas.openxmlformats.org/officeDocument/2006/relationships/hyperlink" Target="https://docs.google.com/spreadsheets/d/1rKnCI796XAQN-XyGxdkSuUzTRe-C18kKGeD8M_yRZT4/edit?usp=drivesdk" TargetMode="External"/><Relationship Id="rId115" Type="http://schemas.openxmlformats.org/officeDocument/2006/relationships/hyperlink" Target="https://docs.google.com/spreadsheets/d/1QqItc1psMsQ22-20gdpvsrEq9O3bGni5cGUdvyHZ0Os/edit?usp=drivesdk" TargetMode="External"/><Relationship Id="rId236" Type="http://schemas.openxmlformats.org/officeDocument/2006/relationships/hyperlink" Target="https://docs.google.com/spreadsheets/d/1ghV5jp1JvFmTuMraIuLcf3h5azEBcWYP_-oQtM8MprI/edit?usp=drivesdk" TargetMode="External"/><Relationship Id="rId357" Type="http://schemas.openxmlformats.org/officeDocument/2006/relationships/hyperlink" Target="https://docs.google.com/spreadsheets/d/1P7O7wgOPFfh5RI3MDTQhfvZ6XQDtaxII0j4ctytoZCw/edit?usp=drivesdk" TargetMode="External"/><Relationship Id="rId478" Type="http://schemas.openxmlformats.org/officeDocument/2006/relationships/hyperlink" Target="https://docs.google.com/spreadsheets/d/1rKnCI796XAQN-XyGxdkSuUzTRe-C18kKGeD8M_yRZT4/edit?usp=drivesdk" TargetMode="External"/><Relationship Id="rId599" Type="http://schemas.openxmlformats.org/officeDocument/2006/relationships/hyperlink" Target="https://docs.google.com/spreadsheets/d/16GrdCmUQVieyK1bd3IOw1xH_pAYX9Ts0F9_vhW2GkK8/edit?usp=drivesdk" TargetMode="External"/><Relationship Id="rId119" Type="http://schemas.openxmlformats.org/officeDocument/2006/relationships/hyperlink" Target="https://docs.google.com/spreadsheets/d/1fjklXkhBKsNum0dJiM9ZR1RWIWEToPAInPLMgiSNcGQ/edit?usp=drivesdk" TargetMode="External"/><Relationship Id="rId110" Type="http://schemas.openxmlformats.org/officeDocument/2006/relationships/hyperlink" Target="https://docs.google.com/spreadsheets/d/1JTEt3f671JBGaeuXdDWhYE5zOT5l6iYFjiZoyXTDvMI/edit?usp=drivesdk" TargetMode="External"/><Relationship Id="rId231" Type="http://schemas.openxmlformats.org/officeDocument/2006/relationships/hyperlink" Target="https://docs.google.com/spreadsheets/d/16AK18ZsOrwI9jn_5im1RRxdo_zJ98zKPKi9oHtVMIFw/edit?usp=drivesdk" TargetMode="External"/><Relationship Id="rId352" Type="http://schemas.openxmlformats.org/officeDocument/2006/relationships/hyperlink" Target="https://docs.google.com/spreadsheets/d/1h0_Fdomff586gongxYshw2v4ZRjTse60RNOglc8ot6Q/edit?usp=drivesdk" TargetMode="External"/><Relationship Id="rId473" Type="http://schemas.openxmlformats.org/officeDocument/2006/relationships/hyperlink" Target="https://docs.google.com/spreadsheets/d/1PcuRIxG0L1l9JsZn14JbJR1_IsWbMdg4EphSSSMJ9jw/edit?usp=drivesdk" TargetMode="External"/><Relationship Id="rId594" Type="http://schemas.openxmlformats.org/officeDocument/2006/relationships/hyperlink" Target="https://docs.google.com/spreadsheets/d/1pf61PTUWG-QzgNx5jAphjqX_vgd3iV-FybwTsB1ZD9s/edit?usp=drivesdk" TargetMode="External"/><Relationship Id="rId230" Type="http://schemas.openxmlformats.org/officeDocument/2006/relationships/hyperlink" Target="https://docs.google.com/spreadsheets/d/16AK18ZsOrwI9jn_5im1RRxdo_zJ98zKPKi9oHtVMIFw/edit?usp=drivesdk" TargetMode="External"/><Relationship Id="rId351" Type="http://schemas.openxmlformats.org/officeDocument/2006/relationships/hyperlink" Target="https://docs.google.com/spreadsheets/d/1qBtHbfrQbcIkCi2-_eKQ0ZrbMr-4_YVnw6TWtkt1d1Y/edit?usp=drivesdk" TargetMode="External"/><Relationship Id="rId472" Type="http://schemas.openxmlformats.org/officeDocument/2006/relationships/hyperlink" Target="https://docs.google.com/spreadsheets/d/1PcuRIxG0L1l9JsZn14JbJR1_IsWbMdg4EphSSSMJ9jw/edit?usp=drivesdk" TargetMode="External"/><Relationship Id="rId593" Type="http://schemas.openxmlformats.org/officeDocument/2006/relationships/hyperlink" Target="https://docs.google.com/spreadsheets/d/19OGKAThB0x_jsg_FGTZrH3y-ShgRGdxbziI_JUuai-Q/edit?usp=drivesdk" TargetMode="External"/><Relationship Id="rId350" Type="http://schemas.openxmlformats.org/officeDocument/2006/relationships/hyperlink" Target="https://docs.google.com/spreadsheets/d/1qBtHbfrQbcIkCi2-_eKQ0ZrbMr-4_YVnw6TWtkt1d1Y/edit?usp=drivesdk" TargetMode="External"/><Relationship Id="rId471" Type="http://schemas.openxmlformats.org/officeDocument/2006/relationships/hyperlink" Target="https://docs.google.com/spreadsheets/d/1Pz8HjP7jQricdVnPisgIegaKXCK60COHLGo0zlDuOC4/edit?usp=drivesdk" TargetMode="External"/><Relationship Id="rId592" Type="http://schemas.openxmlformats.org/officeDocument/2006/relationships/hyperlink" Target="https://docs.google.com/spreadsheets/d/19OGKAThB0x_jsg_FGTZrH3y-ShgRGdxbziI_JUuai-Q/edit?usp=drivesdk" TargetMode="External"/><Relationship Id="rId470" Type="http://schemas.openxmlformats.org/officeDocument/2006/relationships/hyperlink" Target="https://docs.google.com/spreadsheets/d/1Pz8HjP7jQricdVnPisgIegaKXCK60COHLGo0zlDuOC4/edit?usp=drivesdk" TargetMode="External"/><Relationship Id="rId591" Type="http://schemas.openxmlformats.org/officeDocument/2006/relationships/hyperlink" Target="https://docs.google.com/spreadsheets/d/1cwEXcVt3ysC-EKIRfnjWgi3uf24I9uzFZ806ggGuuAg/edit?usp=drivesdk" TargetMode="External"/><Relationship Id="rId114" Type="http://schemas.openxmlformats.org/officeDocument/2006/relationships/hyperlink" Target="https://docs.google.com/spreadsheets/d/1QqItc1psMsQ22-20gdpvsrEq9O3bGni5cGUdvyHZ0Os/edit?usp=drivesdk" TargetMode="External"/><Relationship Id="rId235" Type="http://schemas.openxmlformats.org/officeDocument/2006/relationships/hyperlink" Target="https://docs.google.com/spreadsheets/d/1EFZi3IjwpUL5yC0_r7UxdWzPyXiit1pm-u-uFYAZiso/edit?usp=drivesdk" TargetMode="External"/><Relationship Id="rId356" Type="http://schemas.openxmlformats.org/officeDocument/2006/relationships/hyperlink" Target="https://docs.google.com/spreadsheets/d/1P7O7wgOPFfh5RI3MDTQhfvZ6XQDtaxII0j4ctytoZCw/edit?usp=drivesdk" TargetMode="External"/><Relationship Id="rId477" Type="http://schemas.openxmlformats.org/officeDocument/2006/relationships/hyperlink" Target="https://docs.google.com/spreadsheets/d/1LxjW_K-t343Hr-P357ooIAP2cem0gaY9jBXGxi0ZXYg/edit?usp=drivesdk" TargetMode="External"/><Relationship Id="rId598" Type="http://schemas.openxmlformats.org/officeDocument/2006/relationships/hyperlink" Target="https://docs.google.com/spreadsheets/d/16GrdCmUQVieyK1bd3IOw1xH_pAYX9Ts0F9_vhW2GkK8/edit?usp=drivesdk" TargetMode="External"/><Relationship Id="rId113" Type="http://schemas.openxmlformats.org/officeDocument/2006/relationships/hyperlink" Target="https://docs.google.com/spreadsheets/d/1vAd6prv9G1PwuEQjM2FWcGROm-eYF3uWHjeLEcglZ48/edit?usp=drivesdk" TargetMode="External"/><Relationship Id="rId234" Type="http://schemas.openxmlformats.org/officeDocument/2006/relationships/hyperlink" Target="https://docs.google.com/spreadsheets/d/1EFZi3IjwpUL5yC0_r7UxdWzPyXiit1pm-u-uFYAZiso/edit?usp=drivesdk" TargetMode="External"/><Relationship Id="rId355" Type="http://schemas.openxmlformats.org/officeDocument/2006/relationships/hyperlink" Target="https://docs.google.com/spreadsheets/d/1hULYfC43FxOOgqS6vWgKWzLpWcojDugtSaOCWDxktB0/edit?usp=drivesdk" TargetMode="External"/><Relationship Id="rId476" Type="http://schemas.openxmlformats.org/officeDocument/2006/relationships/hyperlink" Target="https://docs.google.com/spreadsheets/d/1LxjW_K-t343Hr-P357ooIAP2cem0gaY9jBXGxi0ZXYg/edit?usp=drivesdk" TargetMode="External"/><Relationship Id="rId597" Type="http://schemas.openxmlformats.org/officeDocument/2006/relationships/hyperlink" Target="https://docs.google.com/spreadsheets/d/1m3nLnUQX9qYpLdn4MPvtUfmwL0ZfGhwaA1e4nb6mXm4/edit?usp=drivesdk" TargetMode="External"/><Relationship Id="rId112" Type="http://schemas.openxmlformats.org/officeDocument/2006/relationships/hyperlink" Target="https://docs.google.com/spreadsheets/d/1vAd6prv9G1PwuEQjM2FWcGROm-eYF3uWHjeLEcglZ48/edit?usp=drivesdk" TargetMode="External"/><Relationship Id="rId233" Type="http://schemas.openxmlformats.org/officeDocument/2006/relationships/hyperlink" Target="https://docs.google.com/spreadsheets/d/1egbV81beD8BjLBx3mBLSPd2WhYIv2DxODhGlJLmbUFo/edit?usp=drivesdk" TargetMode="External"/><Relationship Id="rId354" Type="http://schemas.openxmlformats.org/officeDocument/2006/relationships/hyperlink" Target="https://docs.google.com/spreadsheets/d/1hULYfC43FxOOgqS6vWgKWzLpWcojDugtSaOCWDxktB0/edit?usp=drivesdk" TargetMode="External"/><Relationship Id="rId475" Type="http://schemas.openxmlformats.org/officeDocument/2006/relationships/hyperlink" Target="https://docs.google.com/spreadsheets/d/1RkZiK8bPuU4-TFRhaK_NoqDuvRtij4gf0qZV_5kwrik/edit?usp=drivesdk" TargetMode="External"/><Relationship Id="rId596" Type="http://schemas.openxmlformats.org/officeDocument/2006/relationships/hyperlink" Target="https://docs.google.com/spreadsheets/d/1m3nLnUQX9qYpLdn4MPvtUfmwL0ZfGhwaA1e4nb6mXm4/edit?usp=drivesdk" TargetMode="External"/><Relationship Id="rId111" Type="http://schemas.openxmlformats.org/officeDocument/2006/relationships/hyperlink" Target="https://docs.google.com/spreadsheets/d/1JTEt3f671JBGaeuXdDWhYE5zOT5l6iYFjiZoyXTDvMI/edit?usp=drivesdk" TargetMode="External"/><Relationship Id="rId232" Type="http://schemas.openxmlformats.org/officeDocument/2006/relationships/hyperlink" Target="https://docs.google.com/spreadsheets/d/1egbV81beD8BjLBx3mBLSPd2WhYIv2DxODhGlJLmbUFo/edit?usp=drivesdk" TargetMode="External"/><Relationship Id="rId353" Type="http://schemas.openxmlformats.org/officeDocument/2006/relationships/hyperlink" Target="https://docs.google.com/spreadsheets/d/1h0_Fdomff586gongxYshw2v4ZRjTse60RNOglc8ot6Q/edit?usp=drivesdk" TargetMode="External"/><Relationship Id="rId474" Type="http://schemas.openxmlformats.org/officeDocument/2006/relationships/hyperlink" Target="https://docs.google.com/spreadsheets/d/1RkZiK8bPuU4-TFRhaK_NoqDuvRtij4gf0qZV_5kwrik/edit?usp=drivesdk" TargetMode="External"/><Relationship Id="rId595" Type="http://schemas.openxmlformats.org/officeDocument/2006/relationships/hyperlink" Target="https://docs.google.com/spreadsheets/d/1pf61PTUWG-QzgNx5jAphjqX_vgd3iV-FybwTsB1ZD9s/edit?usp=drivesdk" TargetMode="External"/><Relationship Id="rId305" Type="http://schemas.openxmlformats.org/officeDocument/2006/relationships/hyperlink" Target="https://docs.google.com/spreadsheets/d/1G9FZvM7dihFFvClgLpKZurbB7Wrc_sF-dVoxZtPRQ6g/edit?usp=drivesdk" TargetMode="External"/><Relationship Id="rId426" Type="http://schemas.openxmlformats.org/officeDocument/2006/relationships/hyperlink" Target="https://docs.google.com/spreadsheets/d/1RdK450Uz2NdEaNLIt3ev0piIpAUr6Ka0Y8CsjDHza68/edit?usp=drivesdk" TargetMode="External"/><Relationship Id="rId547" Type="http://schemas.openxmlformats.org/officeDocument/2006/relationships/hyperlink" Target="https://docs.google.com/spreadsheets/d/1oKpiyp7tB0ti5AE04Hcii9HZINAhXOIJD-mLp79QnHM/edit?usp=drivesdk" TargetMode="External"/><Relationship Id="rId668" Type="http://schemas.openxmlformats.org/officeDocument/2006/relationships/hyperlink" Target="https://docs.google.com/spreadsheets/d/13m0oqjUoFAJfjPYgTmkfSNgcV2y3VCL1AzKPx6JbGJA/edit?usp=drivesdk" TargetMode="External"/><Relationship Id="rId304" Type="http://schemas.openxmlformats.org/officeDocument/2006/relationships/hyperlink" Target="https://docs.google.com/spreadsheets/d/1G9FZvM7dihFFvClgLpKZurbB7Wrc_sF-dVoxZtPRQ6g/edit?usp=drivesdk" TargetMode="External"/><Relationship Id="rId425" Type="http://schemas.openxmlformats.org/officeDocument/2006/relationships/hyperlink" Target="https://docs.google.com/spreadsheets/d/1QV1-giVpBrOuHV2IMgQCbj281OC2D2uEoBifjMdrBQg/edit?usp=drivesdk" TargetMode="External"/><Relationship Id="rId546" Type="http://schemas.openxmlformats.org/officeDocument/2006/relationships/hyperlink" Target="https://docs.google.com/spreadsheets/d/1oKpiyp7tB0ti5AE04Hcii9HZINAhXOIJD-mLp79QnHM/edit?usp=drivesdk" TargetMode="External"/><Relationship Id="rId667" Type="http://schemas.openxmlformats.org/officeDocument/2006/relationships/hyperlink" Target="https://docs.google.com/spreadsheets/d/1lrN4UQC7xff224TP3h9ZzJ8S6AE4VFfX_8WPEsS4vw4/edit?usp=drivesdk" TargetMode="External"/><Relationship Id="rId303" Type="http://schemas.openxmlformats.org/officeDocument/2006/relationships/hyperlink" Target="https://docs.google.com/spreadsheets/d/1zH-qZ9dsFhIJJPQLhRp82PFiIHAXW010UrWO9GfRti4/edit?usp=drivesdk" TargetMode="External"/><Relationship Id="rId424" Type="http://schemas.openxmlformats.org/officeDocument/2006/relationships/hyperlink" Target="https://docs.google.com/spreadsheets/d/1QV1-giVpBrOuHV2IMgQCbj281OC2D2uEoBifjMdrBQg/edit?usp=drivesdk" TargetMode="External"/><Relationship Id="rId545" Type="http://schemas.openxmlformats.org/officeDocument/2006/relationships/hyperlink" Target="https://docs.google.com/spreadsheets/d/1vkCn-QUoPg8Q-XVi7E67KBg91YipROnmf48Q621AsoQ/edit?usp=drivesdk" TargetMode="External"/><Relationship Id="rId666" Type="http://schemas.openxmlformats.org/officeDocument/2006/relationships/hyperlink" Target="https://docs.google.com/spreadsheets/d/1FB9vKvhlGSPwxad7epc61jKDI9gGDhvkrC1FnROakPk/edit?usp=drivesdk" TargetMode="External"/><Relationship Id="rId302" Type="http://schemas.openxmlformats.org/officeDocument/2006/relationships/hyperlink" Target="https://docs.google.com/spreadsheets/d/1zH-qZ9dsFhIJJPQLhRp82PFiIHAXW010UrWO9GfRti4/edit?usp=drivesdk" TargetMode="External"/><Relationship Id="rId423" Type="http://schemas.openxmlformats.org/officeDocument/2006/relationships/hyperlink" Target="https://docs.google.com/spreadsheets/d/1N7W2Yez5WkttiInzzG5IWdD0QvlOxmFYUqdm1mRlJMA/edit?usp=drivesdk" TargetMode="External"/><Relationship Id="rId544" Type="http://schemas.openxmlformats.org/officeDocument/2006/relationships/hyperlink" Target="https://docs.google.com/spreadsheets/d/1vkCn-QUoPg8Q-XVi7E67KBg91YipROnmf48Q621AsoQ/edit?usp=drivesdk" TargetMode="External"/><Relationship Id="rId665" Type="http://schemas.openxmlformats.org/officeDocument/2006/relationships/hyperlink" Target="https://docs.google.com/spreadsheets/d/1LosR2_YKQ6PbLRvHaiL_l1kwkFENdQaEfJV8Ai0pIaQ/edit?usp=drivesdk" TargetMode="External"/><Relationship Id="rId309" Type="http://schemas.openxmlformats.org/officeDocument/2006/relationships/hyperlink" Target="https://docs.google.com/spreadsheets/d/1EVjHBSr7ATFzv44XG_cjNRW4LgVbBR8Y6BupPf6s17k/edit?usp=drivesdk" TargetMode="External"/><Relationship Id="rId308" Type="http://schemas.openxmlformats.org/officeDocument/2006/relationships/hyperlink" Target="https://docs.google.com/spreadsheets/d/1EVjHBSr7ATFzv44XG_cjNRW4LgVbBR8Y6BupPf6s17k/edit?usp=drivesdk" TargetMode="External"/><Relationship Id="rId429" Type="http://schemas.openxmlformats.org/officeDocument/2006/relationships/hyperlink" Target="https://docs.google.com/spreadsheets/d/1yVTxvEiTUCVy16WbSATW41hHNUvqCRPeGO9mOo6qsEM/edit?usp=drivesdk" TargetMode="External"/><Relationship Id="rId307" Type="http://schemas.openxmlformats.org/officeDocument/2006/relationships/hyperlink" Target="https://docs.google.com/spreadsheets/d/1yhCTwOL--fT4qgT3wZq--rsZpYfrEftujUyUpxCrOv4/edit?usp=drivesdk" TargetMode="External"/><Relationship Id="rId428" Type="http://schemas.openxmlformats.org/officeDocument/2006/relationships/hyperlink" Target="https://docs.google.com/spreadsheets/d/1yVTxvEiTUCVy16WbSATW41hHNUvqCRPeGO9mOo6qsEM/edit?usp=drivesdk" TargetMode="External"/><Relationship Id="rId549" Type="http://schemas.openxmlformats.org/officeDocument/2006/relationships/hyperlink" Target="https://docs.google.com/spreadsheets/d/1dHh3TO2-Nf_KlZ4eAD8A5xYDeFtiIB-wYIxHuwcH1Ag/edit?usp=drivesdk" TargetMode="External"/><Relationship Id="rId306" Type="http://schemas.openxmlformats.org/officeDocument/2006/relationships/hyperlink" Target="https://docs.google.com/spreadsheets/d/1yhCTwOL--fT4qgT3wZq--rsZpYfrEftujUyUpxCrOv4/edit?usp=drivesdk" TargetMode="External"/><Relationship Id="rId427" Type="http://schemas.openxmlformats.org/officeDocument/2006/relationships/hyperlink" Target="https://docs.google.com/spreadsheets/d/1RdK450Uz2NdEaNLIt3ev0piIpAUr6Ka0Y8CsjDHza68/edit?usp=drivesdk" TargetMode="External"/><Relationship Id="rId548" Type="http://schemas.openxmlformats.org/officeDocument/2006/relationships/hyperlink" Target="https://docs.google.com/spreadsheets/d/1dHh3TO2-Nf_KlZ4eAD8A5xYDeFtiIB-wYIxHuwcH1Ag/edit?usp=drivesdk" TargetMode="External"/><Relationship Id="rId669" Type="http://schemas.openxmlformats.org/officeDocument/2006/relationships/hyperlink" Target="https://docs.google.com/spreadsheets/d/1T6fJXjcIwba-GHQUvXSiJcH22A4xzQPWsm5lfqc1gO0/edit?usp=drivesdk" TargetMode="External"/><Relationship Id="rId660" Type="http://schemas.openxmlformats.org/officeDocument/2006/relationships/hyperlink" Target="https://docs.google.com/spreadsheets/d/1EsyTSVMIREP8_8MqRPADFTTXC-4ryOiKXpRXiWU1oLo/edit?usp=drivesdk" TargetMode="External"/><Relationship Id="rId301" Type="http://schemas.openxmlformats.org/officeDocument/2006/relationships/hyperlink" Target="https://docs.google.com/spreadsheets/d/1a9nDQWWkzI4VGg2uSlzQh5X0nQcnctuJSCFfLI41tfw/edit?usp=drivesdk" TargetMode="External"/><Relationship Id="rId422" Type="http://schemas.openxmlformats.org/officeDocument/2006/relationships/hyperlink" Target="https://docs.google.com/spreadsheets/d/1N7W2Yez5WkttiInzzG5IWdD0QvlOxmFYUqdm1mRlJMA/edit?usp=drivesdk" TargetMode="External"/><Relationship Id="rId543" Type="http://schemas.openxmlformats.org/officeDocument/2006/relationships/hyperlink" Target="https://docs.google.com/spreadsheets/d/18UpIHyRbygIFImFHpeQXCweJZ6p1vwicFlC1P40ogdk/edit?usp=drivesdk" TargetMode="External"/><Relationship Id="rId664" Type="http://schemas.openxmlformats.org/officeDocument/2006/relationships/hyperlink" Target="https://docs.google.com/spreadsheets/d/144p9BRcw_k1vV2h7cPo6XOQoQf_ntq9bh48Uu0Gl2ek/edit?usp=drivesdk" TargetMode="External"/><Relationship Id="rId300" Type="http://schemas.openxmlformats.org/officeDocument/2006/relationships/hyperlink" Target="https://docs.google.com/spreadsheets/d/1a9nDQWWkzI4VGg2uSlzQh5X0nQcnctuJSCFfLI41tfw/edit?usp=drivesdk" TargetMode="External"/><Relationship Id="rId421" Type="http://schemas.openxmlformats.org/officeDocument/2006/relationships/hyperlink" Target="https://docs.google.com/spreadsheets/d/1R2qjSLFPm-CNqixRfIxOxZj0WLOUND1VJSJLPFpRpSw/edit?usp=drivesdk" TargetMode="External"/><Relationship Id="rId542" Type="http://schemas.openxmlformats.org/officeDocument/2006/relationships/hyperlink" Target="https://docs.google.com/spreadsheets/d/18UpIHyRbygIFImFHpeQXCweJZ6p1vwicFlC1P40ogdk/edit?usp=drivesdk" TargetMode="External"/><Relationship Id="rId663" Type="http://schemas.openxmlformats.org/officeDocument/2006/relationships/hyperlink" Target="https://docs.google.com/spreadsheets/d/1AqAYIvlyi7Dxvugs0_sw3iaBCc8dVWBYvmUUTxPWJ9A/edit?usp=drivesdk" TargetMode="External"/><Relationship Id="rId420" Type="http://schemas.openxmlformats.org/officeDocument/2006/relationships/hyperlink" Target="https://docs.google.com/spreadsheets/d/1R2qjSLFPm-CNqixRfIxOxZj0WLOUND1VJSJLPFpRpSw/edit?usp=drivesdk" TargetMode="External"/><Relationship Id="rId541" Type="http://schemas.openxmlformats.org/officeDocument/2006/relationships/hyperlink" Target="https://docs.google.com/spreadsheets/d/1nw_jlHEzqdDs1nzh0LgcJ5GLc4hjIKpxPmjygGy3UJY/edit?usp=drivesdk" TargetMode="External"/><Relationship Id="rId662" Type="http://schemas.openxmlformats.org/officeDocument/2006/relationships/hyperlink" Target="https://docs.google.com/spreadsheets/d/1AqAYIvlyi7Dxvugs0_sw3iaBCc8dVWBYvmUUTxPWJ9A/edit?usp=drivesdk" TargetMode="External"/><Relationship Id="rId540" Type="http://schemas.openxmlformats.org/officeDocument/2006/relationships/hyperlink" Target="https://docs.google.com/spreadsheets/d/1nw_jlHEzqdDs1nzh0LgcJ5GLc4hjIKpxPmjygGy3UJY/edit?usp=drivesdk" TargetMode="External"/><Relationship Id="rId661" Type="http://schemas.openxmlformats.org/officeDocument/2006/relationships/hyperlink" Target="https://docs.google.com/spreadsheets/d/1EsyTSVMIREP8_8MqRPADFTTXC-4ryOiKXpRXiWU1oLo/edit?usp=drivesdk" TargetMode="External"/><Relationship Id="rId415" Type="http://schemas.openxmlformats.org/officeDocument/2006/relationships/hyperlink" Target="https://docs.google.com/spreadsheets/d/10zVU_7ocaOQjrh9IRH7NDgqc6h5Us6wanDpEKqZaJlU/edit?usp=drivesdk" TargetMode="External"/><Relationship Id="rId536" Type="http://schemas.openxmlformats.org/officeDocument/2006/relationships/hyperlink" Target="https://docs.google.com/spreadsheets/d/1k8-6eNp_dVHnOqTQHXBJNCb8RBoTaLqfqYX1dvAvlN8/edit?usp=drivesdk" TargetMode="External"/><Relationship Id="rId657" Type="http://schemas.openxmlformats.org/officeDocument/2006/relationships/hyperlink" Target="https://docs.google.com/spreadsheets/d/19COcM4DRJ5DD6yg7vgP7zXs_fuXlfaRwevZgoTV8g7Y/edit?usp=drivesdk" TargetMode="External"/><Relationship Id="rId414" Type="http://schemas.openxmlformats.org/officeDocument/2006/relationships/hyperlink" Target="https://docs.google.com/spreadsheets/d/10zVU_7ocaOQjrh9IRH7NDgqc6h5Us6wanDpEKqZaJlU/edit?usp=drivesdk" TargetMode="External"/><Relationship Id="rId535" Type="http://schemas.openxmlformats.org/officeDocument/2006/relationships/hyperlink" Target="https://docs.google.com/spreadsheets/d/1D0iaj02S67kSJrEurNRFLxF27Veu18OwAh07K90HJrA/edit?usp=drivesdk" TargetMode="External"/><Relationship Id="rId656" Type="http://schemas.openxmlformats.org/officeDocument/2006/relationships/hyperlink" Target="https://docs.google.com/spreadsheets/d/19COcM4DRJ5DD6yg7vgP7zXs_fuXlfaRwevZgoTV8g7Y/edit?usp=drivesdk" TargetMode="External"/><Relationship Id="rId413" Type="http://schemas.openxmlformats.org/officeDocument/2006/relationships/hyperlink" Target="https://docs.google.com/spreadsheets/d/164Qrs_6oeZf0jqnLBDyuMVrnsvFqIqwLx-C2zs4HopY/edit?usp=drivesdk" TargetMode="External"/><Relationship Id="rId534" Type="http://schemas.openxmlformats.org/officeDocument/2006/relationships/hyperlink" Target="https://docs.google.com/spreadsheets/d/1D0iaj02S67kSJrEurNRFLxF27Veu18OwAh07K90HJrA/edit?usp=drivesdk" TargetMode="External"/><Relationship Id="rId655" Type="http://schemas.openxmlformats.org/officeDocument/2006/relationships/hyperlink" Target="https://docs.google.com/spreadsheets/d/1yBtqoLaBwmOs8bWub0ewK06u882W0YL2_6f-Y2kMTFI/edit?usp=drivesdk" TargetMode="External"/><Relationship Id="rId412" Type="http://schemas.openxmlformats.org/officeDocument/2006/relationships/hyperlink" Target="https://docs.google.com/spreadsheets/d/164Qrs_6oeZf0jqnLBDyuMVrnsvFqIqwLx-C2zs4HopY/edit?usp=drivesdk" TargetMode="External"/><Relationship Id="rId533" Type="http://schemas.openxmlformats.org/officeDocument/2006/relationships/hyperlink" Target="https://docs.google.com/spreadsheets/d/1DzccTyTjlrebLzZnGTuseCdWzYTBSYfIYqSxjgpIJ1s/edit?usp=drivesdk" TargetMode="External"/><Relationship Id="rId654" Type="http://schemas.openxmlformats.org/officeDocument/2006/relationships/hyperlink" Target="https://docs.google.com/spreadsheets/d/1yBtqoLaBwmOs8bWub0ewK06u882W0YL2_6f-Y2kMTFI/edit?usp=drivesdk" TargetMode="External"/><Relationship Id="rId419" Type="http://schemas.openxmlformats.org/officeDocument/2006/relationships/hyperlink" Target="https://docs.google.com/spreadsheets/d/11BZRhMahFvOQl1Cgn-jQ7hJ5ZFA1m3F26xpD38nA_sc/edit?usp=drivesdk" TargetMode="External"/><Relationship Id="rId418" Type="http://schemas.openxmlformats.org/officeDocument/2006/relationships/hyperlink" Target="https://docs.google.com/spreadsheets/d/11BZRhMahFvOQl1Cgn-jQ7hJ5ZFA1m3F26xpD38nA_sc/edit?usp=drivesdk" TargetMode="External"/><Relationship Id="rId539" Type="http://schemas.openxmlformats.org/officeDocument/2006/relationships/hyperlink" Target="https://docs.google.com/spreadsheets/d/1gNU3Twg3R9mjl-N6atm7GRXmlx7CljuibX6IiLDMWCQ/edit?usp=drivesdk" TargetMode="External"/><Relationship Id="rId417" Type="http://schemas.openxmlformats.org/officeDocument/2006/relationships/hyperlink" Target="https://docs.google.com/spreadsheets/d/1GdqdkWBf6icZapR4lmsAPLwXWpc7ldw4xkKXWm2-cFc/edit?usp=drivesdk" TargetMode="External"/><Relationship Id="rId538" Type="http://schemas.openxmlformats.org/officeDocument/2006/relationships/hyperlink" Target="https://docs.google.com/spreadsheets/d/1gNU3Twg3R9mjl-N6atm7GRXmlx7CljuibX6IiLDMWCQ/edit?usp=drivesdk" TargetMode="External"/><Relationship Id="rId659" Type="http://schemas.openxmlformats.org/officeDocument/2006/relationships/hyperlink" Target="https://docs.google.com/spreadsheets/d/1zhBT0OEvoeX1VCN7VpvyNnNRSKEHCQJ3iVpm_nGcMPs/edit?usp=drivesdk" TargetMode="External"/><Relationship Id="rId416" Type="http://schemas.openxmlformats.org/officeDocument/2006/relationships/hyperlink" Target="https://docs.google.com/spreadsheets/d/1GdqdkWBf6icZapR4lmsAPLwXWpc7ldw4xkKXWm2-cFc/edit?usp=drivesdk" TargetMode="External"/><Relationship Id="rId537" Type="http://schemas.openxmlformats.org/officeDocument/2006/relationships/hyperlink" Target="https://docs.google.com/spreadsheets/d/1k8-6eNp_dVHnOqTQHXBJNCb8RBoTaLqfqYX1dvAvlN8/edit?usp=drivesdk" TargetMode="External"/><Relationship Id="rId658" Type="http://schemas.openxmlformats.org/officeDocument/2006/relationships/hyperlink" Target="https://docs.google.com/spreadsheets/d/1zhBT0OEvoeX1VCN7VpvyNnNRSKEHCQJ3iVpm_nGcMPs/edit?usp=drivesdk" TargetMode="External"/><Relationship Id="rId411" Type="http://schemas.openxmlformats.org/officeDocument/2006/relationships/hyperlink" Target="https://docs.google.com/spreadsheets/d/1n1sUsjgC6_vJL2waLkFZVsucgjHvSQ1nKItlx0nRbrE/edit?usp=drivesdk" TargetMode="External"/><Relationship Id="rId532" Type="http://schemas.openxmlformats.org/officeDocument/2006/relationships/hyperlink" Target="https://docs.google.com/spreadsheets/d/1DzccTyTjlrebLzZnGTuseCdWzYTBSYfIYqSxjgpIJ1s/edit?usp=drivesdk" TargetMode="External"/><Relationship Id="rId653" Type="http://schemas.openxmlformats.org/officeDocument/2006/relationships/hyperlink" Target="https://docs.google.com/spreadsheets/d/18oEswM_6FoFpo9BnrdzFLMMaHxu8FwvnAS46RyPDc1s/edit?usp=drivesdk" TargetMode="External"/><Relationship Id="rId410" Type="http://schemas.openxmlformats.org/officeDocument/2006/relationships/hyperlink" Target="https://docs.google.com/spreadsheets/d/1n1sUsjgC6_vJL2waLkFZVsucgjHvSQ1nKItlx0nRbrE/edit?usp=drivesdk" TargetMode="External"/><Relationship Id="rId531" Type="http://schemas.openxmlformats.org/officeDocument/2006/relationships/hyperlink" Target="https://docs.google.com/spreadsheets/d/17eFsr1WhnD4RaHs3vU0TADnGIEUNeAWPZtVQGzMmHOs/edit?usp=drivesdk" TargetMode="External"/><Relationship Id="rId652" Type="http://schemas.openxmlformats.org/officeDocument/2006/relationships/hyperlink" Target="https://docs.google.com/spreadsheets/d/18oEswM_6FoFpo9BnrdzFLMMaHxu8FwvnAS46RyPDc1s/edit?usp=drivesdk" TargetMode="External"/><Relationship Id="rId530" Type="http://schemas.openxmlformats.org/officeDocument/2006/relationships/hyperlink" Target="https://docs.google.com/spreadsheets/d/17eFsr1WhnD4RaHs3vU0TADnGIEUNeAWPZtVQGzMmHOs/edit?usp=drivesdk" TargetMode="External"/><Relationship Id="rId651" Type="http://schemas.openxmlformats.org/officeDocument/2006/relationships/hyperlink" Target="https://docs.google.com/spreadsheets/d/1BtAHLIVeil7XgFeQ0WsHWAskD983PaVhIrZMF5gtAjY/edit?usp=drivesdk" TargetMode="External"/><Relationship Id="rId650" Type="http://schemas.openxmlformats.org/officeDocument/2006/relationships/hyperlink" Target="https://docs.google.com/spreadsheets/d/1BtAHLIVeil7XgFeQ0WsHWAskD983PaVhIrZMF5gtAjY/edit?usp=drivesdk" TargetMode="External"/><Relationship Id="rId206" Type="http://schemas.openxmlformats.org/officeDocument/2006/relationships/hyperlink" Target="https://docs.google.com/spreadsheets/d/17Yrp1NU25ub1TeKaqKjwpBXh45QXYBt4KWhUqmadbeA/edit?usp=drivesdk" TargetMode="External"/><Relationship Id="rId327" Type="http://schemas.openxmlformats.org/officeDocument/2006/relationships/hyperlink" Target="https://docs.google.com/spreadsheets/d/1vUt933cLDNrzdU_w6nvytFK7gwIkbw5ARlS_Dd7syuQ/edit?usp=drivesdk" TargetMode="External"/><Relationship Id="rId448" Type="http://schemas.openxmlformats.org/officeDocument/2006/relationships/hyperlink" Target="https://docs.google.com/spreadsheets/d/1fHvAljzVQagjNEUM-DWel6L_VDlJXFW9UiH_Slx4nlY/edit?usp=drivesdk" TargetMode="External"/><Relationship Id="rId569" Type="http://schemas.openxmlformats.org/officeDocument/2006/relationships/hyperlink" Target="https://docs.google.com/spreadsheets/d/1GscA5uLAIFlebkBQCR_3Ou0t7QGVTThrM7hv1P1GBC0/edit?usp=drivesdk" TargetMode="External"/><Relationship Id="rId205" Type="http://schemas.openxmlformats.org/officeDocument/2006/relationships/hyperlink" Target="https://docs.google.com/spreadsheets/d/11pJT3aqJH1wrEjgAO1Z8P4GKe5EWxPWJBlGKNMBcbOo/edit?usp=drivesdk" TargetMode="External"/><Relationship Id="rId326" Type="http://schemas.openxmlformats.org/officeDocument/2006/relationships/hyperlink" Target="https://docs.google.com/spreadsheets/d/1vUt933cLDNrzdU_w6nvytFK7gwIkbw5ARlS_Dd7syuQ/edit?usp=drivesdk" TargetMode="External"/><Relationship Id="rId447" Type="http://schemas.openxmlformats.org/officeDocument/2006/relationships/hyperlink" Target="https://docs.google.com/spreadsheets/d/1Uvvx0GRuUqzU38a4bmV9Z52BpK-YIfUX_a4XIgPJmuY/edit?usp=drivesdk" TargetMode="External"/><Relationship Id="rId568" Type="http://schemas.openxmlformats.org/officeDocument/2006/relationships/hyperlink" Target="https://docs.google.com/spreadsheets/d/1GscA5uLAIFlebkBQCR_3Ou0t7QGVTThrM7hv1P1GBC0/edit?usp=drivesdk" TargetMode="External"/><Relationship Id="rId204" Type="http://schemas.openxmlformats.org/officeDocument/2006/relationships/hyperlink" Target="https://docs.google.com/spreadsheets/d/11pJT3aqJH1wrEjgAO1Z8P4GKe5EWxPWJBlGKNMBcbOo/edit?usp=drivesdk" TargetMode="External"/><Relationship Id="rId325" Type="http://schemas.openxmlformats.org/officeDocument/2006/relationships/hyperlink" Target="https://docs.google.com/spreadsheets/d/1KTMLA0LuNqX4ej_ozaAlmVcl2yKSG1RS4s578JI83qo/edit?usp=drivesdk" TargetMode="External"/><Relationship Id="rId446" Type="http://schemas.openxmlformats.org/officeDocument/2006/relationships/hyperlink" Target="https://docs.google.com/spreadsheets/d/1Uvvx0GRuUqzU38a4bmV9Z52BpK-YIfUX_a4XIgPJmuY/edit?usp=drivesdk" TargetMode="External"/><Relationship Id="rId567" Type="http://schemas.openxmlformats.org/officeDocument/2006/relationships/hyperlink" Target="https://docs.google.com/spreadsheets/d/1vI1w4kb5yLOe_xsuNiaZW-8yHQHXotD2kd3lZ3haQ98/edit?usp=drivesdk" TargetMode="External"/><Relationship Id="rId203" Type="http://schemas.openxmlformats.org/officeDocument/2006/relationships/hyperlink" Target="https://docs.google.com/spreadsheets/d/1ohsRoAcXhSwipXQ3OAMXTIvTT0RCrcVIbpkrdszz2F4/edit?usp=drivesdk" TargetMode="External"/><Relationship Id="rId324" Type="http://schemas.openxmlformats.org/officeDocument/2006/relationships/hyperlink" Target="https://docs.google.com/spreadsheets/d/1KTMLA0LuNqX4ej_ozaAlmVcl2yKSG1RS4s578JI83qo/edit?usp=drivesdk" TargetMode="External"/><Relationship Id="rId445" Type="http://schemas.openxmlformats.org/officeDocument/2006/relationships/hyperlink" Target="https://docs.google.com/spreadsheets/d/11EdxXF2mvvFjwX4pIj1l7JtrP6jIHfqrmzS0wS_DEDg/edit?usp=drivesdk" TargetMode="External"/><Relationship Id="rId566" Type="http://schemas.openxmlformats.org/officeDocument/2006/relationships/hyperlink" Target="https://docs.google.com/spreadsheets/d/1vI1w4kb5yLOe_xsuNiaZW-8yHQHXotD2kd3lZ3haQ98/edit?usp=drivesdk" TargetMode="External"/><Relationship Id="rId209" Type="http://schemas.openxmlformats.org/officeDocument/2006/relationships/hyperlink" Target="https://docs.google.com/spreadsheets/d/1BwzWaEKEMR4NNx5oxaW92Zkvaxf30BqFwbnnMFqFG_I/edit?usp=drivesdk" TargetMode="External"/><Relationship Id="rId208" Type="http://schemas.openxmlformats.org/officeDocument/2006/relationships/hyperlink" Target="https://docs.google.com/spreadsheets/d/1BwzWaEKEMR4NNx5oxaW92Zkvaxf30BqFwbnnMFqFG_I/edit?usp=drivesdk" TargetMode="External"/><Relationship Id="rId329" Type="http://schemas.openxmlformats.org/officeDocument/2006/relationships/hyperlink" Target="https://docs.google.com/spreadsheets/d/18ipKJZyCqXQVFkVHbzmQfo4t_yYoQgACDsOUHZ17HIk/edit?usp=drivesdk" TargetMode="External"/><Relationship Id="rId207" Type="http://schemas.openxmlformats.org/officeDocument/2006/relationships/hyperlink" Target="https://docs.google.com/spreadsheets/d/17Yrp1NU25ub1TeKaqKjwpBXh45QXYBt4KWhUqmadbeA/edit?usp=drivesdk" TargetMode="External"/><Relationship Id="rId328" Type="http://schemas.openxmlformats.org/officeDocument/2006/relationships/hyperlink" Target="https://docs.google.com/spreadsheets/d/18ipKJZyCqXQVFkVHbzmQfo4t_yYoQgACDsOUHZ17HIk/edit?usp=drivesdk" TargetMode="External"/><Relationship Id="rId449" Type="http://schemas.openxmlformats.org/officeDocument/2006/relationships/hyperlink" Target="https://docs.google.com/spreadsheets/d/1fHvAljzVQagjNEUM-DWel6L_VDlJXFW9UiH_Slx4nlY/edit?usp=drivesdk" TargetMode="External"/><Relationship Id="rId440" Type="http://schemas.openxmlformats.org/officeDocument/2006/relationships/hyperlink" Target="https://docs.google.com/spreadsheets/d/1AqVBLPXGYm31B8c7ZUd4BokA306ZM0xsLUNzQXOiId4/edit?usp=drivesdk" TargetMode="External"/><Relationship Id="rId561" Type="http://schemas.openxmlformats.org/officeDocument/2006/relationships/hyperlink" Target="https://docs.google.com/spreadsheets/d/13ye6kqA_tl4_J1fi1ECKWDeJK1Wr6izC3Ie_1dvcQiI/edit?usp=drivesdk" TargetMode="External"/><Relationship Id="rId682" Type="http://schemas.openxmlformats.org/officeDocument/2006/relationships/hyperlink" Target="https://docs.google.com/spreadsheets/d/1vUBez1a2LLjyi3gyzVnaM_MzqMkSBljLmaRSw2tD3zw/edit?usp=drivesdk" TargetMode="External"/><Relationship Id="rId560" Type="http://schemas.openxmlformats.org/officeDocument/2006/relationships/hyperlink" Target="https://docs.google.com/spreadsheets/d/13ye6kqA_tl4_J1fi1ECKWDeJK1Wr6izC3Ie_1dvcQiI/edit?usp=drivesdk" TargetMode="External"/><Relationship Id="rId681" Type="http://schemas.openxmlformats.org/officeDocument/2006/relationships/hyperlink" Target="https://docs.google.com/spreadsheets/d/1dckpjNIqqVGZVb0OIjQQqAC-EXBj13w6vrUnLRY6Xd0/edit?usp=drivesdk" TargetMode="External"/><Relationship Id="rId680" Type="http://schemas.openxmlformats.org/officeDocument/2006/relationships/hyperlink" Target="https://docs.google.com/spreadsheets/d/135Ie6sA-WeXI7xYIpr1PKqf04amSjy7NmUNsn6KLer8/edit?usp=drivesdk" TargetMode="External"/><Relationship Id="rId202" Type="http://schemas.openxmlformats.org/officeDocument/2006/relationships/hyperlink" Target="https://docs.google.com/spreadsheets/d/1ohsRoAcXhSwipXQ3OAMXTIvTT0RCrcVIbpkrdszz2F4/edit?usp=drivesdk" TargetMode="External"/><Relationship Id="rId323" Type="http://schemas.openxmlformats.org/officeDocument/2006/relationships/hyperlink" Target="https://docs.google.com/spreadsheets/d/1W6vPJDVfTIFcQt9A0J5lyHwroF9xzQWDTmsYXuOJ560/edit?usp=drivesdk" TargetMode="External"/><Relationship Id="rId444" Type="http://schemas.openxmlformats.org/officeDocument/2006/relationships/hyperlink" Target="https://docs.google.com/spreadsheets/d/11EdxXF2mvvFjwX4pIj1l7JtrP6jIHfqrmzS0wS_DEDg/edit?usp=drivesdk" TargetMode="External"/><Relationship Id="rId565" Type="http://schemas.openxmlformats.org/officeDocument/2006/relationships/hyperlink" Target="https://docs.google.com/spreadsheets/d/1mzXnEu9vVOYJbxvp_ISS8vE3S5R_2mC6hfefUw_xUhs/edit?usp=drivesdk" TargetMode="External"/><Relationship Id="rId201" Type="http://schemas.openxmlformats.org/officeDocument/2006/relationships/hyperlink" Target="https://docs.google.com/spreadsheets/d/1-6Yzqb-v-KcEWD-mF-ZEOKRtj026Yu2yA3qMM467U6k/edit?usp=drivesdk" TargetMode="External"/><Relationship Id="rId322" Type="http://schemas.openxmlformats.org/officeDocument/2006/relationships/hyperlink" Target="https://docs.google.com/spreadsheets/d/1W6vPJDVfTIFcQt9A0J5lyHwroF9xzQWDTmsYXuOJ560/edit?usp=drivesdk" TargetMode="External"/><Relationship Id="rId443" Type="http://schemas.openxmlformats.org/officeDocument/2006/relationships/hyperlink" Target="https://docs.google.com/spreadsheets/d/1iAKvHXYLeAQ5JRGHMbmVSHcMOzGTCq9PvUybQry-SRg/edit?usp=drivesdk" TargetMode="External"/><Relationship Id="rId564" Type="http://schemas.openxmlformats.org/officeDocument/2006/relationships/hyperlink" Target="https://docs.google.com/spreadsheets/d/1mzXnEu9vVOYJbxvp_ISS8vE3S5R_2mC6hfefUw_xUhs/edit?usp=drivesdk" TargetMode="External"/><Relationship Id="rId200" Type="http://schemas.openxmlformats.org/officeDocument/2006/relationships/hyperlink" Target="https://docs.google.com/spreadsheets/d/1-6Yzqb-v-KcEWD-mF-ZEOKRtj026Yu2yA3qMM467U6k/edit?usp=drivesdk" TargetMode="External"/><Relationship Id="rId321" Type="http://schemas.openxmlformats.org/officeDocument/2006/relationships/hyperlink" Target="https://docs.google.com/spreadsheets/d/16-E7gN0t9gCcpn1BYr0MDIQwpZYVlVEf5osaKlp8bL4/edit?usp=drivesdk" TargetMode="External"/><Relationship Id="rId442" Type="http://schemas.openxmlformats.org/officeDocument/2006/relationships/hyperlink" Target="https://docs.google.com/spreadsheets/d/1iAKvHXYLeAQ5JRGHMbmVSHcMOzGTCq9PvUybQry-SRg/edit?usp=drivesdk" TargetMode="External"/><Relationship Id="rId563" Type="http://schemas.openxmlformats.org/officeDocument/2006/relationships/hyperlink" Target="https://docs.google.com/spreadsheets/d/1nfkOHr0dOchXNkzC-jfhLyb-HWOqJ1hjGo8dgi-E24I/edit?usp=drivesdk" TargetMode="External"/><Relationship Id="rId684" Type="http://schemas.openxmlformats.org/officeDocument/2006/relationships/vmlDrawing" Target="../drawings/vmlDrawing22.vml"/><Relationship Id="rId320" Type="http://schemas.openxmlformats.org/officeDocument/2006/relationships/hyperlink" Target="https://docs.google.com/spreadsheets/d/16-E7gN0t9gCcpn1BYr0MDIQwpZYVlVEf5osaKlp8bL4/edit?usp=drivesdk" TargetMode="External"/><Relationship Id="rId441" Type="http://schemas.openxmlformats.org/officeDocument/2006/relationships/hyperlink" Target="https://docs.google.com/spreadsheets/d/1AqVBLPXGYm31B8c7ZUd4BokA306ZM0xsLUNzQXOiId4/edit?usp=drivesdk" TargetMode="External"/><Relationship Id="rId562" Type="http://schemas.openxmlformats.org/officeDocument/2006/relationships/hyperlink" Target="https://docs.google.com/spreadsheets/d/1nfkOHr0dOchXNkzC-jfhLyb-HWOqJ1hjGo8dgi-E24I/edit?usp=drivesdk" TargetMode="External"/><Relationship Id="rId683" Type="http://schemas.openxmlformats.org/officeDocument/2006/relationships/drawing" Target="../drawings/drawing24.xml"/><Relationship Id="rId316" Type="http://schemas.openxmlformats.org/officeDocument/2006/relationships/hyperlink" Target="https://docs.google.com/spreadsheets/d/1TtpinYVB_e7goLTgWMmP3fyN5Zr_GSxQUydrMfb0cZ4/edit?usp=drivesdk" TargetMode="External"/><Relationship Id="rId437" Type="http://schemas.openxmlformats.org/officeDocument/2006/relationships/hyperlink" Target="https://docs.google.com/spreadsheets/d/1qLfuv7_i_BAm49sQntDFSxMHkfdQ3d3mpuro6AHdXR8/edit?usp=drivesdk" TargetMode="External"/><Relationship Id="rId558" Type="http://schemas.openxmlformats.org/officeDocument/2006/relationships/hyperlink" Target="https://docs.google.com/spreadsheets/d/1q_xHL8QtaOxeh5nI3gaQnmlx1oQG5QR9IKfAcCo-vck/edit?usp=drivesdk" TargetMode="External"/><Relationship Id="rId679" Type="http://schemas.openxmlformats.org/officeDocument/2006/relationships/hyperlink" Target="https://docs.google.com/spreadsheets/d/1kztsqzPDmNnpWw6isPE0meNylIHwrqmbL0OK1_kAX_I/edit?usp=drivesdk" TargetMode="External"/><Relationship Id="rId315" Type="http://schemas.openxmlformats.org/officeDocument/2006/relationships/hyperlink" Target="https://docs.google.com/spreadsheets/d/1m9-LYo59GJlbIl-eMHyzT8cH9nh5ii1nGLyWxHJTeZU/edit?usp=drivesdk" TargetMode="External"/><Relationship Id="rId436" Type="http://schemas.openxmlformats.org/officeDocument/2006/relationships/hyperlink" Target="https://docs.google.com/spreadsheets/d/1qLfuv7_i_BAm49sQntDFSxMHkfdQ3d3mpuro6AHdXR8/edit?usp=drivesdk" TargetMode="External"/><Relationship Id="rId557" Type="http://schemas.openxmlformats.org/officeDocument/2006/relationships/hyperlink" Target="https://docs.google.com/spreadsheets/d/161ZL6SVF7NpAFUjvkQqy9mCcsiYhAc9ZAEPy50mNntA/edit?usp=drivesdk" TargetMode="External"/><Relationship Id="rId678" Type="http://schemas.openxmlformats.org/officeDocument/2006/relationships/hyperlink" Target="https://docs.google.com/spreadsheets/d/1emjA0ySjivbiyrrljMX8lOfM2BlbKgKBHg9NbruTPqw/edit?usp=drivesdk" TargetMode="External"/><Relationship Id="rId314" Type="http://schemas.openxmlformats.org/officeDocument/2006/relationships/hyperlink" Target="https://docs.google.com/spreadsheets/d/1m9-LYo59GJlbIl-eMHyzT8cH9nh5ii1nGLyWxHJTeZU/edit?usp=drivesdk" TargetMode="External"/><Relationship Id="rId435" Type="http://schemas.openxmlformats.org/officeDocument/2006/relationships/hyperlink" Target="https://docs.google.com/spreadsheets/d/1cAGYp9yUZh0QmmTGgkQsOkIpFeTJIb1Hg8ib7MCPE7g/edit?usp=drivesdk" TargetMode="External"/><Relationship Id="rId556" Type="http://schemas.openxmlformats.org/officeDocument/2006/relationships/hyperlink" Target="https://docs.google.com/spreadsheets/d/161ZL6SVF7NpAFUjvkQqy9mCcsiYhAc9ZAEPy50mNntA/edit?usp=drivesdk" TargetMode="External"/><Relationship Id="rId677" Type="http://schemas.openxmlformats.org/officeDocument/2006/relationships/hyperlink" Target="https://docs.google.com/spreadsheets/d/1NRn3felVgsUyMBoqU9x2ykqV78f6K-7n2atl6EYNNMw/edit?usp=drivesdk" TargetMode="External"/><Relationship Id="rId313" Type="http://schemas.openxmlformats.org/officeDocument/2006/relationships/hyperlink" Target="https://docs.google.com/spreadsheets/d/1j4MpBIHkLlo9JdMD0Xh3VuZmOKZTPcuuaEAFVA_jC0U/edit?usp=drivesdk" TargetMode="External"/><Relationship Id="rId434" Type="http://schemas.openxmlformats.org/officeDocument/2006/relationships/hyperlink" Target="https://docs.google.com/spreadsheets/d/1cAGYp9yUZh0QmmTGgkQsOkIpFeTJIb1Hg8ib7MCPE7g/edit?usp=drivesdk" TargetMode="External"/><Relationship Id="rId555" Type="http://schemas.openxmlformats.org/officeDocument/2006/relationships/hyperlink" Target="https://docs.google.com/spreadsheets/d/1mfKu7sZMWLA-qdXe4o-aZ09QhdyzTcpz7IZx7OksQTI/edit?usp=drivesdk" TargetMode="External"/><Relationship Id="rId676" Type="http://schemas.openxmlformats.org/officeDocument/2006/relationships/hyperlink" Target="https://docs.google.com/spreadsheets/d/1ij95JXv8R3PFAuxUG37WX0GBc7vrOYhsO75MHw3VoUM/edit?usp=drivesdk" TargetMode="External"/><Relationship Id="rId319" Type="http://schemas.openxmlformats.org/officeDocument/2006/relationships/hyperlink" Target="https://docs.google.com/spreadsheets/d/16gTu5RZlXFZ9y9YFoHrnfC7PfoPKlAxoTmLZygcfXkE/edit?usp=drivesdk" TargetMode="External"/><Relationship Id="rId318" Type="http://schemas.openxmlformats.org/officeDocument/2006/relationships/hyperlink" Target="https://docs.google.com/spreadsheets/d/16gTu5RZlXFZ9y9YFoHrnfC7PfoPKlAxoTmLZygcfXkE/edit?usp=drivesdk" TargetMode="External"/><Relationship Id="rId439" Type="http://schemas.openxmlformats.org/officeDocument/2006/relationships/hyperlink" Target="https://docs.google.com/spreadsheets/d/1l_O_4OxX-y7n2F5kCKemPzIBelYNeEmFkJR0SXA8Ins/edit?usp=drivesdk" TargetMode="External"/><Relationship Id="rId317" Type="http://schemas.openxmlformats.org/officeDocument/2006/relationships/hyperlink" Target="https://docs.google.com/spreadsheets/d/1TtpinYVB_e7goLTgWMmP3fyN5Zr_GSxQUydrMfb0cZ4/edit?usp=drivesdk" TargetMode="External"/><Relationship Id="rId438" Type="http://schemas.openxmlformats.org/officeDocument/2006/relationships/hyperlink" Target="https://docs.google.com/spreadsheets/d/1l_O_4OxX-y7n2F5kCKemPzIBelYNeEmFkJR0SXA8Ins/edit?usp=drivesdk" TargetMode="External"/><Relationship Id="rId559" Type="http://schemas.openxmlformats.org/officeDocument/2006/relationships/hyperlink" Target="https://docs.google.com/spreadsheets/d/1q_xHL8QtaOxeh5nI3gaQnmlx1oQG5QR9IKfAcCo-vck/edit?usp=drivesdk" TargetMode="External"/><Relationship Id="rId550" Type="http://schemas.openxmlformats.org/officeDocument/2006/relationships/hyperlink" Target="https://docs.google.com/spreadsheets/d/1acEqb8l6NDSib_ofK6PGWZS8222jHBG-V1c6ZyAXjJU/edit?usp=drivesdk" TargetMode="External"/><Relationship Id="rId671" Type="http://schemas.openxmlformats.org/officeDocument/2006/relationships/hyperlink" Target="https://docs.google.com/spreadsheets/d/17lx7eQDJy2A5x_XRdaGKkj81QrsDDCpuAlQxs5v1k0w/edit?usp=drivesdk" TargetMode="External"/><Relationship Id="rId670" Type="http://schemas.openxmlformats.org/officeDocument/2006/relationships/hyperlink" Target="https://docs.google.com/spreadsheets/d/13PaqWtI_v8Qpw-L56a3uLy-5NLwOnvK6y88DHDMBA1E/edit?usp=drivesdk" TargetMode="External"/><Relationship Id="rId312" Type="http://schemas.openxmlformats.org/officeDocument/2006/relationships/hyperlink" Target="https://docs.google.com/spreadsheets/d/1j4MpBIHkLlo9JdMD0Xh3VuZmOKZTPcuuaEAFVA_jC0U/edit?usp=drivesdk" TargetMode="External"/><Relationship Id="rId433" Type="http://schemas.openxmlformats.org/officeDocument/2006/relationships/hyperlink" Target="https://docs.google.com/spreadsheets/d/11z8z6m7dbjikIQAIcffjxvz9GDSNJ8ZW2aUGqZqSGdc/edit?usp=drivesdk" TargetMode="External"/><Relationship Id="rId554" Type="http://schemas.openxmlformats.org/officeDocument/2006/relationships/hyperlink" Target="https://docs.google.com/spreadsheets/d/1mfKu7sZMWLA-qdXe4o-aZ09QhdyzTcpz7IZx7OksQTI/edit?usp=drivesdk" TargetMode="External"/><Relationship Id="rId675" Type="http://schemas.openxmlformats.org/officeDocument/2006/relationships/hyperlink" Target="https://docs.google.com/spreadsheets/d/1EP-OiFeZZNU3TNq_wSnvHsr0as6PN3BksrWplHRlMMQ/edit?usp=drivesdk" TargetMode="External"/><Relationship Id="rId311" Type="http://schemas.openxmlformats.org/officeDocument/2006/relationships/hyperlink" Target="https://docs.google.com/spreadsheets/d/1EYezTMbnH0NHoJPLdcxjioVvPE8qqPviN8rz99ebiOY/edit?usp=drivesdk" TargetMode="External"/><Relationship Id="rId432" Type="http://schemas.openxmlformats.org/officeDocument/2006/relationships/hyperlink" Target="https://docs.google.com/spreadsheets/d/11z8z6m7dbjikIQAIcffjxvz9GDSNJ8ZW2aUGqZqSGdc/edit?usp=drivesdk" TargetMode="External"/><Relationship Id="rId553" Type="http://schemas.openxmlformats.org/officeDocument/2006/relationships/hyperlink" Target="https://docs.google.com/spreadsheets/d/1Ef7rFRwKKd9naVVdW8nQNs76h9xprN7TLb7B92UtIsc/edit?usp=drivesdk" TargetMode="External"/><Relationship Id="rId674" Type="http://schemas.openxmlformats.org/officeDocument/2006/relationships/hyperlink" Target="https://docs.google.com/spreadsheets/d/1oBnrTg6MElQx5gTsiYmdQlMoIgwGq_BUrmJ_ohzOwj8/edit?usp=drivesdk" TargetMode="External"/><Relationship Id="rId310" Type="http://schemas.openxmlformats.org/officeDocument/2006/relationships/hyperlink" Target="https://docs.google.com/spreadsheets/d/1EYezTMbnH0NHoJPLdcxjioVvPE8qqPviN8rz99ebiOY/edit?usp=drivesdk" TargetMode="External"/><Relationship Id="rId431" Type="http://schemas.openxmlformats.org/officeDocument/2006/relationships/hyperlink" Target="https://docs.google.com/spreadsheets/d/1QO46Vz_RRpqeTKZx6M_80tNjP8JFEG5EcK_tmnnJDu8/edit?usp=drivesdk" TargetMode="External"/><Relationship Id="rId552" Type="http://schemas.openxmlformats.org/officeDocument/2006/relationships/hyperlink" Target="https://docs.google.com/spreadsheets/d/1Ef7rFRwKKd9naVVdW8nQNs76h9xprN7TLb7B92UtIsc/edit?usp=drivesdk" TargetMode="External"/><Relationship Id="rId673" Type="http://schemas.openxmlformats.org/officeDocument/2006/relationships/hyperlink" Target="https://docs.google.com/spreadsheets/d/1RFhbI7CWLeaAelL7oXO2x2luPq2dkVf77WDtFiDj-HE/edit?usp=drivesdk" TargetMode="External"/><Relationship Id="rId430" Type="http://schemas.openxmlformats.org/officeDocument/2006/relationships/hyperlink" Target="https://docs.google.com/spreadsheets/d/1QO46Vz_RRpqeTKZx6M_80tNjP8JFEG5EcK_tmnnJDu8/edit?usp=drivesdk" TargetMode="External"/><Relationship Id="rId551" Type="http://schemas.openxmlformats.org/officeDocument/2006/relationships/hyperlink" Target="https://docs.google.com/spreadsheets/d/1acEqb8l6NDSib_ofK6PGWZS8222jHBG-V1c6ZyAXjJU/edit?usp=drivesdk" TargetMode="External"/><Relationship Id="rId672" Type="http://schemas.openxmlformats.org/officeDocument/2006/relationships/hyperlink" Target="https://docs.google.com/spreadsheets/d/1MIvkYMp-YAVFOWjWuLLLHoh_v1TiTqONmWz6CS0lNVE/edit?usp=drivesdk"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rello.com/c/4sLy7m09/41-affitto-extra-modulo-laccio?search_id=e5655ad7-853e-4f9b-8c01-bfcb0186cfdc" TargetMode="External"/><Relationship Id="rId2" Type="http://schemas.openxmlformats.org/officeDocument/2006/relationships/hyperlink" Target="https://docs.google.com/spreadsheets/u/0/d/1yPkZU75lDVa389ztKemHH64jKdVAncvAuZDxLhCtM3M/edit" TargetMode="External"/><Relationship Id="rId3" Type="http://schemas.openxmlformats.org/officeDocument/2006/relationships/hyperlink" Target="https://trello.com/c/fv2lWpPD/621-balloinbianco-07-09-2025-comunicazione" TargetMode="External"/><Relationship Id="rId4" Type="http://schemas.openxmlformats.org/officeDocument/2006/relationships/hyperlink" Target="https://trello.com/c/mN1r91Wa/622-ballorosso-07-09-2025-comunicazione" TargetMode="External"/><Relationship Id="rId9" Type="http://schemas.openxmlformats.org/officeDocument/2006/relationships/hyperlink" Target="https://trello.com/c/76YZ03iP/612-all-you-can-dance-csain-04-05-2025" TargetMode="External"/><Relationship Id="rId5" Type="http://schemas.openxmlformats.org/officeDocument/2006/relationships/hyperlink" Target="https://trello.com/c/Bp5MiO9q/623-openclass-ondance-2025-comunicazione" TargetMode="External"/><Relationship Id="rId6" Type="http://schemas.openxmlformats.org/officeDocument/2006/relationships/hyperlink" Target="https://trello.com/c/Bp5MiO9q/623-openclass-ondance-2025-comunicazione" TargetMode="External"/><Relationship Id="rId7" Type="http://schemas.openxmlformats.org/officeDocument/2006/relationships/hyperlink" Target="https://trello.com/c/Bp5MiO9q/623-openclass-ondance-2025-comunicazione" TargetMode="External"/><Relationship Id="rId8" Type="http://schemas.openxmlformats.org/officeDocument/2006/relationships/hyperlink" Target="https://trello.com/c/GxL1cMFz/575-evento-union-latina-europea-a-milano-marittima-234-maggio-2025" TargetMode="External"/><Relationship Id="rId40" Type="http://schemas.openxmlformats.org/officeDocument/2006/relationships/hyperlink" Target="https://trello.com/c/Y1i5ZcRO/177-affitto-sala-beatrice-carbone?search_id=82219b84-c4b9-4b96-af99-df0ef6116675" TargetMode="External"/><Relationship Id="rId42" Type="http://schemas.openxmlformats.org/officeDocument/2006/relationships/hyperlink" Target="https://trello.com/c/m1kuAHdm/638-mind-fest-parco-ravizza-domenica-28-10-25" TargetMode="External"/><Relationship Id="rId41" Type="http://schemas.openxmlformats.org/officeDocument/2006/relationships/hyperlink" Target="https://trello.com/c/1WOUg5WC/629-ws-nicol%C3%B2-de-angelis-salsa-musicality-domenica-16-11-25" TargetMode="External"/><Relationship Id="rId44" Type="http://schemas.openxmlformats.org/officeDocument/2006/relationships/hyperlink" Target="https://trello.com/c/tP2uoLen" TargetMode="External"/><Relationship Id="rId43" Type="http://schemas.openxmlformats.org/officeDocument/2006/relationships/hyperlink" Target="https://trello.com/c/m1kuAHdm/638-mind-fest-parco-ravizza-domenica-28-10-25" TargetMode="External"/><Relationship Id="rId46" Type="http://schemas.openxmlformats.org/officeDocument/2006/relationships/hyperlink" Target="https://trello.com/c/rIFD7GvW/650-ws-alessio-cavaliere-urban-domenica-01-02-26" TargetMode="External"/><Relationship Id="rId45" Type="http://schemas.openxmlformats.org/officeDocument/2006/relationships/hyperlink" Target="https://trello.com/c/V9e6TCEg/394-workshop-andrea-truzzi-domenica-26-10-25-pilates-per-ballerini" TargetMode="External"/><Relationship Id="rId48" Type="http://schemas.openxmlformats.org/officeDocument/2006/relationships/hyperlink" Target="https://trello.com/c/v6inwDs4" TargetMode="External"/><Relationship Id="rId47" Type="http://schemas.openxmlformats.org/officeDocument/2006/relationships/hyperlink" Target="https://trello.com/c/f7gSAceO/642-premio-vienna-danza-30-11-25-acsi" TargetMode="External"/><Relationship Id="rId49" Type="http://schemas.openxmlformats.org/officeDocument/2006/relationships/hyperlink" Target="https://trello.com/b/HcJMAmEy/comunicazione-online-offline-17-1" TargetMode="External"/><Relationship Id="rId31" Type="http://schemas.openxmlformats.org/officeDocument/2006/relationships/hyperlink" Target="https://trello.com/c/tP2uoLen" TargetMode="External"/><Relationship Id="rId30" Type="http://schemas.openxmlformats.org/officeDocument/2006/relationships/hyperlink" Target="https://docs.google.com/spreadsheets/d/1D1uiep4dwY22bglUtUerGO9EJ_ZDNc7fe4HhvD6jGC0/edit?gid=1856535678" TargetMode="External"/><Relationship Id="rId33" Type="http://schemas.openxmlformats.org/officeDocument/2006/relationships/hyperlink" Target="https://trello.com/c/xGijU2oG/633-ws-lulu-kulova-heels-fusion-domenica-26-10-25" TargetMode="External"/><Relationship Id="rId32" Type="http://schemas.openxmlformats.org/officeDocument/2006/relationships/hyperlink" Target="https://trello.com/c/tP2uoLen" TargetMode="External"/><Relationship Id="rId35" Type="http://schemas.openxmlformats.org/officeDocument/2006/relationships/hyperlink" Target="https://trello.com/c/t1510E6Q/635-ws-nerea-pasitos-e-salsa-flamenco-14-12-25" TargetMode="External"/><Relationship Id="rId34" Type="http://schemas.openxmlformats.org/officeDocument/2006/relationships/hyperlink" Target="https://trello.com/c/1WOUg5WC/629-ws-nicol%C3%B2-de-angelis-salsa-musicality-domenica-16-11-25" TargetMode="External"/><Relationship Id="rId37" Type="http://schemas.openxmlformats.org/officeDocument/2006/relationships/hyperlink" Target="https://trello.com/c/Y1i5ZcRO/177-affitto-sala-beatrice-carbone?search_id=82219b84-c4b9-4b96-af99-df0ef6116675" TargetMode="External"/><Relationship Id="rId36" Type="http://schemas.openxmlformats.org/officeDocument/2006/relationships/hyperlink" Target="https://trello.com/c/vmwAth9z/636-ws-deborah-esposito-heels-domenica-16-11-25?search_id=570b1b12-51a2-4a53-a968-915a39ece0e1" TargetMode="External"/><Relationship Id="rId39" Type="http://schemas.openxmlformats.org/officeDocument/2006/relationships/hyperlink" Target="https://trello.com/c/Y1i5ZcRO/177-affitto-sala-beatrice-carbone?search_id=82219b84-c4b9-4b96-af99-df0ef6116675" TargetMode="External"/><Relationship Id="rId38" Type="http://schemas.openxmlformats.org/officeDocument/2006/relationships/hyperlink" Target="https://trello.com/c/Y1i5ZcRO/177-affitto-sala-beatrice-carbone?search_id=82219b84-c4b9-4b96-af99-df0ef6116675" TargetMode="External"/><Relationship Id="rId20" Type="http://schemas.openxmlformats.org/officeDocument/2006/relationships/hyperlink" Target="https://trello.com/c/Rt5yef52" TargetMode="External"/><Relationship Id="rId22" Type="http://schemas.openxmlformats.org/officeDocument/2006/relationships/hyperlink" Target="https://trello.com/c/YzPpKH2D/630-ws-kumo-urban-domenica-09-11-25" TargetMode="External"/><Relationship Id="rId21" Type="http://schemas.openxmlformats.org/officeDocument/2006/relationships/hyperlink" Target="https://trello.com/c/OnEa0khv/600-jhesus-aponte-lady-style-salsa-17-marzo-2025" TargetMode="External"/><Relationship Id="rId24" Type="http://schemas.openxmlformats.org/officeDocument/2006/relationships/hyperlink" Target="https://trello.com/c/bqhVTwOn/578-lucia-ferrari-commercial-8-febbraio-2024" TargetMode="External"/><Relationship Id="rId23" Type="http://schemas.openxmlformats.org/officeDocument/2006/relationships/hyperlink" Target="https://trello.com/c/bLyLVkVs/631-ws-leli-indian-fusion-domenica-09-11-25" TargetMode="External"/><Relationship Id="rId26" Type="http://schemas.openxmlformats.org/officeDocument/2006/relationships/hyperlink" Target="https://trello.com/c/t7kr5fvc/341-workshop-nicholas-borgogni-05-04-2025-modern" TargetMode="External"/><Relationship Id="rId25" Type="http://schemas.openxmlformats.org/officeDocument/2006/relationships/hyperlink" Target="https://trello.com/c/ZARHeXwG/585-megan-ria-heels-23-febbraio-2025" TargetMode="External"/><Relationship Id="rId28" Type="http://schemas.openxmlformats.org/officeDocument/2006/relationships/hyperlink" Target="https://docs.google.com/spreadsheets/d/1iQMsg8Xt5XUHzbvXme-d72JMqfVyHkTRcIeOHV9oR_4/edit?usp=drive_link" TargetMode="External"/><Relationship Id="rId27" Type="http://schemas.openxmlformats.org/officeDocument/2006/relationships/hyperlink" Target="https://trello.com/c/x2nUozFp/637-ws-timor-steffens-commercial-domenica-26-10-25" TargetMode="External"/><Relationship Id="rId29" Type="http://schemas.openxmlformats.org/officeDocument/2006/relationships/hyperlink" Target="https://docs.google.com/spreadsheets/d/18iHbFEZ6msv3IU3InH0K5SEgnjM_8H0uHajc7c4fMiQ/edit?gid=1856535678" TargetMode="External"/><Relationship Id="rId11" Type="http://schemas.openxmlformats.org/officeDocument/2006/relationships/hyperlink" Target="https://trello.com/c/17YPss82/593-dance-evolution-competition" TargetMode="External"/><Relationship Id="rId10" Type="http://schemas.openxmlformats.org/officeDocument/2006/relationships/hyperlink" Target="https://trello.com/c/mHFKlFbs/592-brianza-danza-festival" TargetMode="External"/><Relationship Id="rId13" Type="http://schemas.openxmlformats.org/officeDocument/2006/relationships/hyperlink" Target="https://trello.com/c/8000CeXF/580-milano-dance-experience-endas-09-02-2025" TargetMode="External"/><Relationship Id="rId12" Type="http://schemas.openxmlformats.org/officeDocument/2006/relationships/hyperlink" Target="https://trello.com/c/3BXJykBs/618-etoile-rossolab-01-06-2025?search_id=1a624282-3b55-4a69-b27b-d8cee09ebccf" TargetMode="External"/><Relationship Id="rId15" Type="http://schemas.openxmlformats.org/officeDocument/2006/relationships/hyperlink" Target="https://trello.com/c/CgL0qCig/607-le-stelle-della-danza-rossolab-07-04-2025" TargetMode="External"/><Relationship Id="rId14" Type="http://schemas.openxmlformats.org/officeDocument/2006/relationships/hyperlink" Target="https://trello.com/c/p7FvRBSV/602-premio-resilienza-milan-edition-opes-22-03-2025" TargetMode="External"/><Relationship Id="rId17" Type="http://schemas.openxmlformats.org/officeDocument/2006/relationships/hyperlink" Target="https://trello.com/c/ZyWd8R3Y/597-chiara-saccomanno-danza-del-ventre-8-marzo-2025" TargetMode="External"/><Relationship Id="rId16" Type="http://schemas.openxmlformats.org/officeDocument/2006/relationships/hyperlink" Target="https://trello.com/c/JK38QgcR/587-saggi-2025-vendita-biglietti-e-organizzazione?search_id=ed026920-7903-45ba-9d34-ef5c7f6e7905" TargetMode="External"/><Relationship Id="rId19" Type="http://schemas.openxmlformats.org/officeDocument/2006/relationships/hyperlink" Target="https://trello.com/c/LxjspTER/539-emanuel-lo-hiphop-20-ottobre-2024" TargetMode="External"/><Relationship Id="rId18" Type="http://schemas.openxmlformats.org/officeDocument/2006/relationships/hyperlink" Target="https://trello.com/c/1DKZ1hVO/574-elena-evangelia-swing-18-gennaio-2025" TargetMode="External"/><Relationship Id="rId51" Type="http://schemas.openxmlformats.org/officeDocument/2006/relationships/hyperlink" Target="https://trello.com/c/pHkwoDbX/657-brianza-danza-festival-acsi-01-03-2026" TargetMode="External"/><Relationship Id="rId50" Type="http://schemas.openxmlformats.org/officeDocument/2006/relationships/hyperlink" Target="https://trello.com/c/oA0hGPwt" TargetMode="External"/><Relationship Id="rId53" Type="http://schemas.openxmlformats.org/officeDocument/2006/relationships/hyperlink" Target="https://trello.com/c/djFTe7te/662-danzando-sotto-le-stelle-07-03-2026-asi" TargetMode="External"/><Relationship Id="rId52" Type="http://schemas.openxmlformats.org/officeDocument/2006/relationships/hyperlink" Target="https://trello.com/c/Q5gzazPR/656-openclass-anahita-heels-domenica-01-03-2026" TargetMode="External"/><Relationship Id="rId55" Type="http://schemas.openxmlformats.org/officeDocument/2006/relationships/hyperlink" Target="https://trello.com/c/Kg8t2fC8/665-le-stelle-della-danza-rossolab-06-04-26" TargetMode="External"/><Relationship Id="rId54" Type="http://schemas.openxmlformats.org/officeDocument/2006/relationships/hyperlink" Target="https://trello.com/c/7poF6OTP/666-the-heels-gala-19-04-26" TargetMode="External"/><Relationship Id="rId57" Type="http://schemas.openxmlformats.org/officeDocument/2006/relationships/drawing" Target="../drawings/drawing25.xml"/><Relationship Id="rId56" Type="http://schemas.openxmlformats.org/officeDocument/2006/relationships/hyperlink" Target="https://trello.com/c/rJ3y5dZD/667-all-you-can-dance-26-04-2026-csain"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90" Type="http://schemas.openxmlformats.org/officeDocument/2006/relationships/hyperlink" Target="https://studio-gem.it/wp-admin/post.php?post=64921&amp;action=edit" TargetMode="External"/><Relationship Id="rId194" Type="http://schemas.openxmlformats.org/officeDocument/2006/relationships/hyperlink" Target="https://studio-gem.it/wp-admin/post.php?post=64936&amp;action=edit" TargetMode="External"/><Relationship Id="rId193" Type="http://schemas.openxmlformats.org/officeDocument/2006/relationships/hyperlink" Target="https://studio-gem.it/wp-admin/post.php?post=64934&amp;action=edit" TargetMode="External"/><Relationship Id="rId192" Type="http://schemas.openxmlformats.org/officeDocument/2006/relationships/hyperlink" Target="https://studio-gem.it/wp-admin/post.php?post=64932&amp;action=edit" TargetMode="External"/><Relationship Id="rId191" Type="http://schemas.openxmlformats.org/officeDocument/2006/relationships/hyperlink" Target="https://studio-gem.it/wp-admin/post.php?post=64929&amp;action=edit" TargetMode="External"/><Relationship Id="rId187" Type="http://schemas.openxmlformats.org/officeDocument/2006/relationships/hyperlink" Target="https://studio-gem.it/wp-admin/post.php?post=64914&amp;action=edit" TargetMode="External"/><Relationship Id="rId186" Type="http://schemas.openxmlformats.org/officeDocument/2006/relationships/hyperlink" Target="https://studio-gem.it/wp-admin/post.php?post=64914&amp;action=edit" TargetMode="External"/><Relationship Id="rId185" Type="http://schemas.openxmlformats.org/officeDocument/2006/relationships/hyperlink" Target="https://studio-gem.it/wp-admin/post.php?post=64913&amp;action=edit" TargetMode="External"/><Relationship Id="rId184" Type="http://schemas.openxmlformats.org/officeDocument/2006/relationships/hyperlink" Target="https://studio-gem.it/wp-admin/post.php?post=64911&amp;action=edit" TargetMode="External"/><Relationship Id="rId189" Type="http://schemas.openxmlformats.org/officeDocument/2006/relationships/hyperlink" Target="https://studio-gem.it/wp-admin/post.php?post=64918&amp;action=edit" TargetMode="External"/><Relationship Id="rId188" Type="http://schemas.openxmlformats.org/officeDocument/2006/relationships/hyperlink" Target="https://studio-gem.it/wp-admin/post.php?post=64916&amp;action=edit" TargetMode="External"/><Relationship Id="rId183" Type="http://schemas.openxmlformats.org/officeDocument/2006/relationships/hyperlink" Target="https://studio-gem.it/wp-admin/post.php?post=64907&amp;action=edit" TargetMode="External"/><Relationship Id="rId182" Type="http://schemas.openxmlformats.org/officeDocument/2006/relationships/hyperlink" Target="https://studio-gem.it/wp-admin/post.php?post=64907&amp;action=edit" TargetMode="External"/><Relationship Id="rId181" Type="http://schemas.openxmlformats.org/officeDocument/2006/relationships/hyperlink" Target="https://studio-gem.it/wp-admin/post.php?post=64907&amp;action=edit" TargetMode="External"/><Relationship Id="rId180" Type="http://schemas.openxmlformats.org/officeDocument/2006/relationships/hyperlink" Target="https://studio-gem.it/wp-admin/post.php?post=64902&amp;action=edit" TargetMode="External"/><Relationship Id="rId176" Type="http://schemas.openxmlformats.org/officeDocument/2006/relationships/hyperlink" Target="https://studio-gem.it/wp-admin/post.php?post=64896&amp;action=edit" TargetMode="External"/><Relationship Id="rId175" Type="http://schemas.openxmlformats.org/officeDocument/2006/relationships/hyperlink" Target="https://studio-gem.it/wp-admin/post.php?post=64894&amp;action=edit" TargetMode="External"/><Relationship Id="rId174" Type="http://schemas.openxmlformats.org/officeDocument/2006/relationships/hyperlink" Target="https://studio-gem.it/wp-admin/post.php?post=64888&amp;action=edit" TargetMode="External"/><Relationship Id="rId173" Type="http://schemas.openxmlformats.org/officeDocument/2006/relationships/hyperlink" Target="https://studio-gem.it/wp-admin/post.php?post=64886&amp;action=edit" TargetMode="External"/><Relationship Id="rId179" Type="http://schemas.openxmlformats.org/officeDocument/2006/relationships/hyperlink" Target="https://studio-gem.it/wp-admin/post.php?post=64901&amp;action=edit" TargetMode="External"/><Relationship Id="rId178" Type="http://schemas.openxmlformats.org/officeDocument/2006/relationships/hyperlink" Target="https://studio-gem.it/wp-admin/post.php?post=64899&amp;action=edit" TargetMode="External"/><Relationship Id="rId177" Type="http://schemas.openxmlformats.org/officeDocument/2006/relationships/hyperlink" Target="https://studio-gem.it/wp-admin/post.php?post=64898&amp;action=edit" TargetMode="External"/><Relationship Id="rId198" Type="http://schemas.openxmlformats.org/officeDocument/2006/relationships/hyperlink" Target="https://studio-gem.it/wp-admin/post.php?post=64952&amp;action=edit" TargetMode="External"/><Relationship Id="rId197" Type="http://schemas.openxmlformats.org/officeDocument/2006/relationships/hyperlink" Target="https://studio-gem.it/wp-admin/post.php?post=64950&amp;action=edit" TargetMode="External"/><Relationship Id="rId196" Type="http://schemas.openxmlformats.org/officeDocument/2006/relationships/hyperlink" Target="https://studio-gem.it/wp-admin/post.php?post=64949&amp;action=edit" TargetMode="External"/><Relationship Id="rId195" Type="http://schemas.openxmlformats.org/officeDocument/2006/relationships/hyperlink" Target="https://studio-gem.it/wp-admin/post.php?post=64938&amp;action=edit" TargetMode="External"/><Relationship Id="rId199" Type="http://schemas.openxmlformats.org/officeDocument/2006/relationships/hyperlink" Target="https://studio-gem.it/wp-admin/post.php?post=64954&amp;action=edit" TargetMode="External"/><Relationship Id="rId150" Type="http://schemas.openxmlformats.org/officeDocument/2006/relationships/hyperlink" Target="https://studio-gem.it/wp-admin/post.php?post=64815&amp;action=edit" TargetMode="External"/><Relationship Id="rId392" Type="http://schemas.openxmlformats.org/officeDocument/2006/relationships/hyperlink" Target="https://studio-gem.it/wp-admin/post.php?post=65466&amp;action=edit" TargetMode="External"/><Relationship Id="rId391" Type="http://schemas.openxmlformats.org/officeDocument/2006/relationships/hyperlink" Target="https://studio-gem.it/wp-admin/post.php?post=65465&amp;action=edit" TargetMode="External"/><Relationship Id="rId390" Type="http://schemas.openxmlformats.org/officeDocument/2006/relationships/hyperlink" Target="https://studio-gem.it/wp-admin/post.php?post=65464&amp;action=edit" TargetMode="External"/><Relationship Id="rId1" Type="http://schemas.openxmlformats.org/officeDocument/2006/relationships/comments" Target="../comments23.xml"/><Relationship Id="rId2" Type="http://schemas.openxmlformats.org/officeDocument/2006/relationships/hyperlink" Target="https://docs.google.com/spreadsheets/d/1w_v-LytfJUSGD2382sduIgEApmqF1mMjksjNng1JfDs/edit?gid=321829144" TargetMode="External"/><Relationship Id="rId3" Type="http://schemas.openxmlformats.org/officeDocument/2006/relationships/hyperlink" Target="https://studio-gem.it/wp-admin/post.php?post=60263&amp;action=edit" TargetMode="External"/><Relationship Id="rId149" Type="http://schemas.openxmlformats.org/officeDocument/2006/relationships/hyperlink" Target="https://studio-gem.it/wp-admin/post.php?post=64811&amp;action=edit" TargetMode="External"/><Relationship Id="rId4" Type="http://schemas.openxmlformats.org/officeDocument/2006/relationships/hyperlink" Target="https://studio-gem.it/wp-admin/post.php?post=60682&amp;action=edit" TargetMode="External"/><Relationship Id="rId148" Type="http://schemas.openxmlformats.org/officeDocument/2006/relationships/hyperlink" Target="https://studio-gem.it/wp-admin/post.php?post=64796&amp;action=edit" TargetMode="External"/><Relationship Id="rId9" Type="http://schemas.openxmlformats.org/officeDocument/2006/relationships/hyperlink" Target="https://studio-gem.it/wp-admin/post.php?post=61472&amp;action=edit" TargetMode="External"/><Relationship Id="rId143" Type="http://schemas.openxmlformats.org/officeDocument/2006/relationships/hyperlink" Target="https://studio-gem.it/wp-admin/post.php?post=64782&amp;action=edit" TargetMode="External"/><Relationship Id="rId385" Type="http://schemas.openxmlformats.org/officeDocument/2006/relationships/hyperlink" Target="https://studio-gem.it/wp-admin/post.php?post=65459&amp;action=edit" TargetMode="External"/><Relationship Id="rId142" Type="http://schemas.openxmlformats.org/officeDocument/2006/relationships/hyperlink" Target="https://studio-gem.it/wp-admin/post.php?post=64775&amp;action=edit" TargetMode="External"/><Relationship Id="rId384" Type="http://schemas.openxmlformats.org/officeDocument/2006/relationships/hyperlink" Target="https://studio-gem.it/wp-admin/post.php?post=65459&amp;action=edit" TargetMode="External"/><Relationship Id="rId141" Type="http://schemas.openxmlformats.org/officeDocument/2006/relationships/hyperlink" Target="https://studio-gem.it/wp-admin/post.php?post=64773&amp;action=edit" TargetMode="External"/><Relationship Id="rId383" Type="http://schemas.openxmlformats.org/officeDocument/2006/relationships/hyperlink" Target="https://studio-gem.it/wp-admin/post.php?post=65458&amp;action=edit" TargetMode="External"/><Relationship Id="rId140" Type="http://schemas.openxmlformats.org/officeDocument/2006/relationships/hyperlink" Target="https://studio-gem.it/wp-admin/post.php?post=64771&amp;action=edit" TargetMode="External"/><Relationship Id="rId382" Type="http://schemas.openxmlformats.org/officeDocument/2006/relationships/hyperlink" Target="https://studio-gem.it/wp-admin/post.php?post=65457&amp;action=edit" TargetMode="External"/><Relationship Id="rId5" Type="http://schemas.openxmlformats.org/officeDocument/2006/relationships/hyperlink" Target="https://studio-gem.it/wp-admin/post.php?post=60882&amp;action=edit" TargetMode="External"/><Relationship Id="rId147" Type="http://schemas.openxmlformats.org/officeDocument/2006/relationships/hyperlink" Target="https://studio-gem.it/wp-admin/post.php?post=64793&amp;action=edit" TargetMode="External"/><Relationship Id="rId389" Type="http://schemas.openxmlformats.org/officeDocument/2006/relationships/hyperlink" Target="https://studio-gem.it/wp-admin/post.php?post=65462&amp;action=edit" TargetMode="External"/><Relationship Id="rId6" Type="http://schemas.openxmlformats.org/officeDocument/2006/relationships/hyperlink" Target="https://studio-gem.it/wp-admin/post.php?post=60882&amp;action=edit" TargetMode="External"/><Relationship Id="rId146" Type="http://schemas.openxmlformats.org/officeDocument/2006/relationships/hyperlink" Target="https://studio-gem.it/wp-admin/post.php?post=64793&amp;action=edit" TargetMode="External"/><Relationship Id="rId388" Type="http://schemas.openxmlformats.org/officeDocument/2006/relationships/hyperlink" Target="https://studio-gem.it/wp-admin/post.php?post=65463&amp;action=edit" TargetMode="External"/><Relationship Id="rId7" Type="http://schemas.openxmlformats.org/officeDocument/2006/relationships/hyperlink" Target="https://studio-gem.it/wp-admin/post.php?post=60883&amp;action=edit" TargetMode="External"/><Relationship Id="rId145" Type="http://schemas.openxmlformats.org/officeDocument/2006/relationships/hyperlink" Target="https://studio-gem.it/wp-admin/post.php?post=64790&amp;action=edit" TargetMode="External"/><Relationship Id="rId387" Type="http://schemas.openxmlformats.org/officeDocument/2006/relationships/hyperlink" Target="https://studio-gem.it/wp-admin/post.php?post=65462&amp;action=edit" TargetMode="External"/><Relationship Id="rId8" Type="http://schemas.openxmlformats.org/officeDocument/2006/relationships/hyperlink" Target="https://studio-gem.it/wp-admin/post.php?post=60883&amp;action=edit" TargetMode="External"/><Relationship Id="rId144" Type="http://schemas.openxmlformats.org/officeDocument/2006/relationships/hyperlink" Target="https://studio-gem.it/wp-admin/post.php?post=64785&amp;action=edit" TargetMode="External"/><Relationship Id="rId386" Type="http://schemas.openxmlformats.org/officeDocument/2006/relationships/hyperlink" Target="https://studio-gem.it/wp-admin/post.php?post=65459&amp;action=edit" TargetMode="External"/><Relationship Id="rId381" Type="http://schemas.openxmlformats.org/officeDocument/2006/relationships/hyperlink" Target="https://studio-gem.it/wp-admin/post.php?post=65456&amp;action=edit" TargetMode="External"/><Relationship Id="rId380" Type="http://schemas.openxmlformats.org/officeDocument/2006/relationships/hyperlink" Target="https://studio-gem.it/wp-admin/post.php?post=65456&amp;action=edit" TargetMode="External"/><Relationship Id="rId139" Type="http://schemas.openxmlformats.org/officeDocument/2006/relationships/hyperlink" Target="https://studio-gem.it/wp-admin/post.php?post=64769&amp;action=edit" TargetMode="External"/><Relationship Id="rId138" Type="http://schemas.openxmlformats.org/officeDocument/2006/relationships/hyperlink" Target="https://studio-gem.it/wp-admin/post.php?post=64761&amp;action=edit" TargetMode="External"/><Relationship Id="rId137" Type="http://schemas.openxmlformats.org/officeDocument/2006/relationships/hyperlink" Target="https://studio-gem.it/wp-admin/post.php?post=64757&amp;action=edit" TargetMode="External"/><Relationship Id="rId379" Type="http://schemas.openxmlformats.org/officeDocument/2006/relationships/hyperlink" Target="https://studio-gem.it/wp-admin/post.php?post=65453&amp;action=edit" TargetMode="External"/><Relationship Id="rId132" Type="http://schemas.openxmlformats.org/officeDocument/2006/relationships/hyperlink" Target="https://studio-gem.it/wp-admin/post.php?post=64735&amp;action=edit" TargetMode="External"/><Relationship Id="rId374" Type="http://schemas.openxmlformats.org/officeDocument/2006/relationships/hyperlink" Target="https://studio-gem.it/wp-admin/post.php?post=65447&amp;action=edit" TargetMode="External"/><Relationship Id="rId131" Type="http://schemas.openxmlformats.org/officeDocument/2006/relationships/hyperlink" Target="https://studio-gem.it/wp-admin/post.php?post=64714&amp;action=edit" TargetMode="External"/><Relationship Id="rId373" Type="http://schemas.openxmlformats.org/officeDocument/2006/relationships/hyperlink" Target="https://studio-gem.it/wp-admin/post.php?post=65446&amp;action=edit" TargetMode="External"/><Relationship Id="rId130" Type="http://schemas.openxmlformats.org/officeDocument/2006/relationships/hyperlink" Target="https://studio-gem.it/wp-admin/post.php?post=64682&amp;action=edit" TargetMode="External"/><Relationship Id="rId372" Type="http://schemas.openxmlformats.org/officeDocument/2006/relationships/hyperlink" Target="https://studio-gem.it/wp-admin/post.php?post=65445&amp;action=edit" TargetMode="External"/><Relationship Id="rId371" Type="http://schemas.openxmlformats.org/officeDocument/2006/relationships/hyperlink" Target="https://studio-gem.it/wp-admin/post.php?post=65424&amp;action=edit" TargetMode="External"/><Relationship Id="rId136" Type="http://schemas.openxmlformats.org/officeDocument/2006/relationships/hyperlink" Target="https://studio-gem.it/wp-admin/post.php?post=64752&amp;action=edit" TargetMode="External"/><Relationship Id="rId378" Type="http://schemas.openxmlformats.org/officeDocument/2006/relationships/hyperlink" Target="https://studio-gem.it/wp-admin/post.php?post=65452&amp;action=edit" TargetMode="External"/><Relationship Id="rId135" Type="http://schemas.openxmlformats.org/officeDocument/2006/relationships/hyperlink" Target="https://studio-gem.it/wp-admin/post.php?post=64751&amp;action=edit" TargetMode="External"/><Relationship Id="rId377" Type="http://schemas.openxmlformats.org/officeDocument/2006/relationships/hyperlink" Target="https://studio-gem.it/wp-admin/post.php?post=65450&amp;action=edit" TargetMode="External"/><Relationship Id="rId134" Type="http://schemas.openxmlformats.org/officeDocument/2006/relationships/hyperlink" Target="https://studio-gem.it/wp-admin/post.php?post=64747&amp;action=edit" TargetMode="External"/><Relationship Id="rId376" Type="http://schemas.openxmlformats.org/officeDocument/2006/relationships/hyperlink" Target="https://studio-gem.it/wp-admin/post.php?post=65449&amp;action=edit" TargetMode="External"/><Relationship Id="rId133" Type="http://schemas.openxmlformats.org/officeDocument/2006/relationships/hyperlink" Target="https://studio-gem.it/wp-admin/post.php?post=64746&amp;action=edit" TargetMode="External"/><Relationship Id="rId375" Type="http://schemas.openxmlformats.org/officeDocument/2006/relationships/hyperlink" Target="https://studio-gem.it/wp-admin/post.php?post=65448&amp;action=edit" TargetMode="External"/><Relationship Id="rId172" Type="http://schemas.openxmlformats.org/officeDocument/2006/relationships/hyperlink" Target="https://studio-gem.it/wp-admin/post.php?post=64877&amp;action=edit" TargetMode="External"/><Relationship Id="rId171" Type="http://schemas.openxmlformats.org/officeDocument/2006/relationships/hyperlink" Target="https://studio-gem.it/wp-admin/post.php?post=64873&amp;action=edit" TargetMode="External"/><Relationship Id="rId170" Type="http://schemas.openxmlformats.org/officeDocument/2006/relationships/hyperlink" Target="https://studio-gem.it/wp-admin/post.php?post=64871&amp;action=edit" TargetMode="External"/><Relationship Id="rId165" Type="http://schemas.openxmlformats.org/officeDocument/2006/relationships/hyperlink" Target="https://studio-gem.it/wp-admin/post.php?post=64861&amp;action=edit" TargetMode="External"/><Relationship Id="rId164" Type="http://schemas.openxmlformats.org/officeDocument/2006/relationships/hyperlink" Target="https://studio-gem.it/wp-admin/post.php?post=64854&amp;action=edit" TargetMode="External"/><Relationship Id="rId163" Type="http://schemas.openxmlformats.org/officeDocument/2006/relationships/hyperlink" Target="https://studio-gem.it/wp-admin/post.php?post=64852&amp;action=edit" TargetMode="External"/><Relationship Id="rId162" Type="http://schemas.openxmlformats.org/officeDocument/2006/relationships/hyperlink" Target="https://studio-gem.it/wp-admin/post.php?post=64849&amp;action=edit" TargetMode="External"/><Relationship Id="rId169" Type="http://schemas.openxmlformats.org/officeDocument/2006/relationships/hyperlink" Target="https://studio-gem.it/wp-admin/post.php?post=64869&amp;action=edit" TargetMode="External"/><Relationship Id="rId168" Type="http://schemas.openxmlformats.org/officeDocument/2006/relationships/hyperlink" Target="https://studio-gem.it/wp-admin/post.php?post=64867&amp;action=edit" TargetMode="External"/><Relationship Id="rId167" Type="http://schemas.openxmlformats.org/officeDocument/2006/relationships/hyperlink" Target="https://studio-gem.it/wp-admin/post.php?post=64865&amp;action=edit" TargetMode="External"/><Relationship Id="rId166" Type="http://schemas.openxmlformats.org/officeDocument/2006/relationships/hyperlink" Target="https://studio-gem.it/wp-admin/post.php?post=64864&amp;action=edit" TargetMode="External"/><Relationship Id="rId161" Type="http://schemas.openxmlformats.org/officeDocument/2006/relationships/hyperlink" Target="https://studio-gem.it/wp-admin/post.php?post=64847&amp;action=edit" TargetMode="External"/><Relationship Id="rId160" Type="http://schemas.openxmlformats.org/officeDocument/2006/relationships/hyperlink" Target="https://studio-gem.it/wp-admin/post.php?post=64845&amp;action=edit" TargetMode="External"/><Relationship Id="rId159" Type="http://schemas.openxmlformats.org/officeDocument/2006/relationships/hyperlink" Target="https://studio-gem.it/wp-admin/post.php?post=64844&amp;action=edit" TargetMode="External"/><Relationship Id="rId154" Type="http://schemas.openxmlformats.org/officeDocument/2006/relationships/hyperlink" Target="https://studio-gem.it/wp-admin/post.php?post=64834&amp;action=edit" TargetMode="External"/><Relationship Id="rId396" Type="http://schemas.openxmlformats.org/officeDocument/2006/relationships/hyperlink" Target="https://studio-gem.it/wp-admin/post.php?post=65475&amp;action=edit" TargetMode="External"/><Relationship Id="rId153" Type="http://schemas.openxmlformats.org/officeDocument/2006/relationships/hyperlink" Target="https://studio-gem.it/wp-admin/post.php?post=64834&amp;action=edit" TargetMode="External"/><Relationship Id="rId395" Type="http://schemas.openxmlformats.org/officeDocument/2006/relationships/hyperlink" Target="https://studio-gem.it/wp-admin/post.php?post=65471&amp;action=edit" TargetMode="External"/><Relationship Id="rId152" Type="http://schemas.openxmlformats.org/officeDocument/2006/relationships/hyperlink" Target="https://studio-gem.it/wp-admin/post.php?post=64825&amp;action=edit" TargetMode="External"/><Relationship Id="rId394" Type="http://schemas.openxmlformats.org/officeDocument/2006/relationships/hyperlink" Target="https://studio-gem.it/wp-admin/post.php?post=65470&amp;action=edit" TargetMode="External"/><Relationship Id="rId151" Type="http://schemas.openxmlformats.org/officeDocument/2006/relationships/hyperlink" Target="https://studio-gem.it/wp-admin/post.php?post=64819&amp;action=edit" TargetMode="External"/><Relationship Id="rId393" Type="http://schemas.openxmlformats.org/officeDocument/2006/relationships/hyperlink" Target="https://studio-gem.it/wp-admin/post.php?post=65467&amp;action=edit" TargetMode="External"/><Relationship Id="rId158" Type="http://schemas.openxmlformats.org/officeDocument/2006/relationships/hyperlink" Target="https://studio-gem.it/wp-admin/post.php?post=64843&amp;action=edit" TargetMode="External"/><Relationship Id="rId157" Type="http://schemas.openxmlformats.org/officeDocument/2006/relationships/hyperlink" Target="https://studio-gem.it/wp-admin/post.php?post=64841&amp;action=edit" TargetMode="External"/><Relationship Id="rId399" Type="http://schemas.openxmlformats.org/officeDocument/2006/relationships/hyperlink" Target="https://studio-gem.it/wp-admin/post.php?post=65482&amp;action=edit" TargetMode="External"/><Relationship Id="rId156" Type="http://schemas.openxmlformats.org/officeDocument/2006/relationships/hyperlink" Target="https://studio-gem.it/wp-admin/post.php?post=64840&amp;action=edit" TargetMode="External"/><Relationship Id="rId398" Type="http://schemas.openxmlformats.org/officeDocument/2006/relationships/hyperlink" Target="https://studio-gem.it/wp-admin/post.php?post=65481&amp;action=edit" TargetMode="External"/><Relationship Id="rId155" Type="http://schemas.openxmlformats.org/officeDocument/2006/relationships/hyperlink" Target="https://studio-gem.it/wp-admin/post.php?post=64839&amp;action=edit" TargetMode="External"/><Relationship Id="rId397" Type="http://schemas.openxmlformats.org/officeDocument/2006/relationships/hyperlink" Target="https://studio-gem.it/wp-admin/post.php?post=65478&amp;action=edit" TargetMode="External"/><Relationship Id="rId808" Type="http://schemas.openxmlformats.org/officeDocument/2006/relationships/hyperlink" Target="https://studio-gem.it/wp-admin/post.php?post=67096&amp;action=edit" TargetMode="External"/><Relationship Id="rId807" Type="http://schemas.openxmlformats.org/officeDocument/2006/relationships/hyperlink" Target="https://studio-gem.it/wp-admin/post.php?post=67095&amp;action=edit" TargetMode="External"/><Relationship Id="rId806" Type="http://schemas.openxmlformats.org/officeDocument/2006/relationships/hyperlink" Target="https://studio-gem.it/wp-admin/post.php?post=67094&amp;action=edit" TargetMode="External"/><Relationship Id="rId805" Type="http://schemas.openxmlformats.org/officeDocument/2006/relationships/hyperlink" Target="https://studio-gem.it/wp-admin/post.php?post=67091&amp;action=edit" TargetMode="External"/><Relationship Id="rId809" Type="http://schemas.openxmlformats.org/officeDocument/2006/relationships/hyperlink" Target="https://studio-gem.it/wp-admin/post.php?post=67098&amp;action=edit" TargetMode="External"/><Relationship Id="rId800" Type="http://schemas.openxmlformats.org/officeDocument/2006/relationships/hyperlink" Target="https://studio-gem.it/wp-admin/post.php?post=67076&amp;action=edit" TargetMode="External"/><Relationship Id="rId804" Type="http://schemas.openxmlformats.org/officeDocument/2006/relationships/hyperlink" Target="https://studio-gem.it/wp-admin/post.php?post=67090&amp;action=edit" TargetMode="External"/><Relationship Id="rId803" Type="http://schemas.openxmlformats.org/officeDocument/2006/relationships/hyperlink" Target="https://studio-gem.it/wp-admin/post.php?post=67088&amp;action=edit" TargetMode="External"/><Relationship Id="rId802" Type="http://schemas.openxmlformats.org/officeDocument/2006/relationships/hyperlink" Target="https://studio-gem.it/wp-admin/post.php?post=67086&amp;action=edit" TargetMode="External"/><Relationship Id="rId801" Type="http://schemas.openxmlformats.org/officeDocument/2006/relationships/hyperlink" Target="https://studio-gem.it/wp-admin/post.php?post=67083&amp;action=edit" TargetMode="External"/><Relationship Id="rId40" Type="http://schemas.openxmlformats.org/officeDocument/2006/relationships/hyperlink" Target="https://studio-gem.it/wp-admin/post.php?post=61947&amp;action=edit" TargetMode="External"/><Relationship Id="rId42" Type="http://schemas.openxmlformats.org/officeDocument/2006/relationships/hyperlink" Target="https://studio-gem.it/wp-admin/post.php?post=62001&amp;action=edit" TargetMode="External"/><Relationship Id="rId41" Type="http://schemas.openxmlformats.org/officeDocument/2006/relationships/hyperlink" Target="https://studio-gem.it/wp-admin/post.php?post=61947&amp;action=edit" TargetMode="External"/><Relationship Id="rId44" Type="http://schemas.openxmlformats.org/officeDocument/2006/relationships/hyperlink" Target="https://studio-gem.it/wp-admin/post.php?post=62007&amp;action=edit" TargetMode="External"/><Relationship Id="rId43" Type="http://schemas.openxmlformats.org/officeDocument/2006/relationships/hyperlink" Target="https://studio-gem.it/wp-admin/post.php?post=62002&amp;action=edit" TargetMode="External"/><Relationship Id="rId46" Type="http://schemas.openxmlformats.org/officeDocument/2006/relationships/hyperlink" Target="https://studio-gem.it/wp-admin/post.php?post=62180&amp;action=edit" TargetMode="External"/><Relationship Id="rId45" Type="http://schemas.openxmlformats.org/officeDocument/2006/relationships/hyperlink" Target="https://studio-gem.it/wp-admin/post.php?post=62141&amp;action=edit" TargetMode="External"/><Relationship Id="rId509" Type="http://schemas.openxmlformats.org/officeDocument/2006/relationships/hyperlink" Target="https://studio-gem.it/wp-admin/post.php?post=65956&amp;action=edit" TargetMode="External"/><Relationship Id="rId508" Type="http://schemas.openxmlformats.org/officeDocument/2006/relationships/hyperlink" Target="https://studio-gem.it/wp-admin/post.php?post=65911&amp;action=edit" TargetMode="External"/><Relationship Id="rId503" Type="http://schemas.openxmlformats.org/officeDocument/2006/relationships/hyperlink" Target="https://studio-gem.it/wp-admin/post.php?post=65856&amp;action=edit" TargetMode="External"/><Relationship Id="rId745" Type="http://schemas.openxmlformats.org/officeDocument/2006/relationships/hyperlink" Target="https://studio-gem.it/wp-admin/post.php?post=66814&amp;action=edit" TargetMode="External"/><Relationship Id="rId987" Type="http://schemas.openxmlformats.org/officeDocument/2006/relationships/hyperlink" Target="https://studio-gem.it/wp-admin/post.php?post=67995&amp;action=edit" TargetMode="External"/><Relationship Id="rId502" Type="http://schemas.openxmlformats.org/officeDocument/2006/relationships/hyperlink" Target="https://studio-gem.it/wp-admin/post.php?post=65855&amp;action=edit" TargetMode="External"/><Relationship Id="rId744" Type="http://schemas.openxmlformats.org/officeDocument/2006/relationships/hyperlink" Target="https://studio-gem.it/wp-admin/post.php?post=66813&amp;action=edit" TargetMode="External"/><Relationship Id="rId986" Type="http://schemas.openxmlformats.org/officeDocument/2006/relationships/hyperlink" Target="https://studio-gem.it/wp-admin/post.php?post=67993&amp;action=edit" TargetMode="External"/><Relationship Id="rId501" Type="http://schemas.openxmlformats.org/officeDocument/2006/relationships/hyperlink" Target="https://studio-gem.it/wp-admin/post.php?post=65853&amp;action=edit" TargetMode="External"/><Relationship Id="rId743" Type="http://schemas.openxmlformats.org/officeDocument/2006/relationships/hyperlink" Target="https://studio-gem.it/wp-admin/post.php?post=66811&amp;action=edit" TargetMode="External"/><Relationship Id="rId985" Type="http://schemas.openxmlformats.org/officeDocument/2006/relationships/hyperlink" Target="https://studio-gem.it/wp-admin/post.php?post=67991&amp;action=edit" TargetMode="External"/><Relationship Id="rId500" Type="http://schemas.openxmlformats.org/officeDocument/2006/relationships/hyperlink" Target="https://studio-gem.it/wp-admin/post.php?post=65852&amp;action=edit" TargetMode="External"/><Relationship Id="rId742" Type="http://schemas.openxmlformats.org/officeDocument/2006/relationships/hyperlink" Target="https://studio-gem.it/wp-admin/post.php?post=66808&amp;action=edit" TargetMode="External"/><Relationship Id="rId984" Type="http://schemas.openxmlformats.org/officeDocument/2006/relationships/hyperlink" Target="https://studio-gem.it/wp-admin/post.php?post=67990&amp;action=edit" TargetMode="External"/><Relationship Id="rId507" Type="http://schemas.openxmlformats.org/officeDocument/2006/relationships/hyperlink" Target="https://studio-gem.it/wp-admin/post.php?post=65881&amp;action=edit" TargetMode="External"/><Relationship Id="rId749" Type="http://schemas.openxmlformats.org/officeDocument/2006/relationships/hyperlink" Target="https://studio-gem.it/wp-admin/post.php?post=66829&amp;action=edit" TargetMode="External"/><Relationship Id="rId506" Type="http://schemas.openxmlformats.org/officeDocument/2006/relationships/hyperlink" Target="https://studio-gem.it/wp-admin/post.php?post=65862&amp;action=edit" TargetMode="External"/><Relationship Id="rId748" Type="http://schemas.openxmlformats.org/officeDocument/2006/relationships/hyperlink" Target="https://studio-gem.it/wp-admin/post.php?post=66828&amp;action=edit" TargetMode="External"/><Relationship Id="rId505" Type="http://schemas.openxmlformats.org/officeDocument/2006/relationships/hyperlink" Target="https://studio-gem.it/wp-admin/post.php?post=65860&amp;action=edit" TargetMode="External"/><Relationship Id="rId747" Type="http://schemas.openxmlformats.org/officeDocument/2006/relationships/hyperlink" Target="https://studio-gem.it/wp-admin/post.php?post=66826&amp;action=edit" TargetMode="External"/><Relationship Id="rId989" Type="http://schemas.openxmlformats.org/officeDocument/2006/relationships/hyperlink" Target="https://studio-gem.it/wp-admin/post.php?post=67999&amp;action=edit" TargetMode="External"/><Relationship Id="rId504" Type="http://schemas.openxmlformats.org/officeDocument/2006/relationships/hyperlink" Target="https://studio-gem.it/wp-admin/post.php?post=65858&amp;action=edit" TargetMode="External"/><Relationship Id="rId746" Type="http://schemas.openxmlformats.org/officeDocument/2006/relationships/hyperlink" Target="https://studio-gem.it/wp-admin/post.php?post=66825&amp;action=edit" TargetMode="External"/><Relationship Id="rId988" Type="http://schemas.openxmlformats.org/officeDocument/2006/relationships/hyperlink" Target="https://studio-gem.it/wp-admin/post.php?post=67997&amp;action=edit" TargetMode="External"/><Relationship Id="rId48" Type="http://schemas.openxmlformats.org/officeDocument/2006/relationships/hyperlink" Target="https://studio-gem.it/wp-admin/post.php?post=62285&amp;action=edit" TargetMode="External"/><Relationship Id="rId47" Type="http://schemas.openxmlformats.org/officeDocument/2006/relationships/hyperlink" Target="https://studio-gem.it/wp-admin/post.php?post=62183&amp;action=edit" TargetMode="External"/><Relationship Id="rId49" Type="http://schemas.openxmlformats.org/officeDocument/2006/relationships/hyperlink" Target="https://studio-gem.it/wp-admin/post.php?post=62292&amp;action=edit" TargetMode="External"/><Relationship Id="rId741" Type="http://schemas.openxmlformats.org/officeDocument/2006/relationships/hyperlink" Target="https://studio-gem.it/wp-admin/post.php?post=66805&amp;action=edit" TargetMode="External"/><Relationship Id="rId983" Type="http://schemas.openxmlformats.org/officeDocument/2006/relationships/hyperlink" Target="https://studio-gem.it/wp-admin/post.php?post=67987&amp;action=edit" TargetMode="External"/><Relationship Id="rId740" Type="http://schemas.openxmlformats.org/officeDocument/2006/relationships/hyperlink" Target="https://studio-gem.it/wp-admin/post.php?post=66802&amp;action=edit" TargetMode="External"/><Relationship Id="rId982" Type="http://schemas.openxmlformats.org/officeDocument/2006/relationships/hyperlink" Target="https://studio-gem.it/wp-admin/post.php?post=67979&amp;action=edit" TargetMode="External"/><Relationship Id="rId981" Type="http://schemas.openxmlformats.org/officeDocument/2006/relationships/hyperlink" Target="https://studio-gem.it/wp-admin/post.php?post=67977&amp;action=edit" TargetMode="External"/><Relationship Id="rId980" Type="http://schemas.openxmlformats.org/officeDocument/2006/relationships/hyperlink" Target="https://studio-gem.it/wp-admin/post.php?post=67967&amp;action=edit" TargetMode="External"/><Relationship Id="rId31" Type="http://schemas.openxmlformats.org/officeDocument/2006/relationships/hyperlink" Target="https://studio-gem.it/wp-admin/post.php?post=61843&amp;action=edit" TargetMode="External"/><Relationship Id="rId30" Type="http://schemas.openxmlformats.org/officeDocument/2006/relationships/hyperlink" Target="https://studio-gem.it/wp-admin/post.php?post=61842&amp;action=edit" TargetMode="External"/><Relationship Id="rId33" Type="http://schemas.openxmlformats.org/officeDocument/2006/relationships/hyperlink" Target="https://studio-gem.it/wp-admin/post.php?post=61849&amp;action=edit" TargetMode="External"/><Relationship Id="rId32" Type="http://schemas.openxmlformats.org/officeDocument/2006/relationships/hyperlink" Target="https://studio-gem.it/wp-admin/post.php?post=61847&amp;action=edit" TargetMode="External"/><Relationship Id="rId35" Type="http://schemas.openxmlformats.org/officeDocument/2006/relationships/hyperlink" Target="https://studio-gem.it/wp-admin/post.php?post=61857&amp;action=edit" TargetMode="External"/><Relationship Id="rId34" Type="http://schemas.openxmlformats.org/officeDocument/2006/relationships/hyperlink" Target="https://studio-gem.it/wp-admin/post.php?post=61854&amp;action=edit" TargetMode="External"/><Relationship Id="rId739" Type="http://schemas.openxmlformats.org/officeDocument/2006/relationships/hyperlink" Target="https://studio-gem.it/wp-admin/post.php?post=66800&amp;action=edit" TargetMode="External"/><Relationship Id="rId734" Type="http://schemas.openxmlformats.org/officeDocument/2006/relationships/hyperlink" Target="https://studio-gem.it/wp-admin/post.php?post=66771&amp;action=edit" TargetMode="External"/><Relationship Id="rId976" Type="http://schemas.openxmlformats.org/officeDocument/2006/relationships/hyperlink" Target="https://studio-gem.it/wp-admin/post.php?post=67950&amp;action=edit" TargetMode="External"/><Relationship Id="rId733" Type="http://schemas.openxmlformats.org/officeDocument/2006/relationships/hyperlink" Target="https://studio-gem.it/wp-admin/post.php?post=66769&amp;action=edit" TargetMode="External"/><Relationship Id="rId975" Type="http://schemas.openxmlformats.org/officeDocument/2006/relationships/hyperlink" Target="https://studio-gem.it/wp-admin/post.php?post=67949&amp;action=edit" TargetMode="External"/><Relationship Id="rId732" Type="http://schemas.openxmlformats.org/officeDocument/2006/relationships/hyperlink" Target="https://studio-gem.it/wp-admin/post.php?post=66767&amp;action=edit" TargetMode="External"/><Relationship Id="rId974" Type="http://schemas.openxmlformats.org/officeDocument/2006/relationships/hyperlink" Target="https://studio-gem.it/wp-admin/post.php?post=67945&amp;action=edit" TargetMode="External"/><Relationship Id="rId731" Type="http://schemas.openxmlformats.org/officeDocument/2006/relationships/hyperlink" Target="https://studio-gem.it/wp-admin/post.php?post=66766&amp;action=edit" TargetMode="External"/><Relationship Id="rId973" Type="http://schemas.openxmlformats.org/officeDocument/2006/relationships/hyperlink" Target="https://studio-gem.it/wp-admin/post.php?post=67944&amp;action=edit" TargetMode="External"/><Relationship Id="rId738" Type="http://schemas.openxmlformats.org/officeDocument/2006/relationships/hyperlink" Target="https://studio-gem.it/wp-admin/post.php?post=66798&amp;action=edit" TargetMode="External"/><Relationship Id="rId737" Type="http://schemas.openxmlformats.org/officeDocument/2006/relationships/hyperlink" Target="https://studio-gem.it/wp-admin/post.php?post=66796&amp;action=edit" TargetMode="External"/><Relationship Id="rId979" Type="http://schemas.openxmlformats.org/officeDocument/2006/relationships/hyperlink" Target="https://studio-gem.it/wp-admin/post.php?post=67956&amp;action=edit" TargetMode="External"/><Relationship Id="rId736" Type="http://schemas.openxmlformats.org/officeDocument/2006/relationships/hyperlink" Target="https://studio-gem.it/wp-admin/post.php?post=66775&amp;action=edit" TargetMode="External"/><Relationship Id="rId978" Type="http://schemas.openxmlformats.org/officeDocument/2006/relationships/hyperlink" Target="https://studio-gem.it/wp-admin/post.php?post=67954&amp;action=edit" TargetMode="External"/><Relationship Id="rId735" Type="http://schemas.openxmlformats.org/officeDocument/2006/relationships/hyperlink" Target="https://studio-gem.it/wp-admin/post.php?post=66773&amp;action=edit" TargetMode="External"/><Relationship Id="rId977" Type="http://schemas.openxmlformats.org/officeDocument/2006/relationships/hyperlink" Target="https://studio-gem.it/wp-admin/post.php?post=67952&amp;action=edit" TargetMode="External"/><Relationship Id="rId37" Type="http://schemas.openxmlformats.org/officeDocument/2006/relationships/hyperlink" Target="https://studio-gem.it/wp-admin/post.php?post=61926&amp;action=edit" TargetMode="External"/><Relationship Id="rId36" Type="http://schemas.openxmlformats.org/officeDocument/2006/relationships/hyperlink" Target="https://studio-gem.it/wp-admin/post.php?post=61924&amp;action=edit" TargetMode="External"/><Relationship Id="rId39" Type="http://schemas.openxmlformats.org/officeDocument/2006/relationships/hyperlink" Target="https://studio-gem.it/wp-admin/post.php?post=61942&amp;action=edit" TargetMode="External"/><Relationship Id="rId38" Type="http://schemas.openxmlformats.org/officeDocument/2006/relationships/hyperlink" Target="https://studio-gem.it/wp-admin/post.php?post=61927&amp;action=edit" TargetMode="External"/><Relationship Id="rId730" Type="http://schemas.openxmlformats.org/officeDocument/2006/relationships/hyperlink" Target="https://studio-gem.it/wp-admin/post.php?post=66765&amp;action=edit" TargetMode="External"/><Relationship Id="rId972" Type="http://schemas.openxmlformats.org/officeDocument/2006/relationships/hyperlink" Target="https://studio-gem.it/wp-admin/post.php?post=67942&amp;action=edit" TargetMode="External"/><Relationship Id="rId971" Type="http://schemas.openxmlformats.org/officeDocument/2006/relationships/hyperlink" Target="https://studio-gem.it/wp-admin/post.php?post=67940&amp;action=edit" TargetMode="External"/><Relationship Id="rId970" Type="http://schemas.openxmlformats.org/officeDocument/2006/relationships/hyperlink" Target="https://studio-gem.it/wp-admin/post.php?post=67939&amp;action=edit" TargetMode="External"/><Relationship Id="rId20" Type="http://schemas.openxmlformats.org/officeDocument/2006/relationships/hyperlink" Target="https://studio-gem.it/wp-admin/post.php?post=61814&amp;action=edit" TargetMode="External"/><Relationship Id="rId22" Type="http://schemas.openxmlformats.org/officeDocument/2006/relationships/hyperlink" Target="https://studio-gem.it/wp-admin/post.php?post=61825&amp;action=edit" TargetMode="External"/><Relationship Id="rId21" Type="http://schemas.openxmlformats.org/officeDocument/2006/relationships/hyperlink" Target="https://studio-gem.it/wp-admin/post.php?post=61821&amp;action=edit" TargetMode="External"/><Relationship Id="rId24" Type="http://schemas.openxmlformats.org/officeDocument/2006/relationships/hyperlink" Target="https://studio-gem.it/wp-admin/post.php?post=61830&amp;action=edit" TargetMode="External"/><Relationship Id="rId23" Type="http://schemas.openxmlformats.org/officeDocument/2006/relationships/hyperlink" Target="https://studio-gem.it/wp-admin/post.php?post=61829&amp;action=edit" TargetMode="External"/><Relationship Id="rId525" Type="http://schemas.openxmlformats.org/officeDocument/2006/relationships/hyperlink" Target="https://studio-gem.it/wp-admin/post.php?post=66024&amp;action=edit" TargetMode="External"/><Relationship Id="rId767" Type="http://schemas.openxmlformats.org/officeDocument/2006/relationships/hyperlink" Target="https://studio-gem.it/wp-admin/post.php?post=66869&amp;action=edit" TargetMode="External"/><Relationship Id="rId524" Type="http://schemas.openxmlformats.org/officeDocument/2006/relationships/hyperlink" Target="https://studio-gem.it/wp-admin/post.php?post=66023&amp;action=edit" TargetMode="External"/><Relationship Id="rId766" Type="http://schemas.openxmlformats.org/officeDocument/2006/relationships/hyperlink" Target="https://studio-gem.it/wp-admin/post.php?post=66868&amp;action=edit" TargetMode="External"/><Relationship Id="rId523" Type="http://schemas.openxmlformats.org/officeDocument/2006/relationships/hyperlink" Target="https://studio-gem.it/wp-admin/post.php?post=66021&amp;action=edit" TargetMode="External"/><Relationship Id="rId765" Type="http://schemas.openxmlformats.org/officeDocument/2006/relationships/hyperlink" Target="https://studio-gem.it/wp-admin/post.php?post=66866&amp;action=edit" TargetMode="External"/><Relationship Id="rId522" Type="http://schemas.openxmlformats.org/officeDocument/2006/relationships/hyperlink" Target="https://studio-gem.it/wp-admin/post.php?post=66020&amp;action=edit" TargetMode="External"/><Relationship Id="rId764" Type="http://schemas.openxmlformats.org/officeDocument/2006/relationships/hyperlink" Target="https://studio-gem.it/wp-admin/post.php?post=66865&amp;action=edit" TargetMode="External"/><Relationship Id="rId529" Type="http://schemas.openxmlformats.org/officeDocument/2006/relationships/hyperlink" Target="https://studio-gem.it/wp-admin/post.php?post=66030&amp;action=edit" TargetMode="External"/><Relationship Id="rId528" Type="http://schemas.openxmlformats.org/officeDocument/2006/relationships/hyperlink" Target="https://studio-gem.it/wp-admin/post.php?post=66029&amp;action=edit" TargetMode="External"/><Relationship Id="rId527" Type="http://schemas.openxmlformats.org/officeDocument/2006/relationships/hyperlink" Target="https://studio-gem.it/wp-admin/post.php?post=66028&amp;action=edit" TargetMode="External"/><Relationship Id="rId769" Type="http://schemas.openxmlformats.org/officeDocument/2006/relationships/hyperlink" Target="https://studio-gem.it/wp-admin/post.php?post=66871&amp;action=edit" TargetMode="External"/><Relationship Id="rId526" Type="http://schemas.openxmlformats.org/officeDocument/2006/relationships/hyperlink" Target="https://studio-gem.it/wp-admin/post.php?post=66026&amp;action=edit" TargetMode="External"/><Relationship Id="rId768" Type="http://schemas.openxmlformats.org/officeDocument/2006/relationships/hyperlink" Target="https://studio-gem.it/wp-admin/post.php?post=66869&amp;action=edit" TargetMode="External"/><Relationship Id="rId26" Type="http://schemas.openxmlformats.org/officeDocument/2006/relationships/hyperlink" Target="https://studio-gem.it/wp-admin/post.php?post=61835&amp;action=edit" TargetMode="External"/><Relationship Id="rId25" Type="http://schemas.openxmlformats.org/officeDocument/2006/relationships/hyperlink" Target="https://studio-gem.it/wp-admin/post.php?post=61833&amp;action=edit" TargetMode="External"/><Relationship Id="rId28" Type="http://schemas.openxmlformats.org/officeDocument/2006/relationships/hyperlink" Target="https://studio-gem.it/wp-admin/post.php?post=61840&amp;action=edit" TargetMode="External"/><Relationship Id="rId27" Type="http://schemas.openxmlformats.org/officeDocument/2006/relationships/hyperlink" Target="https://studio-gem.it/wp-admin/post.php?post=61836&amp;action=edit" TargetMode="External"/><Relationship Id="rId521" Type="http://schemas.openxmlformats.org/officeDocument/2006/relationships/hyperlink" Target="https://studio-gem.it/wp-admin/post.php?post=66019&amp;action=edit" TargetMode="External"/><Relationship Id="rId763" Type="http://schemas.openxmlformats.org/officeDocument/2006/relationships/hyperlink" Target="https://studio-gem.it/wp-admin/post.php?post=66864&amp;action=edit" TargetMode="External"/><Relationship Id="rId29" Type="http://schemas.openxmlformats.org/officeDocument/2006/relationships/hyperlink" Target="https://studio-gem.it/wp-admin/post.php?post=61841&amp;action=edit" TargetMode="External"/><Relationship Id="rId520" Type="http://schemas.openxmlformats.org/officeDocument/2006/relationships/hyperlink" Target="https://studio-gem.it/wp-admin/post.php?post=66017&amp;action=edit" TargetMode="External"/><Relationship Id="rId762" Type="http://schemas.openxmlformats.org/officeDocument/2006/relationships/hyperlink" Target="https://studio-gem.it/wp-admin/post.php?post=66862&amp;action=edit" TargetMode="External"/><Relationship Id="rId761" Type="http://schemas.openxmlformats.org/officeDocument/2006/relationships/hyperlink" Target="https://studio-gem.it/wp-admin/post.php?post=66860&amp;action=edit" TargetMode="External"/><Relationship Id="rId760" Type="http://schemas.openxmlformats.org/officeDocument/2006/relationships/hyperlink" Target="https://studio-gem.it/wp-admin/post.php?post=66859&amp;action=edit" TargetMode="External"/><Relationship Id="rId11" Type="http://schemas.openxmlformats.org/officeDocument/2006/relationships/hyperlink" Target="https://studio-gem.it/wp-admin/post.php?post=61654&amp;action=edit" TargetMode="External"/><Relationship Id="rId10" Type="http://schemas.openxmlformats.org/officeDocument/2006/relationships/hyperlink" Target="https://studio-gem.it/wp-admin/post.php?post=61645&amp;action=edit" TargetMode="External"/><Relationship Id="rId13" Type="http://schemas.openxmlformats.org/officeDocument/2006/relationships/hyperlink" Target="https://studio-gem.it/wp-admin/post.php?post=61745&amp;action=edit" TargetMode="External"/><Relationship Id="rId12" Type="http://schemas.openxmlformats.org/officeDocument/2006/relationships/hyperlink" Target="https://studio-gem.it/wp-admin/post.php?post=61655&amp;action=edit" TargetMode="External"/><Relationship Id="rId519" Type="http://schemas.openxmlformats.org/officeDocument/2006/relationships/hyperlink" Target="https://studio-gem.it/wp-admin/post.php?post=66015&amp;action=edit" TargetMode="External"/><Relationship Id="rId514" Type="http://schemas.openxmlformats.org/officeDocument/2006/relationships/hyperlink" Target="https://studio-gem.it/wp-admin/post.php?post=65963&amp;action=edit" TargetMode="External"/><Relationship Id="rId756" Type="http://schemas.openxmlformats.org/officeDocument/2006/relationships/hyperlink" Target="https://studio-gem.it/wp-admin/post.php?post=66851&amp;action=edit" TargetMode="External"/><Relationship Id="rId998" Type="http://schemas.openxmlformats.org/officeDocument/2006/relationships/hyperlink" Target="https://studio-gem.it/wp-admin/post.php?post=68017&amp;action=edit" TargetMode="External"/><Relationship Id="rId513" Type="http://schemas.openxmlformats.org/officeDocument/2006/relationships/hyperlink" Target="https://studio-gem.it/wp-admin/post.php?post=65960&amp;action=edit" TargetMode="External"/><Relationship Id="rId755" Type="http://schemas.openxmlformats.org/officeDocument/2006/relationships/hyperlink" Target="https://studio-gem.it/wp-admin/post.php?post=66848&amp;action=edit" TargetMode="External"/><Relationship Id="rId997" Type="http://schemas.openxmlformats.org/officeDocument/2006/relationships/hyperlink" Target="https://studio-gem.it/wp-admin/post.php?post=68016&amp;action=edit" TargetMode="External"/><Relationship Id="rId512" Type="http://schemas.openxmlformats.org/officeDocument/2006/relationships/hyperlink" Target="https://studio-gem.it/wp-admin/post.php?post=65959&amp;action=edit" TargetMode="External"/><Relationship Id="rId754" Type="http://schemas.openxmlformats.org/officeDocument/2006/relationships/hyperlink" Target="https://studio-gem.it/wp-admin/post.php?post=66845&amp;action=edit" TargetMode="External"/><Relationship Id="rId996" Type="http://schemas.openxmlformats.org/officeDocument/2006/relationships/hyperlink" Target="https://studio-gem.it/wp-admin/post.php?post=68014&amp;action=edit" TargetMode="External"/><Relationship Id="rId511" Type="http://schemas.openxmlformats.org/officeDocument/2006/relationships/hyperlink" Target="https://studio-gem.it/wp-admin/post.php?post=65958&amp;action=edit" TargetMode="External"/><Relationship Id="rId753" Type="http://schemas.openxmlformats.org/officeDocument/2006/relationships/hyperlink" Target="https://studio-gem.it/wp-admin/post.php?post=66843&amp;action=edit" TargetMode="External"/><Relationship Id="rId995" Type="http://schemas.openxmlformats.org/officeDocument/2006/relationships/hyperlink" Target="https://studio-gem.it/wp-admin/post.php?post=68013&amp;action=edit" TargetMode="External"/><Relationship Id="rId518" Type="http://schemas.openxmlformats.org/officeDocument/2006/relationships/hyperlink" Target="https://studio-gem.it/wp-admin/post.php?post=66011&amp;action=edit" TargetMode="External"/><Relationship Id="rId517" Type="http://schemas.openxmlformats.org/officeDocument/2006/relationships/hyperlink" Target="https://studio-gem.it/wp-admin/post.php?post=66000&amp;action=edit" TargetMode="External"/><Relationship Id="rId759" Type="http://schemas.openxmlformats.org/officeDocument/2006/relationships/hyperlink" Target="https://studio-gem.it/wp-admin/post.php?post=66858&amp;action=edit" TargetMode="External"/><Relationship Id="rId516" Type="http://schemas.openxmlformats.org/officeDocument/2006/relationships/hyperlink" Target="https://studio-gem.it/wp-admin/post.php?post=65998&amp;action=edit" TargetMode="External"/><Relationship Id="rId758" Type="http://schemas.openxmlformats.org/officeDocument/2006/relationships/hyperlink" Target="https://studio-gem.it/wp-admin/post.php?post=66855&amp;action=edit" TargetMode="External"/><Relationship Id="rId515" Type="http://schemas.openxmlformats.org/officeDocument/2006/relationships/hyperlink" Target="https://studio-gem.it/wp-admin/post.php?post=65967&amp;action=edit" TargetMode="External"/><Relationship Id="rId757" Type="http://schemas.openxmlformats.org/officeDocument/2006/relationships/hyperlink" Target="https://studio-gem.it/wp-admin/post.php?post=66854&amp;action=edit" TargetMode="External"/><Relationship Id="rId999" Type="http://schemas.openxmlformats.org/officeDocument/2006/relationships/hyperlink" Target="https://studio-gem.it/wp-admin/post.php?post=68051&amp;action=edit" TargetMode="External"/><Relationship Id="rId15" Type="http://schemas.openxmlformats.org/officeDocument/2006/relationships/hyperlink" Target="https://studio-gem.it/wp-admin/post.php?post=61749&amp;action=edit" TargetMode="External"/><Relationship Id="rId990" Type="http://schemas.openxmlformats.org/officeDocument/2006/relationships/hyperlink" Target="https://studio-gem.it/wp-admin/post.php?post=68001&amp;action=edit" TargetMode="External"/><Relationship Id="rId14" Type="http://schemas.openxmlformats.org/officeDocument/2006/relationships/hyperlink" Target="https://studio-gem.it/wp-admin/post.php?post=61746&amp;action=edit" TargetMode="External"/><Relationship Id="rId17" Type="http://schemas.openxmlformats.org/officeDocument/2006/relationships/hyperlink" Target="https://studio-gem.it/wp-admin/post.php?post=61813&amp;action=edit" TargetMode="External"/><Relationship Id="rId16" Type="http://schemas.openxmlformats.org/officeDocument/2006/relationships/hyperlink" Target="https://studio-gem.it/wp-admin/post.php?post=61801&amp;action=edit" TargetMode="External"/><Relationship Id="rId19" Type="http://schemas.openxmlformats.org/officeDocument/2006/relationships/hyperlink" Target="https://studio-gem.it/wp-admin/post.php?post=61814&amp;action=edit" TargetMode="External"/><Relationship Id="rId510" Type="http://schemas.openxmlformats.org/officeDocument/2006/relationships/hyperlink" Target="https://studio-gem.it/wp-admin/post.php?post=65956&amp;action=edit" TargetMode="External"/><Relationship Id="rId752" Type="http://schemas.openxmlformats.org/officeDocument/2006/relationships/hyperlink" Target="https://studio-gem.it/wp-admin/post.php?post=66842&amp;action=edit" TargetMode="External"/><Relationship Id="rId994" Type="http://schemas.openxmlformats.org/officeDocument/2006/relationships/hyperlink" Target="https://studio-gem.it/wp-admin/post.php?post=68007&amp;action=edit" TargetMode="External"/><Relationship Id="rId18" Type="http://schemas.openxmlformats.org/officeDocument/2006/relationships/hyperlink" Target="https://studio-gem.it/wp-admin/post.php?post=61814&amp;action=edit" TargetMode="External"/><Relationship Id="rId751" Type="http://schemas.openxmlformats.org/officeDocument/2006/relationships/hyperlink" Target="https://studio-gem.it/wp-admin/post.php?post=66833&amp;action=edit" TargetMode="External"/><Relationship Id="rId993" Type="http://schemas.openxmlformats.org/officeDocument/2006/relationships/hyperlink" Target="https://studio-gem.it/wp-admin/post.php?post=68006&amp;action=edit" TargetMode="External"/><Relationship Id="rId750" Type="http://schemas.openxmlformats.org/officeDocument/2006/relationships/hyperlink" Target="https://studio-gem.it/wp-admin/post.php?post=66831&amp;action=edit" TargetMode="External"/><Relationship Id="rId992" Type="http://schemas.openxmlformats.org/officeDocument/2006/relationships/hyperlink" Target="https://studio-gem.it/wp-admin/post.php?post=68003&amp;action=edit" TargetMode="External"/><Relationship Id="rId991" Type="http://schemas.openxmlformats.org/officeDocument/2006/relationships/hyperlink" Target="https://studio-gem.it/wp-admin/post.php?post=68002&amp;action=edit" TargetMode="External"/><Relationship Id="rId84" Type="http://schemas.openxmlformats.org/officeDocument/2006/relationships/hyperlink" Target="https://studio-gem.it/wp-admin/post.php?post=64168&amp;action=edit" TargetMode="External"/><Relationship Id="rId83" Type="http://schemas.openxmlformats.org/officeDocument/2006/relationships/hyperlink" Target="https://studio-gem.it/wp-admin/post.php?post=63769&amp;action=edit" TargetMode="External"/><Relationship Id="rId86" Type="http://schemas.openxmlformats.org/officeDocument/2006/relationships/hyperlink" Target="https://studio-gem.it/wp-admin/post.php?post=64381&amp;action=edit" TargetMode="External"/><Relationship Id="rId85" Type="http://schemas.openxmlformats.org/officeDocument/2006/relationships/hyperlink" Target="https://studio-gem.it/wp-admin/post.php?post=64170&amp;action=edit" TargetMode="External"/><Relationship Id="rId88" Type="http://schemas.openxmlformats.org/officeDocument/2006/relationships/hyperlink" Target="https://studio-gem.it/wp-admin/post.php?post=64397&amp;action=edit" TargetMode="External"/><Relationship Id="rId87" Type="http://schemas.openxmlformats.org/officeDocument/2006/relationships/hyperlink" Target="https://studio-gem.it/wp-admin/post.php?post=64387&amp;action=edit" TargetMode="External"/><Relationship Id="rId89" Type="http://schemas.openxmlformats.org/officeDocument/2006/relationships/hyperlink" Target="https://studio-gem.it/wp-admin/post.php?post=64402&amp;action=edit" TargetMode="External"/><Relationship Id="rId709" Type="http://schemas.openxmlformats.org/officeDocument/2006/relationships/hyperlink" Target="https://studio-gem.it/wp-admin/post.php?post=66642&amp;action=edit" TargetMode="External"/><Relationship Id="rId708" Type="http://schemas.openxmlformats.org/officeDocument/2006/relationships/hyperlink" Target="https://studio-gem.it/wp-admin/post.php?post=66641&amp;action=edit" TargetMode="External"/><Relationship Id="rId707" Type="http://schemas.openxmlformats.org/officeDocument/2006/relationships/hyperlink" Target="https://studio-gem.it/wp-admin/post.php?post=66611&amp;action=edit" TargetMode="External"/><Relationship Id="rId949" Type="http://schemas.openxmlformats.org/officeDocument/2006/relationships/hyperlink" Target="https://studio-gem.it/wp-admin/post.php?post=67901&amp;action=edit" TargetMode="External"/><Relationship Id="rId706" Type="http://schemas.openxmlformats.org/officeDocument/2006/relationships/hyperlink" Target="https://studio-gem.it/wp-admin/post.php?post=66609&amp;action=edit" TargetMode="External"/><Relationship Id="rId948" Type="http://schemas.openxmlformats.org/officeDocument/2006/relationships/hyperlink" Target="https://studio-gem.it/wp-admin/post.php?post=67899&amp;action=edit" TargetMode="External"/><Relationship Id="rId80" Type="http://schemas.openxmlformats.org/officeDocument/2006/relationships/hyperlink" Target="https://studio-gem.it/wp-admin/post.php?post=63643&amp;action=edit" TargetMode="External"/><Relationship Id="rId82" Type="http://schemas.openxmlformats.org/officeDocument/2006/relationships/hyperlink" Target="https://studio-gem.it/wp-admin/post.php?post=63694&amp;action=edit" TargetMode="External"/><Relationship Id="rId81" Type="http://schemas.openxmlformats.org/officeDocument/2006/relationships/hyperlink" Target="https://studio-gem.it/wp-admin/post.php?post=63667&amp;action=edit" TargetMode="External"/><Relationship Id="rId701" Type="http://schemas.openxmlformats.org/officeDocument/2006/relationships/hyperlink" Target="https://studio-gem.it/wp-admin/post.php?post=66598&amp;action=edit" TargetMode="External"/><Relationship Id="rId943" Type="http://schemas.openxmlformats.org/officeDocument/2006/relationships/hyperlink" Target="https://studio-gem.it/wp-admin/post.php?post=67883&amp;action=edit" TargetMode="External"/><Relationship Id="rId700" Type="http://schemas.openxmlformats.org/officeDocument/2006/relationships/hyperlink" Target="https://studio-gem.it/wp-admin/post.php?post=66596&amp;action=edit" TargetMode="External"/><Relationship Id="rId942" Type="http://schemas.openxmlformats.org/officeDocument/2006/relationships/hyperlink" Target="https://studio-gem.it/wp-admin/post.php?post=67870&amp;action=edit" TargetMode="External"/><Relationship Id="rId941" Type="http://schemas.openxmlformats.org/officeDocument/2006/relationships/hyperlink" Target="https://studio-gem.it/wp-admin/post.php?post=67867&amp;action=edit" TargetMode="External"/><Relationship Id="rId940" Type="http://schemas.openxmlformats.org/officeDocument/2006/relationships/hyperlink" Target="https://studio-gem.it/wp-admin/post.php?post=67863&amp;action=edit" TargetMode="External"/><Relationship Id="rId705" Type="http://schemas.openxmlformats.org/officeDocument/2006/relationships/hyperlink" Target="https://studio-gem.it/wp-admin/post.php?post=66607&amp;action=edit" TargetMode="External"/><Relationship Id="rId947" Type="http://schemas.openxmlformats.org/officeDocument/2006/relationships/hyperlink" Target="https://studio-gem.it/wp-admin/post.php?post=67898&amp;action=edit" TargetMode="External"/><Relationship Id="rId704" Type="http://schemas.openxmlformats.org/officeDocument/2006/relationships/hyperlink" Target="https://studio-gem.it/wp-admin/post.php?post=66604&amp;action=edit" TargetMode="External"/><Relationship Id="rId946" Type="http://schemas.openxmlformats.org/officeDocument/2006/relationships/hyperlink" Target="https://studio-gem.it/wp-admin/post.php?post=67896&amp;action=edit" TargetMode="External"/><Relationship Id="rId703" Type="http://schemas.openxmlformats.org/officeDocument/2006/relationships/hyperlink" Target="https://studio-gem.it/wp-admin/post.php?post=66602&amp;action=edit" TargetMode="External"/><Relationship Id="rId945" Type="http://schemas.openxmlformats.org/officeDocument/2006/relationships/hyperlink" Target="https://studio-gem.it/wp-admin/post.php?post=67888&amp;action=edit" TargetMode="External"/><Relationship Id="rId702" Type="http://schemas.openxmlformats.org/officeDocument/2006/relationships/hyperlink" Target="https://studio-gem.it/wp-admin/post.php?post=66600&amp;action=edit" TargetMode="External"/><Relationship Id="rId944" Type="http://schemas.openxmlformats.org/officeDocument/2006/relationships/hyperlink" Target="https://studio-gem.it/wp-admin/post.php?post=67886&amp;action=edit" TargetMode="External"/><Relationship Id="rId73" Type="http://schemas.openxmlformats.org/officeDocument/2006/relationships/hyperlink" Target="https://studio-gem.it/wp-admin/post.php?post=62782&amp;action=edit" TargetMode="External"/><Relationship Id="rId72" Type="http://schemas.openxmlformats.org/officeDocument/2006/relationships/hyperlink" Target="https://studio-gem.it/wp-admin/post.php?post=62774&amp;action=edit" TargetMode="External"/><Relationship Id="rId75" Type="http://schemas.openxmlformats.org/officeDocument/2006/relationships/hyperlink" Target="https://studio-gem.it/wp-admin/post.php?post=63626&amp;action=edit" TargetMode="External"/><Relationship Id="rId74" Type="http://schemas.openxmlformats.org/officeDocument/2006/relationships/hyperlink" Target="https://studio-gem.it/wp-admin/post.php?post=63524&amp;action=edit" TargetMode="External"/><Relationship Id="rId77" Type="http://schemas.openxmlformats.org/officeDocument/2006/relationships/hyperlink" Target="https://studio-gem.it/wp-admin/post.php?post=63637&amp;action=edit" TargetMode="External"/><Relationship Id="rId76" Type="http://schemas.openxmlformats.org/officeDocument/2006/relationships/hyperlink" Target="https://studio-gem.it/wp-admin/post.php?post=63631&amp;action=edit" TargetMode="External"/><Relationship Id="rId79" Type="http://schemas.openxmlformats.org/officeDocument/2006/relationships/hyperlink" Target="https://studio-gem.it/wp-admin/post.php?post=63642&amp;action=edit" TargetMode="External"/><Relationship Id="rId78" Type="http://schemas.openxmlformats.org/officeDocument/2006/relationships/hyperlink" Target="https://studio-gem.it/wp-admin/post.php?post=63642&amp;action=edit" TargetMode="External"/><Relationship Id="rId939" Type="http://schemas.openxmlformats.org/officeDocument/2006/relationships/hyperlink" Target="https://studio-gem.it/wp-admin/post.php?post=67858&amp;action=edit" TargetMode="External"/><Relationship Id="rId938" Type="http://schemas.openxmlformats.org/officeDocument/2006/relationships/hyperlink" Target="https://studio-gem.it/wp-admin/post.php?post=67856&amp;action=edit" TargetMode="External"/><Relationship Id="rId937" Type="http://schemas.openxmlformats.org/officeDocument/2006/relationships/hyperlink" Target="https://studio-gem.it/wp-admin/post.php?post=67854&amp;action=edit" TargetMode="External"/><Relationship Id="rId71" Type="http://schemas.openxmlformats.org/officeDocument/2006/relationships/hyperlink" Target="https://studio-gem.it/wp-admin/post.php?post=62760&amp;action=edit" TargetMode="External"/><Relationship Id="rId70" Type="http://schemas.openxmlformats.org/officeDocument/2006/relationships/hyperlink" Target="https://studio-gem.it/wp-admin/post.php?post=62756&amp;action=edit" TargetMode="External"/><Relationship Id="rId932" Type="http://schemas.openxmlformats.org/officeDocument/2006/relationships/hyperlink" Target="https://studio-gem.it/wp-admin/post.php?post=67839&amp;action=edit" TargetMode="External"/><Relationship Id="rId931" Type="http://schemas.openxmlformats.org/officeDocument/2006/relationships/hyperlink" Target="https://studio-gem.it/wp-admin/post.php?post=67819&amp;action=edit" TargetMode="External"/><Relationship Id="rId930" Type="http://schemas.openxmlformats.org/officeDocument/2006/relationships/hyperlink" Target="https://studio-gem.it/wp-admin/post.php?post=67817&amp;action=edit" TargetMode="External"/><Relationship Id="rId936" Type="http://schemas.openxmlformats.org/officeDocument/2006/relationships/hyperlink" Target="https://studio-gem.it/wp-admin/post.php?post=67851&amp;action=edit" TargetMode="External"/><Relationship Id="rId935" Type="http://schemas.openxmlformats.org/officeDocument/2006/relationships/hyperlink" Target="https://studio-gem.it/wp-admin/post.php?post=67848&amp;action=edit" TargetMode="External"/><Relationship Id="rId934" Type="http://schemas.openxmlformats.org/officeDocument/2006/relationships/hyperlink" Target="https://studio-gem.it/wp-admin/post.php?post=67843&amp;action=edit" TargetMode="External"/><Relationship Id="rId933" Type="http://schemas.openxmlformats.org/officeDocument/2006/relationships/hyperlink" Target="https://studio-gem.it/wp-admin/post.php?post=67842&amp;action=edit" TargetMode="External"/><Relationship Id="rId62" Type="http://schemas.openxmlformats.org/officeDocument/2006/relationships/hyperlink" Target="https://studio-gem.it/wp-admin/post.php?post=62527&amp;action=edit" TargetMode="External"/><Relationship Id="rId61" Type="http://schemas.openxmlformats.org/officeDocument/2006/relationships/hyperlink" Target="https://studio-gem.it/wp-admin/post.php?post=62462&amp;action=edit" TargetMode="External"/><Relationship Id="rId64" Type="http://schemas.openxmlformats.org/officeDocument/2006/relationships/hyperlink" Target="https://studio-gem.it/wp-admin/post.php?post=62578&amp;action=edit" TargetMode="External"/><Relationship Id="rId63" Type="http://schemas.openxmlformats.org/officeDocument/2006/relationships/hyperlink" Target="https://studio-gem.it/wp-admin/post.php?post=62570&amp;action=edit" TargetMode="External"/><Relationship Id="rId66" Type="http://schemas.openxmlformats.org/officeDocument/2006/relationships/hyperlink" Target="https://studio-gem.it/wp-admin/post.php?post=62614&amp;action=edit" TargetMode="External"/><Relationship Id="rId65" Type="http://schemas.openxmlformats.org/officeDocument/2006/relationships/hyperlink" Target="https://studio-gem.it/wp-admin/post.php?post=62587&amp;action=edit" TargetMode="External"/><Relationship Id="rId68" Type="http://schemas.openxmlformats.org/officeDocument/2006/relationships/hyperlink" Target="https://studio-gem.it/wp-admin/post.php?post=62746&amp;action=edit" TargetMode="External"/><Relationship Id="rId67" Type="http://schemas.openxmlformats.org/officeDocument/2006/relationships/hyperlink" Target="https://studio-gem.it/wp-admin/post.php?post=62662&amp;action=edit" TargetMode="External"/><Relationship Id="rId729" Type="http://schemas.openxmlformats.org/officeDocument/2006/relationships/hyperlink" Target="https://studio-gem.it/wp-admin/post.php?post=66763&amp;action=edit" TargetMode="External"/><Relationship Id="rId728" Type="http://schemas.openxmlformats.org/officeDocument/2006/relationships/hyperlink" Target="https://studio-gem.it/wp-admin/post.php?post=66762&amp;action=edit" TargetMode="External"/><Relationship Id="rId60" Type="http://schemas.openxmlformats.org/officeDocument/2006/relationships/hyperlink" Target="https://studio-gem.it/wp-admin/post.php?post=62427&amp;action=edit" TargetMode="External"/><Relationship Id="rId723" Type="http://schemas.openxmlformats.org/officeDocument/2006/relationships/hyperlink" Target="https://studio-gem.it/wp-admin/post.php?post=66746&amp;action=edit" TargetMode="External"/><Relationship Id="rId965" Type="http://schemas.openxmlformats.org/officeDocument/2006/relationships/hyperlink" Target="https://studio-gem.it/wp-admin/post.php?post=67931&amp;action=edit" TargetMode="External"/><Relationship Id="rId722" Type="http://schemas.openxmlformats.org/officeDocument/2006/relationships/hyperlink" Target="https://studio-gem.it/wp-admin/post.php?post=66744&amp;action=edit" TargetMode="External"/><Relationship Id="rId964" Type="http://schemas.openxmlformats.org/officeDocument/2006/relationships/hyperlink" Target="https://studio-gem.it/wp-admin/post.php?post=67929&amp;action=edit" TargetMode="External"/><Relationship Id="rId721" Type="http://schemas.openxmlformats.org/officeDocument/2006/relationships/hyperlink" Target="https://studio-gem.it/wp-admin/post.php?post=66741&amp;action=edit" TargetMode="External"/><Relationship Id="rId963" Type="http://schemas.openxmlformats.org/officeDocument/2006/relationships/hyperlink" Target="https://studio-gem.it/wp-admin/post.php?post=67927&amp;action=edit" TargetMode="External"/><Relationship Id="rId720" Type="http://schemas.openxmlformats.org/officeDocument/2006/relationships/hyperlink" Target="https://studio-gem.it/wp-admin/post.php?post=66739&amp;action=edit" TargetMode="External"/><Relationship Id="rId962" Type="http://schemas.openxmlformats.org/officeDocument/2006/relationships/hyperlink" Target="https://studio-gem.it/wp-admin/post.php?post=67925&amp;action=edit" TargetMode="External"/><Relationship Id="rId727" Type="http://schemas.openxmlformats.org/officeDocument/2006/relationships/hyperlink" Target="https://studio-gem.it/wp-admin/post.php?post=66760&amp;action=edit" TargetMode="External"/><Relationship Id="rId969" Type="http://schemas.openxmlformats.org/officeDocument/2006/relationships/hyperlink" Target="https://studio-gem.it/wp-admin/post.php?post=67938&amp;action=edit" TargetMode="External"/><Relationship Id="rId726" Type="http://schemas.openxmlformats.org/officeDocument/2006/relationships/hyperlink" Target="https://studio-gem.it/wp-admin/post.php?post=66759&amp;action=edit" TargetMode="External"/><Relationship Id="rId968" Type="http://schemas.openxmlformats.org/officeDocument/2006/relationships/hyperlink" Target="https://studio-gem.it/wp-admin/post.php?post=67937&amp;action=edit" TargetMode="External"/><Relationship Id="rId725" Type="http://schemas.openxmlformats.org/officeDocument/2006/relationships/hyperlink" Target="https://studio-gem.it/wp-admin/post.php?post=66757&amp;action=edit" TargetMode="External"/><Relationship Id="rId967" Type="http://schemas.openxmlformats.org/officeDocument/2006/relationships/hyperlink" Target="https://studio-gem.it/wp-admin/post.php?post=67935&amp;action=edit" TargetMode="External"/><Relationship Id="rId724" Type="http://schemas.openxmlformats.org/officeDocument/2006/relationships/hyperlink" Target="https://studio-gem.it/wp-admin/post.php?post=66755&amp;action=edit" TargetMode="External"/><Relationship Id="rId966" Type="http://schemas.openxmlformats.org/officeDocument/2006/relationships/hyperlink" Target="https://studio-gem.it/wp-admin/post.php?post=67933&amp;action=edit" TargetMode="External"/><Relationship Id="rId69" Type="http://schemas.openxmlformats.org/officeDocument/2006/relationships/hyperlink" Target="https://studio-gem.it/wp-admin/post.php?post=62753&amp;action=edit" TargetMode="External"/><Relationship Id="rId961" Type="http://schemas.openxmlformats.org/officeDocument/2006/relationships/hyperlink" Target="https://studio-gem.it/wp-admin/post.php?post=67923&amp;action=edit" TargetMode="External"/><Relationship Id="rId960" Type="http://schemas.openxmlformats.org/officeDocument/2006/relationships/hyperlink" Target="https://studio-gem.it/wp-admin/post.php?post=67921&amp;action=edit" TargetMode="External"/><Relationship Id="rId51" Type="http://schemas.openxmlformats.org/officeDocument/2006/relationships/hyperlink" Target="https://studio-gem.it/wp-admin/post.php?post=62299&amp;action=edit" TargetMode="External"/><Relationship Id="rId50" Type="http://schemas.openxmlformats.org/officeDocument/2006/relationships/hyperlink" Target="https://studio-gem.it/wp-admin/post.php?post=62295&amp;action=edit" TargetMode="External"/><Relationship Id="rId53" Type="http://schemas.openxmlformats.org/officeDocument/2006/relationships/hyperlink" Target="https://studio-gem.it/wp-admin/post.php?post=62317&amp;action=edit" TargetMode="External"/><Relationship Id="rId52" Type="http://schemas.openxmlformats.org/officeDocument/2006/relationships/hyperlink" Target="https://studio-gem.it/wp-admin/post.php?post=62306&amp;action=edit" TargetMode="External"/><Relationship Id="rId55" Type="http://schemas.openxmlformats.org/officeDocument/2006/relationships/hyperlink" Target="https://studio-gem.it/wp-admin/post.php?post=62333&amp;action=edit" TargetMode="External"/><Relationship Id="rId54" Type="http://schemas.openxmlformats.org/officeDocument/2006/relationships/hyperlink" Target="https://studio-gem.it/wp-admin/post.php?post=62318&amp;action=edit" TargetMode="External"/><Relationship Id="rId57" Type="http://schemas.openxmlformats.org/officeDocument/2006/relationships/hyperlink" Target="https://studio-gem.it/wp-admin/post.php?post=62400&amp;action=edit" TargetMode="External"/><Relationship Id="rId56" Type="http://schemas.openxmlformats.org/officeDocument/2006/relationships/hyperlink" Target="https://studio-gem.it/wp-admin/post.php?post=62348&amp;action=edit" TargetMode="External"/><Relationship Id="rId719" Type="http://schemas.openxmlformats.org/officeDocument/2006/relationships/hyperlink" Target="https://studio-gem.it/wp-admin/post.php?post=66737&amp;action=edit" TargetMode="External"/><Relationship Id="rId718" Type="http://schemas.openxmlformats.org/officeDocument/2006/relationships/hyperlink" Target="https://studio-gem.it/wp-admin/post.php?post=66736&amp;action=edit" TargetMode="External"/><Relationship Id="rId717" Type="http://schemas.openxmlformats.org/officeDocument/2006/relationships/hyperlink" Target="https://studio-gem.it/wp-admin/post.php?post=66734&amp;action=edit" TargetMode="External"/><Relationship Id="rId959" Type="http://schemas.openxmlformats.org/officeDocument/2006/relationships/hyperlink" Target="https://studio-gem.it/wp-admin/post.php?post=67919&amp;action=edit" TargetMode="External"/><Relationship Id="rId712" Type="http://schemas.openxmlformats.org/officeDocument/2006/relationships/hyperlink" Target="https://studio-gem.it/wp-admin/post.php?post=66655&amp;action=edit" TargetMode="External"/><Relationship Id="rId954" Type="http://schemas.openxmlformats.org/officeDocument/2006/relationships/hyperlink" Target="https://studio-gem.it/wp-admin/post.php?post=67911&amp;action=edit" TargetMode="External"/><Relationship Id="rId711" Type="http://schemas.openxmlformats.org/officeDocument/2006/relationships/hyperlink" Target="https://studio-gem.it/wp-admin/post.php?post=66652&amp;action=edit" TargetMode="External"/><Relationship Id="rId953" Type="http://schemas.openxmlformats.org/officeDocument/2006/relationships/hyperlink" Target="https://studio-gem.it/wp-admin/post.php?post=67909&amp;action=edit" TargetMode="External"/><Relationship Id="rId710" Type="http://schemas.openxmlformats.org/officeDocument/2006/relationships/hyperlink" Target="https://studio-gem.it/wp-admin/post.php?post=66644&amp;action=edit" TargetMode="External"/><Relationship Id="rId952" Type="http://schemas.openxmlformats.org/officeDocument/2006/relationships/hyperlink" Target="https://studio-gem.it/wp-admin/post.php?post=67907&amp;action=edit" TargetMode="External"/><Relationship Id="rId951" Type="http://schemas.openxmlformats.org/officeDocument/2006/relationships/hyperlink" Target="https://studio-gem.it/wp-admin/post.php?post=67904&amp;action=edit" TargetMode="External"/><Relationship Id="rId716" Type="http://schemas.openxmlformats.org/officeDocument/2006/relationships/hyperlink" Target="https://studio-gem.it/wp-admin/post.php?post=66731&amp;action=edit" TargetMode="External"/><Relationship Id="rId958" Type="http://schemas.openxmlformats.org/officeDocument/2006/relationships/hyperlink" Target="https://studio-gem.it/wp-admin/post.php?post=67916&amp;action=edit" TargetMode="External"/><Relationship Id="rId715" Type="http://schemas.openxmlformats.org/officeDocument/2006/relationships/hyperlink" Target="https://studio-gem.it/wp-admin/post.php?post=66719&amp;action=edit" TargetMode="External"/><Relationship Id="rId957" Type="http://schemas.openxmlformats.org/officeDocument/2006/relationships/hyperlink" Target="https://studio-gem.it/wp-admin/post.php?post=67915&amp;action=edit" TargetMode="External"/><Relationship Id="rId714" Type="http://schemas.openxmlformats.org/officeDocument/2006/relationships/hyperlink" Target="https://studio-gem.it/wp-admin/post.php?post=66714&amp;action=edit" TargetMode="External"/><Relationship Id="rId956" Type="http://schemas.openxmlformats.org/officeDocument/2006/relationships/hyperlink" Target="https://studio-gem.it/wp-admin/post.php?post=67914&amp;action=edit" TargetMode="External"/><Relationship Id="rId713" Type="http://schemas.openxmlformats.org/officeDocument/2006/relationships/hyperlink" Target="https://studio-gem.it/wp-admin/post.php?post=66712&amp;action=edit" TargetMode="External"/><Relationship Id="rId955" Type="http://schemas.openxmlformats.org/officeDocument/2006/relationships/hyperlink" Target="https://studio-gem.it/wp-admin/post.php?post=67912&amp;action=edit" TargetMode="External"/><Relationship Id="rId59" Type="http://schemas.openxmlformats.org/officeDocument/2006/relationships/hyperlink" Target="https://studio-gem.it/wp-admin/post.php?post=62420&amp;action=edit" TargetMode="External"/><Relationship Id="rId58" Type="http://schemas.openxmlformats.org/officeDocument/2006/relationships/hyperlink" Target="https://studio-gem.it/wp-admin/post.php?post=62402&amp;action=edit" TargetMode="External"/><Relationship Id="rId950" Type="http://schemas.openxmlformats.org/officeDocument/2006/relationships/hyperlink" Target="https://studio-gem.it/wp-admin/post.php?post=67902&amp;action=edit" TargetMode="External"/><Relationship Id="rId590" Type="http://schemas.openxmlformats.org/officeDocument/2006/relationships/hyperlink" Target="https://studio-gem.it/wp-admin/post.php?post=66170&amp;action=edit" TargetMode="External"/><Relationship Id="rId107" Type="http://schemas.openxmlformats.org/officeDocument/2006/relationships/hyperlink" Target="https://studio-gem.it/wp-admin/post.php?post=64450&amp;action=edit" TargetMode="External"/><Relationship Id="rId349" Type="http://schemas.openxmlformats.org/officeDocument/2006/relationships/hyperlink" Target="https://studio-gem.it/wp-admin/post.php?post=65371&amp;action=edit" TargetMode="External"/><Relationship Id="rId106" Type="http://schemas.openxmlformats.org/officeDocument/2006/relationships/hyperlink" Target="https://studio-gem.it/wp-admin/post.php?post=64450&amp;action=edit" TargetMode="External"/><Relationship Id="rId348" Type="http://schemas.openxmlformats.org/officeDocument/2006/relationships/hyperlink" Target="https://studio-gem.it/wp-admin/post.php?post=65346&amp;action=edit" TargetMode="External"/><Relationship Id="rId105" Type="http://schemas.openxmlformats.org/officeDocument/2006/relationships/hyperlink" Target="https://studio-gem.it/wp-admin/post.php?post=64450&amp;action=edit" TargetMode="External"/><Relationship Id="rId347" Type="http://schemas.openxmlformats.org/officeDocument/2006/relationships/hyperlink" Target="https://studio-gem.it/wp-admin/post.php?post=65342&amp;action=edit" TargetMode="External"/><Relationship Id="rId589" Type="http://schemas.openxmlformats.org/officeDocument/2006/relationships/hyperlink" Target="https://studio-gem.it/wp-admin/post.php?post=66167&amp;action=edit" TargetMode="External"/><Relationship Id="rId104" Type="http://schemas.openxmlformats.org/officeDocument/2006/relationships/hyperlink" Target="https://studio-gem.it/wp-admin/post.php?post=64450&amp;action=edit" TargetMode="External"/><Relationship Id="rId346" Type="http://schemas.openxmlformats.org/officeDocument/2006/relationships/hyperlink" Target="https://studio-gem.it/wp-admin/post.php?post=65341&amp;action=edit" TargetMode="External"/><Relationship Id="rId588" Type="http://schemas.openxmlformats.org/officeDocument/2006/relationships/hyperlink" Target="https://studio-gem.it/wp-admin/post.php?post=66166&amp;action=edit" TargetMode="External"/><Relationship Id="rId109" Type="http://schemas.openxmlformats.org/officeDocument/2006/relationships/hyperlink" Target="https://studio-gem.it/wp-admin/post.php?post=64452&amp;action=edit" TargetMode="External"/><Relationship Id="rId108" Type="http://schemas.openxmlformats.org/officeDocument/2006/relationships/hyperlink" Target="https://studio-gem.it/wp-admin/post.php?post=64451&amp;action=edit" TargetMode="External"/><Relationship Id="rId341" Type="http://schemas.openxmlformats.org/officeDocument/2006/relationships/hyperlink" Target="https://studio-gem.it/wp-admin/post.php?post=65322&amp;action=edit" TargetMode="External"/><Relationship Id="rId583" Type="http://schemas.openxmlformats.org/officeDocument/2006/relationships/hyperlink" Target="https://studio-gem.it/wp-admin/post.php?post=66156&amp;action=edit" TargetMode="External"/><Relationship Id="rId340" Type="http://schemas.openxmlformats.org/officeDocument/2006/relationships/hyperlink" Target="https://studio-gem.it/wp-admin/post.php?post=65321&amp;action=edit" TargetMode="External"/><Relationship Id="rId582" Type="http://schemas.openxmlformats.org/officeDocument/2006/relationships/hyperlink" Target="https://studio-gem.it/wp-admin/post.php?post=66145&amp;action=edit" TargetMode="External"/><Relationship Id="rId581" Type="http://schemas.openxmlformats.org/officeDocument/2006/relationships/hyperlink" Target="https://studio-gem.it/wp-admin/post.php?post=66143&amp;action=edit" TargetMode="External"/><Relationship Id="rId580" Type="http://schemas.openxmlformats.org/officeDocument/2006/relationships/hyperlink" Target="https://studio-gem.it/wp-admin/post.php?post=66141&amp;action=edit" TargetMode="External"/><Relationship Id="rId103" Type="http://schemas.openxmlformats.org/officeDocument/2006/relationships/hyperlink" Target="https://studio-gem.it/wp-admin/post.php?post=64450&amp;action=edit" TargetMode="External"/><Relationship Id="rId345" Type="http://schemas.openxmlformats.org/officeDocument/2006/relationships/hyperlink" Target="https://studio-gem.it/wp-admin/post.php?post=65340&amp;action=edit" TargetMode="External"/><Relationship Id="rId587" Type="http://schemas.openxmlformats.org/officeDocument/2006/relationships/hyperlink" Target="https://studio-gem.it/wp-admin/post.php?post=66164&amp;action=edit" TargetMode="External"/><Relationship Id="rId102" Type="http://schemas.openxmlformats.org/officeDocument/2006/relationships/hyperlink" Target="https://studio-gem.it/wp-admin/post.php?post=64450&amp;action=edit" TargetMode="External"/><Relationship Id="rId344" Type="http://schemas.openxmlformats.org/officeDocument/2006/relationships/hyperlink" Target="https://studio-gem.it/wp-admin/post.php?post=65338&amp;action=edit" TargetMode="External"/><Relationship Id="rId586" Type="http://schemas.openxmlformats.org/officeDocument/2006/relationships/hyperlink" Target="https://studio-gem.it/wp-admin/post.php?post=66163&amp;action=edit" TargetMode="External"/><Relationship Id="rId101" Type="http://schemas.openxmlformats.org/officeDocument/2006/relationships/hyperlink" Target="https://studio-gem.it/wp-admin/post.php?post=64450&amp;action=edit" TargetMode="External"/><Relationship Id="rId343" Type="http://schemas.openxmlformats.org/officeDocument/2006/relationships/hyperlink" Target="https://studio-gem.it/wp-admin/post.php?post=65334&amp;action=edit" TargetMode="External"/><Relationship Id="rId585" Type="http://schemas.openxmlformats.org/officeDocument/2006/relationships/hyperlink" Target="https://studio-gem.it/wp-admin/post.php?post=66161&amp;action=edit" TargetMode="External"/><Relationship Id="rId100" Type="http://schemas.openxmlformats.org/officeDocument/2006/relationships/hyperlink" Target="https://studio-gem.it/wp-admin/post.php?post=64450&amp;action=edit" TargetMode="External"/><Relationship Id="rId342" Type="http://schemas.openxmlformats.org/officeDocument/2006/relationships/hyperlink" Target="https://studio-gem.it/wp-admin/post.php?post=65328&amp;action=edit" TargetMode="External"/><Relationship Id="rId584" Type="http://schemas.openxmlformats.org/officeDocument/2006/relationships/hyperlink" Target="https://studio-gem.it/wp-admin/post.php?post=66159&amp;action=edit" TargetMode="External"/><Relationship Id="rId338" Type="http://schemas.openxmlformats.org/officeDocument/2006/relationships/hyperlink" Target="https://studio-gem.it/wp-admin/post.php?post=65301&amp;action=edit" TargetMode="External"/><Relationship Id="rId337" Type="http://schemas.openxmlformats.org/officeDocument/2006/relationships/hyperlink" Target="https://studio-gem.it/wp-admin/post.php?post=65297&amp;action=edit" TargetMode="External"/><Relationship Id="rId579" Type="http://schemas.openxmlformats.org/officeDocument/2006/relationships/hyperlink" Target="https://studio-gem.it/wp-admin/post.php?post=66128&amp;action=edit" TargetMode="External"/><Relationship Id="rId336" Type="http://schemas.openxmlformats.org/officeDocument/2006/relationships/hyperlink" Target="https://studio-gem.it/wp-admin/post.php?post=65296&amp;action=edit" TargetMode="External"/><Relationship Id="rId578" Type="http://schemas.openxmlformats.org/officeDocument/2006/relationships/hyperlink" Target="https://studio-gem.it/wp-admin/post.php?post=66126&amp;action=edit" TargetMode="External"/><Relationship Id="rId335" Type="http://schemas.openxmlformats.org/officeDocument/2006/relationships/hyperlink" Target="https://studio-gem.it/wp-admin/post.php?post=65294&amp;action=edit" TargetMode="External"/><Relationship Id="rId577" Type="http://schemas.openxmlformats.org/officeDocument/2006/relationships/hyperlink" Target="https://studio-gem.it/wp-admin/post.php?post=66124&amp;action=edit" TargetMode="External"/><Relationship Id="rId339" Type="http://schemas.openxmlformats.org/officeDocument/2006/relationships/hyperlink" Target="https://studio-gem.it/wp-admin/post.php?post=65320&amp;action=edit" TargetMode="External"/><Relationship Id="rId330" Type="http://schemas.openxmlformats.org/officeDocument/2006/relationships/hyperlink" Target="https://studio-gem.it/wp-admin/post.php?post=65288&amp;action=edit" TargetMode="External"/><Relationship Id="rId572" Type="http://schemas.openxmlformats.org/officeDocument/2006/relationships/hyperlink" Target="https://studio-gem.it/wp-admin/post.php?post=66117&amp;action=edit" TargetMode="External"/><Relationship Id="rId571" Type="http://schemas.openxmlformats.org/officeDocument/2006/relationships/hyperlink" Target="https://studio-gem.it/wp-admin/post.php?post=66116&amp;action=edit" TargetMode="External"/><Relationship Id="rId570" Type="http://schemas.openxmlformats.org/officeDocument/2006/relationships/hyperlink" Target="https://studio-gem.it/wp-admin/post.php?post=66114&amp;action=edit" TargetMode="External"/><Relationship Id="rId334" Type="http://schemas.openxmlformats.org/officeDocument/2006/relationships/hyperlink" Target="https://studio-gem.it/wp-admin/post.php?post=65293&amp;action=edit" TargetMode="External"/><Relationship Id="rId576" Type="http://schemas.openxmlformats.org/officeDocument/2006/relationships/hyperlink" Target="https://studio-gem.it/wp-admin/post.php?post=66121&amp;action=edit" TargetMode="External"/><Relationship Id="rId333" Type="http://schemas.openxmlformats.org/officeDocument/2006/relationships/hyperlink" Target="https://studio-gem.it/wp-admin/post.php?post=65292&amp;action=edit" TargetMode="External"/><Relationship Id="rId575" Type="http://schemas.openxmlformats.org/officeDocument/2006/relationships/hyperlink" Target="https://studio-gem.it/wp-admin/post.php?post=66120&amp;action=edit" TargetMode="External"/><Relationship Id="rId332" Type="http://schemas.openxmlformats.org/officeDocument/2006/relationships/hyperlink" Target="https://studio-gem.it/wp-admin/post.php?post=65291&amp;action=edit" TargetMode="External"/><Relationship Id="rId574" Type="http://schemas.openxmlformats.org/officeDocument/2006/relationships/hyperlink" Target="https://studio-gem.it/wp-admin/post.php?post=66119&amp;action=edit" TargetMode="External"/><Relationship Id="rId331" Type="http://schemas.openxmlformats.org/officeDocument/2006/relationships/hyperlink" Target="https://studio-gem.it/wp-admin/post.php?post=65290&amp;action=edit" TargetMode="External"/><Relationship Id="rId573" Type="http://schemas.openxmlformats.org/officeDocument/2006/relationships/hyperlink" Target="https://studio-gem.it/wp-admin/post.php?post=66118&amp;action=edit" TargetMode="External"/><Relationship Id="rId370" Type="http://schemas.openxmlformats.org/officeDocument/2006/relationships/hyperlink" Target="https://studio-gem.it/wp-admin/post.php?post=65423&amp;action=edit" TargetMode="External"/><Relationship Id="rId129" Type="http://schemas.openxmlformats.org/officeDocument/2006/relationships/hyperlink" Target="https://studio-gem.it/wp-admin/post.php?post=64678&amp;action=edit" TargetMode="External"/><Relationship Id="rId128" Type="http://schemas.openxmlformats.org/officeDocument/2006/relationships/hyperlink" Target="https://studio-gem.it/wp-admin/post.php?post=64676&amp;action=edit" TargetMode="External"/><Relationship Id="rId127" Type="http://schemas.openxmlformats.org/officeDocument/2006/relationships/hyperlink" Target="https://studio-gem.it/wp-admin/post.php?post=64674&amp;action=edit" TargetMode="External"/><Relationship Id="rId369" Type="http://schemas.openxmlformats.org/officeDocument/2006/relationships/hyperlink" Target="https://studio-gem.it/wp-admin/post.php?post=65418&amp;action=edit" TargetMode="External"/><Relationship Id="rId126" Type="http://schemas.openxmlformats.org/officeDocument/2006/relationships/hyperlink" Target="https://studio-gem.it/wp-admin/post.php?post=64673&amp;action=edit" TargetMode="External"/><Relationship Id="rId368" Type="http://schemas.openxmlformats.org/officeDocument/2006/relationships/hyperlink" Target="https://studio-gem.it/wp-admin/post.php?post=65417&amp;action=edit" TargetMode="External"/><Relationship Id="rId121" Type="http://schemas.openxmlformats.org/officeDocument/2006/relationships/hyperlink" Target="https://studio-gem.it/wp-admin/post.php?post=64569&amp;action=edit" TargetMode="External"/><Relationship Id="rId363" Type="http://schemas.openxmlformats.org/officeDocument/2006/relationships/hyperlink" Target="https://studio-gem.it/wp-admin/post.php?post=65409&amp;action=edit" TargetMode="External"/><Relationship Id="rId120" Type="http://schemas.openxmlformats.org/officeDocument/2006/relationships/hyperlink" Target="https://studio-gem.it/wp-admin/post.php?post=64569&amp;action=edit" TargetMode="External"/><Relationship Id="rId362" Type="http://schemas.openxmlformats.org/officeDocument/2006/relationships/hyperlink" Target="https://studio-gem.it/wp-admin/post.php?post=65409&amp;action=edit" TargetMode="External"/><Relationship Id="rId361" Type="http://schemas.openxmlformats.org/officeDocument/2006/relationships/hyperlink" Target="https://studio-gem.it/wp-admin/post.php?post=65408&amp;action=edit" TargetMode="External"/><Relationship Id="rId360" Type="http://schemas.openxmlformats.org/officeDocument/2006/relationships/hyperlink" Target="https://studio-gem.it/wp-admin/post.php?post=65407&amp;action=edit" TargetMode="External"/><Relationship Id="rId125" Type="http://schemas.openxmlformats.org/officeDocument/2006/relationships/hyperlink" Target="https://studio-gem.it/wp-admin/post.php?post=64601&amp;action=edit" TargetMode="External"/><Relationship Id="rId367" Type="http://schemas.openxmlformats.org/officeDocument/2006/relationships/hyperlink" Target="https://studio-gem.it/wp-admin/post.php?post=65415&amp;action=edit" TargetMode="External"/><Relationship Id="rId124" Type="http://schemas.openxmlformats.org/officeDocument/2006/relationships/hyperlink" Target="https://studio-gem.it/wp-admin/post.php?post=64584&amp;action=edit" TargetMode="External"/><Relationship Id="rId366" Type="http://schemas.openxmlformats.org/officeDocument/2006/relationships/hyperlink" Target="https://studio-gem.it/wp-admin/post.php?post=65414&amp;action=edit" TargetMode="External"/><Relationship Id="rId123" Type="http://schemas.openxmlformats.org/officeDocument/2006/relationships/hyperlink" Target="https://studio-gem.it/wp-admin/post.php?post=64572&amp;action=edit" TargetMode="External"/><Relationship Id="rId365" Type="http://schemas.openxmlformats.org/officeDocument/2006/relationships/hyperlink" Target="https://studio-gem.it/wp-admin/post.php?post=65412&amp;action=edit" TargetMode="External"/><Relationship Id="rId122" Type="http://schemas.openxmlformats.org/officeDocument/2006/relationships/hyperlink" Target="https://studio-gem.it/wp-admin/post.php?post=64570&amp;action=edit" TargetMode="External"/><Relationship Id="rId364" Type="http://schemas.openxmlformats.org/officeDocument/2006/relationships/hyperlink" Target="https://studio-gem.it/wp-admin/post.php?post=65411&amp;action=edit" TargetMode="External"/><Relationship Id="rId95" Type="http://schemas.openxmlformats.org/officeDocument/2006/relationships/hyperlink" Target="https://studio-gem.it/wp-admin/post.php?post=64429&amp;action=edit" TargetMode="External"/><Relationship Id="rId94" Type="http://schemas.openxmlformats.org/officeDocument/2006/relationships/hyperlink" Target="https://studio-gem.it/wp-admin/post.php?post=64427&amp;action=edit" TargetMode="External"/><Relationship Id="rId97" Type="http://schemas.openxmlformats.org/officeDocument/2006/relationships/hyperlink" Target="https://studio-gem.it/wp-admin/post.php?post=64442&amp;action=edit" TargetMode="External"/><Relationship Id="rId96" Type="http://schemas.openxmlformats.org/officeDocument/2006/relationships/hyperlink" Target="https://studio-gem.it/wp-admin/post.php?post=64440&amp;action=edit" TargetMode="External"/><Relationship Id="rId99" Type="http://schemas.openxmlformats.org/officeDocument/2006/relationships/hyperlink" Target="https://studio-gem.it/wp-admin/post.php?post=64450&amp;action=edit" TargetMode="External"/><Relationship Id="rId98" Type="http://schemas.openxmlformats.org/officeDocument/2006/relationships/hyperlink" Target="https://studio-gem.it/wp-admin/post.php?post=64445&amp;action=edit" TargetMode="External"/><Relationship Id="rId91" Type="http://schemas.openxmlformats.org/officeDocument/2006/relationships/hyperlink" Target="https://studio-gem.it/wp-admin/post.php?post=64418&amp;action=edit" TargetMode="External"/><Relationship Id="rId90" Type="http://schemas.openxmlformats.org/officeDocument/2006/relationships/hyperlink" Target="https://studio-gem.it/wp-admin/post.php?post=64415&amp;action=edit" TargetMode="External"/><Relationship Id="rId93" Type="http://schemas.openxmlformats.org/officeDocument/2006/relationships/hyperlink" Target="https://studio-gem.it/wp-admin/post.php?post=64422&amp;action=edit" TargetMode="External"/><Relationship Id="rId92" Type="http://schemas.openxmlformats.org/officeDocument/2006/relationships/hyperlink" Target="https://studio-gem.it/wp-admin/post.php?post=64421&amp;action=edit" TargetMode="External"/><Relationship Id="rId118" Type="http://schemas.openxmlformats.org/officeDocument/2006/relationships/hyperlink" Target="https://studio-gem.it/wp-admin/post.php?post=64522&amp;action=edit" TargetMode="External"/><Relationship Id="rId117" Type="http://schemas.openxmlformats.org/officeDocument/2006/relationships/hyperlink" Target="https://studio-gem.it/wp-admin/post.php?post=64499&amp;action=edit" TargetMode="External"/><Relationship Id="rId359" Type="http://schemas.openxmlformats.org/officeDocument/2006/relationships/hyperlink" Target="https://studio-gem.it/wp-admin/post.php?post=65406&amp;action=edit" TargetMode="External"/><Relationship Id="rId116" Type="http://schemas.openxmlformats.org/officeDocument/2006/relationships/hyperlink" Target="https://studio-gem.it/wp-admin/post.php?post=64497&amp;action=edit" TargetMode="External"/><Relationship Id="rId358" Type="http://schemas.openxmlformats.org/officeDocument/2006/relationships/hyperlink" Target="https://studio-gem.it/wp-admin/post.php?post=65404&amp;action=edit" TargetMode="External"/><Relationship Id="rId115" Type="http://schemas.openxmlformats.org/officeDocument/2006/relationships/hyperlink" Target="https://studio-gem.it/wp-admin/post.php?post=64496&amp;action=edit" TargetMode="External"/><Relationship Id="rId357" Type="http://schemas.openxmlformats.org/officeDocument/2006/relationships/hyperlink" Target="https://studio-gem.it/wp-admin/post.php?post=65402&amp;action=edit" TargetMode="External"/><Relationship Id="rId599" Type="http://schemas.openxmlformats.org/officeDocument/2006/relationships/hyperlink" Target="https://studio-gem.it/wp-admin/post.php?post=66186&amp;action=edit" TargetMode="External"/><Relationship Id="rId119" Type="http://schemas.openxmlformats.org/officeDocument/2006/relationships/hyperlink" Target="https://studio-gem.it/wp-admin/post.php?post=64526&amp;action=edit" TargetMode="External"/><Relationship Id="rId110" Type="http://schemas.openxmlformats.org/officeDocument/2006/relationships/hyperlink" Target="https://studio-gem.it/wp-admin/post.php?post=64453&amp;action=edit" TargetMode="External"/><Relationship Id="rId352" Type="http://schemas.openxmlformats.org/officeDocument/2006/relationships/hyperlink" Target="https://studio-gem.it/wp-admin/post.php?post=65378&amp;action=edit" TargetMode="External"/><Relationship Id="rId594" Type="http://schemas.openxmlformats.org/officeDocument/2006/relationships/hyperlink" Target="https://studio-gem.it/wp-admin/post.php?post=66177&amp;action=edit" TargetMode="External"/><Relationship Id="rId351" Type="http://schemas.openxmlformats.org/officeDocument/2006/relationships/hyperlink" Target="https://studio-gem.it/wp-admin/post.php?post=65376&amp;action=edit" TargetMode="External"/><Relationship Id="rId593" Type="http://schemas.openxmlformats.org/officeDocument/2006/relationships/hyperlink" Target="https://studio-gem.it/wp-admin/post.php?post=66175&amp;action=edit" TargetMode="External"/><Relationship Id="rId350" Type="http://schemas.openxmlformats.org/officeDocument/2006/relationships/hyperlink" Target="https://studio-gem.it/wp-admin/post.php?post=65374&amp;action=edit" TargetMode="External"/><Relationship Id="rId592" Type="http://schemas.openxmlformats.org/officeDocument/2006/relationships/hyperlink" Target="https://studio-gem.it/wp-admin/post.php?post=66173&amp;action=edit" TargetMode="External"/><Relationship Id="rId591" Type="http://schemas.openxmlformats.org/officeDocument/2006/relationships/hyperlink" Target="https://studio-gem.it/wp-admin/post.php?post=66171&amp;action=edit" TargetMode="External"/><Relationship Id="rId114" Type="http://schemas.openxmlformats.org/officeDocument/2006/relationships/hyperlink" Target="https://studio-gem.it/wp-admin/post.php?post=64467&amp;action=edit" TargetMode="External"/><Relationship Id="rId356" Type="http://schemas.openxmlformats.org/officeDocument/2006/relationships/hyperlink" Target="https://studio-gem.it/wp-admin/post.php?post=65400&amp;action=edit" TargetMode="External"/><Relationship Id="rId598" Type="http://schemas.openxmlformats.org/officeDocument/2006/relationships/hyperlink" Target="https://studio-gem.it/wp-admin/post.php?post=66184&amp;action=edit" TargetMode="External"/><Relationship Id="rId113" Type="http://schemas.openxmlformats.org/officeDocument/2006/relationships/hyperlink" Target="https://studio-gem.it/wp-admin/post.php?post=64461&amp;action=edit" TargetMode="External"/><Relationship Id="rId355" Type="http://schemas.openxmlformats.org/officeDocument/2006/relationships/hyperlink" Target="https://studio-gem.it/wp-admin/post.php?post=65394&amp;action=edit" TargetMode="External"/><Relationship Id="rId597" Type="http://schemas.openxmlformats.org/officeDocument/2006/relationships/hyperlink" Target="https://studio-gem.it/wp-admin/post.php?post=66181&amp;action=edit" TargetMode="External"/><Relationship Id="rId112" Type="http://schemas.openxmlformats.org/officeDocument/2006/relationships/hyperlink" Target="https://studio-gem.it/wp-admin/post.php?post=64458&amp;action=edit" TargetMode="External"/><Relationship Id="rId354" Type="http://schemas.openxmlformats.org/officeDocument/2006/relationships/hyperlink" Target="https://studio-gem.it/wp-admin/post.php?post=65394&amp;action=edit" TargetMode="External"/><Relationship Id="rId596" Type="http://schemas.openxmlformats.org/officeDocument/2006/relationships/hyperlink" Target="https://studio-gem.it/wp-admin/post.php?post=66180&amp;action=edit" TargetMode="External"/><Relationship Id="rId111" Type="http://schemas.openxmlformats.org/officeDocument/2006/relationships/hyperlink" Target="https://studio-gem.it/wp-admin/post.php?post=64454&amp;action=edit" TargetMode="External"/><Relationship Id="rId353" Type="http://schemas.openxmlformats.org/officeDocument/2006/relationships/hyperlink" Target="https://studio-gem.it/wp-admin/post.php?post=65380&amp;action=edit" TargetMode="External"/><Relationship Id="rId595" Type="http://schemas.openxmlformats.org/officeDocument/2006/relationships/hyperlink" Target="https://studio-gem.it/wp-admin/post.php?post=66178&amp;action=edit" TargetMode="External"/><Relationship Id="rId305" Type="http://schemas.openxmlformats.org/officeDocument/2006/relationships/hyperlink" Target="https://studio-gem.it/wp-admin/post.php?post=65197&amp;action=edit" TargetMode="External"/><Relationship Id="rId547" Type="http://schemas.openxmlformats.org/officeDocument/2006/relationships/hyperlink" Target="https://studio-gem.it/wp-admin/post.php?post=66071&amp;action=edit" TargetMode="External"/><Relationship Id="rId789" Type="http://schemas.openxmlformats.org/officeDocument/2006/relationships/hyperlink" Target="https://studio-gem.it/wp-admin/post.php?post=67040&amp;action=edit" TargetMode="External"/><Relationship Id="rId304" Type="http://schemas.openxmlformats.org/officeDocument/2006/relationships/hyperlink" Target="https://studio-gem.it/wp-admin/post.php?post=65194&amp;action=edit" TargetMode="External"/><Relationship Id="rId546" Type="http://schemas.openxmlformats.org/officeDocument/2006/relationships/hyperlink" Target="https://studio-gem.it/wp-admin/post.php?post=66070&amp;action=edit" TargetMode="External"/><Relationship Id="rId788" Type="http://schemas.openxmlformats.org/officeDocument/2006/relationships/hyperlink" Target="https://studio-gem.it/wp-admin/post.php?post=67039&amp;action=edit" TargetMode="External"/><Relationship Id="rId303" Type="http://schemas.openxmlformats.org/officeDocument/2006/relationships/hyperlink" Target="https://studio-gem.it/wp-admin/post.php?post=65191&amp;action=edit" TargetMode="External"/><Relationship Id="rId545" Type="http://schemas.openxmlformats.org/officeDocument/2006/relationships/hyperlink" Target="https://studio-gem.it/wp-admin/post.php?post=66068&amp;action=edit" TargetMode="External"/><Relationship Id="rId787" Type="http://schemas.openxmlformats.org/officeDocument/2006/relationships/hyperlink" Target="https://studio-gem.it/wp-admin/post.php?post=67038&amp;action=edit" TargetMode="External"/><Relationship Id="rId302" Type="http://schemas.openxmlformats.org/officeDocument/2006/relationships/hyperlink" Target="https://studio-gem.it/wp-admin/post.php?post=65190&amp;action=edit" TargetMode="External"/><Relationship Id="rId544" Type="http://schemas.openxmlformats.org/officeDocument/2006/relationships/hyperlink" Target="https://studio-gem.it/wp-admin/post.php?post=66066&amp;action=edit" TargetMode="External"/><Relationship Id="rId786" Type="http://schemas.openxmlformats.org/officeDocument/2006/relationships/hyperlink" Target="https://studio-gem.it/wp-admin/post.php?post=67037&amp;action=edit" TargetMode="External"/><Relationship Id="rId309" Type="http://schemas.openxmlformats.org/officeDocument/2006/relationships/hyperlink" Target="https://studio-gem.it/wp-admin/post.php?post=65206&amp;action=edit" TargetMode="External"/><Relationship Id="rId308" Type="http://schemas.openxmlformats.org/officeDocument/2006/relationships/hyperlink" Target="https://studio-gem.it/wp-admin/post.php?post=65204&amp;action=edit" TargetMode="External"/><Relationship Id="rId307" Type="http://schemas.openxmlformats.org/officeDocument/2006/relationships/hyperlink" Target="https://studio-gem.it/wp-admin/post.php?post=65201&amp;action=edit" TargetMode="External"/><Relationship Id="rId549" Type="http://schemas.openxmlformats.org/officeDocument/2006/relationships/hyperlink" Target="https://studio-gem.it/wp-admin/post.php?post=66079&amp;action=edit" TargetMode="External"/><Relationship Id="rId306" Type="http://schemas.openxmlformats.org/officeDocument/2006/relationships/hyperlink" Target="https://studio-gem.it/wp-admin/post.php?post=65198&amp;action=edit" TargetMode="External"/><Relationship Id="rId548" Type="http://schemas.openxmlformats.org/officeDocument/2006/relationships/hyperlink" Target="https://studio-gem.it/wp-admin/post.php?post=66074&amp;action=edit" TargetMode="External"/><Relationship Id="rId781" Type="http://schemas.openxmlformats.org/officeDocument/2006/relationships/hyperlink" Target="https://studio-gem.it/wp-admin/post.php?post=66991&amp;action=edit" TargetMode="External"/><Relationship Id="rId780" Type="http://schemas.openxmlformats.org/officeDocument/2006/relationships/hyperlink" Target="https://studio-gem.it/wp-admin/post.php?post=66988&amp;action=edit" TargetMode="External"/><Relationship Id="rId301" Type="http://schemas.openxmlformats.org/officeDocument/2006/relationships/hyperlink" Target="https://studio-gem.it/wp-admin/post.php?post=65187&amp;action=edit" TargetMode="External"/><Relationship Id="rId543" Type="http://schemas.openxmlformats.org/officeDocument/2006/relationships/hyperlink" Target="https://studio-gem.it/wp-admin/post.php?post=66064&amp;action=edit" TargetMode="External"/><Relationship Id="rId785" Type="http://schemas.openxmlformats.org/officeDocument/2006/relationships/hyperlink" Target="https://studio-gem.it/wp-admin/post.php?post=67018&amp;action=edit" TargetMode="External"/><Relationship Id="rId300" Type="http://schemas.openxmlformats.org/officeDocument/2006/relationships/hyperlink" Target="https://studio-gem.it/wp-admin/post.php?post=65185&amp;action=edit" TargetMode="External"/><Relationship Id="rId542" Type="http://schemas.openxmlformats.org/officeDocument/2006/relationships/hyperlink" Target="https://studio-gem.it/wp-admin/post.php?post=66064&amp;action=edit" TargetMode="External"/><Relationship Id="rId784" Type="http://schemas.openxmlformats.org/officeDocument/2006/relationships/hyperlink" Target="https://studio-gem.it/wp-admin/post.php?post=67018&amp;action=edit" TargetMode="External"/><Relationship Id="rId541" Type="http://schemas.openxmlformats.org/officeDocument/2006/relationships/hyperlink" Target="https://studio-gem.it/wp-admin/post.php?post=66063&amp;action=edit" TargetMode="External"/><Relationship Id="rId783" Type="http://schemas.openxmlformats.org/officeDocument/2006/relationships/hyperlink" Target="https://studio-gem.it/wp-admin/post.php?post=67017&amp;action=edit" TargetMode="External"/><Relationship Id="rId540" Type="http://schemas.openxmlformats.org/officeDocument/2006/relationships/hyperlink" Target="https://studio-gem.it/wp-admin/post.php?post=66060&amp;action=edit" TargetMode="External"/><Relationship Id="rId782" Type="http://schemas.openxmlformats.org/officeDocument/2006/relationships/hyperlink" Target="https://studio-gem.it/wp-admin/post.php?post=66994&amp;action=edit" TargetMode="External"/><Relationship Id="rId536" Type="http://schemas.openxmlformats.org/officeDocument/2006/relationships/hyperlink" Target="https://studio-gem.it/wp-admin/post.php?post=66049&amp;action=edit" TargetMode="External"/><Relationship Id="rId778" Type="http://schemas.openxmlformats.org/officeDocument/2006/relationships/hyperlink" Target="https://studio-gem.it/wp-admin/post.php?post=66970&amp;action=edit" TargetMode="External"/><Relationship Id="rId535" Type="http://schemas.openxmlformats.org/officeDocument/2006/relationships/hyperlink" Target="https://studio-gem.it/wp-admin/post.php?post=66047&amp;action=edit" TargetMode="External"/><Relationship Id="rId777" Type="http://schemas.openxmlformats.org/officeDocument/2006/relationships/hyperlink" Target="https://studio-gem.it/wp-admin/post.php?post=66947&amp;action=edit" TargetMode="External"/><Relationship Id="rId534" Type="http://schemas.openxmlformats.org/officeDocument/2006/relationships/hyperlink" Target="https://studio-gem.it/wp-admin/post.php?post=66046&amp;action=edit" TargetMode="External"/><Relationship Id="rId776" Type="http://schemas.openxmlformats.org/officeDocument/2006/relationships/hyperlink" Target="https://studio-gem.it/wp-admin/post.php?post=66935&amp;action=edit" TargetMode="External"/><Relationship Id="rId533" Type="http://schemas.openxmlformats.org/officeDocument/2006/relationships/hyperlink" Target="https://studio-gem.it/wp-admin/post.php?post=66043&amp;action=edit" TargetMode="External"/><Relationship Id="rId775" Type="http://schemas.openxmlformats.org/officeDocument/2006/relationships/hyperlink" Target="https://studio-gem.it/wp-admin/post.php?post=66911&amp;action=edit" TargetMode="External"/><Relationship Id="rId539" Type="http://schemas.openxmlformats.org/officeDocument/2006/relationships/hyperlink" Target="https://studio-gem.it/wp-admin/post.php?post=66057&amp;action=edit" TargetMode="External"/><Relationship Id="rId538" Type="http://schemas.openxmlformats.org/officeDocument/2006/relationships/hyperlink" Target="https://studio-gem.it/wp-admin/post.php?post=66055&amp;action=edit" TargetMode="External"/><Relationship Id="rId537" Type="http://schemas.openxmlformats.org/officeDocument/2006/relationships/hyperlink" Target="https://studio-gem.it/wp-admin/post.php?post=66051&amp;action=edit" TargetMode="External"/><Relationship Id="rId779" Type="http://schemas.openxmlformats.org/officeDocument/2006/relationships/hyperlink" Target="https://studio-gem.it/wp-admin/post.php?post=66972&amp;action=edit" TargetMode="External"/><Relationship Id="rId770" Type="http://schemas.openxmlformats.org/officeDocument/2006/relationships/hyperlink" Target="https://studio-gem.it/wp-admin/post.php?post=66873&amp;action=edit" TargetMode="External"/><Relationship Id="rId532" Type="http://schemas.openxmlformats.org/officeDocument/2006/relationships/hyperlink" Target="https://studio-gem.it/wp-admin/post.php?post=66041&amp;action=edit" TargetMode="External"/><Relationship Id="rId774" Type="http://schemas.openxmlformats.org/officeDocument/2006/relationships/hyperlink" Target="https://studio-gem.it/wp-admin/post.php?post=66909&amp;action=edit" TargetMode="External"/><Relationship Id="rId531" Type="http://schemas.openxmlformats.org/officeDocument/2006/relationships/hyperlink" Target="https://studio-gem.it/wp-admin/post.php?post=66037&amp;action=edit" TargetMode="External"/><Relationship Id="rId773" Type="http://schemas.openxmlformats.org/officeDocument/2006/relationships/hyperlink" Target="https://studio-gem.it/wp-admin/post.php?post=66877&amp;action=edit" TargetMode="External"/><Relationship Id="rId530" Type="http://schemas.openxmlformats.org/officeDocument/2006/relationships/hyperlink" Target="https://studio-gem.it/wp-admin/post.php?post=66035&amp;action=edit" TargetMode="External"/><Relationship Id="rId772" Type="http://schemas.openxmlformats.org/officeDocument/2006/relationships/hyperlink" Target="https://studio-gem.it/wp-admin/post.php?post=66874&amp;action=edit" TargetMode="External"/><Relationship Id="rId771" Type="http://schemas.openxmlformats.org/officeDocument/2006/relationships/hyperlink" Target="https://studio-gem.it/wp-admin/post.php?post=66874&amp;action=edit" TargetMode="External"/><Relationship Id="rId327" Type="http://schemas.openxmlformats.org/officeDocument/2006/relationships/hyperlink" Target="https://studio-gem.it/wp-admin/post.php?post=65282&amp;action=edit" TargetMode="External"/><Relationship Id="rId569" Type="http://schemas.openxmlformats.org/officeDocument/2006/relationships/hyperlink" Target="https://studio-gem.it/wp-admin/post.php?post=66112&amp;action=edit" TargetMode="External"/><Relationship Id="rId326" Type="http://schemas.openxmlformats.org/officeDocument/2006/relationships/hyperlink" Target="https://studio-gem.it/wp-admin/post.php?post=65278&amp;action=edit" TargetMode="External"/><Relationship Id="rId568" Type="http://schemas.openxmlformats.org/officeDocument/2006/relationships/hyperlink" Target="https://studio-gem.it/wp-admin/post.php?post=66110&amp;action=edit" TargetMode="External"/><Relationship Id="rId325" Type="http://schemas.openxmlformats.org/officeDocument/2006/relationships/hyperlink" Target="https://studio-gem.it/wp-admin/post.php?post=65277&amp;action=edit" TargetMode="External"/><Relationship Id="rId567" Type="http://schemas.openxmlformats.org/officeDocument/2006/relationships/hyperlink" Target="https://studio-gem.it/wp-admin/post.php?post=66108&amp;action=edit" TargetMode="External"/><Relationship Id="rId324" Type="http://schemas.openxmlformats.org/officeDocument/2006/relationships/hyperlink" Target="https://studio-gem.it/wp-admin/post.php?post=65276&amp;action=edit" TargetMode="External"/><Relationship Id="rId566" Type="http://schemas.openxmlformats.org/officeDocument/2006/relationships/hyperlink" Target="https://studio-gem.it/wp-admin/post.php?post=66106&amp;action=edit" TargetMode="External"/><Relationship Id="rId329" Type="http://schemas.openxmlformats.org/officeDocument/2006/relationships/hyperlink" Target="https://studio-gem.it/wp-admin/post.php?post=65286&amp;action=edit" TargetMode="External"/><Relationship Id="rId328" Type="http://schemas.openxmlformats.org/officeDocument/2006/relationships/hyperlink" Target="https://studio-gem.it/wp-admin/post.php?post=65284&amp;action=edit" TargetMode="External"/><Relationship Id="rId561" Type="http://schemas.openxmlformats.org/officeDocument/2006/relationships/hyperlink" Target="https://studio-gem.it/wp-admin/post.php?post=66101&amp;action=edit" TargetMode="External"/><Relationship Id="rId560" Type="http://schemas.openxmlformats.org/officeDocument/2006/relationships/hyperlink" Target="https://studio-gem.it/wp-admin/post.php?post=66100&amp;action=edit" TargetMode="External"/><Relationship Id="rId323" Type="http://schemas.openxmlformats.org/officeDocument/2006/relationships/hyperlink" Target="https://studio-gem.it/wp-admin/post.php?post=65274&amp;action=edit" TargetMode="External"/><Relationship Id="rId565" Type="http://schemas.openxmlformats.org/officeDocument/2006/relationships/hyperlink" Target="https://studio-gem.it/wp-admin/post.php?post=66105&amp;action=edit" TargetMode="External"/><Relationship Id="rId322" Type="http://schemas.openxmlformats.org/officeDocument/2006/relationships/hyperlink" Target="https://studio-gem.it/wp-admin/post.php?post=65235&amp;action=edit" TargetMode="External"/><Relationship Id="rId564" Type="http://schemas.openxmlformats.org/officeDocument/2006/relationships/hyperlink" Target="https://studio-gem.it/wp-admin/post.php?post=66104&amp;action=edit" TargetMode="External"/><Relationship Id="rId321" Type="http://schemas.openxmlformats.org/officeDocument/2006/relationships/hyperlink" Target="https://studio-gem.it/wp-admin/post.php?post=65231&amp;action=edit" TargetMode="External"/><Relationship Id="rId563" Type="http://schemas.openxmlformats.org/officeDocument/2006/relationships/hyperlink" Target="https://studio-gem.it/wp-admin/post.php?post=66103&amp;action=edit" TargetMode="External"/><Relationship Id="rId320" Type="http://schemas.openxmlformats.org/officeDocument/2006/relationships/hyperlink" Target="https://studio-gem.it/wp-admin/post.php?post=65229&amp;action=edit" TargetMode="External"/><Relationship Id="rId562" Type="http://schemas.openxmlformats.org/officeDocument/2006/relationships/hyperlink" Target="https://studio-gem.it/wp-admin/post.php?post=66102&amp;action=edit" TargetMode="External"/><Relationship Id="rId316" Type="http://schemas.openxmlformats.org/officeDocument/2006/relationships/hyperlink" Target="https://studio-gem.it/wp-admin/post.php?post=65219&amp;action=edit" TargetMode="External"/><Relationship Id="rId558" Type="http://schemas.openxmlformats.org/officeDocument/2006/relationships/hyperlink" Target="https://studio-gem.it/wp-admin/post.php?post=66098&amp;action=edit" TargetMode="External"/><Relationship Id="rId315" Type="http://schemas.openxmlformats.org/officeDocument/2006/relationships/hyperlink" Target="https://studio-gem.it/wp-admin/post.php?post=65217&amp;action=edit" TargetMode="External"/><Relationship Id="rId557" Type="http://schemas.openxmlformats.org/officeDocument/2006/relationships/hyperlink" Target="https://studio-gem.it/wp-admin/post.php?post=66097&amp;action=edit" TargetMode="External"/><Relationship Id="rId799" Type="http://schemas.openxmlformats.org/officeDocument/2006/relationships/hyperlink" Target="https://studio-gem.it/wp-admin/post.php?post=67074&amp;action=edit" TargetMode="External"/><Relationship Id="rId314" Type="http://schemas.openxmlformats.org/officeDocument/2006/relationships/hyperlink" Target="https://studio-gem.it/wp-admin/post.php?post=65216&amp;action=edit" TargetMode="External"/><Relationship Id="rId556" Type="http://schemas.openxmlformats.org/officeDocument/2006/relationships/hyperlink" Target="https://studio-gem.it/wp-admin/post.php?post=66095&amp;action=edit" TargetMode="External"/><Relationship Id="rId798" Type="http://schemas.openxmlformats.org/officeDocument/2006/relationships/hyperlink" Target="https://studio-gem.it/wp-admin/post.php?post=67057&amp;action=edit" TargetMode="External"/><Relationship Id="rId313" Type="http://schemas.openxmlformats.org/officeDocument/2006/relationships/hyperlink" Target="https://studio-gem.it/wp-admin/post.php?post=65214&amp;action=edit" TargetMode="External"/><Relationship Id="rId555" Type="http://schemas.openxmlformats.org/officeDocument/2006/relationships/hyperlink" Target="https://studio-gem.it/wp-admin/post.php?post=66093&amp;action=edit" TargetMode="External"/><Relationship Id="rId797" Type="http://schemas.openxmlformats.org/officeDocument/2006/relationships/hyperlink" Target="https://studio-gem.it/wp-admin/post.php?post=67052&amp;action=edit" TargetMode="External"/><Relationship Id="rId319" Type="http://schemas.openxmlformats.org/officeDocument/2006/relationships/hyperlink" Target="https://studio-gem.it/wp-admin/post.php?post=65227&amp;action=edit" TargetMode="External"/><Relationship Id="rId318" Type="http://schemas.openxmlformats.org/officeDocument/2006/relationships/hyperlink" Target="https://studio-gem.it/wp-admin/post.php?post=65224&amp;action=edit" TargetMode="External"/><Relationship Id="rId317" Type="http://schemas.openxmlformats.org/officeDocument/2006/relationships/hyperlink" Target="https://studio-gem.it/wp-admin/post.php?post=65221&amp;action=edit" TargetMode="External"/><Relationship Id="rId559" Type="http://schemas.openxmlformats.org/officeDocument/2006/relationships/hyperlink" Target="https://studio-gem.it/wp-admin/post.php?post=66099&amp;action=edit" TargetMode="External"/><Relationship Id="rId550" Type="http://schemas.openxmlformats.org/officeDocument/2006/relationships/hyperlink" Target="https://studio-gem.it/wp-admin/post.php?post=66081&amp;action=edit" TargetMode="External"/><Relationship Id="rId792" Type="http://schemas.openxmlformats.org/officeDocument/2006/relationships/hyperlink" Target="https://studio-gem.it/wp-admin/post.php?post=67044&amp;action=edit" TargetMode="External"/><Relationship Id="rId791" Type="http://schemas.openxmlformats.org/officeDocument/2006/relationships/hyperlink" Target="https://studio-gem.it/wp-admin/post.php?post=67043&amp;action=edit" TargetMode="External"/><Relationship Id="rId790" Type="http://schemas.openxmlformats.org/officeDocument/2006/relationships/hyperlink" Target="https://studio-gem.it/wp-admin/post.php?post=67041&amp;action=edit" TargetMode="External"/><Relationship Id="rId312" Type="http://schemas.openxmlformats.org/officeDocument/2006/relationships/hyperlink" Target="https://studio-gem.it/wp-admin/post.php?post=65213&amp;action=edit" TargetMode="External"/><Relationship Id="rId554" Type="http://schemas.openxmlformats.org/officeDocument/2006/relationships/hyperlink" Target="https://studio-gem.it/wp-admin/post.php?post=66091&amp;action=edit" TargetMode="External"/><Relationship Id="rId796" Type="http://schemas.openxmlformats.org/officeDocument/2006/relationships/hyperlink" Target="https://studio-gem.it/wp-admin/post.php?post=67049&amp;action=edit" TargetMode="External"/><Relationship Id="rId311" Type="http://schemas.openxmlformats.org/officeDocument/2006/relationships/hyperlink" Target="https://studio-gem.it/wp-admin/post.php?post=65211&amp;action=edit" TargetMode="External"/><Relationship Id="rId553" Type="http://schemas.openxmlformats.org/officeDocument/2006/relationships/hyperlink" Target="https://studio-gem.it/wp-admin/post.php?post=66089&amp;action=edit" TargetMode="External"/><Relationship Id="rId795" Type="http://schemas.openxmlformats.org/officeDocument/2006/relationships/hyperlink" Target="https://studio-gem.it/wp-admin/post.php?post=67047&amp;action=edit" TargetMode="External"/><Relationship Id="rId310" Type="http://schemas.openxmlformats.org/officeDocument/2006/relationships/hyperlink" Target="https://studio-gem.it/wp-admin/post.php?post=65208&amp;action=edit" TargetMode="External"/><Relationship Id="rId552" Type="http://schemas.openxmlformats.org/officeDocument/2006/relationships/hyperlink" Target="https://studio-gem.it/wp-admin/post.php?post=66085&amp;action=edit" TargetMode="External"/><Relationship Id="rId794" Type="http://schemas.openxmlformats.org/officeDocument/2006/relationships/hyperlink" Target="https://studio-gem.it/wp-admin/post.php?post=67046&amp;action=edit" TargetMode="External"/><Relationship Id="rId551" Type="http://schemas.openxmlformats.org/officeDocument/2006/relationships/hyperlink" Target="https://studio-gem.it/wp-admin/post.php?post=66083&amp;action=edit" TargetMode="External"/><Relationship Id="rId793" Type="http://schemas.openxmlformats.org/officeDocument/2006/relationships/hyperlink" Target="https://studio-gem.it/wp-admin/post.php?post=67045&amp;action=edit" TargetMode="External"/><Relationship Id="rId297" Type="http://schemas.openxmlformats.org/officeDocument/2006/relationships/hyperlink" Target="https://studio-gem.it/wp-admin/post.php?post=65179&amp;action=edit" TargetMode="External"/><Relationship Id="rId296" Type="http://schemas.openxmlformats.org/officeDocument/2006/relationships/hyperlink" Target="https://studio-gem.it/wp-admin/post.php?post=65177&amp;action=edit" TargetMode="External"/><Relationship Id="rId295" Type="http://schemas.openxmlformats.org/officeDocument/2006/relationships/hyperlink" Target="https://studio-gem.it/wp-admin/post.php?post=65173&amp;action=edit" TargetMode="External"/><Relationship Id="rId294" Type="http://schemas.openxmlformats.org/officeDocument/2006/relationships/hyperlink" Target="https://studio-gem.it/wp-admin/post.php?post=65172&amp;action=edit" TargetMode="External"/><Relationship Id="rId299" Type="http://schemas.openxmlformats.org/officeDocument/2006/relationships/hyperlink" Target="https://studio-gem.it/wp-admin/post.php?post=65184&amp;action=edit" TargetMode="External"/><Relationship Id="rId298" Type="http://schemas.openxmlformats.org/officeDocument/2006/relationships/hyperlink" Target="https://studio-gem.it/wp-admin/post.php?post=65179&amp;action=edit" TargetMode="External"/><Relationship Id="rId271" Type="http://schemas.openxmlformats.org/officeDocument/2006/relationships/hyperlink" Target="https://studio-gem.it/wp-admin/post.php?post=65130&amp;action=edit" TargetMode="External"/><Relationship Id="rId270" Type="http://schemas.openxmlformats.org/officeDocument/2006/relationships/hyperlink" Target="https://studio-gem.it/wp-admin/post.php?post=65127&amp;action=edit" TargetMode="External"/><Relationship Id="rId269" Type="http://schemas.openxmlformats.org/officeDocument/2006/relationships/hyperlink" Target="https://studio-gem.it/wp-admin/post.php?post=65125&amp;action=edit" TargetMode="External"/><Relationship Id="rId264" Type="http://schemas.openxmlformats.org/officeDocument/2006/relationships/hyperlink" Target="https://studio-gem.it/wp-admin/post.php?post=65116&amp;action=edit" TargetMode="External"/><Relationship Id="rId263" Type="http://schemas.openxmlformats.org/officeDocument/2006/relationships/hyperlink" Target="https://studio-gem.it/wp-admin/post.php?post=65114&amp;action=edit" TargetMode="External"/><Relationship Id="rId262" Type="http://schemas.openxmlformats.org/officeDocument/2006/relationships/hyperlink" Target="https://studio-gem.it/wp-admin/post.php?post=65111&amp;action=edit" TargetMode="External"/><Relationship Id="rId261" Type="http://schemas.openxmlformats.org/officeDocument/2006/relationships/hyperlink" Target="https://studio-gem.it/wp-admin/post.php?post=65109&amp;action=edit" TargetMode="External"/><Relationship Id="rId268" Type="http://schemas.openxmlformats.org/officeDocument/2006/relationships/hyperlink" Target="https://studio-gem.it/wp-admin/post.php?post=65124&amp;action=edit" TargetMode="External"/><Relationship Id="rId267" Type="http://schemas.openxmlformats.org/officeDocument/2006/relationships/hyperlink" Target="https://studio-gem.it/wp-admin/post.php?post=65123&amp;action=edit" TargetMode="External"/><Relationship Id="rId266" Type="http://schemas.openxmlformats.org/officeDocument/2006/relationships/hyperlink" Target="https://studio-gem.it/wp-admin/post.php?post=65120&amp;action=edit" TargetMode="External"/><Relationship Id="rId265" Type="http://schemas.openxmlformats.org/officeDocument/2006/relationships/hyperlink" Target="https://studio-gem.it/wp-admin/post.php?post=65119&amp;action=edit" TargetMode="External"/><Relationship Id="rId260" Type="http://schemas.openxmlformats.org/officeDocument/2006/relationships/hyperlink" Target="https://studio-gem.it/wp-admin/post.php?post=65107&amp;action=edit" TargetMode="External"/><Relationship Id="rId259" Type="http://schemas.openxmlformats.org/officeDocument/2006/relationships/hyperlink" Target="https://studio-gem.it/wp-admin/post.php?post=65106&amp;action=edit" TargetMode="External"/><Relationship Id="rId258" Type="http://schemas.openxmlformats.org/officeDocument/2006/relationships/hyperlink" Target="https://studio-gem.it/wp-admin/post.php?post=65104&amp;action=edit" TargetMode="External"/><Relationship Id="rId253" Type="http://schemas.openxmlformats.org/officeDocument/2006/relationships/hyperlink" Target="https://studio-gem.it/wp-admin/post.php?post=65094&amp;action=edit" TargetMode="External"/><Relationship Id="rId495" Type="http://schemas.openxmlformats.org/officeDocument/2006/relationships/hyperlink" Target="https://studio-gem.it/wp-admin/post.php?post=65843&amp;action=edit" TargetMode="External"/><Relationship Id="rId252" Type="http://schemas.openxmlformats.org/officeDocument/2006/relationships/hyperlink" Target="https://studio-gem.it/wp-admin/post.php?post=65092&amp;action=edit" TargetMode="External"/><Relationship Id="rId494" Type="http://schemas.openxmlformats.org/officeDocument/2006/relationships/hyperlink" Target="https://studio-gem.it/wp-admin/post.php?post=65841&amp;action=edit" TargetMode="External"/><Relationship Id="rId251" Type="http://schemas.openxmlformats.org/officeDocument/2006/relationships/hyperlink" Target="https://studio-gem.it/wp-admin/post.php?post=65090&amp;action=edit" TargetMode="External"/><Relationship Id="rId493" Type="http://schemas.openxmlformats.org/officeDocument/2006/relationships/hyperlink" Target="https://studio-gem.it/wp-admin/post.php?post=65838&amp;action=edit" TargetMode="External"/><Relationship Id="rId250" Type="http://schemas.openxmlformats.org/officeDocument/2006/relationships/hyperlink" Target="https://studio-gem.it/wp-admin/post.php?post=65088&amp;action=edit" TargetMode="External"/><Relationship Id="rId492" Type="http://schemas.openxmlformats.org/officeDocument/2006/relationships/hyperlink" Target="https://studio-gem.it/wp-admin/post.php?post=65837&amp;action=edit" TargetMode="External"/><Relationship Id="rId257" Type="http://schemas.openxmlformats.org/officeDocument/2006/relationships/hyperlink" Target="https://studio-gem.it/wp-admin/post.php?post=65103&amp;action=edit" TargetMode="External"/><Relationship Id="rId499" Type="http://schemas.openxmlformats.org/officeDocument/2006/relationships/hyperlink" Target="https://studio-gem.it/wp-admin/post.php?post=65851&amp;action=edit" TargetMode="External"/><Relationship Id="rId256" Type="http://schemas.openxmlformats.org/officeDocument/2006/relationships/hyperlink" Target="https://studio-gem.it/wp-admin/post.php?post=65101&amp;action=edit" TargetMode="External"/><Relationship Id="rId498" Type="http://schemas.openxmlformats.org/officeDocument/2006/relationships/hyperlink" Target="https://studio-gem.it/wp-admin/post.php?post=65850&amp;action=edit" TargetMode="External"/><Relationship Id="rId255" Type="http://schemas.openxmlformats.org/officeDocument/2006/relationships/hyperlink" Target="https://studio-gem.it/wp-admin/post.php?post=65100&amp;action=edit" TargetMode="External"/><Relationship Id="rId497" Type="http://schemas.openxmlformats.org/officeDocument/2006/relationships/hyperlink" Target="https://studio-gem.it/wp-admin/post.php?post=65848&amp;action=edit" TargetMode="External"/><Relationship Id="rId254" Type="http://schemas.openxmlformats.org/officeDocument/2006/relationships/hyperlink" Target="https://studio-gem.it/wp-admin/post.php?post=65096&amp;action=edit" TargetMode="External"/><Relationship Id="rId496" Type="http://schemas.openxmlformats.org/officeDocument/2006/relationships/hyperlink" Target="https://studio-gem.it/wp-admin/post.php?post=65845&amp;action=edit" TargetMode="External"/><Relationship Id="rId293" Type="http://schemas.openxmlformats.org/officeDocument/2006/relationships/hyperlink" Target="https://studio-gem.it/wp-admin/post.php?post=65172&amp;action=edit" TargetMode="External"/><Relationship Id="rId292" Type="http://schemas.openxmlformats.org/officeDocument/2006/relationships/hyperlink" Target="https://studio-gem.it/wp-admin/post.php?post=65170&amp;action=edit" TargetMode="External"/><Relationship Id="rId291" Type="http://schemas.openxmlformats.org/officeDocument/2006/relationships/hyperlink" Target="https://studio-gem.it/wp-admin/post.php?post=65168&amp;action=edit" TargetMode="External"/><Relationship Id="rId290" Type="http://schemas.openxmlformats.org/officeDocument/2006/relationships/hyperlink" Target="https://studio-gem.it/wp-admin/post.php?post=65167&amp;action=edit" TargetMode="External"/><Relationship Id="rId286" Type="http://schemas.openxmlformats.org/officeDocument/2006/relationships/hyperlink" Target="https://studio-gem.it/wp-admin/post.php?post=65158&amp;action=edit" TargetMode="External"/><Relationship Id="rId285" Type="http://schemas.openxmlformats.org/officeDocument/2006/relationships/hyperlink" Target="https://studio-gem.it/wp-admin/post.php?post=65156&amp;action=edit" TargetMode="External"/><Relationship Id="rId284" Type="http://schemas.openxmlformats.org/officeDocument/2006/relationships/hyperlink" Target="https://studio-gem.it/wp-admin/post.php?post=65154&amp;action=edit" TargetMode="External"/><Relationship Id="rId283" Type="http://schemas.openxmlformats.org/officeDocument/2006/relationships/hyperlink" Target="https://studio-gem.it/wp-admin/post.php?post=65153&amp;action=edit" TargetMode="External"/><Relationship Id="rId289" Type="http://schemas.openxmlformats.org/officeDocument/2006/relationships/hyperlink" Target="https://studio-gem.it/wp-admin/post.php?post=65164&amp;action=edit" TargetMode="External"/><Relationship Id="rId288" Type="http://schemas.openxmlformats.org/officeDocument/2006/relationships/hyperlink" Target="https://studio-gem.it/wp-admin/post.php?post=65162&amp;action=edit" TargetMode="External"/><Relationship Id="rId287" Type="http://schemas.openxmlformats.org/officeDocument/2006/relationships/hyperlink" Target="https://studio-gem.it/wp-admin/post.php?post=65160&amp;action=edit" TargetMode="External"/><Relationship Id="rId282" Type="http://schemas.openxmlformats.org/officeDocument/2006/relationships/hyperlink" Target="https://studio-gem.it/wp-admin/post.php?post=65151&amp;action=edit" TargetMode="External"/><Relationship Id="rId281" Type="http://schemas.openxmlformats.org/officeDocument/2006/relationships/hyperlink" Target="https://studio-gem.it/wp-admin/post.php?post=65149&amp;action=edit" TargetMode="External"/><Relationship Id="rId280" Type="http://schemas.openxmlformats.org/officeDocument/2006/relationships/hyperlink" Target="https://studio-gem.it/wp-admin/post.php?post=65147&amp;action=edit" TargetMode="External"/><Relationship Id="rId275" Type="http://schemas.openxmlformats.org/officeDocument/2006/relationships/hyperlink" Target="https://studio-gem.it/wp-admin/post.php?post=65139&amp;action=edit" TargetMode="External"/><Relationship Id="rId274" Type="http://schemas.openxmlformats.org/officeDocument/2006/relationships/hyperlink" Target="https://studio-gem.it/wp-admin/post.php?post=65138&amp;action=edit" TargetMode="External"/><Relationship Id="rId273" Type="http://schemas.openxmlformats.org/officeDocument/2006/relationships/hyperlink" Target="https://studio-gem.it/wp-admin/post.php?post=65136&amp;action=edit" TargetMode="External"/><Relationship Id="rId272" Type="http://schemas.openxmlformats.org/officeDocument/2006/relationships/hyperlink" Target="https://studio-gem.it/wp-admin/post.php?post=65132&amp;action=edit" TargetMode="External"/><Relationship Id="rId279" Type="http://schemas.openxmlformats.org/officeDocument/2006/relationships/hyperlink" Target="https://studio-gem.it/wp-admin/post.php?post=65146&amp;action=edit" TargetMode="External"/><Relationship Id="rId278" Type="http://schemas.openxmlformats.org/officeDocument/2006/relationships/hyperlink" Target="https://studio-gem.it/wp-admin/post.php?post=65145&amp;action=edit" TargetMode="External"/><Relationship Id="rId277" Type="http://schemas.openxmlformats.org/officeDocument/2006/relationships/hyperlink" Target="https://studio-gem.it/wp-admin/post.php?post=65143&amp;action=edit" TargetMode="External"/><Relationship Id="rId276" Type="http://schemas.openxmlformats.org/officeDocument/2006/relationships/hyperlink" Target="https://studio-gem.it/wp-admin/post.php?post=65141&amp;action=edit" TargetMode="External"/><Relationship Id="rId907" Type="http://schemas.openxmlformats.org/officeDocument/2006/relationships/hyperlink" Target="https://studio-gem.it/wp-admin/post.php?post=67753&amp;action=edit" TargetMode="External"/><Relationship Id="rId906" Type="http://schemas.openxmlformats.org/officeDocument/2006/relationships/hyperlink" Target="https://studio-gem.it/wp-admin/post.php?post=67752&amp;action=edit" TargetMode="External"/><Relationship Id="rId905" Type="http://schemas.openxmlformats.org/officeDocument/2006/relationships/hyperlink" Target="https://studio-gem.it/wp-admin/post.php?post=67750&amp;action=edit" TargetMode="External"/><Relationship Id="rId904" Type="http://schemas.openxmlformats.org/officeDocument/2006/relationships/hyperlink" Target="https://studio-gem.it/wp-admin/post.php?post=67745&amp;action=edit" TargetMode="External"/><Relationship Id="rId909" Type="http://schemas.openxmlformats.org/officeDocument/2006/relationships/hyperlink" Target="https://studio-gem.it/wp-admin/post.php?post=67756&amp;action=edit" TargetMode="External"/><Relationship Id="rId908" Type="http://schemas.openxmlformats.org/officeDocument/2006/relationships/hyperlink" Target="https://studio-gem.it/wp-admin/post.php?post=67755&amp;action=edit" TargetMode="External"/><Relationship Id="rId903" Type="http://schemas.openxmlformats.org/officeDocument/2006/relationships/hyperlink" Target="https://studio-gem.it/wp-admin/post.php?post=67743&amp;action=edit" TargetMode="External"/><Relationship Id="rId902" Type="http://schemas.openxmlformats.org/officeDocument/2006/relationships/hyperlink" Target="https://studio-gem.it/wp-admin/post.php?post=67709&amp;action=edit" TargetMode="External"/><Relationship Id="rId901" Type="http://schemas.openxmlformats.org/officeDocument/2006/relationships/hyperlink" Target="https://studio-gem.it/wp-admin/post.php?post=67707&amp;action=edit" TargetMode="External"/><Relationship Id="rId900" Type="http://schemas.openxmlformats.org/officeDocument/2006/relationships/hyperlink" Target="https://studio-gem.it/wp-admin/post.php?post=67706&amp;action=edit" TargetMode="External"/><Relationship Id="rId929" Type="http://schemas.openxmlformats.org/officeDocument/2006/relationships/hyperlink" Target="https://studio-gem.it/wp-admin/post.php?post=67816&amp;action=edit" TargetMode="External"/><Relationship Id="rId928" Type="http://schemas.openxmlformats.org/officeDocument/2006/relationships/hyperlink" Target="https://studio-gem.it/wp-admin/post.php?post=67814&amp;action=edit" TargetMode="External"/><Relationship Id="rId927" Type="http://schemas.openxmlformats.org/officeDocument/2006/relationships/hyperlink" Target="https://studio-gem.it/wp-admin/post.php?post=67797&amp;action=edit" TargetMode="External"/><Relationship Id="rId926" Type="http://schemas.openxmlformats.org/officeDocument/2006/relationships/hyperlink" Target="https://studio-gem.it/wp-admin/post.php?post=67791&amp;action=edit" TargetMode="External"/><Relationship Id="rId921" Type="http://schemas.openxmlformats.org/officeDocument/2006/relationships/hyperlink" Target="https://studio-gem.it/wp-admin/post.php?post=67779&amp;action=edit" TargetMode="External"/><Relationship Id="rId920" Type="http://schemas.openxmlformats.org/officeDocument/2006/relationships/hyperlink" Target="https://studio-gem.it/wp-admin/post.php?post=67775&amp;action=edit" TargetMode="External"/><Relationship Id="rId925" Type="http://schemas.openxmlformats.org/officeDocument/2006/relationships/hyperlink" Target="https://studio-gem.it/wp-admin/post.php?post=67789&amp;action=edit" TargetMode="External"/><Relationship Id="rId924" Type="http://schemas.openxmlformats.org/officeDocument/2006/relationships/hyperlink" Target="https://studio-gem.it/wp-admin/post.php?post=67787&amp;action=edit" TargetMode="External"/><Relationship Id="rId923" Type="http://schemas.openxmlformats.org/officeDocument/2006/relationships/hyperlink" Target="https://studio-gem.it/wp-admin/post.php?post=67784&amp;action=edit" TargetMode="External"/><Relationship Id="rId922" Type="http://schemas.openxmlformats.org/officeDocument/2006/relationships/hyperlink" Target="https://studio-gem.it/wp-admin/post.php?post=67782&amp;action=edit" TargetMode="External"/><Relationship Id="rId918" Type="http://schemas.openxmlformats.org/officeDocument/2006/relationships/hyperlink" Target="https://studio-gem.it/wp-admin/post.php?post=67770&amp;action=edit" TargetMode="External"/><Relationship Id="rId917" Type="http://schemas.openxmlformats.org/officeDocument/2006/relationships/hyperlink" Target="https://studio-gem.it/wp-admin/post.php?post=67768&amp;action=edit" TargetMode="External"/><Relationship Id="rId916" Type="http://schemas.openxmlformats.org/officeDocument/2006/relationships/hyperlink" Target="https://studio-gem.it/wp-admin/post.php?post=67767&amp;action=edit" TargetMode="External"/><Relationship Id="rId915" Type="http://schemas.openxmlformats.org/officeDocument/2006/relationships/hyperlink" Target="https://studio-gem.it/wp-admin/post.php?post=67766&amp;action=edit" TargetMode="External"/><Relationship Id="rId919" Type="http://schemas.openxmlformats.org/officeDocument/2006/relationships/hyperlink" Target="https://studio-gem.it/wp-admin/post.php?post=67772&amp;action=edit" TargetMode="External"/><Relationship Id="rId910" Type="http://schemas.openxmlformats.org/officeDocument/2006/relationships/hyperlink" Target="https://studio-gem.it/wp-admin/post.php?post=67758&amp;action=edit" TargetMode="External"/><Relationship Id="rId914" Type="http://schemas.openxmlformats.org/officeDocument/2006/relationships/hyperlink" Target="https://studio-gem.it/wp-admin/post.php?post=67765&amp;action=edit" TargetMode="External"/><Relationship Id="rId913" Type="http://schemas.openxmlformats.org/officeDocument/2006/relationships/hyperlink" Target="https://studio-gem.it/wp-admin/post.php?post=67763&amp;action=edit" TargetMode="External"/><Relationship Id="rId912" Type="http://schemas.openxmlformats.org/officeDocument/2006/relationships/hyperlink" Target="https://studio-gem.it/wp-admin/post.php?post=67761&amp;action=edit" TargetMode="External"/><Relationship Id="rId911" Type="http://schemas.openxmlformats.org/officeDocument/2006/relationships/hyperlink" Target="https://studio-gem.it/wp-admin/post.php?post=67760&amp;action=edit" TargetMode="External"/><Relationship Id="rId629" Type="http://schemas.openxmlformats.org/officeDocument/2006/relationships/hyperlink" Target="https://studio-gem.it/wp-admin/post.php?post=66363&amp;action=edit" TargetMode="External"/><Relationship Id="rId624" Type="http://schemas.openxmlformats.org/officeDocument/2006/relationships/hyperlink" Target="https://studio-gem.it/wp-admin/post.php?post=66354&amp;action=edit" TargetMode="External"/><Relationship Id="rId866" Type="http://schemas.openxmlformats.org/officeDocument/2006/relationships/hyperlink" Target="https://studio-gem.it/wp-admin/post.php?post=67402&amp;action=edit" TargetMode="External"/><Relationship Id="rId623" Type="http://schemas.openxmlformats.org/officeDocument/2006/relationships/hyperlink" Target="https://studio-gem.it/wp-admin/post.php?post=66352&amp;action=edit" TargetMode="External"/><Relationship Id="rId865" Type="http://schemas.openxmlformats.org/officeDocument/2006/relationships/hyperlink" Target="https://studio-gem.it/wp-admin/post.php?post=67401&amp;action=edit" TargetMode="External"/><Relationship Id="rId622" Type="http://schemas.openxmlformats.org/officeDocument/2006/relationships/hyperlink" Target="https://studio-gem.it/wp-admin/post.php?post=66350&amp;action=edit" TargetMode="External"/><Relationship Id="rId864" Type="http://schemas.openxmlformats.org/officeDocument/2006/relationships/hyperlink" Target="https://studio-gem.it/wp-admin/post.php?post=67399&amp;action=edit" TargetMode="External"/><Relationship Id="rId621" Type="http://schemas.openxmlformats.org/officeDocument/2006/relationships/hyperlink" Target="https://studio-gem.it/wp-admin/post.php?post=66347&amp;action=edit" TargetMode="External"/><Relationship Id="rId863" Type="http://schemas.openxmlformats.org/officeDocument/2006/relationships/hyperlink" Target="https://studio-gem.it/wp-admin/post.php?post=67398&amp;action=edit" TargetMode="External"/><Relationship Id="rId628" Type="http://schemas.openxmlformats.org/officeDocument/2006/relationships/hyperlink" Target="https://studio-gem.it/wp-admin/post.php?post=66361&amp;action=edit" TargetMode="External"/><Relationship Id="rId627" Type="http://schemas.openxmlformats.org/officeDocument/2006/relationships/hyperlink" Target="https://studio-gem.it/wp-admin/post.php?post=66360&amp;action=edit" TargetMode="External"/><Relationship Id="rId869" Type="http://schemas.openxmlformats.org/officeDocument/2006/relationships/hyperlink" Target="https://studio-gem.it/wp-admin/post.php?post=67416&amp;action=edit" TargetMode="External"/><Relationship Id="rId626" Type="http://schemas.openxmlformats.org/officeDocument/2006/relationships/hyperlink" Target="https://studio-gem.it/wp-admin/post.php?post=66358&amp;action=edit" TargetMode="External"/><Relationship Id="rId868" Type="http://schemas.openxmlformats.org/officeDocument/2006/relationships/hyperlink" Target="https://studio-gem.it/wp-admin/post.php?post=67408&amp;action=edit" TargetMode="External"/><Relationship Id="rId625" Type="http://schemas.openxmlformats.org/officeDocument/2006/relationships/hyperlink" Target="https://studio-gem.it/wp-admin/post.php?post=66356&amp;action=edit" TargetMode="External"/><Relationship Id="rId867" Type="http://schemas.openxmlformats.org/officeDocument/2006/relationships/hyperlink" Target="https://studio-gem.it/wp-admin/post.php?post=67404&amp;action=edit" TargetMode="External"/><Relationship Id="rId620" Type="http://schemas.openxmlformats.org/officeDocument/2006/relationships/hyperlink" Target="https://studio-gem.it/wp-admin/post.php?post=66346&amp;action=edit" TargetMode="External"/><Relationship Id="rId862" Type="http://schemas.openxmlformats.org/officeDocument/2006/relationships/hyperlink" Target="https://studio-gem.it/wp-admin/post.php?post=67397&amp;action=edit" TargetMode="External"/><Relationship Id="rId861" Type="http://schemas.openxmlformats.org/officeDocument/2006/relationships/hyperlink" Target="https://studio-gem.it/wp-admin/post.php?post=67396&amp;action=edit" TargetMode="External"/><Relationship Id="rId860" Type="http://schemas.openxmlformats.org/officeDocument/2006/relationships/hyperlink" Target="https://studio-gem.it/wp-admin/post.php?post=67394&amp;action=edit" TargetMode="External"/><Relationship Id="rId619" Type="http://schemas.openxmlformats.org/officeDocument/2006/relationships/hyperlink" Target="https://studio-gem.it/wp-admin/post.php?post=66343&amp;action=edit" TargetMode="External"/><Relationship Id="rId618" Type="http://schemas.openxmlformats.org/officeDocument/2006/relationships/hyperlink" Target="https://studio-gem.it/wp-admin/post.php?post=66341&amp;action=edit" TargetMode="External"/><Relationship Id="rId613" Type="http://schemas.openxmlformats.org/officeDocument/2006/relationships/hyperlink" Target="https://studio-gem.it/wp-admin/post.php?post=66317&amp;action=edit" TargetMode="External"/><Relationship Id="rId855" Type="http://schemas.openxmlformats.org/officeDocument/2006/relationships/hyperlink" Target="https://studio-gem.it/wp-admin/post.php?post=67372&amp;action=edit" TargetMode="External"/><Relationship Id="rId612" Type="http://schemas.openxmlformats.org/officeDocument/2006/relationships/hyperlink" Target="https://studio-gem.it/wp-admin/post.php?post=66311&amp;action=edit" TargetMode="External"/><Relationship Id="rId854" Type="http://schemas.openxmlformats.org/officeDocument/2006/relationships/hyperlink" Target="https://studio-gem.it/wp-admin/post.php?post=67363&amp;action=edit" TargetMode="External"/><Relationship Id="rId611" Type="http://schemas.openxmlformats.org/officeDocument/2006/relationships/hyperlink" Target="https://studio-gem.it/wp-admin/post.php?post=66305&amp;action=edit" TargetMode="External"/><Relationship Id="rId853" Type="http://schemas.openxmlformats.org/officeDocument/2006/relationships/hyperlink" Target="https://studio-gem.it/wp-admin/post.php?post=67347&amp;action=edit" TargetMode="External"/><Relationship Id="rId610" Type="http://schemas.openxmlformats.org/officeDocument/2006/relationships/hyperlink" Target="https://studio-gem.it/wp-admin/post.php?post=66269&amp;action=edit" TargetMode="External"/><Relationship Id="rId852" Type="http://schemas.openxmlformats.org/officeDocument/2006/relationships/hyperlink" Target="https://studio-gem.it/wp-admin/post.php?post=67345&amp;action=edit" TargetMode="External"/><Relationship Id="rId617" Type="http://schemas.openxmlformats.org/officeDocument/2006/relationships/hyperlink" Target="https://studio-gem.it/wp-admin/post.php?post=66333&amp;action=edit" TargetMode="External"/><Relationship Id="rId859" Type="http://schemas.openxmlformats.org/officeDocument/2006/relationships/hyperlink" Target="https://studio-gem.it/wp-admin/post.php?post=67391&amp;action=edit" TargetMode="External"/><Relationship Id="rId616" Type="http://schemas.openxmlformats.org/officeDocument/2006/relationships/hyperlink" Target="https://studio-gem.it/wp-admin/post.php?post=66325&amp;action=edit" TargetMode="External"/><Relationship Id="rId858" Type="http://schemas.openxmlformats.org/officeDocument/2006/relationships/hyperlink" Target="https://studio-gem.it/wp-admin/post.php?post=67389&amp;action=edit" TargetMode="External"/><Relationship Id="rId615" Type="http://schemas.openxmlformats.org/officeDocument/2006/relationships/hyperlink" Target="https://studio-gem.it/wp-admin/post.php?post=66323&amp;action=edit" TargetMode="External"/><Relationship Id="rId857" Type="http://schemas.openxmlformats.org/officeDocument/2006/relationships/hyperlink" Target="https://studio-gem.it/wp-admin/post.php?post=67388&amp;action=edit" TargetMode="External"/><Relationship Id="rId614" Type="http://schemas.openxmlformats.org/officeDocument/2006/relationships/hyperlink" Target="https://studio-gem.it/wp-admin/post.php?post=66321&amp;action=edit" TargetMode="External"/><Relationship Id="rId856" Type="http://schemas.openxmlformats.org/officeDocument/2006/relationships/hyperlink" Target="https://studio-gem.it/wp-admin/post.php?post=67373&amp;action=edit" TargetMode="External"/><Relationship Id="rId851" Type="http://schemas.openxmlformats.org/officeDocument/2006/relationships/hyperlink" Target="https://studio-gem.it/wp-admin/post.php?post=67344&amp;action=edit" TargetMode="External"/><Relationship Id="rId850" Type="http://schemas.openxmlformats.org/officeDocument/2006/relationships/hyperlink" Target="https://studio-gem.it/wp-admin/post.php?post=67342&amp;action=edit" TargetMode="External"/><Relationship Id="rId409" Type="http://schemas.openxmlformats.org/officeDocument/2006/relationships/hyperlink" Target="https://studio-gem.it/wp-admin/post.php?post=65499&amp;action=edit" TargetMode="External"/><Relationship Id="rId404" Type="http://schemas.openxmlformats.org/officeDocument/2006/relationships/hyperlink" Target="https://studio-gem.it/wp-admin/post.php?post=65490&amp;action=edit" TargetMode="External"/><Relationship Id="rId646" Type="http://schemas.openxmlformats.org/officeDocument/2006/relationships/hyperlink" Target="https://studio-gem.it/wp-admin/post.php?post=66436&amp;action=edit" TargetMode="External"/><Relationship Id="rId888" Type="http://schemas.openxmlformats.org/officeDocument/2006/relationships/hyperlink" Target="https://studio-gem.it/wp-admin/post.php?post=67544&amp;action=edit" TargetMode="External"/><Relationship Id="rId403" Type="http://schemas.openxmlformats.org/officeDocument/2006/relationships/hyperlink" Target="https://studio-gem.it/wp-admin/post.php?post=65488&amp;action=edit" TargetMode="External"/><Relationship Id="rId645" Type="http://schemas.openxmlformats.org/officeDocument/2006/relationships/hyperlink" Target="https://studio-gem.it/wp-admin/post.php?post=66435&amp;action=edit" TargetMode="External"/><Relationship Id="rId887" Type="http://schemas.openxmlformats.org/officeDocument/2006/relationships/hyperlink" Target="https://studio-gem.it/wp-admin/post.php?post=67542&amp;action=edit" TargetMode="External"/><Relationship Id="rId402" Type="http://schemas.openxmlformats.org/officeDocument/2006/relationships/hyperlink" Target="https://studio-gem.it/wp-admin/post.php?post=65486&amp;action=edit" TargetMode="External"/><Relationship Id="rId644" Type="http://schemas.openxmlformats.org/officeDocument/2006/relationships/hyperlink" Target="https://studio-gem.it/wp-admin/post.php?post=66427&amp;action=edit" TargetMode="External"/><Relationship Id="rId886" Type="http://schemas.openxmlformats.org/officeDocument/2006/relationships/hyperlink" Target="https://studio-gem.it/wp-admin/post.php?post=67540&amp;action=edit" TargetMode="External"/><Relationship Id="rId401" Type="http://schemas.openxmlformats.org/officeDocument/2006/relationships/hyperlink" Target="https://studio-gem.it/wp-admin/post.php?post=65485&amp;action=edit" TargetMode="External"/><Relationship Id="rId643" Type="http://schemas.openxmlformats.org/officeDocument/2006/relationships/hyperlink" Target="https://studio-gem.it/wp-admin/post.php?post=66412&amp;action=edit" TargetMode="External"/><Relationship Id="rId885" Type="http://schemas.openxmlformats.org/officeDocument/2006/relationships/hyperlink" Target="https://studio-gem.it/wp-admin/post.php?post=67537&amp;action=edit" TargetMode="External"/><Relationship Id="rId408" Type="http://schemas.openxmlformats.org/officeDocument/2006/relationships/hyperlink" Target="https://studio-gem.it/wp-admin/post.php?post=65497&amp;action=edit" TargetMode="External"/><Relationship Id="rId407" Type="http://schemas.openxmlformats.org/officeDocument/2006/relationships/hyperlink" Target="https://studio-gem.it/wp-admin/post.php?post=65496&amp;action=edit" TargetMode="External"/><Relationship Id="rId649" Type="http://schemas.openxmlformats.org/officeDocument/2006/relationships/hyperlink" Target="https://studio-gem.it/wp-admin/post.php?post=66444&amp;action=edit" TargetMode="External"/><Relationship Id="rId406" Type="http://schemas.openxmlformats.org/officeDocument/2006/relationships/hyperlink" Target="https://studio-gem.it/wp-admin/post.php?post=65494&amp;action=edit" TargetMode="External"/><Relationship Id="rId648" Type="http://schemas.openxmlformats.org/officeDocument/2006/relationships/hyperlink" Target="https://studio-gem.it/wp-admin/post.php?post=66443&amp;action=edit" TargetMode="External"/><Relationship Id="rId405" Type="http://schemas.openxmlformats.org/officeDocument/2006/relationships/hyperlink" Target="https://studio-gem.it/wp-admin/post.php?post=65492&amp;action=edit" TargetMode="External"/><Relationship Id="rId647" Type="http://schemas.openxmlformats.org/officeDocument/2006/relationships/hyperlink" Target="https://studio-gem.it/wp-admin/post.php?post=66437&amp;action=edit" TargetMode="External"/><Relationship Id="rId889" Type="http://schemas.openxmlformats.org/officeDocument/2006/relationships/hyperlink" Target="https://studio-gem.it/wp-admin/post.php?post=67546&amp;action=edit" TargetMode="External"/><Relationship Id="rId880" Type="http://schemas.openxmlformats.org/officeDocument/2006/relationships/hyperlink" Target="https://studio-gem.it/wp-admin/post.php?post=67486&amp;action=edit" TargetMode="External"/><Relationship Id="rId400" Type="http://schemas.openxmlformats.org/officeDocument/2006/relationships/hyperlink" Target="https://studio-gem.it/wp-admin/post.php?post=65483&amp;action=edit" TargetMode="External"/><Relationship Id="rId642" Type="http://schemas.openxmlformats.org/officeDocument/2006/relationships/hyperlink" Target="https://studio-gem.it/wp-admin/post.php?post=66411&amp;action=edit" TargetMode="External"/><Relationship Id="rId884" Type="http://schemas.openxmlformats.org/officeDocument/2006/relationships/hyperlink" Target="https://studio-gem.it/wp-admin/post.php?post=67518&amp;action=edit" TargetMode="External"/><Relationship Id="rId641" Type="http://schemas.openxmlformats.org/officeDocument/2006/relationships/hyperlink" Target="https://studio-gem.it/wp-admin/post.php?post=66409&amp;action=edit" TargetMode="External"/><Relationship Id="rId883" Type="http://schemas.openxmlformats.org/officeDocument/2006/relationships/hyperlink" Target="https://studio-gem.it/wp-admin/post.php?post=67513&amp;action=edit" TargetMode="External"/><Relationship Id="rId640" Type="http://schemas.openxmlformats.org/officeDocument/2006/relationships/hyperlink" Target="https://studio-gem.it/wp-admin/post.php?post=66407&amp;action=edit" TargetMode="External"/><Relationship Id="rId882" Type="http://schemas.openxmlformats.org/officeDocument/2006/relationships/hyperlink" Target="https://studio-gem.it/wp-admin/post.php?post=67506&amp;action=edit" TargetMode="External"/><Relationship Id="rId881" Type="http://schemas.openxmlformats.org/officeDocument/2006/relationships/hyperlink" Target="https://studio-gem.it/wp-admin/post.php?post=67489&amp;action=edit" TargetMode="External"/><Relationship Id="rId635" Type="http://schemas.openxmlformats.org/officeDocument/2006/relationships/hyperlink" Target="https://studio-gem.it/wp-admin/post.php?post=66376&amp;action=edit" TargetMode="External"/><Relationship Id="rId877" Type="http://schemas.openxmlformats.org/officeDocument/2006/relationships/hyperlink" Target="https://studio-gem.it/wp-admin/post.php?post=67471&amp;action=edit" TargetMode="External"/><Relationship Id="rId634" Type="http://schemas.openxmlformats.org/officeDocument/2006/relationships/hyperlink" Target="https://studio-gem.it/wp-admin/post.php?post=66374&amp;action=edit" TargetMode="External"/><Relationship Id="rId876" Type="http://schemas.openxmlformats.org/officeDocument/2006/relationships/hyperlink" Target="https://studio-gem.it/wp-admin/post.php?post=67470&amp;action=edit" TargetMode="External"/><Relationship Id="rId633" Type="http://schemas.openxmlformats.org/officeDocument/2006/relationships/hyperlink" Target="https://studio-gem.it/wp-admin/post.php?post=66372&amp;action=edit" TargetMode="External"/><Relationship Id="rId875" Type="http://schemas.openxmlformats.org/officeDocument/2006/relationships/hyperlink" Target="https://studio-gem.it/wp-admin/post.php?post=67469&amp;action=edit" TargetMode="External"/><Relationship Id="rId632" Type="http://schemas.openxmlformats.org/officeDocument/2006/relationships/hyperlink" Target="https://studio-gem.it/wp-admin/post.php?post=66370&amp;action=edit" TargetMode="External"/><Relationship Id="rId874" Type="http://schemas.openxmlformats.org/officeDocument/2006/relationships/hyperlink" Target="https://studio-gem.it/wp-admin/post.php?post=67442&amp;action=edit" TargetMode="External"/><Relationship Id="rId639" Type="http://schemas.openxmlformats.org/officeDocument/2006/relationships/hyperlink" Target="https://studio-gem.it/wp-admin/post.php?post=66404&amp;action=edit" TargetMode="External"/><Relationship Id="rId638" Type="http://schemas.openxmlformats.org/officeDocument/2006/relationships/hyperlink" Target="https://studio-gem.it/wp-admin/post.php?post=66403&amp;action=edit" TargetMode="External"/><Relationship Id="rId637" Type="http://schemas.openxmlformats.org/officeDocument/2006/relationships/hyperlink" Target="https://studio-gem.it/wp-admin/post.php?post=66401&amp;action=edit" TargetMode="External"/><Relationship Id="rId879" Type="http://schemas.openxmlformats.org/officeDocument/2006/relationships/hyperlink" Target="https://studio-gem.it/wp-admin/post.php?post=67484&amp;action=edit" TargetMode="External"/><Relationship Id="rId636" Type="http://schemas.openxmlformats.org/officeDocument/2006/relationships/hyperlink" Target="https://studio-gem.it/wp-admin/post.php?post=66378&amp;action=edit" TargetMode="External"/><Relationship Id="rId878" Type="http://schemas.openxmlformats.org/officeDocument/2006/relationships/hyperlink" Target="https://studio-gem.it/wp-admin/post.php?post=67472&amp;action=edit" TargetMode="External"/><Relationship Id="rId631" Type="http://schemas.openxmlformats.org/officeDocument/2006/relationships/hyperlink" Target="https://studio-gem.it/wp-admin/post.php?post=66368&amp;action=edit" TargetMode="External"/><Relationship Id="rId873" Type="http://schemas.openxmlformats.org/officeDocument/2006/relationships/hyperlink" Target="https://studio-gem.it/wp-admin/post.php?post=67442&amp;action=edit" TargetMode="External"/><Relationship Id="rId630" Type="http://schemas.openxmlformats.org/officeDocument/2006/relationships/hyperlink" Target="https://studio-gem.it/wp-admin/post.php?post=66366&amp;action=edit" TargetMode="External"/><Relationship Id="rId872" Type="http://schemas.openxmlformats.org/officeDocument/2006/relationships/hyperlink" Target="https://studio-gem.it/wp-admin/post.php?post=67439&amp;action=edit" TargetMode="External"/><Relationship Id="rId871" Type="http://schemas.openxmlformats.org/officeDocument/2006/relationships/hyperlink" Target="https://studio-gem.it/wp-admin/post.php?post=67430&amp;action=edit" TargetMode="External"/><Relationship Id="rId870" Type="http://schemas.openxmlformats.org/officeDocument/2006/relationships/hyperlink" Target="https://studio-gem.it/wp-admin/post.php?post=67429&amp;action=edit" TargetMode="External"/><Relationship Id="rId829" Type="http://schemas.openxmlformats.org/officeDocument/2006/relationships/hyperlink" Target="https://studio-gem.it/wp-admin/post.php?post=67142&amp;action=edit" TargetMode="External"/><Relationship Id="rId828" Type="http://schemas.openxmlformats.org/officeDocument/2006/relationships/hyperlink" Target="https://studio-gem.it/wp-admin/post.php?post=67140&amp;action=edit" TargetMode="External"/><Relationship Id="rId827" Type="http://schemas.openxmlformats.org/officeDocument/2006/relationships/hyperlink" Target="https://studio-gem.it/wp-admin/post.php?post=67139&amp;action=edit" TargetMode="External"/><Relationship Id="rId822" Type="http://schemas.openxmlformats.org/officeDocument/2006/relationships/hyperlink" Target="https://studio-gem.it/wp-admin/post.php?post=67120&amp;action=edit" TargetMode="External"/><Relationship Id="rId821" Type="http://schemas.openxmlformats.org/officeDocument/2006/relationships/hyperlink" Target="https://studio-gem.it/wp-admin/post.php?post=67119&amp;action=edit" TargetMode="External"/><Relationship Id="rId820" Type="http://schemas.openxmlformats.org/officeDocument/2006/relationships/hyperlink" Target="https://studio-gem.it/wp-admin/post.php?post=67118&amp;action=edit" TargetMode="External"/><Relationship Id="rId826" Type="http://schemas.openxmlformats.org/officeDocument/2006/relationships/hyperlink" Target="https://studio-gem.it/wp-admin/post.php?post=67139&amp;action=edit" TargetMode="External"/><Relationship Id="rId825" Type="http://schemas.openxmlformats.org/officeDocument/2006/relationships/hyperlink" Target="https://studio-gem.it/wp-admin/post.php?post=67137&amp;action=edit" TargetMode="External"/><Relationship Id="rId824" Type="http://schemas.openxmlformats.org/officeDocument/2006/relationships/hyperlink" Target="https://studio-gem.it/wp-admin/post.php?post=67124&amp;action=edit" TargetMode="External"/><Relationship Id="rId823" Type="http://schemas.openxmlformats.org/officeDocument/2006/relationships/hyperlink" Target="https://studio-gem.it/wp-admin/post.php?post=67122&amp;action=edit" TargetMode="External"/><Relationship Id="rId819" Type="http://schemas.openxmlformats.org/officeDocument/2006/relationships/hyperlink" Target="https://studio-gem.it/wp-admin/post.php?post=67117&amp;action=edit" TargetMode="External"/><Relationship Id="rId818" Type="http://schemas.openxmlformats.org/officeDocument/2006/relationships/hyperlink" Target="https://studio-gem.it/wp-admin/post.php?post=67116&amp;action=edit" TargetMode="External"/><Relationship Id="rId817" Type="http://schemas.openxmlformats.org/officeDocument/2006/relationships/hyperlink" Target="https://studio-gem.it/wp-admin/post.php?post=67112&amp;action=edit" TargetMode="External"/><Relationship Id="rId816" Type="http://schemas.openxmlformats.org/officeDocument/2006/relationships/hyperlink" Target="https://studio-gem.it/wp-admin/post.php?post=67110&amp;action=edit" TargetMode="External"/><Relationship Id="rId811" Type="http://schemas.openxmlformats.org/officeDocument/2006/relationships/hyperlink" Target="https://studio-gem.it/wp-admin/post.php?post=67101&amp;action=edit" TargetMode="External"/><Relationship Id="rId810" Type="http://schemas.openxmlformats.org/officeDocument/2006/relationships/hyperlink" Target="https://studio-gem.it/wp-admin/post.php?post=67099&amp;action=edit" TargetMode="External"/><Relationship Id="rId815" Type="http://schemas.openxmlformats.org/officeDocument/2006/relationships/hyperlink" Target="https://studio-gem.it/wp-admin/post.php?post=67108&amp;action=edit" TargetMode="External"/><Relationship Id="rId814" Type="http://schemas.openxmlformats.org/officeDocument/2006/relationships/hyperlink" Target="https://studio-gem.it/wp-admin/post.php?post=67105&amp;action=edit" TargetMode="External"/><Relationship Id="rId813" Type="http://schemas.openxmlformats.org/officeDocument/2006/relationships/hyperlink" Target="https://studio-gem.it/wp-admin/post.php?post=67104&amp;action=edit" TargetMode="External"/><Relationship Id="rId812" Type="http://schemas.openxmlformats.org/officeDocument/2006/relationships/hyperlink" Target="https://studio-gem.it/wp-admin/post.php?post=67102&amp;action=edit" TargetMode="External"/><Relationship Id="rId609" Type="http://schemas.openxmlformats.org/officeDocument/2006/relationships/hyperlink" Target="https://studio-gem.it/wp-admin/post.php?post=66260&amp;action=edit" TargetMode="External"/><Relationship Id="rId608" Type="http://schemas.openxmlformats.org/officeDocument/2006/relationships/hyperlink" Target="https://studio-gem.it/wp-admin/post.php?post=66258&amp;action=edit" TargetMode="External"/><Relationship Id="rId607" Type="http://schemas.openxmlformats.org/officeDocument/2006/relationships/hyperlink" Target="https://studio-gem.it/wp-admin/post.php?post=66236&amp;action=edit" TargetMode="External"/><Relationship Id="rId849" Type="http://schemas.openxmlformats.org/officeDocument/2006/relationships/hyperlink" Target="https://studio-gem.it/wp-admin/post.php?post=67336&amp;action=edit" TargetMode="External"/><Relationship Id="rId602" Type="http://schemas.openxmlformats.org/officeDocument/2006/relationships/hyperlink" Target="https://studio-gem.it/wp-admin/post.php?post=66196&amp;action=edit" TargetMode="External"/><Relationship Id="rId844" Type="http://schemas.openxmlformats.org/officeDocument/2006/relationships/hyperlink" Target="https://studio-gem.it/wp-admin/post.php?post=67243&amp;action=edit" TargetMode="External"/><Relationship Id="rId601" Type="http://schemas.openxmlformats.org/officeDocument/2006/relationships/hyperlink" Target="https://studio-gem.it/wp-admin/post.php?post=66192&amp;action=edit" TargetMode="External"/><Relationship Id="rId843" Type="http://schemas.openxmlformats.org/officeDocument/2006/relationships/hyperlink" Target="https://studio-gem.it/wp-admin/post.php?post=67241&amp;action=edit" TargetMode="External"/><Relationship Id="rId600" Type="http://schemas.openxmlformats.org/officeDocument/2006/relationships/hyperlink" Target="https://studio-gem.it/wp-admin/post.php?post=66190&amp;action=edit" TargetMode="External"/><Relationship Id="rId842" Type="http://schemas.openxmlformats.org/officeDocument/2006/relationships/hyperlink" Target="https://studio-gem.it/wp-admin/post.php?post=67239&amp;action=edit" TargetMode="External"/><Relationship Id="rId841" Type="http://schemas.openxmlformats.org/officeDocument/2006/relationships/hyperlink" Target="https://studio-gem.it/wp-admin/post.php?post=67236&amp;action=edit" TargetMode="External"/><Relationship Id="rId606" Type="http://schemas.openxmlformats.org/officeDocument/2006/relationships/hyperlink" Target="https://studio-gem.it/wp-admin/post.php?post=66225&amp;action=edit" TargetMode="External"/><Relationship Id="rId848" Type="http://schemas.openxmlformats.org/officeDocument/2006/relationships/hyperlink" Target="https://studio-gem.it/wp-admin/post.php?post=67261&amp;action=edit" TargetMode="External"/><Relationship Id="rId605" Type="http://schemas.openxmlformats.org/officeDocument/2006/relationships/hyperlink" Target="https://studio-gem.it/wp-admin/post.php?post=66222&amp;action=edit" TargetMode="External"/><Relationship Id="rId847" Type="http://schemas.openxmlformats.org/officeDocument/2006/relationships/hyperlink" Target="https://studio-gem.it/wp-admin/post.php?post=67257&amp;action=edit" TargetMode="External"/><Relationship Id="rId604" Type="http://schemas.openxmlformats.org/officeDocument/2006/relationships/hyperlink" Target="https://studio-gem.it/wp-admin/post.php?post=66208&amp;action=edit" TargetMode="External"/><Relationship Id="rId846" Type="http://schemas.openxmlformats.org/officeDocument/2006/relationships/hyperlink" Target="https://studio-gem.it/wp-admin/post.php?post=67257&amp;action=edit" TargetMode="External"/><Relationship Id="rId603" Type="http://schemas.openxmlformats.org/officeDocument/2006/relationships/hyperlink" Target="https://studio-gem.it/wp-admin/post.php?post=66204&amp;action=edit" TargetMode="External"/><Relationship Id="rId845" Type="http://schemas.openxmlformats.org/officeDocument/2006/relationships/hyperlink" Target="https://studio-gem.it/wp-admin/post.php?post=67250&amp;action=edit" TargetMode="External"/><Relationship Id="rId840" Type="http://schemas.openxmlformats.org/officeDocument/2006/relationships/hyperlink" Target="https://studio-gem.it/wp-admin/post.php?post=67234&amp;action=edit" TargetMode="External"/><Relationship Id="rId839" Type="http://schemas.openxmlformats.org/officeDocument/2006/relationships/hyperlink" Target="https://studio-gem.it/wp-admin/post.php?post=67232&amp;action=edit" TargetMode="External"/><Relationship Id="rId838" Type="http://schemas.openxmlformats.org/officeDocument/2006/relationships/hyperlink" Target="https://studio-gem.it/wp-admin/post.php?post=67229&amp;action=edit" TargetMode="External"/><Relationship Id="rId833" Type="http://schemas.openxmlformats.org/officeDocument/2006/relationships/hyperlink" Target="https://studio-gem.it/wp-admin/post.php?post=67213&amp;action=edit" TargetMode="External"/><Relationship Id="rId832" Type="http://schemas.openxmlformats.org/officeDocument/2006/relationships/hyperlink" Target="https://studio-gem.it/wp-admin/post.php?post=67211&amp;action=edit" TargetMode="External"/><Relationship Id="rId831" Type="http://schemas.openxmlformats.org/officeDocument/2006/relationships/hyperlink" Target="https://studio-gem.it/wp-admin/post.php?post=67175&amp;action=edit" TargetMode="External"/><Relationship Id="rId830" Type="http://schemas.openxmlformats.org/officeDocument/2006/relationships/hyperlink" Target="https://studio-gem.it/wp-admin/post.php?post=67169&amp;action=edit" TargetMode="External"/><Relationship Id="rId837" Type="http://schemas.openxmlformats.org/officeDocument/2006/relationships/hyperlink" Target="https://studio-gem.it/wp-admin/post.php?post=67224&amp;action=edit" TargetMode="External"/><Relationship Id="rId836" Type="http://schemas.openxmlformats.org/officeDocument/2006/relationships/hyperlink" Target="https://studio-gem.it/wp-admin/post.php?post=67220&amp;action=edit" TargetMode="External"/><Relationship Id="rId835" Type="http://schemas.openxmlformats.org/officeDocument/2006/relationships/hyperlink" Target="https://studio-gem.it/wp-admin/post.php?post=67217&amp;action=edit" TargetMode="External"/><Relationship Id="rId834" Type="http://schemas.openxmlformats.org/officeDocument/2006/relationships/hyperlink" Target="https://studio-gem.it/wp-admin/post.php?post=67215&amp;action=edit" TargetMode="External"/><Relationship Id="rId228" Type="http://schemas.openxmlformats.org/officeDocument/2006/relationships/hyperlink" Target="https://studio-gem.it/wp-admin/post.php?post=65055&amp;action=edit" TargetMode="External"/><Relationship Id="rId227" Type="http://schemas.openxmlformats.org/officeDocument/2006/relationships/hyperlink" Target="https://studio-gem.it/wp-admin/post.php?post=65053&amp;action=edit" TargetMode="External"/><Relationship Id="rId469" Type="http://schemas.openxmlformats.org/officeDocument/2006/relationships/hyperlink" Target="https://studio-gem.it/wp-admin/post.php?post=65778&amp;action=edit" TargetMode="External"/><Relationship Id="rId226" Type="http://schemas.openxmlformats.org/officeDocument/2006/relationships/hyperlink" Target="https://studio-gem.it/wp-admin/post.php?post=65051&amp;action=edit" TargetMode="External"/><Relationship Id="rId468" Type="http://schemas.openxmlformats.org/officeDocument/2006/relationships/hyperlink" Target="https://studio-gem.it/wp-admin/post.php?post=65775&amp;action=edit" TargetMode="External"/><Relationship Id="rId225" Type="http://schemas.openxmlformats.org/officeDocument/2006/relationships/hyperlink" Target="https://studio-gem.it/wp-admin/post.php?post=65050&amp;action=edit" TargetMode="External"/><Relationship Id="rId467" Type="http://schemas.openxmlformats.org/officeDocument/2006/relationships/hyperlink" Target="https://studio-gem.it/wp-admin/post.php?post=65774&amp;action=edit" TargetMode="External"/><Relationship Id="rId229" Type="http://schemas.openxmlformats.org/officeDocument/2006/relationships/hyperlink" Target="https://studio-gem.it/wp-admin/post.php?post=65059&amp;action=edit" TargetMode="External"/><Relationship Id="rId220" Type="http://schemas.openxmlformats.org/officeDocument/2006/relationships/hyperlink" Target="https://studio-gem.it/wp-admin/post.php?post=65043&amp;action=edit" TargetMode="External"/><Relationship Id="rId462" Type="http://schemas.openxmlformats.org/officeDocument/2006/relationships/hyperlink" Target="https://studio-gem.it/wp-admin/post.php?post=65764&amp;action=edit" TargetMode="External"/><Relationship Id="rId461" Type="http://schemas.openxmlformats.org/officeDocument/2006/relationships/hyperlink" Target="https://studio-gem.it/wp-admin/post.php?post=65763&amp;action=edit" TargetMode="External"/><Relationship Id="rId460" Type="http://schemas.openxmlformats.org/officeDocument/2006/relationships/hyperlink" Target="https://studio-gem.it/wp-admin/post.php?post=65762&amp;action=edit" TargetMode="External"/><Relationship Id="rId224" Type="http://schemas.openxmlformats.org/officeDocument/2006/relationships/hyperlink" Target="https://studio-gem.it/wp-admin/post.php?post=65049&amp;action=edit" TargetMode="External"/><Relationship Id="rId466" Type="http://schemas.openxmlformats.org/officeDocument/2006/relationships/hyperlink" Target="https://studio-gem.it/wp-admin/post.php?post=65772&amp;action=edit" TargetMode="External"/><Relationship Id="rId223" Type="http://schemas.openxmlformats.org/officeDocument/2006/relationships/hyperlink" Target="https://studio-gem.it/wp-admin/post.php?post=65047&amp;action=edit" TargetMode="External"/><Relationship Id="rId465" Type="http://schemas.openxmlformats.org/officeDocument/2006/relationships/hyperlink" Target="https://studio-gem.it/wp-admin/post.php?post=65770&amp;action=edit" TargetMode="External"/><Relationship Id="rId222" Type="http://schemas.openxmlformats.org/officeDocument/2006/relationships/hyperlink" Target="https://studio-gem.it/wp-admin/post.php?post=65046&amp;action=edit" TargetMode="External"/><Relationship Id="rId464" Type="http://schemas.openxmlformats.org/officeDocument/2006/relationships/hyperlink" Target="https://studio-gem.it/wp-admin/post.php?post=65768&amp;action=edit" TargetMode="External"/><Relationship Id="rId221" Type="http://schemas.openxmlformats.org/officeDocument/2006/relationships/hyperlink" Target="https://studio-gem.it/wp-admin/post.php?post=65043&amp;action=edit" TargetMode="External"/><Relationship Id="rId463" Type="http://schemas.openxmlformats.org/officeDocument/2006/relationships/hyperlink" Target="https://studio-gem.it/wp-admin/post.php?post=65766&amp;action=edit" TargetMode="External"/><Relationship Id="rId217" Type="http://schemas.openxmlformats.org/officeDocument/2006/relationships/hyperlink" Target="https://studio-gem.it/wp-admin/post.php?post=65038&amp;action=edit" TargetMode="External"/><Relationship Id="rId459" Type="http://schemas.openxmlformats.org/officeDocument/2006/relationships/hyperlink" Target="https://studio-gem.it/wp-admin/post.php?post=65760&amp;action=edit" TargetMode="External"/><Relationship Id="rId216" Type="http://schemas.openxmlformats.org/officeDocument/2006/relationships/hyperlink" Target="https://studio-gem.it/wp-admin/post.php?post=65037&amp;action=edit" TargetMode="External"/><Relationship Id="rId458" Type="http://schemas.openxmlformats.org/officeDocument/2006/relationships/hyperlink" Target="https://studio-gem.it/wp-admin/post.php?post=65759&amp;action=edit" TargetMode="External"/><Relationship Id="rId215" Type="http://schemas.openxmlformats.org/officeDocument/2006/relationships/hyperlink" Target="https://studio-gem.it/wp-admin/post.php?post=65035&amp;action=edit" TargetMode="External"/><Relationship Id="rId457" Type="http://schemas.openxmlformats.org/officeDocument/2006/relationships/hyperlink" Target="https://studio-gem.it/wp-admin/post.php?post=65758&amp;action=edit" TargetMode="External"/><Relationship Id="rId699" Type="http://schemas.openxmlformats.org/officeDocument/2006/relationships/hyperlink" Target="https://studio-gem.it/wp-admin/post.php?post=66594&amp;action=edit" TargetMode="External"/><Relationship Id="rId214" Type="http://schemas.openxmlformats.org/officeDocument/2006/relationships/hyperlink" Target="https://studio-gem.it/wp-admin/post.php?post=64995&amp;action=edit" TargetMode="External"/><Relationship Id="rId456" Type="http://schemas.openxmlformats.org/officeDocument/2006/relationships/hyperlink" Target="https://studio-gem.it/wp-admin/post.php?post=65757&amp;action=edit" TargetMode="External"/><Relationship Id="rId698" Type="http://schemas.openxmlformats.org/officeDocument/2006/relationships/hyperlink" Target="https://studio-gem.it/wp-admin/post.php?post=66593&amp;action=edit" TargetMode="External"/><Relationship Id="rId219" Type="http://schemas.openxmlformats.org/officeDocument/2006/relationships/hyperlink" Target="https://studio-gem.it/wp-admin/post.php?post=65042&amp;action=edit" TargetMode="External"/><Relationship Id="rId218" Type="http://schemas.openxmlformats.org/officeDocument/2006/relationships/hyperlink" Target="https://studio-gem.it/wp-admin/post.php?post=65039&amp;action=edit" TargetMode="External"/><Relationship Id="rId451" Type="http://schemas.openxmlformats.org/officeDocument/2006/relationships/hyperlink" Target="https://studio-gem.it/wp-admin/post.php?post=65717&amp;action=edit" TargetMode="External"/><Relationship Id="rId693" Type="http://schemas.openxmlformats.org/officeDocument/2006/relationships/hyperlink" Target="https://studio-gem.it/wp-admin/post.php?post=66585&amp;action=edit" TargetMode="External"/><Relationship Id="rId450" Type="http://schemas.openxmlformats.org/officeDocument/2006/relationships/hyperlink" Target="https://studio-gem.it/wp-admin/post.php?post=65716&amp;action=edit" TargetMode="External"/><Relationship Id="rId692" Type="http://schemas.openxmlformats.org/officeDocument/2006/relationships/hyperlink" Target="https://studio-gem.it/wp-admin/post.php?post=66582&amp;action=edit" TargetMode="External"/><Relationship Id="rId691" Type="http://schemas.openxmlformats.org/officeDocument/2006/relationships/hyperlink" Target="https://studio-gem.it/wp-admin/post.php?post=66580&amp;action=edit" TargetMode="External"/><Relationship Id="rId690" Type="http://schemas.openxmlformats.org/officeDocument/2006/relationships/hyperlink" Target="https://studio-gem.it/wp-admin/post.php?post=66578&amp;action=edit" TargetMode="External"/><Relationship Id="rId213" Type="http://schemas.openxmlformats.org/officeDocument/2006/relationships/hyperlink" Target="https://studio-gem.it/wp-admin/post.php?post=64995&amp;action=edit" TargetMode="External"/><Relationship Id="rId455" Type="http://schemas.openxmlformats.org/officeDocument/2006/relationships/hyperlink" Target="https://studio-gem.it/wp-admin/post.php?post=65756&amp;action=edit" TargetMode="External"/><Relationship Id="rId697" Type="http://schemas.openxmlformats.org/officeDocument/2006/relationships/hyperlink" Target="https://studio-gem.it/wp-admin/post.php?post=66591&amp;action=edit" TargetMode="External"/><Relationship Id="rId212" Type="http://schemas.openxmlformats.org/officeDocument/2006/relationships/hyperlink" Target="https://studio-gem.it/wp-admin/post.php?post=64990&amp;action=edit" TargetMode="External"/><Relationship Id="rId454" Type="http://schemas.openxmlformats.org/officeDocument/2006/relationships/hyperlink" Target="https://studio-gem.it/wp-admin/post.php?post=65755&amp;action=edit" TargetMode="External"/><Relationship Id="rId696" Type="http://schemas.openxmlformats.org/officeDocument/2006/relationships/hyperlink" Target="https://studio-gem.it/wp-admin/post.php?post=66589&amp;action=edit" TargetMode="External"/><Relationship Id="rId211" Type="http://schemas.openxmlformats.org/officeDocument/2006/relationships/hyperlink" Target="https://studio-gem.it/wp-admin/post.php?post=64987&amp;action=edit" TargetMode="External"/><Relationship Id="rId453" Type="http://schemas.openxmlformats.org/officeDocument/2006/relationships/hyperlink" Target="https://studio-gem.it/wp-admin/post.php?post=65753&amp;action=edit" TargetMode="External"/><Relationship Id="rId695" Type="http://schemas.openxmlformats.org/officeDocument/2006/relationships/hyperlink" Target="https://studio-gem.it/wp-admin/post.php?post=66587&amp;action=edit" TargetMode="External"/><Relationship Id="rId210" Type="http://schemas.openxmlformats.org/officeDocument/2006/relationships/hyperlink" Target="https://studio-gem.it/wp-admin/post.php?post=64985&amp;action=edit" TargetMode="External"/><Relationship Id="rId452" Type="http://schemas.openxmlformats.org/officeDocument/2006/relationships/hyperlink" Target="https://studio-gem.it/wp-admin/post.php?post=65742&amp;action=edit" TargetMode="External"/><Relationship Id="rId694" Type="http://schemas.openxmlformats.org/officeDocument/2006/relationships/hyperlink" Target="https://studio-gem.it/wp-admin/post.php?post=66586&amp;action=edit" TargetMode="External"/><Relationship Id="rId491" Type="http://schemas.openxmlformats.org/officeDocument/2006/relationships/hyperlink" Target="https://studio-gem.it/wp-admin/post.php?post=65836&amp;action=edit" TargetMode="External"/><Relationship Id="rId490" Type="http://schemas.openxmlformats.org/officeDocument/2006/relationships/hyperlink" Target="https://studio-gem.it/wp-admin/post.php?post=65835&amp;action=edit" TargetMode="External"/><Relationship Id="rId249" Type="http://schemas.openxmlformats.org/officeDocument/2006/relationships/hyperlink" Target="https://studio-gem.it/wp-admin/post.php?post=65085&amp;action=edit" TargetMode="External"/><Relationship Id="rId248" Type="http://schemas.openxmlformats.org/officeDocument/2006/relationships/hyperlink" Target="https://studio-gem.it/wp-admin/post.php?post=65085&amp;action=edit" TargetMode="External"/><Relationship Id="rId247" Type="http://schemas.openxmlformats.org/officeDocument/2006/relationships/hyperlink" Target="https://studio-gem.it/wp-admin/post.php?post=65083&amp;action=edit" TargetMode="External"/><Relationship Id="rId489" Type="http://schemas.openxmlformats.org/officeDocument/2006/relationships/hyperlink" Target="https://studio-gem.it/wp-admin/post.php?post=65834&amp;action=edit" TargetMode="External"/><Relationship Id="rId242" Type="http://schemas.openxmlformats.org/officeDocument/2006/relationships/hyperlink" Target="https://studio-gem.it/wp-admin/post.php?post=65073&amp;action=edit" TargetMode="External"/><Relationship Id="rId484" Type="http://schemas.openxmlformats.org/officeDocument/2006/relationships/hyperlink" Target="https://studio-gem.it/wp-admin/post.php?post=65820&amp;action=edit" TargetMode="External"/><Relationship Id="rId241" Type="http://schemas.openxmlformats.org/officeDocument/2006/relationships/hyperlink" Target="https://studio-gem.it/wp-admin/post.php?post=65070&amp;action=edit" TargetMode="External"/><Relationship Id="rId483" Type="http://schemas.openxmlformats.org/officeDocument/2006/relationships/hyperlink" Target="https://studio-gem.it/wp-admin/post.php?post=65819&amp;action=edit" TargetMode="External"/><Relationship Id="rId240" Type="http://schemas.openxmlformats.org/officeDocument/2006/relationships/hyperlink" Target="https://studio-gem.it/wp-admin/post.php?post=65072&amp;action=edit" TargetMode="External"/><Relationship Id="rId482" Type="http://schemas.openxmlformats.org/officeDocument/2006/relationships/hyperlink" Target="https://studio-gem.it/wp-admin/post.php?post=65818&amp;action=edit" TargetMode="External"/><Relationship Id="rId481" Type="http://schemas.openxmlformats.org/officeDocument/2006/relationships/hyperlink" Target="https://studio-gem.it/wp-admin/post.php?post=65816&amp;action=edit" TargetMode="External"/><Relationship Id="rId246" Type="http://schemas.openxmlformats.org/officeDocument/2006/relationships/hyperlink" Target="https://studio-gem.it/wp-admin/post.php?post=65081&amp;action=edit" TargetMode="External"/><Relationship Id="rId488" Type="http://schemas.openxmlformats.org/officeDocument/2006/relationships/hyperlink" Target="https://studio-gem.it/wp-admin/post.php?post=65833&amp;action=edit" TargetMode="External"/><Relationship Id="rId245" Type="http://schemas.openxmlformats.org/officeDocument/2006/relationships/hyperlink" Target="https://studio-gem.it/wp-admin/post.php?post=65076&amp;action=edit" TargetMode="External"/><Relationship Id="rId487" Type="http://schemas.openxmlformats.org/officeDocument/2006/relationships/hyperlink" Target="https://studio-gem.it/wp-admin/post.php?post=65827&amp;action=edit" TargetMode="External"/><Relationship Id="rId244" Type="http://schemas.openxmlformats.org/officeDocument/2006/relationships/hyperlink" Target="https://studio-gem.it/wp-admin/post.php?post=65076&amp;action=edit" TargetMode="External"/><Relationship Id="rId486" Type="http://schemas.openxmlformats.org/officeDocument/2006/relationships/hyperlink" Target="https://studio-gem.it/wp-admin/post.php?post=65825&amp;action=edit" TargetMode="External"/><Relationship Id="rId243" Type="http://schemas.openxmlformats.org/officeDocument/2006/relationships/hyperlink" Target="https://studio-gem.it/wp-admin/post.php?post=65076&amp;action=edit" TargetMode="External"/><Relationship Id="rId485" Type="http://schemas.openxmlformats.org/officeDocument/2006/relationships/hyperlink" Target="https://studio-gem.it/wp-admin/post.php?post=65823&amp;action=edit" TargetMode="External"/><Relationship Id="rId480" Type="http://schemas.openxmlformats.org/officeDocument/2006/relationships/hyperlink" Target="https://studio-gem.it/wp-admin/post.php?post=65809&amp;action=edit" TargetMode="External"/><Relationship Id="rId239" Type="http://schemas.openxmlformats.org/officeDocument/2006/relationships/hyperlink" Target="https://studio-gem.it/wp-admin/post.php?post=65071&amp;action=edit" TargetMode="External"/><Relationship Id="rId238" Type="http://schemas.openxmlformats.org/officeDocument/2006/relationships/hyperlink" Target="https://studio-gem.it/wp-admin/post.php?post=65070&amp;action=edit" TargetMode="External"/><Relationship Id="rId237" Type="http://schemas.openxmlformats.org/officeDocument/2006/relationships/hyperlink" Target="https://studio-gem.it/wp-admin/post.php?post=65070&amp;action=edit" TargetMode="External"/><Relationship Id="rId479" Type="http://schemas.openxmlformats.org/officeDocument/2006/relationships/hyperlink" Target="https://studio-gem.it/wp-admin/post.php?post=65807&amp;action=edit" TargetMode="External"/><Relationship Id="rId236" Type="http://schemas.openxmlformats.org/officeDocument/2006/relationships/hyperlink" Target="https://studio-gem.it/wp-admin/post.php?post=65067&amp;action=edit" TargetMode="External"/><Relationship Id="rId478" Type="http://schemas.openxmlformats.org/officeDocument/2006/relationships/hyperlink" Target="https://studio-gem.it/wp-admin/post.php?post=65806&amp;action=edit" TargetMode="External"/><Relationship Id="rId231" Type="http://schemas.openxmlformats.org/officeDocument/2006/relationships/hyperlink" Target="https://studio-gem.it/wp-admin/post.php?post=65060&amp;action=edit" TargetMode="External"/><Relationship Id="rId473" Type="http://schemas.openxmlformats.org/officeDocument/2006/relationships/hyperlink" Target="https://studio-gem.it/wp-admin/post.php?post=65792&amp;action=edit" TargetMode="External"/><Relationship Id="rId230" Type="http://schemas.openxmlformats.org/officeDocument/2006/relationships/hyperlink" Target="https://studio-gem.it/wp-admin/post.php?post=65060&amp;action=edit" TargetMode="External"/><Relationship Id="rId472" Type="http://schemas.openxmlformats.org/officeDocument/2006/relationships/hyperlink" Target="https://studio-gem.it/wp-admin/post.php?post=65790&amp;action=edit" TargetMode="External"/><Relationship Id="rId471" Type="http://schemas.openxmlformats.org/officeDocument/2006/relationships/hyperlink" Target="https://studio-gem.it/wp-admin/post.php?post=65788&amp;action=edit" TargetMode="External"/><Relationship Id="rId470" Type="http://schemas.openxmlformats.org/officeDocument/2006/relationships/hyperlink" Target="https://studio-gem.it/wp-admin/post.php?post=65786&amp;action=edit" TargetMode="External"/><Relationship Id="rId235" Type="http://schemas.openxmlformats.org/officeDocument/2006/relationships/hyperlink" Target="https://studio-gem.it/wp-admin/post.php?post=65066&amp;action=edit" TargetMode="External"/><Relationship Id="rId477" Type="http://schemas.openxmlformats.org/officeDocument/2006/relationships/hyperlink" Target="https://studio-gem.it/wp-admin/post.php?post=65803&amp;action=edit" TargetMode="External"/><Relationship Id="rId234" Type="http://schemas.openxmlformats.org/officeDocument/2006/relationships/hyperlink" Target="https://studio-gem.it/wp-admin/post.php?post=65064&amp;action=edit" TargetMode="External"/><Relationship Id="rId476" Type="http://schemas.openxmlformats.org/officeDocument/2006/relationships/hyperlink" Target="https://studio-gem.it/wp-admin/post.php?post=65800&amp;action=edit" TargetMode="External"/><Relationship Id="rId233" Type="http://schemas.openxmlformats.org/officeDocument/2006/relationships/hyperlink" Target="https://studio-gem.it/wp-admin/post.php?post=65062&amp;action=edit" TargetMode="External"/><Relationship Id="rId475" Type="http://schemas.openxmlformats.org/officeDocument/2006/relationships/hyperlink" Target="https://studio-gem.it/wp-admin/post.php?post=65797&amp;action=edit" TargetMode="External"/><Relationship Id="rId232" Type="http://schemas.openxmlformats.org/officeDocument/2006/relationships/hyperlink" Target="https://studio-gem.it/wp-admin/post.php?post=65062&amp;action=edit" TargetMode="External"/><Relationship Id="rId474" Type="http://schemas.openxmlformats.org/officeDocument/2006/relationships/hyperlink" Target="https://studio-gem.it/wp-admin/post.php?post=65794&amp;action=edit" TargetMode="External"/><Relationship Id="rId426" Type="http://schemas.openxmlformats.org/officeDocument/2006/relationships/hyperlink" Target="https://studio-gem.it/wp-admin/post.php?post=65669&amp;action=edit" TargetMode="External"/><Relationship Id="rId668" Type="http://schemas.openxmlformats.org/officeDocument/2006/relationships/hyperlink" Target="https://studio-gem.it/wp-admin/post.php?post=66504&amp;action=edit" TargetMode="External"/><Relationship Id="rId425" Type="http://schemas.openxmlformats.org/officeDocument/2006/relationships/hyperlink" Target="https://studio-gem.it/wp-admin/post.php?post=65641&amp;action=edit" TargetMode="External"/><Relationship Id="rId667" Type="http://schemas.openxmlformats.org/officeDocument/2006/relationships/hyperlink" Target="https://studio-gem.it/wp-admin/post.php?post=66501&amp;action=edit" TargetMode="External"/><Relationship Id="rId424" Type="http://schemas.openxmlformats.org/officeDocument/2006/relationships/hyperlink" Target="https://studio-gem.it/wp-admin/post.php?post=65641&amp;action=edit" TargetMode="External"/><Relationship Id="rId666" Type="http://schemas.openxmlformats.org/officeDocument/2006/relationships/hyperlink" Target="https://studio-gem.it/wp-admin/post.php?post=66499&amp;action=edit" TargetMode="External"/><Relationship Id="rId423" Type="http://schemas.openxmlformats.org/officeDocument/2006/relationships/hyperlink" Target="https://studio-gem.it/wp-admin/post.php?post=65640&amp;action=edit" TargetMode="External"/><Relationship Id="rId665" Type="http://schemas.openxmlformats.org/officeDocument/2006/relationships/hyperlink" Target="https://studio-gem.it/wp-admin/post.php?post=66496&amp;action=edit" TargetMode="External"/><Relationship Id="rId429" Type="http://schemas.openxmlformats.org/officeDocument/2006/relationships/hyperlink" Target="https://studio-gem.it/wp-admin/post.php?post=65673&amp;action=edit" TargetMode="External"/><Relationship Id="rId428" Type="http://schemas.openxmlformats.org/officeDocument/2006/relationships/hyperlink" Target="https://studio-gem.it/wp-admin/post.php?post=65671&amp;action=edit" TargetMode="External"/><Relationship Id="rId427" Type="http://schemas.openxmlformats.org/officeDocument/2006/relationships/hyperlink" Target="https://studio-gem.it/wp-admin/post.php?post=65671&amp;action=edit" TargetMode="External"/><Relationship Id="rId669" Type="http://schemas.openxmlformats.org/officeDocument/2006/relationships/hyperlink" Target="https://studio-gem.it/wp-admin/post.php?post=66531&amp;action=edit" TargetMode="External"/><Relationship Id="rId660" Type="http://schemas.openxmlformats.org/officeDocument/2006/relationships/hyperlink" Target="https://studio-gem.it/wp-admin/post.php?post=66472&amp;action=edit" TargetMode="External"/><Relationship Id="rId422" Type="http://schemas.openxmlformats.org/officeDocument/2006/relationships/hyperlink" Target="https://studio-gem.it/wp-admin/post.php?post=65640&amp;action=edit" TargetMode="External"/><Relationship Id="rId664" Type="http://schemas.openxmlformats.org/officeDocument/2006/relationships/hyperlink" Target="https://studio-gem.it/wp-admin/post.php?post=66495&amp;action=edit" TargetMode="External"/><Relationship Id="rId421" Type="http://schemas.openxmlformats.org/officeDocument/2006/relationships/hyperlink" Target="https://studio-gem.it/wp-admin/post.php?post=65566&amp;action=edit" TargetMode="External"/><Relationship Id="rId663" Type="http://schemas.openxmlformats.org/officeDocument/2006/relationships/hyperlink" Target="https://studio-gem.it/wp-admin/post.php?post=66493&amp;action=edit" TargetMode="External"/><Relationship Id="rId420" Type="http://schemas.openxmlformats.org/officeDocument/2006/relationships/hyperlink" Target="https://studio-gem.it/wp-admin/post.php?post=65550&amp;action=edit" TargetMode="External"/><Relationship Id="rId662" Type="http://schemas.openxmlformats.org/officeDocument/2006/relationships/hyperlink" Target="https://studio-gem.it/wp-admin/post.php?post=66474&amp;action=edit" TargetMode="External"/><Relationship Id="rId661" Type="http://schemas.openxmlformats.org/officeDocument/2006/relationships/hyperlink" Target="https://studio-gem.it/wp-admin/post.php?post=66473&amp;action=edit" TargetMode="External"/><Relationship Id="rId415" Type="http://schemas.openxmlformats.org/officeDocument/2006/relationships/hyperlink" Target="https://studio-gem.it/wp-admin/post.php?post=65514&amp;action=edit" TargetMode="External"/><Relationship Id="rId657" Type="http://schemas.openxmlformats.org/officeDocument/2006/relationships/hyperlink" Target="https://studio-gem.it/wp-admin/post.php?post=66464&amp;action=edit" TargetMode="External"/><Relationship Id="rId899" Type="http://schemas.openxmlformats.org/officeDocument/2006/relationships/hyperlink" Target="https://studio-gem.it/wp-admin/post.php?post=67698&amp;action=edit" TargetMode="External"/><Relationship Id="rId414" Type="http://schemas.openxmlformats.org/officeDocument/2006/relationships/hyperlink" Target="https://studio-gem.it/wp-admin/post.php?post=65511&amp;action=edit" TargetMode="External"/><Relationship Id="rId656" Type="http://schemas.openxmlformats.org/officeDocument/2006/relationships/hyperlink" Target="https://studio-gem.it/wp-admin/post.php?post=66462&amp;action=edit" TargetMode="External"/><Relationship Id="rId898" Type="http://schemas.openxmlformats.org/officeDocument/2006/relationships/hyperlink" Target="https://studio-gem.it/wp-admin/post.php?post=67689&amp;action=edit" TargetMode="External"/><Relationship Id="rId413" Type="http://schemas.openxmlformats.org/officeDocument/2006/relationships/hyperlink" Target="https://studio-gem.it/wp-admin/post.php?post=65507&amp;action=edit" TargetMode="External"/><Relationship Id="rId655" Type="http://schemas.openxmlformats.org/officeDocument/2006/relationships/hyperlink" Target="https://studio-gem.it/wp-admin/post.php?post=66460&amp;action=edit" TargetMode="External"/><Relationship Id="rId897" Type="http://schemas.openxmlformats.org/officeDocument/2006/relationships/hyperlink" Target="https://studio-gem.it/wp-admin/post.php?post=67671&amp;action=edit" TargetMode="External"/><Relationship Id="rId412" Type="http://schemas.openxmlformats.org/officeDocument/2006/relationships/hyperlink" Target="https://studio-gem.it/wp-admin/post.php?post=65505&amp;action=edit" TargetMode="External"/><Relationship Id="rId654" Type="http://schemas.openxmlformats.org/officeDocument/2006/relationships/hyperlink" Target="https://studio-gem.it/wp-admin/post.php?post=66458&amp;action=edit" TargetMode="External"/><Relationship Id="rId896" Type="http://schemas.openxmlformats.org/officeDocument/2006/relationships/hyperlink" Target="https://studio-gem.it/wp-admin/post.php?post=67621&amp;action=edit" TargetMode="External"/><Relationship Id="rId419" Type="http://schemas.openxmlformats.org/officeDocument/2006/relationships/hyperlink" Target="https://studio-gem.it/wp-admin/post.php?post=65548&amp;action=edit" TargetMode="External"/><Relationship Id="rId418" Type="http://schemas.openxmlformats.org/officeDocument/2006/relationships/hyperlink" Target="https://studio-gem.it/wp-admin/post.php?post=65546&amp;action=edit" TargetMode="External"/><Relationship Id="rId417" Type="http://schemas.openxmlformats.org/officeDocument/2006/relationships/hyperlink" Target="https://studio-gem.it/wp-admin/post.php?post=65519&amp;action=edit" TargetMode="External"/><Relationship Id="rId659" Type="http://schemas.openxmlformats.org/officeDocument/2006/relationships/hyperlink" Target="https://studio-gem.it/wp-admin/post.php?post=66470&amp;action=edit" TargetMode="External"/><Relationship Id="rId416" Type="http://schemas.openxmlformats.org/officeDocument/2006/relationships/hyperlink" Target="https://studio-gem.it/wp-admin/post.php?post=65516&amp;action=edit" TargetMode="External"/><Relationship Id="rId658" Type="http://schemas.openxmlformats.org/officeDocument/2006/relationships/hyperlink" Target="https://studio-gem.it/wp-admin/post.php?post=66466&amp;action=edit" TargetMode="External"/><Relationship Id="rId891" Type="http://schemas.openxmlformats.org/officeDocument/2006/relationships/hyperlink" Target="https://studio-gem.it/wp-admin/post.php?post=67573&amp;action=edit" TargetMode="External"/><Relationship Id="rId890" Type="http://schemas.openxmlformats.org/officeDocument/2006/relationships/hyperlink" Target="https://studio-gem.it/wp-admin/post.php?post=67573&amp;action=edit" TargetMode="External"/><Relationship Id="rId411" Type="http://schemas.openxmlformats.org/officeDocument/2006/relationships/hyperlink" Target="https://studio-gem.it/wp-admin/post.php?post=65503&amp;action=edit" TargetMode="External"/><Relationship Id="rId653" Type="http://schemas.openxmlformats.org/officeDocument/2006/relationships/hyperlink" Target="https://studio-gem.it/wp-admin/post.php?post=66456&amp;action=edit" TargetMode="External"/><Relationship Id="rId895" Type="http://schemas.openxmlformats.org/officeDocument/2006/relationships/hyperlink" Target="https://studio-gem.it/wp-admin/post.php?post=67620&amp;action=edit" TargetMode="External"/><Relationship Id="rId1000" Type="http://schemas.openxmlformats.org/officeDocument/2006/relationships/hyperlink" Target="https://studio-gem.it/wp-admin/post.php?post=68056&amp;action=edit" TargetMode="External"/><Relationship Id="rId410" Type="http://schemas.openxmlformats.org/officeDocument/2006/relationships/hyperlink" Target="https://studio-gem.it/wp-admin/post.php?post=65501&amp;action=edit" TargetMode="External"/><Relationship Id="rId652" Type="http://schemas.openxmlformats.org/officeDocument/2006/relationships/hyperlink" Target="https://studio-gem.it/wp-admin/post.php?post=66454&amp;action=edit" TargetMode="External"/><Relationship Id="rId894" Type="http://schemas.openxmlformats.org/officeDocument/2006/relationships/hyperlink" Target="https://studio-gem.it/wp-admin/post.php?post=67612&amp;action=edit" TargetMode="External"/><Relationship Id="rId1001" Type="http://schemas.openxmlformats.org/officeDocument/2006/relationships/hyperlink" Target="https://studio-gem.it/wp-admin/post.php?post=68058&amp;action=edit" TargetMode="External"/><Relationship Id="rId651" Type="http://schemas.openxmlformats.org/officeDocument/2006/relationships/hyperlink" Target="https://studio-gem.it/wp-admin/post.php?post=66452&amp;action=edit" TargetMode="External"/><Relationship Id="rId893" Type="http://schemas.openxmlformats.org/officeDocument/2006/relationships/hyperlink" Target="https://studio-gem.it/wp-admin/post.php?post=67581&amp;action=edit" TargetMode="External"/><Relationship Id="rId1002" Type="http://schemas.openxmlformats.org/officeDocument/2006/relationships/drawing" Target="../drawings/drawing27.xml"/><Relationship Id="rId650" Type="http://schemas.openxmlformats.org/officeDocument/2006/relationships/hyperlink" Target="https://studio-gem.it/wp-admin/post.php?post=66447&amp;action=edit" TargetMode="External"/><Relationship Id="rId892" Type="http://schemas.openxmlformats.org/officeDocument/2006/relationships/hyperlink" Target="https://studio-gem.it/wp-admin/post.php?post=67581&amp;action=edit" TargetMode="External"/><Relationship Id="rId1003" Type="http://schemas.openxmlformats.org/officeDocument/2006/relationships/vmlDrawing" Target="../drawings/vmlDrawing23.vml"/><Relationship Id="rId206" Type="http://schemas.openxmlformats.org/officeDocument/2006/relationships/hyperlink" Target="https://studio-gem.it/wp-admin/post.php?post=64975&amp;action=edit" TargetMode="External"/><Relationship Id="rId448" Type="http://schemas.openxmlformats.org/officeDocument/2006/relationships/hyperlink" Target="https://studio-gem.it/wp-admin/post.php?post=65712&amp;action=edit" TargetMode="External"/><Relationship Id="rId205" Type="http://schemas.openxmlformats.org/officeDocument/2006/relationships/hyperlink" Target="https://studio-gem.it/wp-admin/post.php?post=64965&amp;action=edit" TargetMode="External"/><Relationship Id="rId447" Type="http://schemas.openxmlformats.org/officeDocument/2006/relationships/hyperlink" Target="https://studio-gem.it/wp-admin/post.php?post=65710&amp;action=edit" TargetMode="External"/><Relationship Id="rId689" Type="http://schemas.openxmlformats.org/officeDocument/2006/relationships/hyperlink" Target="https://studio-gem.it/wp-admin/post.php?post=66577&amp;action=edit" TargetMode="External"/><Relationship Id="rId204" Type="http://schemas.openxmlformats.org/officeDocument/2006/relationships/hyperlink" Target="https://studio-gem.it/wp-admin/post.php?post=64963&amp;action=edit" TargetMode="External"/><Relationship Id="rId446" Type="http://schemas.openxmlformats.org/officeDocument/2006/relationships/hyperlink" Target="https://studio-gem.it/wp-admin/post.php?post=65707&amp;action=edit" TargetMode="External"/><Relationship Id="rId688" Type="http://schemas.openxmlformats.org/officeDocument/2006/relationships/hyperlink" Target="https://studio-gem.it/wp-admin/post.php?post=66575&amp;action=edit" TargetMode="External"/><Relationship Id="rId203" Type="http://schemas.openxmlformats.org/officeDocument/2006/relationships/hyperlink" Target="https://studio-gem.it/wp-admin/post.php?post=64961&amp;action=edit" TargetMode="External"/><Relationship Id="rId445" Type="http://schemas.openxmlformats.org/officeDocument/2006/relationships/hyperlink" Target="https://studio-gem.it/wp-admin/post.php?post=65707&amp;action=edit" TargetMode="External"/><Relationship Id="rId687" Type="http://schemas.openxmlformats.org/officeDocument/2006/relationships/hyperlink" Target="https://studio-gem.it/wp-admin/post.php?post=66573&amp;action=edit" TargetMode="External"/><Relationship Id="rId209" Type="http://schemas.openxmlformats.org/officeDocument/2006/relationships/hyperlink" Target="https://studio-gem.it/wp-admin/post.php?post=64981&amp;action=edit" TargetMode="External"/><Relationship Id="rId208" Type="http://schemas.openxmlformats.org/officeDocument/2006/relationships/hyperlink" Target="https://studio-gem.it/wp-admin/post.php?post=64979&amp;action=edit" TargetMode="External"/><Relationship Id="rId207" Type="http://schemas.openxmlformats.org/officeDocument/2006/relationships/hyperlink" Target="https://studio-gem.it/wp-admin/post.php?post=64977&amp;action=edit" TargetMode="External"/><Relationship Id="rId449" Type="http://schemas.openxmlformats.org/officeDocument/2006/relationships/hyperlink" Target="https://studio-gem.it/wp-admin/post.php?post=65714&amp;action=edit" TargetMode="External"/><Relationship Id="rId440" Type="http://schemas.openxmlformats.org/officeDocument/2006/relationships/hyperlink" Target="https://studio-gem.it/wp-admin/post.php?post=65705&amp;action=edit" TargetMode="External"/><Relationship Id="rId682" Type="http://schemas.openxmlformats.org/officeDocument/2006/relationships/hyperlink" Target="https://studio-gem.it/wp-admin/post.php?post=66564&amp;action=edit" TargetMode="External"/><Relationship Id="rId681" Type="http://schemas.openxmlformats.org/officeDocument/2006/relationships/hyperlink" Target="https://studio-gem.it/wp-admin/post.php?post=66562&amp;action=edit" TargetMode="External"/><Relationship Id="rId680" Type="http://schemas.openxmlformats.org/officeDocument/2006/relationships/hyperlink" Target="https://studio-gem.it/wp-admin/post.php?post=66561&amp;action=edit" TargetMode="External"/><Relationship Id="rId202" Type="http://schemas.openxmlformats.org/officeDocument/2006/relationships/hyperlink" Target="https://studio-gem.it/wp-admin/post.php?post=64960&amp;action=edit" TargetMode="External"/><Relationship Id="rId444" Type="http://schemas.openxmlformats.org/officeDocument/2006/relationships/hyperlink" Target="https://studio-gem.it/wp-admin/post.php?post=65706&amp;action=edit" TargetMode="External"/><Relationship Id="rId686" Type="http://schemas.openxmlformats.org/officeDocument/2006/relationships/hyperlink" Target="https://studio-gem.it/wp-admin/post.php?post=66571&amp;action=edit" TargetMode="External"/><Relationship Id="rId201" Type="http://schemas.openxmlformats.org/officeDocument/2006/relationships/hyperlink" Target="https://studio-gem.it/wp-admin/post.php?post=64958&amp;action=edit" TargetMode="External"/><Relationship Id="rId443" Type="http://schemas.openxmlformats.org/officeDocument/2006/relationships/hyperlink" Target="https://studio-gem.it/wp-admin/post.php?post=65706&amp;action=edit" TargetMode="External"/><Relationship Id="rId685" Type="http://schemas.openxmlformats.org/officeDocument/2006/relationships/hyperlink" Target="https://studio-gem.it/wp-admin/post.php?post=66570&amp;action=edit" TargetMode="External"/><Relationship Id="rId200" Type="http://schemas.openxmlformats.org/officeDocument/2006/relationships/hyperlink" Target="https://studio-gem.it/wp-admin/post.php?post=64956&amp;action=edit" TargetMode="External"/><Relationship Id="rId442" Type="http://schemas.openxmlformats.org/officeDocument/2006/relationships/hyperlink" Target="https://studio-gem.it/wp-admin/post.php?post=65706&amp;action=edit" TargetMode="External"/><Relationship Id="rId684" Type="http://schemas.openxmlformats.org/officeDocument/2006/relationships/hyperlink" Target="https://studio-gem.it/wp-admin/post.php?post=66568&amp;action=edit" TargetMode="External"/><Relationship Id="rId441" Type="http://schemas.openxmlformats.org/officeDocument/2006/relationships/hyperlink" Target="https://studio-gem.it/wp-admin/post.php?post=65705&amp;action=edit" TargetMode="External"/><Relationship Id="rId683" Type="http://schemas.openxmlformats.org/officeDocument/2006/relationships/hyperlink" Target="https://studio-gem.it/wp-admin/post.php?post=66567&amp;action=edit" TargetMode="External"/><Relationship Id="rId437" Type="http://schemas.openxmlformats.org/officeDocument/2006/relationships/hyperlink" Target="https://studio-gem.it/wp-admin/post.php?post=65700&amp;action=edit" TargetMode="External"/><Relationship Id="rId679" Type="http://schemas.openxmlformats.org/officeDocument/2006/relationships/hyperlink" Target="https://studio-gem.it/wp-admin/post.php?post=66561&amp;action=edit" TargetMode="External"/><Relationship Id="rId436" Type="http://schemas.openxmlformats.org/officeDocument/2006/relationships/hyperlink" Target="https://studio-gem.it/wp-admin/post.php?post=65699&amp;action=edit" TargetMode="External"/><Relationship Id="rId678" Type="http://schemas.openxmlformats.org/officeDocument/2006/relationships/hyperlink" Target="https://studio-gem.it/wp-admin/post.php?post=66561&amp;action=edit" TargetMode="External"/><Relationship Id="rId435" Type="http://schemas.openxmlformats.org/officeDocument/2006/relationships/hyperlink" Target="https://studio-gem.it/wp-admin/post.php?post=65698&amp;action=edit" TargetMode="External"/><Relationship Id="rId677" Type="http://schemas.openxmlformats.org/officeDocument/2006/relationships/hyperlink" Target="https://studio-gem.it/wp-admin/post.php?post=66561&amp;action=edit" TargetMode="External"/><Relationship Id="rId434" Type="http://schemas.openxmlformats.org/officeDocument/2006/relationships/hyperlink" Target="https://studio-gem.it/wp-admin/post.php?post=65696&amp;action=edit" TargetMode="External"/><Relationship Id="rId676" Type="http://schemas.openxmlformats.org/officeDocument/2006/relationships/hyperlink" Target="https://studio-gem.it/wp-admin/post.php?post=66561&amp;action=edit" TargetMode="External"/><Relationship Id="rId439" Type="http://schemas.openxmlformats.org/officeDocument/2006/relationships/hyperlink" Target="https://studio-gem.it/wp-admin/post.php?post=65705&amp;action=edit" TargetMode="External"/><Relationship Id="rId438" Type="http://schemas.openxmlformats.org/officeDocument/2006/relationships/hyperlink" Target="https://studio-gem.it/wp-admin/post.php?post=65702&amp;action=edit" TargetMode="External"/><Relationship Id="rId671" Type="http://schemas.openxmlformats.org/officeDocument/2006/relationships/hyperlink" Target="https://studio-gem.it/wp-admin/post.php?post=66552&amp;action=edit" TargetMode="External"/><Relationship Id="rId670" Type="http://schemas.openxmlformats.org/officeDocument/2006/relationships/hyperlink" Target="https://studio-gem.it/wp-admin/post.php?post=66532&amp;action=edit" TargetMode="External"/><Relationship Id="rId433" Type="http://schemas.openxmlformats.org/officeDocument/2006/relationships/hyperlink" Target="https://studio-gem.it/wp-admin/post.php?post=65692&amp;action=edit" TargetMode="External"/><Relationship Id="rId675" Type="http://schemas.openxmlformats.org/officeDocument/2006/relationships/hyperlink" Target="https://studio-gem.it/wp-admin/post.php?post=66561&amp;action=edit" TargetMode="External"/><Relationship Id="rId432" Type="http://schemas.openxmlformats.org/officeDocument/2006/relationships/hyperlink" Target="https://studio-gem.it/wp-admin/post.php?post=65690&amp;action=edit" TargetMode="External"/><Relationship Id="rId674" Type="http://schemas.openxmlformats.org/officeDocument/2006/relationships/hyperlink" Target="https://studio-gem.it/wp-admin/post.php?post=66561&amp;action=edit" TargetMode="External"/><Relationship Id="rId431" Type="http://schemas.openxmlformats.org/officeDocument/2006/relationships/hyperlink" Target="https://studio-gem.it/wp-admin/post.php?post=65676&amp;action=edit" TargetMode="External"/><Relationship Id="rId673" Type="http://schemas.openxmlformats.org/officeDocument/2006/relationships/hyperlink" Target="https://studio-gem.it/wp-admin/post.php?post=66557&amp;action=edit" TargetMode="External"/><Relationship Id="rId430" Type="http://schemas.openxmlformats.org/officeDocument/2006/relationships/hyperlink" Target="https://studio-gem.it/wp-admin/post.php?post=65675&amp;action=edit" TargetMode="External"/><Relationship Id="rId672" Type="http://schemas.openxmlformats.org/officeDocument/2006/relationships/hyperlink" Target="https://studio-gem.it/wp-admin/post.php?post=66555&amp;action=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2" width="21.63"/>
    <col collapsed="1" min="12" max="12" width="12.63"/>
    <col hidden="1" min="13" max="14" width="12.63" outlineLevel="1"/>
    <col collapsed="1" min="18" max="18" width="12.63"/>
    <col hidden="1" min="19" max="29" width="12.63" outlineLevel="1"/>
  </cols>
  <sheetData>
    <row r="1">
      <c r="A1" s="1"/>
      <c r="B1" s="2"/>
      <c r="C1" s="3" t="s">
        <v>0</v>
      </c>
      <c r="E1" s="4" t="s">
        <v>1</v>
      </c>
      <c r="G1" s="5" t="s">
        <v>2</v>
      </c>
      <c r="I1" s="6" t="s">
        <v>3</v>
      </c>
      <c r="K1" s="7" t="s">
        <v>4</v>
      </c>
      <c r="M1" s="8" t="s">
        <v>5</v>
      </c>
      <c r="O1" s="9" t="s">
        <v>6</v>
      </c>
      <c r="P1" s="10" t="s">
        <v>7</v>
      </c>
      <c r="Q1" s="11" t="s">
        <v>8</v>
      </c>
      <c r="R1" s="12" t="s">
        <v>9</v>
      </c>
      <c r="S1" s="13" t="s">
        <v>10</v>
      </c>
      <c r="T1" s="14" t="s">
        <v>5</v>
      </c>
      <c r="U1" s="14" t="s">
        <v>11</v>
      </c>
      <c r="V1" s="14" t="s">
        <v>12</v>
      </c>
      <c r="W1" s="14" t="s">
        <v>13</v>
      </c>
      <c r="X1" s="14" t="s">
        <v>14</v>
      </c>
      <c r="Y1" s="14" t="s">
        <v>15</v>
      </c>
      <c r="Z1" s="14" t="s">
        <v>5</v>
      </c>
      <c r="AA1" s="14" t="s">
        <v>5</v>
      </c>
      <c r="AB1" s="14" t="s">
        <v>5</v>
      </c>
      <c r="AC1" s="14" t="s">
        <v>5</v>
      </c>
      <c r="AD1" s="15"/>
      <c r="AE1" s="15"/>
    </row>
    <row r="2">
      <c r="A2" s="16" t="s">
        <v>16</v>
      </c>
      <c r="B2" s="17" t="s">
        <v>17</v>
      </c>
      <c r="C2" s="18" t="s">
        <v>18</v>
      </c>
      <c r="D2" s="18" t="s">
        <v>19</v>
      </c>
      <c r="E2" s="19" t="s">
        <v>18</v>
      </c>
      <c r="F2" s="19" t="s">
        <v>19</v>
      </c>
      <c r="G2" s="20" t="s">
        <v>18</v>
      </c>
      <c r="H2" s="20" t="s">
        <v>19</v>
      </c>
      <c r="I2" s="21" t="s">
        <v>18</v>
      </c>
      <c r="J2" s="21" t="s">
        <v>19</v>
      </c>
      <c r="K2" s="22" t="s">
        <v>18</v>
      </c>
      <c r="L2" s="22" t="s">
        <v>19</v>
      </c>
      <c r="M2" s="23" t="s">
        <v>18</v>
      </c>
      <c r="N2" s="23" t="s">
        <v>19</v>
      </c>
      <c r="O2" s="24" t="s">
        <v>19</v>
      </c>
      <c r="P2" s="25" t="s">
        <v>19</v>
      </c>
      <c r="Q2" s="26" t="s">
        <v>19</v>
      </c>
      <c r="R2" s="27" t="s">
        <v>19</v>
      </c>
      <c r="S2" s="28" t="s">
        <v>19</v>
      </c>
      <c r="T2" s="29" t="s">
        <v>19</v>
      </c>
      <c r="U2" s="29" t="s">
        <v>19</v>
      </c>
      <c r="V2" s="29" t="s">
        <v>19</v>
      </c>
      <c r="W2" s="29" t="s">
        <v>19</v>
      </c>
      <c r="X2" s="29" t="s">
        <v>19</v>
      </c>
      <c r="Y2" s="29" t="s">
        <v>19</v>
      </c>
      <c r="Z2" s="29" t="s">
        <v>19</v>
      </c>
      <c r="AA2" s="29" t="s">
        <v>19</v>
      </c>
      <c r="AB2" s="29" t="s">
        <v>19</v>
      </c>
      <c r="AC2" s="29" t="s">
        <v>19</v>
      </c>
      <c r="AD2" s="30" t="s">
        <v>20</v>
      </c>
      <c r="AE2" s="30" t="s">
        <v>21</v>
      </c>
    </row>
    <row r="3">
      <c r="A3" s="31">
        <v>45949.0</v>
      </c>
      <c r="B3" s="32" t="s">
        <v>22</v>
      </c>
      <c r="C3" s="33">
        <f t="shared" ref="C3:C25" si="2">COUNTIF(INDIRECT("'"&amp;$B3&amp;"'!$B:$B"),"*"&amp;C$1&amp;"*")-
COUNTIFS(INDIRECT("'"&amp;$B3&amp;"'!$B:$B"),"*"&amp;C$1&amp;"*",INDIRECT("'"&amp;$B3&amp;"'!$L:$L"),"*")</f>
        <v>1</v>
      </c>
      <c r="D3" s="33">
        <f t="shared" ref="D3:D25" si="3">COUNTIF(INDIRECT("'"&amp;$B3&amp;"'!$L:$L"),"*"&amp;C$1&amp;"*")</f>
        <v>4</v>
      </c>
      <c r="E3" s="34">
        <f t="shared" ref="E3:E25" si="4">COUNTIF(INDIRECT("'"&amp;$B3&amp;"'!$B:$B"),"*"&amp;E$1&amp;"*")-
COUNTIFS(INDIRECT("'"&amp;$B3&amp;"'!$B:$B"),"*"&amp;E$1&amp;"*",INDIRECT("'"&amp;$B3&amp;"'!$L:$L"),"*")</f>
        <v>0</v>
      </c>
      <c r="F3" s="34">
        <f t="shared" ref="F3:F25" si="5">COUNTIF(INDIRECT("'"&amp;$B3&amp;"'!$L:$L"),"*"&amp;E$1&amp;"*")</f>
        <v>4</v>
      </c>
      <c r="G3" s="35">
        <f t="shared" ref="G3:G25" si="6">COUNTIF(INDIRECT("'"&amp;$B3&amp;"'!$B:$B"),"*"&amp;G$1&amp;"*")-
COUNTIFS(INDIRECT("'"&amp;$B3&amp;"'!$B:$B"),"*"&amp;G$1&amp;"*",INDIRECT("'"&amp;$B3&amp;"'!$L:$L"),"*")</f>
        <v>0</v>
      </c>
      <c r="H3" s="35">
        <f t="shared" ref="H3:H25" si="7">COUNTIF(INDIRECT("'"&amp;$B3&amp;"'!$L:$L"),"*"&amp;G$1&amp;"*")</f>
        <v>0</v>
      </c>
      <c r="I3" s="36">
        <f t="shared" ref="I3:I25" si="8">COUNTIF(INDIRECT("'"&amp;$B3&amp;"'!$B:$B"),"*"&amp;I$1&amp;"*")-
COUNTIFS(INDIRECT("'"&amp;$B3&amp;"'!$B:$B"),"*"&amp;I$1&amp;"*",INDIRECT("'"&amp;$B3&amp;"'!$L:$L"),"*")</f>
        <v>1</v>
      </c>
      <c r="J3" s="36">
        <f t="shared" ref="J3:J25" si="9">COUNTIF(INDIRECT("'"&amp;$B3&amp;"'!$L:$L"),"*"&amp;I$1&amp;"*")</f>
        <v>8</v>
      </c>
      <c r="K3" s="37">
        <f t="shared" ref="K3:K25" si="10">COUNTIF(INDIRECT("'"&amp;$B3&amp;"'!$B:$B"),"*"&amp;K$1&amp;"*")-
COUNTIFS(INDIRECT("'"&amp;$B3&amp;"'!$B:$B"),"*"&amp;K$1&amp;"*",INDIRECT("'"&amp;$B3&amp;"'!$L:$L"),"*")</f>
        <v>0</v>
      </c>
      <c r="L3" s="37">
        <f t="shared" ref="L3:L25" si="11">COUNTIF(INDIRECT("'"&amp;$B3&amp;"'!$L:$L"),"*"&amp;K$1&amp;"*")</f>
        <v>0</v>
      </c>
      <c r="M3" s="38">
        <f t="shared" ref="M3:M25" si="12">COUNTIF(INDIRECT("'"&amp;$B3&amp;"'!$B:$B"),"*"&amp;M$1&amp;"*")-
COUNTIFS(INDIRECT("'"&amp;$B3&amp;"'!$B:$B"),"*"&amp;M$1&amp;"*",INDIRECT("'"&amp;$B3&amp;"'!$L:$L"),"*")</f>
        <v>0</v>
      </c>
      <c r="N3" s="38">
        <f t="shared" ref="N3:N25" si="13">COUNTIF(INDIRECT("'"&amp;$B3&amp;"'!$L:$L"),"*"&amp;M$1&amp;"*")</f>
        <v>0</v>
      </c>
      <c r="O3" s="39">
        <f t="shared" ref="O3:AC3" si="1">COUNTIF(INDIRECT("'"&amp;$B3&amp;"'!$L:$L"),"*"&amp;O$1&amp;"*")</f>
        <v>0</v>
      </c>
      <c r="P3" s="40">
        <f t="shared" si="1"/>
        <v>1</v>
      </c>
      <c r="Q3" s="41">
        <f t="shared" si="1"/>
        <v>0</v>
      </c>
      <c r="R3" s="42">
        <f t="shared" si="1"/>
        <v>0</v>
      </c>
      <c r="S3" s="43">
        <f t="shared" si="1"/>
        <v>0</v>
      </c>
      <c r="T3" s="44">
        <f t="shared" si="1"/>
        <v>0</v>
      </c>
      <c r="U3" s="44">
        <f t="shared" si="1"/>
        <v>0</v>
      </c>
      <c r="V3" s="44">
        <f t="shared" si="1"/>
        <v>0</v>
      </c>
      <c r="W3" s="44">
        <f t="shared" si="1"/>
        <v>0</v>
      </c>
      <c r="X3" s="44">
        <f t="shared" si="1"/>
        <v>0</v>
      </c>
      <c r="Y3" s="44">
        <f t="shared" si="1"/>
        <v>0</v>
      </c>
      <c r="Z3" s="44">
        <f t="shared" si="1"/>
        <v>0</v>
      </c>
      <c r="AA3" s="44">
        <f t="shared" si="1"/>
        <v>0</v>
      </c>
      <c r="AB3" s="44">
        <f t="shared" si="1"/>
        <v>0</v>
      </c>
      <c r="AC3" s="44">
        <f t="shared" si="1"/>
        <v>0</v>
      </c>
      <c r="AD3" s="45">
        <f t="shared" ref="AD3:AD25" si="15">SUM(C3:AC3)</f>
        <v>19</v>
      </c>
      <c r="AE3" s="46">
        <f t="shared" ref="AE3:AE25" si="16">AD3*1</f>
        <v>19</v>
      </c>
    </row>
    <row r="4">
      <c r="A4" s="31">
        <v>45956.0</v>
      </c>
      <c r="B4" s="32" t="s">
        <v>23</v>
      </c>
      <c r="C4" s="33">
        <f t="shared" si="2"/>
        <v>3</v>
      </c>
      <c r="D4" s="33">
        <f t="shared" si="3"/>
        <v>2</v>
      </c>
      <c r="E4" s="34">
        <f t="shared" si="4"/>
        <v>0</v>
      </c>
      <c r="F4" s="34">
        <f t="shared" si="5"/>
        <v>5</v>
      </c>
      <c r="G4" s="35">
        <f t="shared" si="6"/>
        <v>0</v>
      </c>
      <c r="H4" s="35">
        <f t="shared" si="7"/>
        <v>2</v>
      </c>
      <c r="I4" s="36">
        <f t="shared" si="8"/>
        <v>0</v>
      </c>
      <c r="J4" s="36">
        <f t="shared" si="9"/>
        <v>4</v>
      </c>
      <c r="K4" s="37">
        <f t="shared" si="10"/>
        <v>0</v>
      </c>
      <c r="L4" s="37">
        <f t="shared" si="11"/>
        <v>0</v>
      </c>
      <c r="M4" s="38">
        <f t="shared" si="12"/>
        <v>0</v>
      </c>
      <c r="N4" s="38">
        <f t="shared" si="13"/>
        <v>0</v>
      </c>
      <c r="O4" s="39">
        <f t="shared" ref="O4:AC4" si="14">COUNTIF(INDIRECT("'"&amp;$B4&amp;"'!$L:$L"),"*"&amp;O$1&amp;"*")</f>
        <v>0</v>
      </c>
      <c r="P4" s="40">
        <f t="shared" si="14"/>
        <v>2</v>
      </c>
      <c r="Q4" s="41">
        <f t="shared" si="14"/>
        <v>0</v>
      </c>
      <c r="R4" s="42">
        <f t="shared" si="14"/>
        <v>0</v>
      </c>
      <c r="S4" s="43">
        <f t="shared" si="14"/>
        <v>0</v>
      </c>
      <c r="T4" s="44">
        <f t="shared" si="14"/>
        <v>0</v>
      </c>
      <c r="U4" s="44">
        <f t="shared" si="14"/>
        <v>0</v>
      </c>
      <c r="V4" s="44">
        <f t="shared" si="14"/>
        <v>0</v>
      </c>
      <c r="W4" s="44">
        <f t="shared" si="14"/>
        <v>0</v>
      </c>
      <c r="X4" s="44">
        <f t="shared" si="14"/>
        <v>0</v>
      </c>
      <c r="Y4" s="44">
        <f t="shared" si="14"/>
        <v>0</v>
      </c>
      <c r="Z4" s="44">
        <f t="shared" si="14"/>
        <v>0</v>
      </c>
      <c r="AA4" s="44">
        <f t="shared" si="14"/>
        <v>0</v>
      </c>
      <c r="AB4" s="44">
        <f t="shared" si="14"/>
        <v>0</v>
      </c>
      <c r="AC4" s="44">
        <f t="shared" si="14"/>
        <v>0</v>
      </c>
      <c r="AD4" s="45">
        <f t="shared" si="15"/>
        <v>18</v>
      </c>
      <c r="AE4" s="46">
        <f t="shared" si="16"/>
        <v>18</v>
      </c>
    </row>
    <row r="5">
      <c r="A5" s="31">
        <v>45956.0</v>
      </c>
      <c r="B5" s="32" t="s">
        <v>24</v>
      </c>
      <c r="C5" s="33">
        <f t="shared" si="2"/>
        <v>0</v>
      </c>
      <c r="D5" s="33">
        <f t="shared" si="3"/>
        <v>1</v>
      </c>
      <c r="E5" s="34">
        <f t="shared" si="4"/>
        <v>0</v>
      </c>
      <c r="F5" s="34">
        <f t="shared" si="5"/>
        <v>4</v>
      </c>
      <c r="G5" s="35">
        <f t="shared" si="6"/>
        <v>0</v>
      </c>
      <c r="H5" s="35">
        <f t="shared" si="7"/>
        <v>0</v>
      </c>
      <c r="I5" s="36">
        <f t="shared" si="8"/>
        <v>0</v>
      </c>
      <c r="J5" s="36">
        <f t="shared" si="9"/>
        <v>3</v>
      </c>
      <c r="K5" s="37">
        <f t="shared" si="10"/>
        <v>0</v>
      </c>
      <c r="L5" s="37">
        <f t="shared" si="11"/>
        <v>4</v>
      </c>
      <c r="M5" s="38">
        <f t="shared" si="12"/>
        <v>0</v>
      </c>
      <c r="N5" s="38">
        <f t="shared" si="13"/>
        <v>0</v>
      </c>
      <c r="O5" s="39">
        <f t="shared" ref="O5:AC5" si="17">COUNTIF(INDIRECT("'"&amp;$B5&amp;"'!$L:$L"),"*"&amp;O$1&amp;"*")</f>
        <v>0</v>
      </c>
      <c r="P5" s="40">
        <f t="shared" si="17"/>
        <v>0</v>
      </c>
      <c r="Q5" s="41">
        <f t="shared" si="17"/>
        <v>0</v>
      </c>
      <c r="R5" s="42">
        <f t="shared" si="17"/>
        <v>0</v>
      </c>
      <c r="S5" s="43">
        <f t="shared" si="17"/>
        <v>0</v>
      </c>
      <c r="T5" s="44">
        <f t="shared" si="17"/>
        <v>0</v>
      </c>
      <c r="U5" s="44">
        <f t="shared" si="17"/>
        <v>0</v>
      </c>
      <c r="V5" s="44">
        <f t="shared" si="17"/>
        <v>0</v>
      </c>
      <c r="W5" s="44">
        <f t="shared" si="17"/>
        <v>0</v>
      </c>
      <c r="X5" s="44">
        <f t="shared" si="17"/>
        <v>0</v>
      </c>
      <c r="Y5" s="44">
        <f t="shared" si="17"/>
        <v>0</v>
      </c>
      <c r="Z5" s="44">
        <f t="shared" si="17"/>
        <v>0</v>
      </c>
      <c r="AA5" s="44">
        <f t="shared" si="17"/>
        <v>0</v>
      </c>
      <c r="AB5" s="44">
        <f t="shared" si="17"/>
        <v>0</v>
      </c>
      <c r="AC5" s="44">
        <f t="shared" si="17"/>
        <v>0</v>
      </c>
      <c r="AD5" s="45">
        <f t="shared" si="15"/>
        <v>12</v>
      </c>
      <c r="AE5" s="46">
        <f t="shared" si="16"/>
        <v>12</v>
      </c>
    </row>
    <row r="6">
      <c r="A6" s="31">
        <v>45970.0</v>
      </c>
      <c r="B6" s="32" t="s">
        <v>25</v>
      </c>
      <c r="C6" s="33">
        <f t="shared" si="2"/>
        <v>0</v>
      </c>
      <c r="D6" s="33">
        <f t="shared" si="3"/>
        <v>1</v>
      </c>
      <c r="E6" s="34">
        <f t="shared" si="4"/>
        <v>0</v>
      </c>
      <c r="F6" s="34">
        <f t="shared" si="5"/>
        <v>2</v>
      </c>
      <c r="G6" s="35">
        <f t="shared" si="6"/>
        <v>0</v>
      </c>
      <c r="H6" s="35">
        <f t="shared" si="7"/>
        <v>0</v>
      </c>
      <c r="I6" s="36">
        <f t="shared" si="8"/>
        <v>2</v>
      </c>
      <c r="J6" s="36">
        <f t="shared" si="9"/>
        <v>4</v>
      </c>
      <c r="K6" s="37">
        <f t="shared" si="10"/>
        <v>0</v>
      </c>
      <c r="L6" s="37">
        <f t="shared" si="11"/>
        <v>1</v>
      </c>
      <c r="M6" s="38">
        <f t="shared" si="12"/>
        <v>0</v>
      </c>
      <c r="N6" s="38">
        <f t="shared" si="13"/>
        <v>0</v>
      </c>
      <c r="O6" s="39">
        <f t="shared" ref="O6:AC6" si="18">COUNTIF(INDIRECT("'"&amp;$B6&amp;"'!$L:$L"),"*"&amp;O$1&amp;"*")</f>
        <v>0</v>
      </c>
      <c r="P6" s="40">
        <f t="shared" si="18"/>
        <v>1</v>
      </c>
      <c r="Q6" s="41">
        <f t="shared" si="18"/>
        <v>0</v>
      </c>
      <c r="R6" s="42">
        <f t="shared" si="18"/>
        <v>0</v>
      </c>
      <c r="S6" s="43">
        <f t="shared" si="18"/>
        <v>0</v>
      </c>
      <c r="T6" s="44">
        <f t="shared" si="18"/>
        <v>0</v>
      </c>
      <c r="U6" s="44">
        <f t="shared" si="18"/>
        <v>0</v>
      </c>
      <c r="V6" s="44">
        <f t="shared" si="18"/>
        <v>0</v>
      </c>
      <c r="W6" s="44">
        <f t="shared" si="18"/>
        <v>0</v>
      </c>
      <c r="X6" s="44">
        <f t="shared" si="18"/>
        <v>0</v>
      </c>
      <c r="Y6" s="44">
        <f t="shared" si="18"/>
        <v>0</v>
      </c>
      <c r="Z6" s="44">
        <f t="shared" si="18"/>
        <v>0</v>
      </c>
      <c r="AA6" s="44">
        <f t="shared" si="18"/>
        <v>0</v>
      </c>
      <c r="AB6" s="44">
        <f t="shared" si="18"/>
        <v>0</v>
      </c>
      <c r="AC6" s="44">
        <f t="shared" si="18"/>
        <v>0</v>
      </c>
      <c r="AD6" s="45">
        <f t="shared" si="15"/>
        <v>11</v>
      </c>
      <c r="AE6" s="46">
        <f t="shared" si="16"/>
        <v>11</v>
      </c>
    </row>
    <row r="7">
      <c r="A7" s="31">
        <v>45970.0</v>
      </c>
      <c r="B7" s="32" t="s">
        <v>26</v>
      </c>
      <c r="C7" s="33">
        <f t="shared" si="2"/>
        <v>0</v>
      </c>
      <c r="D7" s="33">
        <f t="shared" si="3"/>
        <v>2</v>
      </c>
      <c r="E7" s="34">
        <f t="shared" si="4"/>
        <v>0</v>
      </c>
      <c r="F7" s="34">
        <f t="shared" si="5"/>
        <v>1</v>
      </c>
      <c r="G7" s="35">
        <f t="shared" si="6"/>
        <v>0</v>
      </c>
      <c r="H7" s="35">
        <f t="shared" si="7"/>
        <v>0</v>
      </c>
      <c r="I7" s="36">
        <f t="shared" si="8"/>
        <v>1</v>
      </c>
      <c r="J7" s="36">
        <f t="shared" si="9"/>
        <v>0</v>
      </c>
      <c r="K7" s="37">
        <f t="shared" si="10"/>
        <v>0</v>
      </c>
      <c r="L7" s="37">
        <f t="shared" si="11"/>
        <v>1</v>
      </c>
      <c r="M7" s="38">
        <f t="shared" si="12"/>
        <v>0</v>
      </c>
      <c r="N7" s="38">
        <f t="shared" si="13"/>
        <v>0</v>
      </c>
      <c r="O7" s="39">
        <f t="shared" ref="O7:AC7" si="19">COUNTIF(INDIRECT("'"&amp;$B7&amp;"'!$L:$L"),"*"&amp;O$1&amp;"*")</f>
        <v>0</v>
      </c>
      <c r="P7" s="40">
        <f t="shared" si="19"/>
        <v>0</v>
      </c>
      <c r="Q7" s="41">
        <f t="shared" si="19"/>
        <v>0</v>
      </c>
      <c r="R7" s="42">
        <f t="shared" si="19"/>
        <v>0</v>
      </c>
      <c r="S7" s="43">
        <f t="shared" si="19"/>
        <v>0</v>
      </c>
      <c r="T7" s="44">
        <f t="shared" si="19"/>
        <v>0</v>
      </c>
      <c r="U7" s="44">
        <f t="shared" si="19"/>
        <v>0</v>
      </c>
      <c r="V7" s="44">
        <f t="shared" si="19"/>
        <v>0</v>
      </c>
      <c r="W7" s="44">
        <f t="shared" si="19"/>
        <v>0</v>
      </c>
      <c r="X7" s="44">
        <f t="shared" si="19"/>
        <v>0</v>
      </c>
      <c r="Y7" s="44">
        <f t="shared" si="19"/>
        <v>0</v>
      </c>
      <c r="Z7" s="44">
        <f t="shared" si="19"/>
        <v>0</v>
      </c>
      <c r="AA7" s="44">
        <f t="shared" si="19"/>
        <v>0</v>
      </c>
      <c r="AB7" s="44">
        <f t="shared" si="19"/>
        <v>0</v>
      </c>
      <c r="AC7" s="44">
        <f t="shared" si="19"/>
        <v>0</v>
      </c>
      <c r="AD7" s="45">
        <f t="shared" si="15"/>
        <v>5</v>
      </c>
      <c r="AE7" s="46">
        <f t="shared" si="16"/>
        <v>5</v>
      </c>
    </row>
    <row r="8">
      <c r="A8" s="31">
        <v>45977.0</v>
      </c>
      <c r="B8" s="32" t="s">
        <v>27</v>
      </c>
      <c r="C8" s="33">
        <f t="shared" si="2"/>
        <v>0</v>
      </c>
      <c r="D8" s="33">
        <f t="shared" si="3"/>
        <v>6</v>
      </c>
      <c r="E8" s="34">
        <f t="shared" si="4"/>
        <v>0</v>
      </c>
      <c r="F8" s="34">
        <f t="shared" si="5"/>
        <v>4</v>
      </c>
      <c r="G8" s="35">
        <f t="shared" si="6"/>
        <v>0</v>
      </c>
      <c r="H8" s="35">
        <f t="shared" si="7"/>
        <v>0</v>
      </c>
      <c r="I8" s="36">
        <f t="shared" si="8"/>
        <v>4</v>
      </c>
      <c r="J8" s="36">
        <f t="shared" si="9"/>
        <v>5</v>
      </c>
      <c r="K8" s="37">
        <f t="shared" si="10"/>
        <v>0</v>
      </c>
      <c r="L8" s="37">
        <f t="shared" si="11"/>
        <v>1</v>
      </c>
      <c r="M8" s="38">
        <f t="shared" si="12"/>
        <v>0</v>
      </c>
      <c r="N8" s="38">
        <f t="shared" si="13"/>
        <v>0</v>
      </c>
      <c r="O8" s="39">
        <f t="shared" ref="O8:AC8" si="20">COUNTIF(INDIRECT("'"&amp;$B8&amp;"'!$L:$L"),"*"&amp;O$1&amp;"*")</f>
        <v>0</v>
      </c>
      <c r="P8" s="40">
        <f t="shared" si="20"/>
        <v>1</v>
      </c>
      <c r="Q8" s="41">
        <f t="shared" si="20"/>
        <v>0</v>
      </c>
      <c r="R8" s="42">
        <f t="shared" si="20"/>
        <v>0</v>
      </c>
      <c r="S8" s="43">
        <f t="shared" si="20"/>
        <v>0</v>
      </c>
      <c r="T8" s="44">
        <f t="shared" si="20"/>
        <v>0</v>
      </c>
      <c r="U8" s="44">
        <f t="shared" si="20"/>
        <v>0</v>
      </c>
      <c r="V8" s="44">
        <f t="shared" si="20"/>
        <v>0</v>
      </c>
      <c r="W8" s="44">
        <f t="shared" si="20"/>
        <v>0</v>
      </c>
      <c r="X8" s="44">
        <f t="shared" si="20"/>
        <v>0</v>
      </c>
      <c r="Y8" s="44">
        <f t="shared" si="20"/>
        <v>0</v>
      </c>
      <c r="Z8" s="44">
        <f t="shared" si="20"/>
        <v>0</v>
      </c>
      <c r="AA8" s="44">
        <f t="shared" si="20"/>
        <v>0</v>
      </c>
      <c r="AB8" s="44">
        <f t="shared" si="20"/>
        <v>0</v>
      </c>
      <c r="AC8" s="44">
        <f t="shared" si="20"/>
        <v>0</v>
      </c>
      <c r="AD8" s="45">
        <f t="shared" si="15"/>
        <v>21</v>
      </c>
      <c r="AE8" s="46">
        <f t="shared" si="16"/>
        <v>21</v>
      </c>
    </row>
    <row r="9">
      <c r="A9" s="31">
        <v>45977.0</v>
      </c>
      <c r="B9" s="32" t="s">
        <v>28</v>
      </c>
      <c r="C9" s="33">
        <f t="shared" si="2"/>
        <v>0</v>
      </c>
      <c r="D9" s="33">
        <f t="shared" si="3"/>
        <v>0</v>
      </c>
      <c r="E9" s="34">
        <f t="shared" si="4"/>
        <v>0</v>
      </c>
      <c r="F9" s="34">
        <f t="shared" si="5"/>
        <v>1</v>
      </c>
      <c r="G9" s="35">
        <f t="shared" si="6"/>
        <v>0</v>
      </c>
      <c r="H9" s="35">
        <f t="shared" si="7"/>
        <v>1</v>
      </c>
      <c r="I9" s="36">
        <f t="shared" si="8"/>
        <v>4</v>
      </c>
      <c r="J9" s="36">
        <f t="shared" si="9"/>
        <v>2</v>
      </c>
      <c r="K9" s="37">
        <f t="shared" si="10"/>
        <v>0</v>
      </c>
      <c r="L9" s="37">
        <f t="shared" si="11"/>
        <v>1</v>
      </c>
      <c r="M9" s="38">
        <f t="shared" si="12"/>
        <v>0</v>
      </c>
      <c r="N9" s="38">
        <f t="shared" si="13"/>
        <v>0</v>
      </c>
      <c r="O9" s="39">
        <f t="shared" ref="O9:AC9" si="21">COUNTIF(INDIRECT("'"&amp;$B9&amp;"'!$L:$L"),"*"&amp;O$1&amp;"*")</f>
        <v>0</v>
      </c>
      <c r="P9" s="40">
        <f t="shared" si="21"/>
        <v>0</v>
      </c>
      <c r="Q9" s="41">
        <f t="shared" si="21"/>
        <v>1</v>
      </c>
      <c r="R9" s="42">
        <f t="shared" si="21"/>
        <v>0</v>
      </c>
      <c r="S9" s="43">
        <f t="shared" si="21"/>
        <v>0</v>
      </c>
      <c r="T9" s="44">
        <f t="shared" si="21"/>
        <v>0</v>
      </c>
      <c r="U9" s="44">
        <f t="shared" si="21"/>
        <v>0</v>
      </c>
      <c r="V9" s="44">
        <f t="shared" si="21"/>
        <v>0</v>
      </c>
      <c r="W9" s="44">
        <f t="shared" si="21"/>
        <v>0</v>
      </c>
      <c r="X9" s="44">
        <f t="shared" si="21"/>
        <v>0</v>
      </c>
      <c r="Y9" s="44">
        <f t="shared" si="21"/>
        <v>0</v>
      </c>
      <c r="Z9" s="44">
        <f t="shared" si="21"/>
        <v>0</v>
      </c>
      <c r="AA9" s="44">
        <f t="shared" si="21"/>
        <v>0</v>
      </c>
      <c r="AB9" s="44">
        <f t="shared" si="21"/>
        <v>0</v>
      </c>
      <c r="AC9" s="44">
        <f t="shared" si="21"/>
        <v>0</v>
      </c>
      <c r="AD9" s="45">
        <f t="shared" si="15"/>
        <v>10</v>
      </c>
      <c r="AE9" s="46">
        <f t="shared" si="16"/>
        <v>10</v>
      </c>
    </row>
    <row r="10">
      <c r="A10" s="31">
        <v>46005.0</v>
      </c>
      <c r="B10" s="32" t="s">
        <v>29</v>
      </c>
      <c r="C10" s="33">
        <f t="shared" si="2"/>
        <v>0</v>
      </c>
      <c r="D10" s="33">
        <f t="shared" si="3"/>
        <v>1</v>
      </c>
      <c r="E10" s="34">
        <f t="shared" si="4"/>
        <v>0</v>
      </c>
      <c r="F10" s="34">
        <f t="shared" si="5"/>
        <v>1</v>
      </c>
      <c r="G10" s="35">
        <f t="shared" si="6"/>
        <v>0</v>
      </c>
      <c r="H10" s="35">
        <f t="shared" si="7"/>
        <v>1</v>
      </c>
      <c r="I10" s="36">
        <f t="shared" si="8"/>
        <v>0</v>
      </c>
      <c r="J10" s="36">
        <f t="shared" si="9"/>
        <v>4</v>
      </c>
      <c r="K10" s="37">
        <f t="shared" si="10"/>
        <v>0</v>
      </c>
      <c r="L10" s="37">
        <f t="shared" si="11"/>
        <v>0</v>
      </c>
      <c r="M10" s="38">
        <f t="shared" si="12"/>
        <v>0</v>
      </c>
      <c r="N10" s="38">
        <f t="shared" si="13"/>
        <v>0</v>
      </c>
      <c r="O10" s="39">
        <f t="shared" ref="O10:AC10" si="22">COUNTIF(INDIRECT("'"&amp;$B10&amp;"'!$L:$L"),"*"&amp;O$1&amp;"*")</f>
        <v>0</v>
      </c>
      <c r="P10" s="40">
        <f t="shared" si="22"/>
        <v>0</v>
      </c>
      <c r="Q10" s="41">
        <f t="shared" si="22"/>
        <v>1</v>
      </c>
      <c r="R10" s="42">
        <f t="shared" si="22"/>
        <v>0</v>
      </c>
      <c r="S10" s="43">
        <f t="shared" si="22"/>
        <v>0</v>
      </c>
      <c r="T10" s="44">
        <f t="shared" si="22"/>
        <v>0</v>
      </c>
      <c r="U10" s="44">
        <f t="shared" si="22"/>
        <v>0</v>
      </c>
      <c r="V10" s="44">
        <f t="shared" si="22"/>
        <v>0</v>
      </c>
      <c r="W10" s="44">
        <f t="shared" si="22"/>
        <v>0</v>
      </c>
      <c r="X10" s="44">
        <f t="shared" si="22"/>
        <v>0</v>
      </c>
      <c r="Y10" s="44">
        <f t="shared" si="22"/>
        <v>0</v>
      </c>
      <c r="Z10" s="44">
        <f t="shared" si="22"/>
        <v>0</v>
      </c>
      <c r="AA10" s="44">
        <f t="shared" si="22"/>
        <v>0</v>
      </c>
      <c r="AB10" s="44">
        <f t="shared" si="22"/>
        <v>0</v>
      </c>
      <c r="AC10" s="44">
        <f t="shared" si="22"/>
        <v>0</v>
      </c>
      <c r="AD10" s="45">
        <f t="shared" si="15"/>
        <v>8</v>
      </c>
      <c r="AE10" s="46">
        <f t="shared" si="16"/>
        <v>8</v>
      </c>
    </row>
    <row r="11">
      <c r="A11" s="31">
        <v>46005.0</v>
      </c>
      <c r="B11" s="32" t="s">
        <v>30</v>
      </c>
      <c r="C11" s="33">
        <f t="shared" si="2"/>
        <v>0</v>
      </c>
      <c r="D11" s="33">
        <f t="shared" si="3"/>
        <v>10</v>
      </c>
      <c r="E11" s="34">
        <f t="shared" si="4"/>
        <v>2</v>
      </c>
      <c r="F11" s="34">
        <f t="shared" si="5"/>
        <v>6</v>
      </c>
      <c r="G11" s="35">
        <f t="shared" si="6"/>
        <v>0</v>
      </c>
      <c r="H11" s="35">
        <f t="shared" si="7"/>
        <v>8</v>
      </c>
      <c r="I11" s="36">
        <f t="shared" si="8"/>
        <v>0</v>
      </c>
      <c r="J11" s="36">
        <f t="shared" si="9"/>
        <v>23</v>
      </c>
      <c r="K11" s="37">
        <f t="shared" si="10"/>
        <v>0</v>
      </c>
      <c r="L11" s="37">
        <f t="shared" si="11"/>
        <v>7</v>
      </c>
      <c r="M11" s="38">
        <f t="shared" si="12"/>
        <v>0</v>
      </c>
      <c r="N11" s="38">
        <f t="shared" si="13"/>
        <v>0</v>
      </c>
      <c r="O11" s="39">
        <f t="shared" ref="O11:AC11" si="23">COUNTIF(INDIRECT("'"&amp;$B11&amp;"'!$L:$L"),"*"&amp;O$1&amp;"*")</f>
        <v>49</v>
      </c>
      <c r="P11" s="40">
        <f t="shared" si="23"/>
        <v>0</v>
      </c>
      <c r="Q11" s="41">
        <f t="shared" si="23"/>
        <v>0</v>
      </c>
      <c r="R11" s="42">
        <f t="shared" si="23"/>
        <v>0</v>
      </c>
      <c r="S11" s="43">
        <f t="shared" si="23"/>
        <v>0</v>
      </c>
      <c r="T11" s="44">
        <f t="shared" si="23"/>
        <v>0</v>
      </c>
      <c r="U11" s="44">
        <f t="shared" si="23"/>
        <v>0</v>
      </c>
      <c r="V11" s="44">
        <f t="shared" si="23"/>
        <v>0</v>
      </c>
      <c r="W11" s="44">
        <f t="shared" si="23"/>
        <v>0</v>
      </c>
      <c r="X11" s="44">
        <f t="shared" si="23"/>
        <v>0</v>
      </c>
      <c r="Y11" s="44">
        <f t="shared" si="23"/>
        <v>0</v>
      </c>
      <c r="Z11" s="44">
        <f t="shared" si="23"/>
        <v>0</v>
      </c>
      <c r="AA11" s="44">
        <f t="shared" si="23"/>
        <v>0</v>
      </c>
      <c r="AB11" s="44">
        <f t="shared" si="23"/>
        <v>0</v>
      </c>
      <c r="AC11" s="44">
        <f t="shared" si="23"/>
        <v>0</v>
      </c>
      <c r="AD11" s="45">
        <f t="shared" si="15"/>
        <v>105</v>
      </c>
      <c r="AE11" s="46">
        <f t="shared" si="16"/>
        <v>105</v>
      </c>
    </row>
    <row r="12">
      <c r="A12" s="31">
        <v>46005.0</v>
      </c>
      <c r="B12" s="32" t="s">
        <v>31</v>
      </c>
      <c r="C12" s="33">
        <f t="shared" si="2"/>
        <v>1</v>
      </c>
      <c r="D12" s="33">
        <f t="shared" si="3"/>
        <v>31</v>
      </c>
      <c r="E12" s="34">
        <f t="shared" si="4"/>
        <v>3</v>
      </c>
      <c r="F12" s="34">
        <f t="shared" si="5"/>
        <v>14</v>
      </c>
      <c r="G12" s="35">
        <f t="shared" si="6"/>
        <v>0</v>
      </c>
      <c r="H12" s="35">
        <f t="shared" si="7"/>
        <v>18</v>
      </c>
      <c r="I12" s="36">
        <f t="shared" si="8"/>
        <v>0</v>
      </c>
      <c r="J12" s="36">
        <f t="shared" si="9"/>
        <v>22</v>
      </c>
      <c r="K12" s="37">
        <f t="shared" si="10"/>
        <v>1</v>
      </c>
      <c r="L12" s="37">
        <f t="shared" si="11"/>
        <v>11</v>
      </c>
      <c r="M12" s="38">
        <f t="shared" si="12"/>
        <v>0</v>
      </c>
      <c r="N12" s="38">
        <f t="shared" si="13"/>
        <v>0</v>
      </c>
      <c r="O12" s="39">
        <f t="shared" ref="O12:AC12" si="24">COUNTIF(INDIRECT("'"&amp;$B12&amp;"'!$L:$L"),"*"&amp;O$1&amp;"*")</f>
        <v>51</v>
      </c>
      <c r="P12" s="40">
        <f t="shared" si="24"/>
        <v>0</v>
      </c>
      <c r="Q12" s="41">
        <f t="shared" si="24"/>
        <v>2</v>
      </c>
      <c r="R12" s="42">
        <f t="shared" si="24"/>
        <v>0</v>
      </c>
      <c r="S12" s="43">
        <f t="shared" si="24"/>
        <v>0</v>
      </c>
      <c r="T12" s="44">
        <f t="shared" si="24"/>
        <v>0</v>
      </c>
      <c r="U12" s="44">
        <f t="shared" si="24"/>
        <v>0</v>
      </c>
      <c r="V12" s="44">
        <f t="shared" si="24"/>
        <v>0</v>
      </c>
      <c r="W12" s="44">
        <f t="shared" si="24"/>
        <v>0</v>
      </c>
      <c r="X12" s="44">
        <f t="shared" si="24"/>
        <v>0</v>
      </c>
      <c r="Y12" s="44">
        <f t="shared" si="24"/>
        <v>0</v>
      </c>
      <c r="Z12" s="44">
        <f t="shared" si="24"/>
        <v>0</v>
      </c>
      <c r="AA12" s="44">
        <f t="shared" si="24"/>
        <v>0</v>
      </c>
      <c r="AB12" s="44">
        <f t="shared" si="24"/>
        <v>0</v>
      </c>
      <c r="AC12" s="44">
        <f t="shared" si="24"/>
        <v>0</v>
      </c>
      <c r="AD12" s="45">
        <f t="shared" si="15"/>
        <v>154</v>
      </c>
      <c r="AE12" s="46">
        <f t="shared" si="16"/>
        <v>154</v>
      </c>
    </row>
    <row r="13">
      <c r="A13" s="31">
        <v>46054.0</v>
      </c>
      <c r="B13" s="32" t="s">
        <v>32</v>
      </c>
      <c r="C13" s="33">
        <f t="shared" si="2"/>
        <v>0</v>
      </c>
      <c r="D13" s="33">
        <f t="shared" si="3"/>
        <v>2</v>
      </c>
      <c r="E13" s="34">
        <f t="shared" si="4"/>
        <v>0</v>
      </c>
      <c r="F13" s="34">
        <f t="shared" si="5"/>
        <v>1</v>
      </c>
      <c r="G13" s="35">
        <f t="shared" si="6"/>
        <v>0</v>
      </c>
      <c r="H13" s="35">
        <f t="shared" si="7"/>
        <v>0</v>
      </c>
      <c r="I13" s="36">
        <f t="shared" si="8"/>
        <v>0</v>
      </c>
      <c r="J13" s="36">
        <f t="shared" si="9"/>
        <v>2</v>
      </c>
      <c r="K13" s="37">
        <f t="shared" si="10"/>
        <v>0</v>
      </c>
      <c r="L13" s="37">
        <f t="shared" si="11"/>
        <v>0</v>
      </c>
      <c r="M13" s="38">
        <f t="shared" si="12"/>
        <v>0</v>
      </c>
      <c r="N13" s="38">
        <f t="shared" si="13"/>
        <v>0</v>
      </c>
      <c r="O13" s="39">
        <f t="shared" ref="O13:AC13" si="25">COUNTIF(INDIRECT("'"&amp;$B13&amp;"'!$L:$L"),"*"&amp;O$1&amp;"*")</f>
        <v>0</v>
      </c>
      <c r="P13" s="40">
        <f t="shared" si="25"/>
        <v>1</v>
      </c>
      <c r="Q13" s="41">
        <f t="shared" si="25"/>
        <v>0</v>
      </c>
      <c r="R13" s="42">
        <f t="shared" si="25"/>
        <v>0</v>
      </c>
      <c r="S13" s="43">
        <f t="shared" si="25"/>
        <v>0</v>
      </c>
      <c r="T13" s="44">
        <f t="shared" si="25"/>
        <v>0</v>
      </c>
      <c r="U13" s="44">
        <f t="shared" si="25"/>
        <v>0</v>
      </c>
      <c r="V13" s="44">
        <f t="shared" si="25"/>
        <v>0</v>
      </c>
      <c r="W13" s="44">
        <f t="shared" si="25"/>
        <v>0</v>
      </c>
      <c r="X13" s="44">
        <f t="shared" si="25"/>
        <v>0</v>
      </c>
      <c r="Y13" s="44">
        <f t="shared" si="25"/>
        <v>0</v>
      </c>
      <c r="Z13" s="44">
        <f t="shared" si="25"/>
        <v>0</v>
      </c>
      <c r="AA13" s="44">
        <f t="shared" si="25"/>
        <v>0</v>
      </c>
      <c r="AB13" s="44">
        <f t="shared" si="25"/>
        <v>0</v>
      </c>
      <c r="AC13" s="44">
        <f t="shared" si="25"/>
        <v>0</v>
      </c>
      <c r="AD13" s="45">
        <f t="shared" si="15"/>
        <v>6</v>
      </c>
      <c r="AE13" s="46">
        <f t="shared" si="16"/>
        <v>6</v>
      </c>
    </row>
    <row r="14">
      <c r="A14" s="31">
        <v>46075.0</v>
      </c>
      <c r="B14" s="32" t="s">
        <v>33</v>
      </c>
      <c r="C14" s="33">
        <f t="shared" si="2"/>
        <v>0</v>
      </c>
      <c r="D14" s="33">
        <f t="shared" si="3"/>
        <v>10</v>
      </c>
      <c r="E14" s="34">
        <f t="shared" si="4"/>
        <v>0</v>
      </c>
      <c r="F14" s="34">
        <f t="shared" si="5"/>
        <v>3</v>
      </c>
      <c r="G14" s="35">
        <f t="shared" si="6"/>
        <v>0</v>
      </c>
      <c r="H14" s="35">
        <f t="shared" si="7"/>
        <v>1</v>
      </c>
      <c r="I14" s="36">
        <f t="shared" si="8"/>
        <v>0</v>
      </c>
      <c r="J14" s="36">
        <f t="shared" si="9"/>
        <v>24</v>
      </c>
      <c r="K14" s="37">
        <f t="shared" si="10"/>
        <v>0</v>
      </c>
      <c r="L14" s="37">
        <f t="shared" si="11"/>
        <v>4</v>
      </c>
      <c r="M14" s="38">
        <f t="shared" si="12"/>
        <v>0</v>
      </c>
      <c r="N14" s="38">
        <f t="shared" si="13"/>
        <v>0</v>
      </c>
      <c r="O14" s="39">
        <f t="shared" ref="O14:AC14" si="26">COUNTIF(INDIRECT("'"&amp;$B14&amp;"'!$L:$L"),"*"&amp;O$1&amp;"*")</f>
        <v>0</v>
      </c>
      <c r="P14" s="40">
        <f t="shared" si="26"/>
        <v>1</v>
      </c>
      <c r="Q14" s="41">
        <f t="shared" si="26"/>
        <v>0</v>
      </c>
      <c r="R14" s="42">
        <f t="shared" si="26"/>
        <v>0</v>
      </c>
      <c r="S14" s="43">
        <f t="shared" si="26"/>
        <v>0</v>
      </c>
      <c r="T14" s="44">
        <f t="shared" si="26"/>
        <v>0</v>
      </c>
      <c r="U14" s="44">
        <f t="shared" si="26"/>
        <v>0</v>
      </c>
      <c r="V14" s="44">
        <f t="shared" si="26"/>
        <v>0</v>
      </c>
      <c r="W14" s="44">
        <f t="shared" si="26"/>
        <v>0</v>
      </c>
      <c r="X14" s="44">
        <f t="shared" si="26"/>
        <v>0</v>
      </c>
      <c r="Y14" s="44">
        <f t="shared" si="26"/>
        <v>0</v>
      </c>
      <c r="Z14" s="44">
        <f t="shared" si="26"/>
        <v>0</v>
      </c>
      <c r="AA14" s="44">
        <f t="shared" si="26"/>
        <v>0</v>
      </c>
      <c r="AB14" s="44">
        <f t="shared" si="26"/>
        <v>0</v>
      </c>
      <c r="AC14" s="44">
        <f t="shared" si="26"/>
        <v>0</v>
      </c>
      <c r="AD14" s="45">
        <f t="shared" si="15"/>
        <v>43</v>
      </c>
      <c r="AE14" s="46">
        <f t="shared" si="16"/>
        <v>43</v>
      </c>
    </row>
    <row r="15">
      <c r="A15" s="31">
        <v>46082.0</v>
      </c>
      <c r="B15" s="32" t="s">
        <v>34</v>
      </c>
      <c r="C15" s="33">
        <f t="shared" si="2"/>
        <v>0</v>
      </c>
      <c r="D15" s="33">
        <f t="shared" si="3"/>
        <v>6</v>
      </c>
      <c r="E15" s="34">
        <f t="shared" si="4"/>
        <v>0</v>
      </c>
      <c r="F15" s="34">
        <f t="shared" si="5"/>
        <v>7</v>
      </c>
      <c r="G15" s="35">
        <f t="shared" si="6"/>
        <v>0</v>
      </c>
      <c r="H15" s="35">
        <f t="shared" si="7"/>
        <v>1</v>
      </c>
      <c r="I15" s="36">
        <f t="shared" si="8"/>
        <v>0</v>
      </c>
      <c r="J15" s="36">
        <f t="shared" si="9"/>
        <v>9</v>
      </c>
      <c r="K15" s="37">
        <f t="shared" si="10"/>
        <v>1</v>
      </c>
      <c r="L15" s="37">
        <f t="shared" si="11"/>
        <v>0</v>
      </c>
      <c r="M15" s="38">
        <f t="shared" si="12"/>
        <v>0</v>
      </c>
      <c r="N15" s="38">
        <f t="shared" si="13"/>
        <v>0</v>
      </c>
      <c r="O15" s="39">
        <f t="shared" ref="O15:AC15" si="27">COUNTIF(INDIRECT("'"&amp;$B15&amp;"'!$L:$L"),"*"&amp;O$1&amp;"*")</f>
        <v>0</v>
      </c>
      <c r="P15" s="40">
        <f t="shared" si="27"/>
        <v>0</v>
      </c>
      <c r="Q15" s="41">
        <f t="shared" si="27"/>
        <v>0</v>
      </c>
      <c r="R15" s="42">
        <f t="shared" si="27"/>
        <v>0</v>
      </c>
      <c r="S15" s="43">
        <f t="shared" si="27"/>
        <v>0</v>
      </c>
      <c r="T15" s="44">
        <f t="shared" si="27"/>
        <v>0</v>
      </c>
      <c r="U15" s="44">
        <f t="shared" si="27"/>
        <v>0</v>
      </c>
      <c r="V15" s="44">
        <f t="shared" si="27"/>
        <v>0</v>
      </c>
      <c r="W15" s="44">
        <f t="shared" si="27"/>
        <v>0</v>
      </c>
      <c r="X15" s="44">
        <f t="shared" si="27"/>
        <v>0</v>
      </c>
      <c r="Y15" s="44">
        <f t="shared" si="27"/>
        <v>0</v>
      </c>
      <c r="Z15" s="44">
        <f t="shared" si="27"/>
        <v>0</v>
      </c>
      <c r="AA15" s="44">
        <f t="shared" si="27"/>
        <v>0</v>
      </c>
      <c r="AB15" s="44">
        <f t="shared" si="27"/>
        <v>0</v>
      </c>
      <c r="AC15" s="44">
        <f t="shared" si="27"/>
        <v>0</v>
      </c>
      <c r="AD15" s="45">
        <f t="shared" si="15"/>
        <v>24</v>
      </c>
      <c r="AE15" s="46">
        <f t="shared" si="16"/>
        <v>24</v>
      </c>
    </row>
    <row r="16">
      <c r="A16" s="31">
        <v>46096.0</v>
      </c>
      <c r="B16" s="32" t="s">
        <v>35</v>
      </c>
      <c r="C16" s="33">
        <f t="shared" si="2"/>
        <v>1</v>
      </c>
      <c r="D16" s="33">
        <f t="shared" si="3"/>
        <v>4</v>
      </c>
      <c r="E16" s="34">
        <f t="shared" si="4"/>
        <v>0</v>
      </c>
      <c r="F16" s="34">
        <f t="shared" si="5"/>
        <v>8</v>
      </c>
      <c r="G16" s="35">
        <f t="shared" si="6"/>
        <v>0</v>
      </c>
      <c r="H16" s="35">
        <f t="shared" si="7"/>
        <v>4</v>
      </c>
      <c r="I16" s="36">
        <f t="shared" si="8"/>
        <v>1</v>
      </c>
      <c r="J16" s="36">
        <f t="shared" si="9"/>
        <v>6</v>
      </c>
      <c r="K16" s="37">
        <f t="shared" si="10"/>
        <v>0</v>
      </c>
      <c r="L16" s="37">
        <f t="shared" si="11"/>
        <v>2</v>
      </c>
      <c r="M16" s="38">
        <f t="shared" si="12"/>
        <v>0</v>
      </c>
      <c r="N16" s="38">
        <f t="shared" si="13"/>
        <v>0</v>
      </c>
      <c r="O16" s="39">
        <f t="shared" ref="O16:AC16" si="28">COUNTIF(INDIRECT("'"&amp;$B16&amp;"'!$L:$L"),"*"&amp;O$1&amp;"*")</f>
        <v>0</v>
      </c>
      <c r="P16" s="40">
        <f t="shared" si="28"/>
        <v>0</v>
      </c>
      <c r="Q16" s="41">
        <f t="shared" si="28"/>
        <v>0</v>
      </c>
      <c r="R16" s="42">
        <f t="shared" si="28"/>
        <v>0</v>
      </c>
      <c r="S16" s="43">
        <f t="shared" si="28"/>
        <v>0</v>
      </c>
      <c r="T16" s="44">
        <f t="shared" si="28"/>
        <v>0</v>
      </c>
      <c r="U16" s="44">
        <f t="shared" si="28"/>
        <v>0</v>
      </c>
      <c r="V16" s="44">
        <f t="shared" si="28"/>
        <v>0</v>
      </c>
      <c r="W16" s="44">
        <f t="shared" si="28"/>
        <v>0</v>
      </c>
      <c r="X16" s="44">
        <f t="shared" si="28"/>
        <v>0</v>
      </c>
      <c r="Y16" s="44">
        <f t="shared" si="28"/>
        <v>0</v>
      </c>
      <c r="Z16" s="44">
        <f t="shared" si="28"/>
        <v>0</v>
      </c>
      <c r="AA16" s="44">
        <f t="shared" si="28"/>
        <v>0</v>
      </c>
      <c r="AB16" s="44">
        <f t="shared" si="28"/>
        <v>0</v>
      </c>
      <c r="AC16" s="44">
        <f t="shared" si="28"/>
        <v>0</v>
      </c>
      <c r="AD16" s="45">
        <f t="shared" si="15"/>
        <v>26</v>
      </c>
      <c r="AE16" s="46">
        <f t="shared" si="16"/>
        <v>26</v>
      </c>
    </row>
    <row r="17">
      <c r="A17" s="31">
        <v>46096.0</v>
      </c>
      <c r="B17" s="32" t="s">
        <v>36</v>
      </c>
      <c r="C17" s="33">
        <f t="shared" si="2"/>
        <v>0</v>
      </c>
      <c r="D17" s="33">
        <f t="shared" si="3"/>
        <v>1</v>
      </c>
      <c r="E17" s="34">
        <f t="shared" si="4"/>
        <v>0</v>
      </c>
      <c r="F17" s="34">
        <f t="shared" si="5"/>
        <v>1</v>
      </c>
      <c r="G17" s="35">
        <f t="shared" si="6"/>
        <v>0</v>
      </c>
      <c r="H17" s="35">
        <f t="shared" si="7"/>
        <v>0</v>
      </c>
      <c r="I17" s="36">
        <f t="shared" si="8"/>
        <v>1</v>
      </c>
      <c r="J17" s="36">
        <f t="shared" si="9"/>
        <v>7</v>
      </c>
      <c r="K17" s="37">
        <f t="shared" si="10"/>
        <v>0</v>
      </c>
      <c r="L17" s="37">
        <f t="shared" si="11"/>
        <v>0</v>
      </c>
      <c r="M17" s="38">
        <f t="shared" si="12"/>
        <v>0</v>
      </c>
      <c r="N17" s="38">
        <f t="shared" si="13"/>
        <v>0</v>
      </c>
      <c r="O17" s="39">
        <f t="shared" ref="O17:AC17" si="29">COUNTIF(INDIRECT("'"&amp;$B17&amp;"'!$L:$L"),"*"&amp;O$1&amp;"*")</f>
        <v>0</v>
      </c>
      <c r="P17" s="40">
        <f t="shared" si="29"/>
        <v>0</v>
      </c>
      <c r="Q17" s="41">
        <f t="shared" si="29"/>
        <v>0</v>
      </c>
      <c r="R17" s="42">
        <f t="shared" si="29"/>
        <v>0</v>
      </c>
      <c r="S17" s="43">
        <f t="shared" si="29"/>
        <v>0</v>
      </c>
      <c r="T17" s="44">
        <f t="shared" si="29"/>
        <v>0</v>
      </c>
      <c r="U17" s="44">
        <f t="shared" si="29"/>
        <v>0</v>
      </c>
      <c r="V17" s="44">
        <f t="shared" si="29"/>
        <v>0</v>
      </c>
      <c r="W17" s="44">
        <f t="shared" si="29"/>
        <v>0</v>
      </c>
      <c r="X17" s="44">
        <f t="shared" si="29"/>
        <v>0</v>
      </c>
      <c r="Y17" s="44">
        <f t="shared" si="29"/>
        <v>0</v>
      </c>
      <c r="Z17" s="44">
        <f t="shared" si="29"/>
        <v>0</v>
      </c>
      <c r="AA17" s="44">
        <f t="shared" si="29"/>
        <v>0</v>
      </c>
      <c r="AB17" s="44">
        <f t="shared" si="29"/>
        <v>0</v>
      </c>
      <c r="AC17" s="44">
        <f t="shared" si="29"/>
        <v>0</v>
      </c>
      <c r="AD17" s="45">
        <f t="shared" si="15"/>
        <v>10</v>
      </c>
      <c r="AE17" s="46">
        <f t="shared" si="16"/>
        <v>10</v>
      </c>
    </row>
    <row r="18">
      <c r="A18" s="31">
        <v>46131.0</v>
      </c>
      <c r="B18" s="32" t="s">
        <v>37</v>
      </c>
      <c r="C18" s="33">
        <f t="shared" si="2"/>
        <v>0</v>
      </c>
      <c r="D18" s="33">
        <f t="shared" si="3"/>
        <v>1</v>
      </c>
      <c r="E18" s="34">
        <f t="shared" si="4"/>
        <v>0</v>
      </c>
      <c r="F18" s="34">
        <f t="shared" si="5"/>
        <v>1</v>
      </c>
      <c r="G18" s="35">
        <f t="shared" si="6"/>
        <v>0</v>
      </c>
      <c r="H18" s="35">
        <f t="shared" si="7"/>
        <v>0</v>
      </c>
      <c r="I18" s="36">
        <f t="shared" si="8"/>
        <v>0</v>
      </c>
      <c r="J18" s="36">
        <f t="shared" si="9"/>
        <v>1</v>
      </c>
      <c r="K18" s="37">
        <f t="shared" si="10"/>
        <v>0</v>
      </c>
      <c r="L18" s="37">
        <f t="shared" si="11"/>
        <v>0</v>
      </c>
      <c r="M18" s="38">
        <f t="shared" si="12"/>
        <v>0</v>
      </c>
      <c r="N18" s="38">
        <f t="shared" si="13"/>
        <v>0</v>
      </c>
      <c r="O18" s="39">
        <f t="shared" ref="O18:AC18" si="30">COUNTIF(INDIRECT("'"&amp;$B18&amp;"'!$L:$L"),"*"&amp;O$1&amp;"*")</f>
        <v>0</v>
      </c>
      <c r="P18" s="40">
        <f t="shared" si="30"/>
        <v>0</v>
      </c>
      <c r="Q18" s="41">
        <f t="shared" si="30"/>
        <v>0</v>
      </c>
      <c r="R18" s="42">
        <f t="shared" si="30"/>
        <v>0</v>
      </c>
      <c r="S18" s="43">
        <f t="shared" si="30"/>
        <v>0</v>
      </c>
      <c r="T18" s="44">
        <f t="shared" si="30"/>
        <v>0</v>
      </c>
      <c r="U18" s="44">
        <f t="shared" si="30"/>
        <v>0</v>
      </c>
      <c r="V18" s="44">
        <f t="shared" si="30"/>
        <v>0</v>
      </c>
      <c r="W18" s="44">
        <f t="shared" si="30"/>
        <v>0</v>
      </c>
      <c r="X18" s="44">
        <f t="shared" si="30"/>
        <v>0</v>
      </c>
      <c r="Y18" s="44">
        <f t="shared" si="30"/>
        <v>0</v>
      </c>
      <c r="Z18" s="44">
        <f t="shared" si="30"/>
        <v>0</v>
      </c>
      <c r="AA18" s="44">
        <f t="shared" si="30"/>
        <v>0</v>
      </c>
      <c r="AB18" s="44">
        <f t="shared" si="30"/>
        <v>0</v>
      </c>
      <c r="AC18" s="44">
        <f t="shared" si="30"/>
        <v>0</v>
      </c>
      <c r="AD18" s="45">
        <f t="shared" si="15"/>
        <v>3</v>
      </c>
      <c r="AE18" s="46">
        <f t="shared" si="16"/>
        <v>3</v>
      </c>
    </row>
    <row r="19">
      <c r="A19" s="31"/>
      <c r="B19" s="47"/>
      <c r="C19" s="33">
        <f t="shared" si="2"/>
        <v>0</v>
      </c>
      <c r="D19" s="33">
        <f t="shared" si="3"/>
        <v>0</v>
      </c>
      <c r="E19" s="34">
        <f t="shared" si="4"/>
        <v>0</v>
      </c>
      <c r="F19" s="34">
        <f t="shared" si="5"/>
        <v>0</v>
      </c>
      <c r="G19" s="35">
        <f t="shared" si="6"/>
        <v>0</v>
      </c>
      <c r="H19" s="35">
        <f t="shared" si="7"/>
        <v>0</v>
      </c>
      <c r="I19" s="36">
        <f t="shared" si="8"/>
        <v>0</v>
      </c>
      <c r="J19" s="36">
        <f t="shared" si="9"/>
        <v>0</v>
      </c>
      <c r="K19" s="37">
        <f t="shared" si="10"/>
        <v>0</v>
      </c>
      <c r="L19" s="37">
        <f t="shared" si="11"/>
        <v>0</v>
      </c>
      <c r="M19" s="38">
        <f t="shared" si="12"/>
        <v>0</v>
      </c>
      <c r="N19" s="38">
        <f t="shared" si="13"/>
        <v>0</v>
      </c>
      <c r="O19" s="39">
        <f t="shared" ref="O19:AC19" si="31">COUNTIF(INDIRECT("'"&amp;$B19&amp;"'!$L:$L"),"*"&amp;O$1&amp;"*")</f>
        <v>0</v>
      </c>
      <c r="P19" s="40">
        <f t="shared" si="31"/>
        <v>0</v>
      </c>
      <c r="Q19" s="41">
        <f t="shared" si="31"/>
        <v>0</v>
      </c>
      <c r="R19" s="42">
        <f t="shared" si="31"/>
        <v>0</v>
      </c>
      <c r="S19" s="43">
        <f t="shared" si="31"/>
        <v>0</v>
      </c>
      <c r="T19" s="44">
        <f t="shared" si="31"/>
        <v>0</v>
      </c>
      <c r="U19" s="44">
        <f t="shared" si="31"/>
        <v>0</v>
      </c>
      <c r="V19" s="44">
        <f t="shared" si="31"/>
        <v>0</v>
      </c>
      <c r="W19" s="44">
        <f t="shared" si="31"/>
        <v>0</v>
      </c>
      <c r="X19" s="44">
        <f t="shared" si="31"/>
        <v>0</v>
      </c>
      <c r="Y19" s="44">
        <f t="shared" si="31"/>
        <v>0</v>
      </c>
      <c r="Z19" s="44">
        <f t="shared" si="31"/>
        <v>0</v>
      </c>
      <c r="AA19" s="44">
        <f t="shared" si="31"/>
        <v>0</v>
      </c>
      <c r="AB19" s="44">
        <f t="shared" si="31"/>
        <v>0</v>
      </c>
      <c r="AC19" s="44">
        <f t="shared" si="31"/>
        <v>0</v>
      </c>
      <c r="AD19" s="45">
        <f t="shared" si="15"/>
        <v>0</v>
      </c>
      <c r="AE19" s="46">
        <f t="shared" si="16"/>
        <v>0</v>
      </c>
    </row>
    <row r="20">
      <c r="A20" s="31"/>
      <c r="B20" s="47"/>
      <c r="C20" s="33">
        <f t="shared" si="2"/>
        <v>0</v>
      </c>
      <c r="D20" s="33">
        <f t="shared" si="3"/>
        <v>0</v>
      </c>
      <c r="E20" s="34">
        <f t="shared" si="4"/>
        <v>0</v>
      </c>
      <c r="F20" s="34">
        <f t="shared" si="5"/>
        <v>0</v>
      </c>
      <c r="G20" s="35">
        <f t="shared" si="6"/>
        <v>0</v>
      </c>
      <c r="H20" s="35">
        <f t="shared" si="7"/>
        <v>0</v>
      </c>
      <c r="I20" s="36">
        <f t="shared" si="8"/>
        <v>0</v>
      </c>
      <c r="J20" s="36">
        <f t="shared" si="9"/>
        <v>0</v>
      </c>
      <c r="K20" s="37">
        <f t="shared" si="10"/>
        <v>0</v>
      </c>
      <c r="L20" s="37">
        <f t="shared" si="11"/>
        <v>0</v>
      </c>
      <c r="M20" s="38">
        <f t="shared" si="12"/>
        <v>0</v>
      </c>
      <c r="N20" s="38">
        <f t="shared" si="13"/>
        <v>0</v>
      </c>
      <c r="O20" s="39">
        <f t="shared" ref="O20:AC20" si="32">COUNTIF(INDIRECT("'"&amp;$B20&amp;"'!$L:$L"),"*"&amp;O$1&amp;"*")</f>
        <v>0</v>
      </c>
      <c r="P20" s="40">
        <f t="shared" si="32"/>
        <v>0</v>
      </c>
      <c r="Q20" s="41">
        <f t="shared" si="32"/>
        <v>0</v>
      </c>
      <c r="R20" s="42">
        <f t="shared" si="32"/>
        <v>0</v>
      </c>
      <c r="S20" s="43">
        <f t="shared" si="32"/>
        <v>0</v>
      </c>
      <c r="T20" s="44">
        <f t="shared" si="32"/>
        <v>0</v>
      </c>
      <c r="U20" s="44">
        <f t="shared" si="32"/>
        <v>0</v>
      </c>
      <c r="V20" s="44">
        <f t="shared" si="32"/>
        <v>0</v>
      </c>
      <c r="W20" s="44">
        <f t="shared" si="32"/>
        <v>0</v>
      </c>
      <c r="X20" s="44">
        <f t="shared" si="32"/>
        <v>0</v>
      </c>
      <c r="Y20" s="44">
        <f t="shared" si="32"/>
        <v>0</v>
      </c>
      <c r="Z20" s="44">
        <f t="shared" si="32"/>
        <v>0</v>
      </c>
      <c r="AA20" s="44">
        <f t="shared" si="32"/>
        <v>0</v>
      </c>
      <c r="AB20" s="44">
        <f t="shared" si="32"/>
        <v>0</v>
      </c>
      <c r="AC20" s="44">
        <f t="shared" si="32"/>
        <v>0</v>
      </c>
      <c r="AD20" s="45">
        <f t="shared" si="15"/>
        <v>0</v>
      </c>
      <c r="AE20" s="46">
        <f t="shared" si="16"/>
        <v>0</v>
      </c>
    </row>
    <row r="21">
      <c r="A21" s="31"/>
      <c r="B21" s="48"/>
      <c r="C21" s="49">
        <f t="shared" si="2"/>
        <v>0</v>
      </c>
      <c r="D21" s="49">
        <f t="shared" si="3"/>
        <v>0</v>
      </c>
      <c r="E21" s="50">
        <f t="shared" si="4"/>
        <v>0</v>
      </c>
      <c r="F21" s="50">
        <f t="shared" si="5"/>
        <v>0</v>
      </c>
      <c r="G21" s="51">
        <f t="shared" si="6"/>
        <v>0</v>
      </c>
      <c r="H21" s="51">
        <f t="shared" si="7"/>
        <v>0</v>
      </c>
      <c r="I21" s="52">
        <f t="shared" si="8"/>
        <v>0</v>
      </c>
      <c r="J21" s="52">
        <f t="shared" si="9"/>
        <v>0</v>
      </c>
      <c r="K21" s="53">
        <f t="shared" si="10"/>
        <v>0</v>
      </c>
      <c r="L21" s="53">
        <f t="shared" si="11"/>
        <v>0</v>
      </c>
      <c r="M21" s="54">
        <f t="shared" si="12"/>
        <v>0</v>
      </c>
      <c r="N21" s="54">
        <f t="shared" si="13"/>
        <v>0</v>
      </c>
      <c r="O21" s="55">
        <f t="shared" ref="O21:AC21" si="33">COUNTIF(INDIRECT("'"&amp;$B21&amp;"'!$L:$L"),"*"&amp;O$1&amp;"*")</f>
        <v>0</v>
      </c>
      <c r="P21" s="56">
        <f t="shared" si="33"/>
        <v>0</v>
      </c>
      <c r="Q21" s="57">
        <f t="shared" si="33"/>
        <v>0</v>
      </c>
      <c r="R21" s="58">
        <f t="shared" si="33"/>
        <v>0</v>
      </c>
      <c r="S21" s="59">
        <f t="shared" si="33"/>
        <v>0</v>
      </c>
      <c r="T21" s="60">
        <f t="shared" si="33"/>
        <v>0</v>
      </c>
      <c r="U21" s="60">
        <f t="shared" si="33"/>
        <v>0</v>
      </c>
      <c r="V21" s="60">
        <f t="shared" si="33"/>
        <v>0</v>
      </c>
      <c r="W21" s="60">
        <f t="shared" si="33"/>
        <v>0</v>
      </c>
      <c r="X21" s="60">
        <f t="shared" si="33"/>
        <v>0</v>
      </c>
      <c r="Y21" s="60">
        <f t="shared" si="33"/>
        <v>0</v>
      </c>
      <c r="Z21" s="60">
        <f t="shared" si="33"/>
        <v>0</v>
      </c>
      <c r="AA21" s="60">
        <f t="shared" si="33"/>
        <v>0</v>
      </c>
      <c r="AB21" s="60">
        <f t="shared" si="33"/>
        <v>0</v>
      </c>
      <c r="AC21" s="60">
        <f t="shared" si="33"/>
        <v>0</v>
      </c>
      <c r="AD21" s="45">
        <f t="shared" si="15"/>
        <v>0</v>
      </c>
      <c r="AE21" s="46">
        <f t="shared" si="16"/>
        <v>0</v>
      </c>
    </row>
    <row r="22">
      <c r="A22" s="31"/>
      <c r="C22" s="49">
        <f t="shared" si="2"/>
        <v>0</v>
      </c>
      <c r="D22" s="49">
        <f t="shared" si="3"/>
        <v>0</v>
      </c>
      <c r="E22" s="50">
        <f t="shared" si="4"/>
        <v>0</v>
      </c>
      <c r="F22" s="50">
        <f t="shared" si="5"/>
        <v>0</v>
      </c>
      <c r="G22" s="51">
        <f t="shared" si="6"/>
        <v>0</v>
      </c>
      <c r="H22" s="51">
        <f t="shared" si="7"/>
        <v>0</v>
      </c>
      <c r="I22" s="52">
        <f t="shared" si="8"/>
        <v>0</v>
      </c>
      <c r="J22" s="52">
        <f t="shared" si="9"/>
        <v>0</v>
      </c>
      <c r="K22" s="53">
        <f t="shared" si="10"/>
        <v>0</v>
      </c>
      <c r="L22" s="53">
        <f t="shared" si="11"/>
        <v>0</v>
      </c>
      <c r="M22" s="54">
        <f t="shared" si="12"/>
        <v>0</v>
      </c>
      <c r="N22" s="54">
        <f t="shared" si="13"/>
        <v>0</v>
      </c>
      <c r="O22" s="55">
        <f t="shared" ref="O22:AC22" si="34">COUNTIF(INDIRECT("'"&amp;$B22&amp;"'!$L:$L"),"*"&amp;O$1&amp;"*")</f>
        <v>0</v>
      </c>
      <c r="P22" s="56">
        <f t="shared" si="34"/>
        <v>0</v>
      </c>
      <c r="Q22" s="57">
        <f t="shared" si="34"/>
        <v>0</v>
      </c>
      <c r="R22" s="58">
        <f t="shared" si="34"/>
        <v>0</v>
      </c>
      <c r="S22" s="59">
        <f t="shared" si="34"/>
        <v>0</v>
      </c>
      <c r="T22" s="60">
        <f t="shared" si="34"/>
        <v>0</v>
      </c>
      <c r="U22" s="60">
        <f t="shared" si="34"/>
        <v>0</v>
      </c>
      <c r="V22" s="60">
        <f t="shared" si="34"/>
        <v>0</v>
      </c>
      <c r="W22" s="60">
        <f t="shared" si="34"/>
        <v>0</v>
      </c>
      <c r="X22" s="60">
        <f t="shared" si="34"/>
        <v>0</v>
      </c>
      <c r="Y22" s="60">
        <f t="shared" si="34"/>
        <v>0</v>
      </c>
      <c r="Z22" s="60">
        <f t="shared" si="34"/>
        <v>0</v>
      </c>
      <c r="AA22" s="60">
        <f t="shared" si="34"/>
        <v>0</v>
      </c>
      <c r="AB22" s="60">
        <f t="shared" si="34"/>
        <v>0</v>
      </c>
      <c r="AC22" s="60">
        <f t="shared" si="34"/>
        <v>0</v>
      </c>
      <c r="AD22" s="45">
        <f t="shared" si="15"/>
        <v>0</v>
      </c>
      <c r="AE22" s="46">
        <f t="shared" si="16"/>
        <v>0</v>
      </c>
    </row>
    <row r="23">
      <c r="A23" s="31"/>
      <c r="B23" s="48"/>
      <c r="C23" s="49">
        <f t="shared" si="2"/>
        <v>0</v>
      </c>
      <c r="D23" s="49">
        <f t="shared" si="3"/>
        <v>0</v>
      </c>
      <c r="E23" s="50">
        <f t="shared" si="4"/>
        <v>0</v>
      </c>
      <c r="F23" s="50">
        <f t="shared" si="5"/>
        <v>0</v>
      </c>
      <c r="G23" s="51">
        <f t="shared" si="6"/>
        <v>0</v>
      </c>
      <c r="H23" s="51">
        <f t="shared" si="7"/>
        <v>0</v>
      </c>
      <c r="I23" s="52">
        <f t="shared" si="8"/>
        <v>0</v>
      </c>
      <c r="J23" s="52">
        <f t="shared" si="9"/>
        <v>0</v>
      </c>
      <c r="K23" s="53">
        <f t="shared" si="10"/>
        <v>0</v>
      </c>
      <c r="L23" s="53">
        <f t="shared" si="11"/>
        <v>0</v>
      </c>
      <c r="M23" s="54">
        <f t="shared" si="12"/>
        <v>0</v>
      </c>
      <c r="N23" s="54">
        <f t="shared" si="13"/>
        <v>0</v>
      </c>
      <c r="O23" s="55">
        <f t="shared" ref="O23:AC23" si="35">COUNTIF(INDIRECT("'"&amp;$B23&amp;"'!$L:$L"),"*"&amp;O$1&amp;"*")</f>
        <v>0</v>
      </c>
      <c r="P23" s="56">
        <f t="shared" si="35"/>
        <v>0</v>
      </c>
      <c r="Q23" s="57">
        <f t="shared" si="35"/>
        <v>0</v>
      </c>
      <c r="R23" s="58">
        <f t="shared" si="35"/>
        <v>0</v>
      </c>
      <c r="S23" s="59">
        <f t="shared" si="35"/>
        <v>0</v>
      </c>
      <c r="T23" s="60">
        <f t="shared" si="35"/>
        <v>0</v>
      </c>
      <c r="U23" s="60">
        <f t="shared" si="35"/>
        <v>0</v>
      </c>
      <c r="V23" s="60">
        <f t="shared" si="35"/>
        <v>0</v>
      </c>
      <c r="W23" s="60">
        <f t="shared" si="35"/>
        <v>0</v>
      </c>
      <c r="X23" s="60">
        <f t="shared" si="35"/>
        <v>0</v>
      </c>
      <c r="Y23" s="60">
        <f t="shared" si="35"/>
        <v>0</v>
      </c>
      <c r="Z23" s="60">
        <f t="shared" si="35"/>
        <v>0</v>
      </c>
      <c r="AA23" s="60">
        <f t="shared" si="35"/>
        <v>0</v>
      </c>
      <c r="AB23" s="60">
        <f t="shared" si="35"/>
        <v>0</v>
      </c>
      <c r="AC23" s="60">
        <f t="shared" si="35"/>
        <v>0</v>
      </c>
      <c r="AD23" s="45">
        <f t="shared" si="15"/>
        <v>0</v>
      </c>
      <c r="AE23" s="46">
        <f t="shared" si="16"/>
        <v>0</v>
      </c>
    </row>
    <row r="24">
      <c r="A24" s="31"/>
      <c r="B24" s="48"/>
      <c r="C24" s="33">
        <f t="shared" si="2"/>
        <v>0</v>
      </c>
      <c r="D24" s="49">
        <f t="shared" si="3"/>
        <v>0</v>
      </c>
      <c r="E24" s="50">
        <f t="shared" si="4"/>
        <v>0</v>
      </c>
      <c r="F24" s="50">
        <f t="shared" si="5"/>
        <v>0</v>
      </c>
      <c r="G24" s="51">
        <f t="shared" si="6"/>
        <v>0</v>
      </c>
      <c r="H24" s="51">
        <f t="shared" si="7"/>
        <v>0</v>
      </c>
      <c r="I24" s="52">
        <f t="shared" si="8"/>
        <v>0</v>
      </c>
      <c r="J24" s="52">
        <f t="shared" si="9"/>
        <v>0</v>
      </c>
      <c r="K24" s="53">
        <f t="shared" si="10"/>
        <v>0</v>
      </c>
      <c r="L24" s="53">
        <f t="shared" si="11"/>
        <v>0</v>
      </c>
      <c r="M24" s="54">
        <f t="shared" si="12"/>
        <v>0</v>
      </c>
      <c r="N24" s="54">
        <f t="shared" si="13"/>
        <v>0</v>
      </c>
      <c r="O24" s="55">
        <f t="shared" ref="O24:AC24" si="36">COUNTIF(INDIRECT("'"&amp;$B24&amp;"'!$L:$L"),"*"&amp;O$1&amp;"*")</f>
        <v>0</v>
      </c>
      <c r="P24" s="56">
        <f t="shared" si="36"/>
        <v>0</v>
      </c>
      <c r="Q24" s="57">
        <f t="shared" si="36"/>
        <v>0</v>
      </c>
      <c r="R24" s="58">
        <f t="shared" si="36"/>
        <v>0</v>
      </c>
      <c r="S24" s="59">
        <f t="shared" si="36"/>
        <v>0</v>
      </c>
      <c r="T24" s="60">
        <f t="shared" si="36"/>
        <v>0</v>
      </c>
      <c r="U24" s="60">
        <f t="shared" si="36"/>
        <v>0</v>
      </c>
      <c r="V24" s="60">
        <f t="shared" si="36"/>
        <v>0</v>
      </c>
      <c r="W24" s="60">
        <f t="shared" si="36"/>
        <v>0</v>
      </c>
      <c r="X24" s="60">
        <f t="shared" si="36"/>
        <v>0</v>
      </c>
      <c r="Y24" s="60">
        <f t="shared" si="36"/>
        <v>0</v>
      </c>
      <c r="Z24" s="60">
        <f t="shared" si="36"/>
        <v>0</v>
      </c>
      <c r="AA24" s="60">
        <f t="shared" si="36"/>
        <v>0</v>
      </c>
      <c r="AB24" s="60">
        <f t="shared" si="36"/>
        <v>0</v>
      </c>
      <c r="AC24" s="60">
        <f t="shared" si="36"/>
        <v>0</v>
      </c>
      <c r="AD24" s="45">
        <f t="shared" si="15"/>
        <v>0</v>
      </c>
      <c r="AE24" s="46">
        <f t="shared" si="16"/>
        <v>0</v>
      </c>
    </row>
    <row r="25">
      <c r="A25" s="31"/>
      <c r="B25" s="48"/>
      <c r="C25" s="49">
        <f t="shared" si="2"/>
        <v>0</v>
      </c>
      <c r="D25" s="49">
        <f t="shared" si="3"/>
        <v>0</v>
      </c>
      <c r="E25" s="50">
        <f t="shared" si="4"/>
        <v>0</v>
      </c>
      <c r="F25" s="50">
        <f t="shared" si="5"/>
        <v>0</v>
      </c>
      <c r="G25" s="51">
        <f t="shared" si="6"/>
        <v>0</v>
      </c>
      <c r="H25" s="51">
        <f t="shared" si="7"/>
        <v>0</v>
      </c>
      <c r="I25" s="52">
        <f t="shared" si="8"/>
        <v>0</v>
      </c>
      <c r="J25" s="52">
        <f t="shared" si="9"/>
        <v>0</v>
      </c>
      <c r="K25" s="53">
        <f t="shared" si="10"/>
        <v>0</v>
      </c>
      <c r="L25" s="53">
        <f t="shared" si="11"/>
        <v>0</v>
      </c>
      <c r="M25" s="54">
        <f t="shared" si="12"/>
        <v>0</v>
      </c>
      <c r="N25" s="54">
        <f t="shared" si="13"/>
        <v>0</v>
      </c>
      <c r="O25" s="55">
        <f t="shared" ref="O25:AC25" si="37">COUNTIF(INDIRECT("'"&amp;$B25&amp;"'!$L:$L"),"*"&amp;O$1&amp;"*")</f>
        <v>0</v>
      </c>
      <c r="P25" s="56">
        <f t="shared" si="37"/>
        <v>0</v>
      </c>
      <c r="Q25" s="57">
        <f t="shared" si="37"/>
        <v>0</v>
      </c>
      <c r="R25" s="58">
        <f t="shared" si="37"/>
        <v>0</v>
      </c>
      <c r="S25" s="59">
        <f t="shared" si="37"/>
        <v>0</v>
      </c>
      <c r="T25" s="60">
        <f t="shared" si="37"/>
        <v>0</v>
      </c>
      <c r="U25" s="60">
        <f t="shared" si="37"/>
        <v>0</v>
      </c>
      <c r="V25" s="60">
        <f t="shared" si="37"/>
        <v>0</v>
      </c>
      <c r="W25" s="60">
        <f t="shared" si="37"/>
        <v>0</v>
      </c>
      <c r="X25" s="60">
        <f t="shared" si="37"/>
        <v>0</v>
      </c>
      <c r="Y25" s="60">
        <f t="shared" si="37"/>
        <v>0</v>
      </c>
      <c r="Z25" s="60">
        <f t="shared" si="37"/>
        <v>0</v>
      </c>
      <c r="AA25" s="60">
        <f t="shared" si="37"/>
        <v>0</v>
      </c>
      <c r="AB25" s="60">
        <f t="shared" si="37"/>
        <v>0</v>
      </c>
      <c r="AC25" s="60">
        <f t="shared" si="37"/>
        <v>0</v>
      </c>
      <c r="AD25" s="45">
        <f t="shared" si="15"/>
        <v>0</v>
      </c>
      <c r="AE25" s="46">
        <f t="shared" si="16"/>
        <v>0</v>
      </c>
    </row>
    <row r="26">
      <c r="A26" s="31"/>
      <c r="B26" s="48"/>
      <c r="C26" s="49"/>
      <c r="D26" s="49"/>
      <c r="E26" s="50"/>
      <c r="F26" s="50"/>
      <c r="G26" s="51"/>
      <c r="H26" s="51"/>
      <c r="I26" s="52"/>
      <c r="J26" s="52"/>
      <c r="K26" s="53"/>
      <c r="L26" s="53"/>
      <c r="M26" s="54"/>
      <c r="N26" s="54"/>
      <c r="O26" s="55"/>
      <c r="P26" s="56"/>
      <c r="Q26" s="57"/>
      <c r="R26" s="58"/>
      <c r="S26" s="59"/>
      <c r="T26" s="60"/>
      <c r="U26" s="60"/>
      <c r="V26" s="60"/>
      <c r="W26" s="60"/>
      <c r="X26" s="60"/>
      <c r="Y26" s="60"/>
      <c r="Z26" s="60"/>
      <c r="AA26" s="60"/>
      <c r="AB26" s="60"/>
      <c r="AC26" s="60"/>
      <c r="AD26" s="45"/>
      <c r="AE26" s="46"/>
    </row>
    <row r="27">
      <c r="A27" s="31"/>
      <c r="B27" s="48"/>
      <c r="C27" s="49"/>
      <c r="D27" s="49"/>
      <c r="E27" s="50"/>
      <c r="F27" s="50"/>
      <c r="G27" s="51"/>
      <c r="H27" s="51"/>
      <c r="I27" s="52"/>
      <c r="J27" s="52"/>
      <c r="K27" s="53"/>
      <c r="L27" s="53"/>
      <c r="M27" s="54"/>
      <c r="N27" s="54"/>
      <c r="O27" s="55"/>
      <c r="P27" s="56"/>
      <c r="Q27" s="57"/>
      <c r="R27" s="58"/>
      <c r="S27" s="59"/>
      <c r="T27" s="60"/>
      <c r="U27" s="60"/>
      <c r="V27" s="60"/>
      <c r="W27" s="60"/>
      <c r="X27" s="60"/>
      <c r="Y27" s="60"/>
      <c r="Z27" s="60"/>
      <c r="AA27" s="60"/>
      <c r="AB27" s="60"/>
      <c r="AC27" s="60"/>
      <c r="AD27" s="45"/>
      <c r="AE27" s="46"/>
    </row>
    <row r="28">
      <c r="A28" s="31"/>
      <c r="B28" s="48"/>
      <c r="C28" s="49"/>
      <c r="D28" s="49"/>
      <c r="E28" s="50"/>
      <c r="F28" s="50"/>
      <c r="G28" s="51"/>
      <c r="H28" s="51"/>
      <c r="I28" s="52"/>
      <c r="J28" s="52"/>
      <c r="K28" s="53"/>
      <c r="L28" s="53"/>
      <c r="M28" s="54"/>
      <c r="N28" s="54"/>
      <c r="O28" s="55"/>
      <c r="P28" s="56"/>
      <c r="Q28" s="57"/>
      <c r="R28" s="58"/>
      <c r="S28" s="59"/>
      <c r="T28" s="60"/>
      <c r="U28" s="60"/>
      <c r="V28" s="60"/>
      <c r="W28" s="60"/>
      <c r="X28" s="60"/>
      <c r="Y28" s="60"/>
      <c r="Z28" s="60"/>
      <c r="AA28" s="60"/>
      <c r="AB28" s="60"/>
      <c r="AC28" s="60"/>
      <c r="AD28" s="45"/>
      <c r="AE28" s="46"/>
    </row>
    <row r="29">
      <c r="A29" s="31"/>
      <c r="B29" s="48"/>
      <c r="C29" s="49"/>
      <c r="D29" s="49"/>
      <c r="E29" s="50"/>
      <c r="F29" s="50"/>
      <c r="G29" s="51"/>
      <c r="H29" s="51"/>
      <c r="I29" s="52"/>
      <c r="J29" s="52"/>
      <c r="K29" s="53"/>
      <c r="L29" s="53"/>
      <c r="M29" s="54"/>
      <c r="N29" s="54"/>
      <c r="O29" s="55"/>
      <c r="P29" s="56"/>
      <c r="Q29" s="57"/>
      <c r="R29" s="58"/>
      <c r="S29" s="59"/>
      <c r="T29" s="60"/>
      <c r="U29" s="60"/>
      <c r="V29" s="60"/>
      <c r="W29" s="60"/>
      <c r="X29" s="60"/>
      <c r="Y29" s="60"/>
      <c r="Z29" s="60"/>
      <c r="AA29" s="60"/>
      <c r="AB29" s="60"/>
      <c r="AC29" s="60"/>
      <c r="AD29" s="45"/>
      <c r="AE29" s="46"/>
    </row>
    <row r="30">
      <c r="A30" s="31"/>
      <c r="B30" s="61"/>
      <c r="C30" s="49"/>
      <c r="D30" s="62"/>
      <c r="E30" s="50"/>
      <c r="F30" s="50"/>
      <c r="G30" s="51"/>
      <c r="H30" s="51"/>
      <c r="I30" s="52"/>
      <c r="J30" s="52"/>
      <c r="K30" s="53"/>
      <c r="L30" s="53"/>
      <c r="M30" s="54"/>
      <c r="N30" s="54"/>
      <c r="O30" s="55"/>
      <c r="P30" s="56"/>
      <c r="Q30" s="57"/>
      <c r="R30" s="58"/>
      <c r="S30" s="59"/>
      <c r="T30" s="60"/>
      <c r="U30" s="60"/>
      <c r="V30" s="60"/>
      <c r="W30" s="60"/>
      <c r="X30" s="60"/>
      <c r="Y30" s="60"/>
      <c r="Z30" s="60"/>
      <c r="AA30" s="60"/>
      <c r="AB30" s="60"/>
      <c r="AC30" s="60"/>
      <c r="AD30" s="45"/>
      <c r="AE30" s="46"/>
    </row>
    <row r="31">
      <c r="A31" s="31"/>
      <c r="B31" s="48"/>
      <c r="C31" s="49"/>
      <c r="D31" s="49"/>
      <c r="E31" s="50"/>
      <c r="F31" s="50"/>
      <c r="G31" s="51"/>
      <c r="H31" s="51"/>
      <c r="I31" s="52"/>
      <c r="J31" s="52"/>
      <c r="K31" s="53"/>
      <c r="L31" s="53"/>
      <c r="M31" s="54"/>
      <c r="N31" s="54"/>
      <c r="O31" s="55"/>
      <c r="P31" s="56"/>
      <c r="Q31" s="57"/>
      <c r="R31" s="58"/>
      <c r="S31" s="59"/>
      <c r="T31" s="60"/>
      <c r="U31" s="60"/>
      <c r="V31" s="60"/>
      <c r="W31" s="60"/>
      <c r="X31" s="60"/>
      <c r="Y31" s="60"/>
      <c r="Z31" s="60"/>
      <c r="AA31" s="60"/>
      <c r="AB31" s="60"/>
      <c r="AC31" s="60"/>
      <c r="AD31" s="45"/>
      <c r="AE31" s="46"/>
    </row>
    <row r="32">
      <c r="A32" s="63"/>
      <c r="B32" s="64" t="s">
        <v>38</v>
      </c>
      <c r="C32" s="65">
        <f t="shared" ref="C32:AE32" si="38">SUM(C3:C31)</f>
        <v>6</v>
      </c>
      <c r="D32" s="66">
        <f t="shared" si="38"/>
        <v>82</v>
      </c>
      <c r="E32" s="67">
        <f t="shared" si="38"/>
        <v>5</v>
      </c>
      <c r="F32" s="67">
        <f t="shared" si="38"/>
        <v>63</v>
      </c>
      <c r="G32" s="68">
        <f t="shared" si="38"/>
        <v>0</v>
      </c>
      <c r="H32" s="68">
        <f t="shared" si="38"/>
        <v>36</v>
      </c>
      <c r="I32" s="69">
        <f t="shared" si="38"/>
        <v>14</v>
      </c>
      <c r="J32" s="69">
        <f t="shared" si="38"/>
        <v>124</v>
      </c>
      <c r="K32" s="70">
        <f t="shared" si="38"/>
        <v>2</v>
      </c>
      <c r="L32" s="70">
        <f t="shared" si="38"/>
        <v>32</v>
      </c>
      <c r="M32" s="71">
        <f t="shared" si="38"/>
        <v>0</v>
      </c>
      <c r="N32" s="71">
        <f t="shared" si="38"/>
        <v>0</v>
      </c>
      <c r="O32" s="72">
        <f t="shared" si="38"/>
        <v>100</v>
      </c>
      <c r="P32" s="73">
        <f t="shared" si="38"/>
        <v>7</v>
      </c>
      <c r="Q32" s="74">
        <f t="shared" si="38"/>
        <v>4</v>
      </c>
      <c r="R32" s="75">
        <f t="shared" si="38"/>
        <v>0</v>
      </c>
      <c r="S32" s="76">
        <f t="shared" si="38"/>
        <v>0</v>
      </c>
      <c r="T32" s="77">
        <f t="shared" si="38"/>
        <v>0</v>
      </c>
      <c r="U32" s="77">
        <f t="shared" si="38"/>
        <v>0</v>
      </c>
      <c r="V32" s="77">
        <f t="shared" si="38"/>
        <v>0</v>
      </c>
      <c r="W32" s="77">
        <f t="shared" si="38"/>
        <v>0</v>
      </c>
      <c r="X32" s="77">
        <f t="shared" si="38"/>
        <v>0</v>
      </c>
      <c r="Y32" s="77">
        <f t="shared" si="38"/>
        <v>0</v>
      </c>
      <c r="Z32" s="77">
        <f t="shared" si="38"/>
        <v>0</v>
      </c>
      <c r="AA32" s="77">
        <f t="shared" si="38"/>
        <v>0</v>
      </c>
      <c r="AB32" s="77">
        <f t="shared" si="38"/>
        <v>0</v>
      </c>
      <c r="AC32" s="77">
        <f t="shared" si="38"/>
        <v>0</v>
      </c>
      <c r="AD32" s="78">
        <f t="shared" si="38"/>
        <v>475</v>
      </c>
      <c r="AE32" s="79">
        <f t="shared" si="38"/>
        <v>475</v>
      </c>
    </row>
    <row r="33">
      <c r="A33" s="80"/>
      <c r="B33" s="81" t="s">
        <v>39</v>
      </c>
      <c r="C33" s="82">
        <f>C32*1.5</f>
        <v>9</v>
      </c>
      <c r="D33" s="83">
        <f>D32*1</f>
        <v>82</v>
      </c>
      <c r="E33" s="84">
        <f>E32*1.5</f>
        <v>7.5</v>
      </c>
      <c r="F33" s="84">
        <f>F32*1</f>
        <v>63</v>
      </c>
      <c r="G33" s="85">
        <f>G32*1.5</f>
        <v>0</v>
      </c>
      <c r="H33" s="85">
        <f>H32*1</f>
        <v>36</v>
      </c>
      <c r="I33" s="86">
        <f>I32*1.5</f>
        <v>21</v>
      </c>
      <c r="J33" s="86">
        <f>J32*1</f>
        <v>124</v>
      </c>
      <c r="K33" s="87">
        <f>K32*1.5</f>
        <v>3</v>
      </c>
      <c r="L33" s="87">
        <f>L32*1</f>
        <v>32</v>
      </c>
      <c r="M33" s="88">
        <f>M32*1.5</f>
        <v>0</v>
      </c>
      <c r="N33" s="88">
        <f t="shared" ref="N33:S33" si="39">N32*1</f>
        <v>0</v>
      </c>
      <c r="O33" s="89">
        <f t="shared" si="39"/>
        <v>100</v>
      </c>
      <c r="P33" s="90">
        <f t="shared" si="39"/>
        <v>7</v>
      </c>
      <c r="Q33" s="91">
        <f t="shared" si="39"/>
        <v>4</v>
      </c>
      <c r="R33" s="92">
        <f t="shared" si="39"/>
        <v>0</v>
      </c>
      <c r="S33" s="93">
        <f t="shared" si="39"/>
        <v>0</v>
      </c>
      <c r="T33" s="94">
        <f t="shared" ref="T33:Y33" si="40">T32*3</f>
        <v>0</v>
      </c>
      <c r="U33" s="94">
        <f t="shared" si="40"/>
        <v>0</v>
      </c>
      <c r="V33" s="94">
        <f t="shared" si="40"/>
        <v>0</v>
      </c>
      <c r="W33" s="94">
        <f t="shared" si="40"/>
        <v>0</v>
      </c>
      <c r="X33" s="94">
        <f t="shared" si="40"/>
        <v>0</v>
      </c>
      <c r="Y33" s="94">
        <f t="shared" si="40"/>
        <v>0</v>
      </c>
      <c r="Z33" s="94"/>
      <c r="AA33" s="94"/>
      <c r="AB33" s="94"/>
      <c r="AC33" s="94"/>
      <c r="AD33" s="80"/>
      <c r="AE33" s="80"/>
    </row>
    <row r="34" ht="21.75" customHeight="1">
      <c r="A34" s="95"/>
      <c r="B34" s="96" t="s">
        <v>40</v>
      </c>
      <c r="C34" s="95">
        <f>C33+D33</f>
        <v>91</v>
      </c>
      <c r="E34" s="95">
        <f>E33+F33</f>
        <v>70.5</v>
      </c>
      <c r="G34" s="95">
        <f>G33+H33</f>
        <v>36</v>
      </c>
      <c r="I34" s="95">
        <f>I33+J33</f>
        <v>145</v>
      </c>
      <c r="K34" s="95">
        <f>K33+L33</f>
        <v>35</v>
      </c>
      <c r="M34" s="95">
        <f>M33+N33</f>
        <v>0</v>
      </c>
      <c r="O34" s="95">
        <f t="shared" ref="O34:Y34" si="41">O33</f>
        <v>100</v>
      </c>
      <c r="P34" s="95">
        <f t="shared" si="41"/>
        <v>7</v>
      </c>
      <c r="Q34" s="95">
        <f t="shared" si="41"/>
        <v>4</v>
      </c>
      <c r="R34" s="95">
        <f t="shared" si="41"/>
        <v>0</v>
      </c>
      <c r="S34" s="95">
        <f t="shared" si="41"/>
        <v>0</v>
      </c>
      <c r="T34" s="95">
        <f t="shared" si="41"/>
        <v>0</v>
      </c>
      <c r="U34" s="95">
        <f t="shared" si="41"/>
        <v>0</v>
      </c>
      <c r="V34" s="95">
        <f t="shared" si="41"/>
        <v>0</v>
      </c>
      <c r="W34" s="95">
        <f t="shared" si="41"/>
        <v>0</v>
      </c>
      <c r="X34" s="95">
        <f t="shared" si="41"/>
        <v>0</v>
      </c>
      <c r="Y34" s="95">
        <f t="shared" si="41"/>
        <v>0</v>
      </c>
      <c r="Z34" s="95"/>
      <c r="AA34" s="95"/>
      <c r="AB34" s="95"/>
      <c r="AC34" s="95"/>
      <c r="AD34" s="95"/>
      <c r="AE34" s="95">
        <f>SUM(C34:AC34)</f>
        <v>488.5</v>
      </c>
    </row>
    <row r="35">
      <c r="A35" s="97" t="s">
        <v>41</v>
      </c>
      <c r="B35" s="98" t="s">
        <v>42</v>
      </c>
      <c r="C35" s="98" t="s">
        <v>43</v>
      </c>
      <c r="E35" s="98" t="s">
        <v>44</v>
      </c>
      <c r="G35" s="98" t="s">
        <v>45</v>
      </c>
      <c r="I35" s="98" t="s">
        <v>46</v>
      </c>
    </row>
    <row r="36">
      <c r="A36" s="99"/>
      <c r="B36" s="97" t="s">
        <v>47</v>
      </c>
      <c r="C36" s="98" t="s">
        <v>48</v>
      </c>
    </row>
    <row r="37">
      <c r="A37" s="99"/>
      <c r="B37" s="97" t="s">
        <v>49</v>
      </c>
      <c r="C37" s="98" t="s">
        <v>50</v>
      </c>
    </row>
  </sheetData>
  <mergeCells count="18">
    <mergeCell ref="E34:F34"/>
    <mergeCell ref="G34:H34"/>
    <mergeCell ref="C35:D35"/>
    <mergeCell ref="E35:F35"/>
    <mergeCell ref="G35:H35"/>
    <mergeCell ref="I34:J34"/>
    <mergeCell ref="K34:L34"/>
    <mergeCell ref="I35:AE35"/>
    <mergeCell ref="C36:AE36"/>
    <mergeCell ref="C37:AE37"/>
    <mergeCell ref="C1:D1"/>
    <mergeCell ref="E1:F1"/>
    <mergeCell ref="G1:H1"/>
    <mergeCell ref="I1:J1"/>
    <mergeCell ref="K1:L1"/>
    <mergeCell ref="M1:N1"/>
    <mergeCell ref="C34:D34"/>
    <mergeCell ref="M34:N34"/>
  </mergeCells>
  <dataValidations>
    <dataValidation type="custom" allowBlank="1" showDropDown="1" showErrorMessage="1" sqref="A3:A31 A33:A34 A36:A37">
      <formula1>OR(NOT(ISERROR(DATEVALUE(A3))), AND(ISNUMBER(A3), LEFT(CELL("format", A3))="D"))</formula1>
    </dataValidation>
  </dataValidations>
  <hyperlinks>
    <hyperlink display="WS_BANANA" location="WS_BANANA!A1" ref="B3"/>
    <hyperlink display="WS_TIMOR" location="WS_TIMOR!A1" ref="B4"/>
    <hyperlink display="WS_LULU" location="WS_LULU!A1" ref="B5"/>
    <hyperlink display="WS_KUMO" location="WS_KUMO!A1" ref="B6"/>
    <hyperlink display="WS_LELI" location="WS_LELI!A1" ref="B7"/>
    <hyperlink display="WS_DEBORAHESPOSITO" location="WS_DEBORAHESPOSITO!A1" ref="B8"/>
    <hyperlink display="WS_DEANGELIS" location="WS_DEANGELIS!A1" ref="B9"/>
    <hyperlink display="WS_NEREA" location="WS_NEREA!A1" ref="B10"/>
    <hyperlink display="WS_FESTA NATALE" location="'WS_FESTA NATALE'!A1" ref="B11"/>
    <hyperlink display="SOLO SERATA_FESTA NATALE" location="'SOLO SERATA_FESTA NATALE'!A1" ref="B12"/>
    <hyperlink display="WS_ALESSIOCAVALIERE" location="WS_ALESSIOCAVALIERE!A1" ref="B13"/>
    <hyperlink display="WS_EMANUELLO" location="WS_EMANUELLO!A1" ref="B14"/>
    <hyperlink display="OC_ANAHITA" location="OC_ANAHITA!A1" ref="B15"/>
    <hyperlink display="WS_DIA_EN_CUBA" location="null!A1" ref="B16"/>
    <hyperlink display="OC_AMBERALDRIN" location="OC_AMBERALDRIN!A1" ref="B17"/>
    <hyperlink display="WS_JASMINE_ANDRIANO" location="null!A1" ref="B18"/>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1" t="s">
        <v>51</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 r="A3" s="110"/>
      <c r="B3" s="110"/>
      <c r="C3" s="110" t="s">
        <v>72</v>
      </c>
    </row>
    <row r="4" outlineLevel="1">
      <c r="A4" s="111" t="s">
        <v>73</v>
      </c>
      <c r="B4" s="111" t="s">
        <v>74</v>
      </c>
      <c r="C4" s="112">
        <v>46065.0</v>
      </c>
      <c r="D4" s="111"/>
      <c r="E4" s="111" t="s">
        <v>75</v>
      </c>
      <c r="F4" s="111" t="s">
        <v>76</v>
      </c>
      <c r="G4" s="111">
        <v>3.770848139E9</v>
      </c>
      <c r="H4" s="113" t="s">
        <v>77</v>
      </c>
      <c r="I4" s="111" t="s">
        <v>78</v>
      </c>
      <c r="J4" s="114">
        <v>46065.0</v>
      </c>
      <c r="K4" s="115">
        <v>32.0</v>
      </c>
      <c r="L4" s="116" t="s">
        <v>79</v>
      </c>
      <c r="M4" s="117">
        <f>IFERROR(__xludf.DUMMYFUNCTION("IF(
  K4="""",
  """",
  ROUND(
    IF(
      L4="""",
      K4,
      IF(
        ISERROR(FIND(""-"",L4)),
        K4 - VALUE(REGEXEXTRACT(L4,""(\d+)"")),
        K4 * (1 - VALUE(REGEXEXTRACT(L4,""(\d+)""))/100)
      )
    ),
    2
  )
)
"),30.0)</f>
        <v>30</v>
      </c>
      <c r="N4" s="111" t="s">
        <v>80</v>
      </c>
      <c r="O4" s="118" t="b">
        <v>0</v>
      </c>
      <c r="P4" s="119"/>
      <c r="Q4" s="120" t="s">
        <v>81</v>
      </c>
      <c r="R4" s="121" t="b">
        <v>0</v>
      </c>
      <c r="S4" s="121" t="b">
        <v>1</v>
      </c>
      <c r="T4" s="122" t="b">
        <v>1</v>
      </c>
    </row>
    <row r="5" outlineLevel="1">
      <c r="A5" s="111" t="s">
        <v>73</v>
      </c>
      <c r="B5" s="111" t="s">
        <v>74</v>
      </c>
      <c r="C5" s="123">
        <v>46094.0</v>
      </c>
      <c r="D5" s="124"/>
      <c r="E5" s="124" t="s">
        <v>82</v>
      </c>
      <c r="F5" s="124" t="s">
        <v>83</v>
      </c>
      <c r="G5" s="124">
        <v>3.47856998E9</v>
      </c>
      <c r="H5" s="124" t="s">
        <v>84</v>
      </c>
      <c r="I5" s="124" t="s">
        <v>85</v>
      </c>
      <c r="J5" s="125">
        <v>46094.0</v>
      </c>
      <c r="K5" s="115">
        <v>32.0</v>
      </c>
      <c r="L5" s="116"/>
      <c r="M5" s="117">
        <f>IFERROR(__xludf.DUMMYFUNCTION("IF(
  K5="""",
  """",
  ROUND(
    IF(
      L5="""",
      K5,
      IF(
        ISERROR(FIND(""-"",L5)),
        K5 - VALUE(REGEXEXTRACT(L5,""(\d+)"")),
        K5 * (1 - VALUE(REGEXEXTRACT(L5,""(\d+)""))/100)
      )
    ),
    2
  )
)
"),32.0)</f>
        <v>32</v>
      </c>
      <c r="N5" s="111" t="s">
        <v>80</v>
      </c>
      <c r="O5" s="118" t="b">
        <v>0</v>
      </c>
      <c r="P5" s="119"/>
      <c r="Q5" s="120" t="s">
        <v>81</v>
      </c>
      <c r="R5" s="121" t="b">
        <v>0</v>
      </c>
      <c r="S5" s="121" t="b">
        <v>1</v>
      </c>
      <c r="T5" s="122" t="b">
        <v>1</v>
      </c>
    </row>
    <row r="6" outlineLevel="1">
      <c r="A6" s="111" t="s">
        <v>73</v>
      </c>
      <c r="B6" s="111" t="s">
        <v>74</v>
      </c>
      <c r="C6" s="112">
        <v>46078.0</v>
      </c>
      <c r="D6" s="111"/>
      <c r="E6" s="111" t="s">
        <v>86</v>
      </c>
      <c r="F6" s="111" t="s">
        <v>87</v>
      </c>
      <c r="G6" s="111">
        <v>3.4630622E9</v>
      </c>
      <c r="H6" s="111" t="s">
        <v>88</v>
      </c>
      <c r="I6" s="111" t="s">
        <v>89</v>
      </c>
      <c r="J6" s="126">
        <v>46078.0</v>
      </c>
      <c r="K6" s="115">
        <v>37.0</v>
      </c>
      <c r="L6" s="116"/>
      <c r="M6" s="117">
        <f>IFERROR(__xludf.DUMMYFUNCTION("IF(
  K6="""",
  """",
  ROUND(
    IF(
      L6="""",
      K6,
      IF(
        ISERROR(FIND(""-"",L6)),
        K6 - VALUE(REGEXEXTRACT(L6,""(\d+)"")),
        K6 * (1 - VALUE(REGEXEXTRACT(L6,""(\d+)""))/100)
      )
    ),
    2
  )
)
"),37.0)</f>
        <v>37</v>
      </c>
      <c r="N6" s="111" t="s">
        <v>80</v>
      </c>
      <c r="O6" s="118" t="b">
        <v>0</v>
      </c>
      <c r="P6" s="119"/>
      <c r="Q6" s="120" t="s">
        <v>81</v>
      </c>
      <c r="R6" s="121" t="b">
        <v>0</v>
      </c>
      <c r="S6" s="121" t="b">
        <v>1</v>
      </c>
      <c r="T6" s="122" t="b">
        <v>1</v>
      </c>
    </row>
    <row r="7" outlineLevel="1">
      <c r="A7" s="111" t="s">
        <v>73</v>
      </c>
      <c r="B7" s="111" t="s">
        <v>74</v>
      </c>
      <c r="C7" s="112">
        <v>46078.0</v>
      </c>
      <c r="D7" s="111"/>
      <c r="E7" s="111" t="s">
        <v>90</v>
      </c>
      <c r="F7" s="111" t="s">
        <v>91</v>
      </c>
      <c r="G7" s="111">
        <v>3.711436102E9</v>
      </c>
      <c r="H7" s="111" t="s">
        <v>92</v>
      </c>
      <c r="I7" s="111" t="s">
        <v>93</v>
      </c>
      <c r="J7" s="126">
        <v>46078.0</v>
      </c>
      <c r="K7" s="115">
        <v>37.0</v>
      </c>
      <c r="L7" s="116"/>
      <c r="M7" s="117">
        <f>IFERROR(__xludf.DUMMYFUNCTION("IF(
  K7="""",
  """",
  ROUND(
    IF(
      L7="""",
      K7,
      IF(
        ISERROR(FIND(""-"",L7)),
        K7 - VALUE(REGEXEXTRACT(L7,""(\d+)"")),
        K7 * (1 - VALUE(REGEXEXTRACT(L7,""(\d+)""))/100)
      )
    ),
    2
  )
)
"),37.0)</f>
        <v>37</v>
      </c>
      <c r="N7" s="111" t="s">
        <v>80</v>
      </c>
      <c r="O7" s="118" t="b">
        <v>0</v>
      </c>
      <c r="P7" s="119"/>
      <c r="Q7" s="120" t="s">
        <v>81</v>
      </c>
      <c r="R7" s="121" t="b">
        <v>0</v>
      </c>
      <c r="S7" s="121" t="b">
        <v>1</v>
      </c>
      <c r="T7" s="122" t="b">
        <v>1</v>
      </c>
    </row>
    <row r="8" outlineLevel="1">
      <c r="A8" s="111" t="s">
        <v>73</v>
      </c>
      <c r="B8" s="111" t="s">
        <v>94</v>
      </c>
      <c r="C8" s="112">
        <v>46097.0</v>
      </c>
      <c r="D8" s="111"/>
      <c r="E8" s="124" t="s">
        <v>95</v>
      </c>
      <c r="F8" s="124" t="s">
        <v>96</v>
      </c>
      <c r="G8" s="124">
        <v>3.517240804E9</v>
      </c>
      <c r="H8" s="124" t="s">
        <v>97</v>
      </c>
      <c r="I8" s="127" t="s">
        <v>98</v>
      </c>
      <c r="J8" s="126">
        <v>46097.0</v>
      </c>
      <c r="K8" s="115">
        <v>32.0</v>
      </c>
      <c r="L8" s="116" t="s">
        <v>99</v>
      </c>
      <c r="M8" s="117">
        <f>IFERROR(__xludf.DUMMYFUNCTION("IF(
  K8="""",
  """",
  ROUND(
    IF(
      L8="""",
      K8,
      IF(
        ISERROR(FIND(""-"",L8)),
        K8 - VALUE(REGEXEXTRACT(L8,""(\d+)"")),
        K8 * (1 - VALUE(REGEXEXTRACT(L8,""(\d+)""))/100)
      )
    ),
    2
  )
)
"),30.0)</f>
        <v>30</v>
      </c>
      <c r="N8" s="111" t="s">
        <v>100</v>
      </c>
      <c r="O8" s="118" t="b">
        <v>0</v>
      </c>
      <c r="P8" s="119"/>
      <c r="Q8" s="120" t="s">
        <v>81</v>
      </c>
      <c r="R8" s="121" t="b">
        <v>1</v>
      </c>
      <c r="S8" s="121" t="b">
        <v>1</v>
      </c>
      <c r="T8" s="122" t="b">
        <v>1</v>
      </c>
    </row>
    <row r="9" outlineLevel="1">
      <c r="A9" s="111" t="s">
        <v>101</v>
      </c>
      <c r="B9" s="111" t="s">
        <v>102</v>
      </c>
      <c r="C9" s="112">
        <v>46098.0</v>
      </c>
      <c r="D9" s="111"/>
      <c r="E9" s="111" t="s">
        <v>103</v>
      </c>
      <c r="F9" s="111" t="s">
        <v>7</v>
      </c>
      <c r="G9" s="111">
        <v>3.497813495E9</v>
      </c>
      <c r="H9" s="111" t="s">
        <v>104</v>
      </c>
      <c r="I9" s="111" t="s">
        <v>105</v>
      </c>
      <c r="J9" s="112">
        <v>46098.0</v>
      </c>
      <c r="K9" s="115">
        <v>32.0</v>
      </c>
      <c r="L9" s="116" t="s">
        <v>106</v>
      </c>
      <c r="M9" s="117">
        <f>IFERROR(__xludf.DUMMYFUNCTION("IF(
  K9="""",
  """",
  ROUND(
    IF(
      L9="""",
      K9,
      IF(
        ISERROR(FIND(""-"",L9)),
        K9 - VALUE(REGEXEXTRACT(L9,""(\d+)"")),
        K9 * (1 - VALUE(REGEXEXTRACT(L9,""(\d+)""))/100)
      )
    ),
    2
  )
)
"),30.0)</f>
        <v>30</v>
      </c>
      <c r="N9" s="111" t="s">
        <v>100</v>
      </c>
      <c r="O9" s="118" t="b">
        <v>0</v>
      </c>
      <c r="P9" s="119"/>
      <c r="Q9" s="120" t="s">
        <v>81</v>
      </c>
      <c r="R9" s="121" t="b">
        <v>0</v>
      </c>
      <c r="S9" s="121" t="b">
        <v>1</v>
      </c>
      <c r="T9" s="122" t="b">
        <v>1</v>
      </c>
    </row>
    <row r="10" outlineLevel="1">
      <c r="A10" s="111" t="s">
        <v>73</v>
      </c>
      <c r="B10" s="111" t="s">
        <v>74</v>
      </c>
      <c r="C10" s="112">
        <v>46099.0</v>
      </c>
      <c r="D10" s="111"/>
      <c r="E10" s="111" t="s">
        <v>107</v>
      </c>
      <c r="F10" s="111" t="s">
        <v>108</v>
      </c>
      <c r="G10" s="111">
        <v>3.511913556E9</v>
      </c>
      <c r="H10" s="128" t="s">
        <v>109</v>
      </c>
      <c r="I10" s="111" t="s">
        <v>110</v>
      </c>
      <c r="J10" s="126">
        <v>46099.0</v>
      </c>
      <c r="K10" s="115">
        <v>32.0</v>
      </c>
      <c r="L10" s="116"/>
      <c r="M10" s="117">
        <f>IFERROR(__xludf.DUMMYFUNCTION("IF(
  K10="""",
  """",
  ROUND(
    IF(
      L10="""",
      K10,
      IF(
        ISERROR(FIND(""-"",L10)),
        K10 - VALUE(REGEXEXTRACT(L10,""(\d+)"")),
        K10 * (1 - VALUE(REGEXEXTRACT(L10,""(\d+)""))/100)
      )
    ),
    2
  )
)
"),32.0)</f>
        <v>32</v>
      </c>
      <c r="N10" s="111" t="s">
        <v>80</v>
      </c>
      <c r="O10" s="118" t="b">
        <v>0</v>
      </c>
      <c r="P10" s="119"/>
      <c r="Q10" s="120" t="s">
        <v>81</v>
      </c>
      <c r="R10" s="121" t="b">
        <v>0</v>
      </c>
      <c r="S10" s="121" t="b">
        <v>1</v>
      </c>
      <c r="T10" s="122" t="b">
        <v>1</v>
      </c>
    </row>
    <row r="11" outlineLevel="1">
      <c r="A11" s="111" t="s">
        <v>73</v>
      </c>
      <c r="B11" s="111" t="s">
        <v>74</v>
      </c>
      <c r="C11" s="112">
        <v>46102.0</v>
      </c>
      <c r="D11" s="111"/>
      <c r="E11" s="111" t="s">
        <v>111</v>
      </c>
      <c r="F11" s="111" t="s">
        <v>112</v>
      </c>
      <c r="G11" s="111">
        <v>3.444243088E9</v>
      </c>
      <c r="H11" s="111" t="s">
        <v>113</v>
      </c>
      <c r="I11" s="111" t="s">
        <v>114</v>
      </c>
      <c r="J11" s="126">
        <v>46102.0</v>
      </c>
      <c r="K11" s="115">
        <v>37.0</v>
      </c>
      <c r="L11" s="116"/>
      <c r="M11" s="117">
        <f>IFERROR(__xludf.DUMMYFUNCTION("IF(
  K11="""",
  """",
  ROUND(
    IF(
      L11="""",
      K11,
      IF(
        ISERROR(FIND(""-"",L11)),
        K11 - VALUE(REGEXEXTRACT(L11,""(\d+)"")),
        K11 * (1 - VALUE(REGEXEXTRACT(L11,""(\d+)""))/100)
      )
    ),
    2
  )
)
"),37.0)</f>
        <v>37</v>
      </c>
      <c r="N11" s="111" t="s">
        <v>100</v>
      </c>
      <c r="O11" s="118" t="b">
        <v>0</v>
      </c>
      <c r="P11" s="119"/>
      <c r="Q11" s="120" t="s">
        <v>81</v>
      </c>
      <c r="R11" s="121" t="b">
        <v>1</v>
      </c>
      <c r="S11" s="121" t="b">
        <v>0</v>
      </c>
      <c r="T11" s="122" t="b">
        <v>1</v>
      </c>
    </row>
    <row r="12" outlineLevel="1">
      <c r="A12" s="111"/>
      <c r="B12" s="111"/>
      <c r="C12" s="112"/>
      <c r="D12" s="111"/>
      <c r="E12" s="111"/>
      <c r="F12" s="111"/>
      <c r="G12" s="111"/>
      <c r="H12" s="111"/>
      <c r="I12" s="111"/>
      <c r="J12" s="114"/>
      <c r="K12" s="115"/>
      <c r="L12" s="116"/>
      <c r="M12" s="117" t="str">
        <f>IFERROR(__xludf.DUMMYFUNCTION("IF(
  K12="""",
  """",
  ROUND(
    IF(
      L12="""",
      K12,
      IF(
        ISERROR(FIND(""-"",L12)),
        K12 - VALUE(REGEXEXTRACT(L12,""(\d+)"")),
        K12 * (1 - VALUE(REGEXEXTRACT(L12,""(\d+)""))/100)
      )
    ),
    2
  )
)
")," ")</f>
        <v/>
      </c>
      <c r="N12" s="111"/>
      <c r="O12" s="118" t="b">
        <v>0</v>
      </c>
      <c r="P12" s="119"/>
      <c r="Q12" s="120"/>
      <c r="R12" s="121" t="b">
        <v>0</v>
      </c>
      <c r="S12" s="121" t="b">
        <v>0</v>
      </c>
      <c r="T12" s="122" t="b">
        <v>0</v>
      </c>
    </row>
    <row r="13" outlineLevel="1">
      <c r="A13" s="111"/>
      <c r="B13" s="111"/>
      <c r="C13" s="112"/>
      <c r="D13" s="111"/>
      <c r="E13" s="111"/>
      <c r="F13" s="111"/>
      <c r="G13" s="111"/>
      <c r="H13" s="111"/>
      <c r="I13" s="111"/>
      <c r="J13" s="126"/>
      <c r="K13" s="115"/>
      <c r="L13" s="116"/>
      <c r="M13" s="117" t="str">
        <f>IFERROR(__xludf.DUMMYFUNCTION("IF(
  K13="""",
  """",
  ROUND(
    IF(
      L13="""",
      K13,
      IF(
        ISERROR(FIND(""-"",L13)),
        K13 - VALUE(REGEXEXTRACT(L13,""(\d+)"")),
        K13 * (1 - VALUE(REGEXEXTRACT(L13,""(\d+)""))/100)
      )
    ),
    2
  )
)
")," ")</f>
        <v/>
      </c>
      <c r="N13" s="111"/>
      <c r="O13" s="118" t="b">
        <v>0</v>
      </c>
      <c r="P13" s="119"/>
      <c r="Q13" s="120"/>
      <c r="R13" s="121" t="b">
        <v>0</v>
      </c>
      <c r="S13" s="121" t="b">
        <v>0</v>
      </c>
      <c r="T13" s="122" t="b">
        <v>0</v>
      </c>
    </row>
    <row r="14" outlineLevel="1">
      <c r="A14" s="116"/>
      <c r="B14" s="116"/>
      <c r="C14" s="129"/>
      <c r="D14" s="111"/>
      <c r="E14" s="111"/>
      <c r="F14" s="111"/>
      <c r="G14" s="111"/>
      <c r="H14" s="111"/>
      <c r="I14" s="111"/>
      <c r="J14" s="126"/>
      <c r="K14" s="115"/>
      <c r="L14" s="116"/>
      <c r="M14" s="117" t="str">
        <f>IFERROR(__xludf.DUMMYFUNCTION("IF(
  K14="""",
  """",
  ROUND(
    IF(
      L14="""",
      K14,
      IF(
        ISERROR(FIND(""-"",L14)),
        K14 - VALUE(REGEXEXTRACT(L14,""(\d+)"")),
        K14 * (1 - VALUE(REGEXEXTRACT(L14,""(\d+)""))/100)
      )
    ),
    2
  )
)
")," ")</f>
        <v/>
      </c>
      <c r="N14" s="111"/>
      <c r="O14" s="118" t="b">
        <v>0</v>
      </c>
      <c r="P14" s="119"/>
      <c r="Q14" s="120"/>
      <c r="R14" s="121" t="b">
        <v>0</v>
      </c>
      <c r="S14" s="121" t="b">
        <v>0</v>
      </c>
      <c r="T14" s="122" t="b">
        <v>0</v>
      </c>
    </row>
    <row r="15" outlineLevel="1">
      <c r="A15" s="116"/>
      <c r="B15" s="116"/>
      <c r="C15" s="130"/>
      <c r="D15" s="111"/>
      <c r="E15" s="124"/>
      <c r="F15" s="131"/>
      <c r="G15" s="124"/>
      <c r="H15" s="131"/>
      <c r="I15" s="124"/>
      <c r="J15" s="132"/>
      <c r="K15" s="115"/>
      <c r="L15" s="116"/>
      <c r="M15" s="117" t="str">
        <f>IFERROR(__xludf.DUMMYFUNCTION("IF(
  K15="""",
  """",
  ROUND(
    IF(
      L15="""",
      K15,
      IF(
        ISERROR(FIND(""-"",L15)),
        K15 - VALUE(REGEXEXTRACT(L15,""(\d+)"")),
        K15 * (1 - VALUE(REGEXEXTRACT(L15,""(\d+)""))/100)
      )
    ),
    2
  )
)
")," ")</f>
        <v/>
      </c>
      <c r="N15" s="111"/>
      <c r="O15" s="118" t="b">
        <v>0</v>
      </c>
      <c r="P15" s="119"/>
      <c r="Q15" s="120"/>
      <c r="R15" s="121" t="b">
        <v>0</v>
      </c>
      <c r="S15" s="121" t="b">
        <v>0</v>
      </c>
      <c r="T15" s="122" t="b">
        <v>0</v>
      </c>
    </row>
    <row r="16" outlineLevel="1">
      <c r="A16" s="111"/>
      <c r="B16" s="111"/>
      <c r="C16" s="129"/>
      <c r="D16" s="111"/>
      <c r="E16" s="111"/>
      <c r="F16" s="111"/>
      <c r="G16" s="111" t="s">
        <v>115</v>
      </c>
      <c r="H16" s="111"/>
      <c r="I16" s="111"/>
      <c r="J16" s="132"/>
      <c r="K16" s="115"/>
      <c r="L16" s="116"/>
      <c r="M16" s="117" t="str">
        <f>IFERROR(__xludf.DUMMYFUNCTION("IF(
  K16="""",
  """",
  ROUND(
    IF(
      L16="""",
      K16,
      IF(
        ISERROR(FIND(""-"",L16)),
        K16 - VALUE(REGEXEXTRACT(L16,""(\d+)"")),
        K16 * (1 - VALUE(REGEXEXTRACT(L16,""(\d+)""))/100)
      )
    ),
    2
  )
)
")," ")</f>
        <v/>
      </c>
      <c r="N16" s="111"/>
      <c r="O16" s="118" t="b">
        <v>0</v>
      </c>
      <c r="P16" s="119"/>
      <c r="Q16" s="120"/>
      <c r="R16" s="121" t="b">
        <v>0</v>
      </c>
      <c r="S16" s="121" t="b">
        <v>0</v>
      </c>
      <c r="T16" s="122" t="b">
        <v>0</v>
      </c>
    </row>
    <row r="17" outlineLevel="1">
      <c r="A17" s="111"/>
      <c r="B17" s="111"/>
      <c r="C17" s="133"/>
      <c r="D17" s="111"/>
      <c r="E17" s="111"/>
      <c r="F17" s="111"/>
      <c r="G17" s="111"/>
      <c r="H17" s="111"/>
      <c r="I17" s="111"/>
      <c r="J17" s="134"/>
      <c r="K17" s="115"/>
      <c r="L17" s="116"/>
      <c r="M17" s="117" t="str">
        <f>IFERROR(__xludf.DUMMYFUNCTION("IF(
  K17="""",
  """",
  ROUND(
    IF(
      L17="""",
      K17,
      IF(
        ISERROR(FIND(""-"",L17)),
        K17 - VALUE(REGEXEXTRACT(L17,""(\d+)"")),
        K17 * (1 - VALUE(REGEXEXTRACT(L17,""(\d+)""))/100)
      )
    ),
    2
  )
)
")," ")</f>
        <v/>
      </c>
      <c r="N17" s="111"/>
      <c r="O17" s="118" t="b">
        <v>0</v>
      </c>
      <c r="P17" s="119"/>
      <c r="Q17" s="120"/>
      <c r="R17" s="121" t="b">
        <v>0</v>
      </c>
      <c r="S17" s="121" t="b">
        <v>0</v>
      </c>
      <c r="T17" s="122" t="b">
        <v>0</v>
      </c>
    </row>
    <row r="18" outlineLevel="1">
      <c r="A18" s="116"/>
      <c r="B18" s="116"/>
      <c r="C18" s="129"/>
      <c r="D18" s="111"/>
      <c r="E18" s="111"/>
      <c r="F18" s="116"/>
      <c r="G18" s="116"/>
      <c r="H18" s="116"/>
      <c r="I18" s="116"/>
      <c r="J18" s="135"/>
      <c r="K18" s="115"/>
      <c r="L18" s="116"/>
      <c r="M18" s="117" t="str">
        <f>IFERROR(__xludf.DUMMYFUNCTION("IF(
  K18="""",
  """",
  ROUND(
    IF(
      L18="""",
      K18,
      IF(
        ISERROR(FIND(""-"",L18)),
        K18 - VALUE(REGEXEXTRACT(L18,""(\d+)"")),
        K18 * (1 - VALUE(REGEXEXTRACT(L18,""(\d+)""))/100)
      )
    ),
    2
  )
)
")," ")</f>
        <v/>
      </c>
      <c r="N18" s="111"/>
      <c r="O18" s="118" t="b">
        <v>0</v>
      </c>
      <c r="P18" s="119"/>
      <c r="Q18" s="120"/>
      <c r="R18" s="121" t="b">
        <v>0</v>
      </c>
      <c r="S18" s="121" t="b">
        <v>0</v>
      </c>
      <c r="T18" s="122" t="b">
        <v>0</v>
      </c>
    </row>
    <row r="19" outlineLevel="1">
      <c r="A19" s="116"/>
      <c r="B19" s="116"/>
      <c r="C19" s="129"/>
      <c r="D19" s="111"/>
      <c r="E19" s="111"/>
      <c r="F19" s="116"/>
      <c r="G19" s="116"/>
      <c r="H19" s="116"/>
      <c r="I19" s="116"/>
      <c r="J19" s="132"/>
      <c r="K19" s="115"/>
      <c r="L19" s="116"/>
      <c r="M19" s="117" t="str">
        <f>IFERROR(__xludf.DUMMYFUNCTION("IF(
  K19="""",
  """",
  ROUND(
    IF(
      L19="""",
      K19,
      IF(
        ISERROR(FIND(""-"",L19)),
        K19 - VALUE(REGEXEXTRACT(L19,""(\d+)"")),
        K19 * (1 - VALUE(REGEXEXTRACT(L19,""(\d+)""))/100)
      )
    ),
    2
  )
)
")," ")</f>
        <v/>
      </c>
      <c r="N19" s="111"/>
      <c r="O19" s="118" t="b">
        <v>0</v>
      </c>
      <c r="P19" s="119"/>
      <c r="Q19" s="120"/>
      <c r="R19" s="121" t="b">
        <v>0</v>
      </c>
      <c r="S19" s="121" t="b">
        <v>0</v>
      </c>
      <c r="T19" s="122" t="b">
        <v>0</v>
      </c>
    </row>
    <row r="20" outlineLevel="1">
      <c r="A20" s="116"/>
      <c r="B20" s="116"/>
      <c r="C20" s="129"/>
      <c r="D20" s="111"/>
      <c r="E20" s="111"/>
      <c r="F20" s="116"/>
      <c r="G20" s="116"/>
      <c r="H20" s="116"/>
      <c r="I20" s="116"/>
      <c r="J20" s="132"/>
      <c r="K20" s="115"/>
      <c r="L20" s="116"/>
      <c r="M20" s="117" t="str">
        <f>IFERROR(__xludf.DUMMYFUNCTION("IF(
  K20="""",
  """",
  ROUND(
    IF(
      L20="""",
      K20,
      IF(
        ISERROR(FIND(""-"",L20)),
        K20 - VALUE(REGEXEXTRACT(L20,""(\d+)"")),
        K20 * (1 - VALUE(REGEXEXTRACT(L20,""(\d+)""))/100)
      )
    ),
    2
  )
)
")," ")</f>
        <v/>
      </c>
      <c r="N20" s="116"/>
      <c r="O20" s="118" t="b">
        <v>0</v>
      </c>
      <c r="P20" s="119"/>
      <c r="Q20" s="120"/>
      <c r="R20" s="121" t="b">
        <v>0</v>
      </c>
      <c r="S20" s="121" t="b">
        <v>0</v>
      </c>
      <c r="T20" s="122" t="b">
        <v>0</v>
      </c>
    </row>
    <row r="21" outlineLevel="1">
      <c r="A21" s="116"/>
      <c r="B21" s="116"/>
      <c r="C21" s="129"/>
      <c r="D21" s="111"/>
      <c r="E21" s="111"/>
      <c r="F21" s="116"/>
      <c r="G21" s="116"/>
      <c r="H21" s="116"/>
      <c r="I21" s="116"/>
      <c r="J21" s="135"/>
      <c r="K21" s="115"/>
      <c r="L21" s="116"/>
      <c r="M21" s="117" t="str">
        <f>IFERROR(__xludf.DUMMYFUNCTION("IF(
  K21="""",
  """",
  ROUND(
    IF(
      L21="""",
      K21,
      IF(
        ISERROR(FIND(""-"",L21)),
        K21 - VALUE(REGEXEXTRACT(L21,""(\d+)"")),
        K21 * (1 - VALUE(REGEXEXTRACT(L21,""(\d+)""))/100)
      )
    ),
    2
  )
)
")," ")</f>
        <v/>
      </c>
      <c r="N21" s="111"/>
      <c r="O21" s="118" t="b">
        <v>0</v>
      </c>
      <c r="P21" s="119"/>
      <c r="Q21" s="120"/>
      <c r="R21" s="121" t="b">
        <v>0</v>
      </c>
      <c r="S21" s="121" t="b">
        <v>0</v>
      </c>
      <c r="T21" s="122" t="b">
        <v>0</v>
      </c>
    </row>
    <row r="22" outlineLevel="1">
      <c r="A22" s="111"/>
      <c r="B22" s="111"/>
      <c r="C22" s="136"/>
      <c r="D22" s="137"/>
      <c r="E22" s="138"/>
      <c r="F22" s="138"/>
      <c r="G22" s="139"/>
      <c r="H22" s="140"/>
      <c r="I22" s="140"/>
      <c r="J22" s="136"/>
      <c r="K22" s="141"/>
      <c r="L22" s="116"/>
      <c r="M22" s="117" t="str">
        <f>IFERROR(__xludf.DUMMYFUNCTION("IF(
  K22="""",
  """",
  ROUND(
    IF(
      L22="""",
      K22,
      IF(
        ISERROR(FIND(""-"",L22)),
        K22 - VALUE(REGEXEXTRACT(L22,""(\d+)"")),
        K22 * (1 - VALUE(REGEXEXTRACT(L22,""(\d+)""))/100)
      )
    ),
    2
  )
)
")," ")</f>
        <v/>
      </c>
      <c r="N22" s="111"/>
      <c r="O22" s="118" t="b">
        <v>0</v>
      </c>
      <c r="P22" s="119"/>
      <c r="Q22" s="120"/>
      <c r="R22" s="121" t="b">
        <v>0</v>
      </c>
      <c r="S22" s="121" t="b">
        <v>0</v>
      </c>
      <c r="T22" s="122" t="b">
        <v>0</v>
      </c>
    </row>
    <row r="23"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t="b">
        <v>0</v>
      </c>
      <c r="S23" s="121" t="b">
        <v>0</v>
      </c>
      <c r="T23" s="122" t="b">
        <v>0</v>
      </c>
    </row>
    <row r="24" outlineLevel="1">
      <c r="A24" s="116"/>
      <c r="B24" s="116"/>
      <c r="C24" s="129"/>
      <c r="D24" s="111"/>
      <c r="E24" s="111"/>
      <c r="F24" s="116"/>
      <c r="G24" s="116"/>
      <c r="H24" s="116"/>
      <c r="I24" s="116"/>
      <c r="J24" s="134"/>
      <c r="K24" s="115"/>
      <c r="L24" s="116"/>
      <c r="M24" s="117" t="str">
        <f>IFERROR(__xludf.DUMMYFUNCTION("IF(
  K24="""",
  """",
  ROUND(
    IF(
      L24="""",
      K24,
      IF(
        ISERROR(FIND(""-"",L24)),
        K24 - VALUE(REGEXEXTRACT(L24,""(\d+)"")),
        K24 * (1 - VALUE(REGEXEXTRACT(L24,""(\d+)""))/100)
      )
    ),
    2
  )
)
")," ")</f>
        <v/>
      </c>
      <c r="N24" s="111"/>
      <c r="O24" s="118" t="b">
        <v>0</v>
      </c>
      <c r="P24" s="119"/>
      <c r="Q24" s="120"/>
      <c r="R24" s="121" t="b">
        <v>0</v>
      </c>
      <c r="S24" s="121" t="b">
        <v>0</v>
      </c>
      <c r="T24" s="122" t="b">
        <v>0</v>
      </c>
    </row>
    <row r="25" outlineLevel="1">
      <c r="A25" s="116"/>
      <c r="B25" s="116"/>
      <c r="C25" s="129"/>
      <c r="D25" s="111"/>
      <c r="E25" s="111"/>
      <c r="F25" s="116"/>
      <c r="G25" s="116"/>
      <c r="H25" s="116"/>
      <c r="I25" s="116"/>
      <c r="J25" s="134"/>
      <c r="K25" s="115"/>
      <c r="L25" s="116"/>
      <c r="M25" s="117" t="str">
        <f>IFERROR(__xludf.DUMMYFUNCTION("IF(
  K25="""",
  """",
  ROUND(
    IF(
      L25="""",
      K25,
      IF(
        ISERROR(FIND(""-"",L25)),
        K25 - VALUE(REGEXEXTRACT(L25,""(\d+)"")),
        K25 * (1 - VALUE(REGEXEXTRACT(L25,""(\d+)""))/100)
      )
    ),
    2
  )
)
")," ")</f>
        <v/>
      </c>
      <c r="N25" s="111"/>
      <c r="O25" s="118" t="b">
        <v>0</v>
      </c>
      <c r="P25" s="119"/>
      <c r="Q25" s="120"/>
      <c r="R25" s="121" t="b">
        <v>0</v>
      </c>
      <c r="S25" s="121" t="b">
        <v>0</v>
      </c>
      <c r="T25" s="122" t="b">
        <v>0</v>
      </c>
    </row>
    <row r="26" outlineLevel="1">
      <c r="A26" s="116"/>
      <c r="B26" s="116"/>
      <c r="C26" s="129"/>
      <c r="D26" s="111"/>
      <c r="E26" s="111"/>
      <c r="F26" s="116"/>
      <c r="G26" s="116"/>
      <c r="H26" s="116"/>
      <c r="I26" s="116"/>
      <c r="J26" s="134"/>
      <c r="K26" s="115"/>
      <c r="L26" s="116"/>
      <c r="M26" s="117" t="str">
        <f>IFERROR(__xludf.DUMMYFUNCTION("IF(
  K26="""",
  """",
  ROUND(
    IF(
      L26="""",
      K26,
      IF(
        ISERROR(FIND(""-"",L26)),
        K26 - VALUE(REGEXEXTRACT(L26,""(\d+)"")),
        K26 * (1 - VALUE(REGEXEXTRACT(L26,""(\d+)""))/100)
      )
    ),
    2
  )
)
")," ")</f>
        <v/>
      </c>
      <c r="N26" s="111"/>
      <c r="O26" s="118" t="b">
        <v>0</v>
      </c>
      <c r="P26" s="119"/>
      <c r="Q26" s="120"/>
      <c r="R26" s="121" t="b">
        <v>0</v>
      </c>
      <c r="S26" s="121" t="b">
        <v>0</v>
      </c>
      <c r="T26" s="122" t="b">
        <v>0</v>
      </c>
    </row>
    <row r="27"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outlineLevel="1">
      <c r="A28" s="116"/>
      <c r="B28" s="116"/>
      <c r="C28" s="129"/>
      <c r="D28" s="111"/>
      <c r="E28" s="111"/>
      <c r="F28" s="116"/>
      <c r="G28" s="116"/>
      <c r="H28" s="113"/>
      <c r="I28" s="113"/>
      <c r="J28" s="134"/>
      <c r="K28" s="115"/>
      <c r="L28" s="131"/>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outlineLevel="1">
      <c r="A30" s="116"/>
      <c r="B30" s="116"/>
      <c r="C30" s="129"/>
      <c r="D30" s="111"/>
      <c r="E30" s="111"/>
      <c r="F30" s="116"/>
      <c r="G30" s="116"/>
      <c r="H30" s="116"/>
      <c r="I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20"/>
      <c r="R43" s="121" t="b">
        <v>0</v>
      </c>
      <c r="S43" s="121" t="b">
        <v>0</v>
      </c>
      <c r="T43" s="122" t="b">
        <v>0</v>
      </c>
    </row>
    <row r="44" outlineLevel="1">
      <c r="A44" s="116"/>
      <c r="B44" s="116"/>
      <c r="C44" s="129"/>
      <c r="D44" s="111"/>
      <c r="E44" s="111"/>
      <c r="F44" s="116"/>
      <c r="G44" s="116"/>
      <c r="H44" s="143"/>
      <c r="I44" s="116"/>
      <c r="J44" s="134"/>
      <c r="K44" s="115"/>
      <c r="L44" s="131"/>
      <c r="M44" s="117" t="str">
        <f>IFERROR(__xludf.DUMMYFUNCTION("IF(
  K44="""",
  """",
  ROUND(
    IF(
      L44="""",
      K44,
      IF(
        ISERROR(FIND(""-"",L44)),
        K44 - VALUE(REGEXEXTRACT(L44,""(\d+)"")),
        K44 * (1 - VALUE(REGEXEXTRACT(L44,""(\d+)""))/100)
      )
    ),
    2
  )
)
")," ")</f>
        <v/>
      </c>
      <c r="N44" s="131"/>
      <c r="O44" s="118" t="b">
        <v>0</v>
      </c>
      <c r="P44" s="119"/>
      <c r="Q44" s="120"/>
      <c r="R44" s="121" t="b">
        <v>0</v>
      </c>
      <c r="S44" s="121" t="b">
        <v>0</v>
      </c>
      <c r="T44" s="122" t="b">
        <v>0</v>
      </c>
    </row>
    <row r="45"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8</v>
      </c>
      <c r="C84" s="160" t="s">
        <v>116</v>
      </c>
      <c r="D84" s="161">
        <f t="shared" ref="D84:F84" si="1">COUNTIF(D4:D83, "*")</f>
        <v>0</v>
      </c>
      <c r="E84" s="161">
        <f t="shared" si="1"/>
        <v>8</v>
      </c>
      <c r="F84" s="161">
        <f t="shared" si="1"/>
        <v>8</v>
      </c>
      <c r="G84" s="162">
        <f>COUNTA(G4:G83)</f>
        <v>9</v>
      </c>
      <c r="H84" s="161">
        <f t="shared" ref="H84:I84" si="2">COUNTIF(H4:H83, "*")</f>
        <v>8</v>
      </c>
      <c r="I84" s="161">
        <f t="shared" si="2"/>
        <v>8</v>
      </c>
      <c r="J84" s="160" t="s">
        <v>116</v>
      </c>
      <c r="K84" s="163">
        <f>SUM(K4:K83)</f>
        <v>271</v>
      </c>
      <c r="L84" s="161">
        <f>COUNTIF(L4:L83, "*")</f>
        <v>3</v>
      </c>
      <c r="M84" s="163">
        <f>SUM(M4:M83)</f>
        <v>265</v>
      </c>
      <c r="N84" s="161">
        <f>COUNTIF(N4:N83, "*")</f>
        <v>8</v>
      </c>
      <c r="O84" s="161">
        <f>SUMPRODUCT(--O4:O83)</f>
        <v>0</v>
      </c>
      <c r="P84" s="161">
        <f t="shared" ref="P84:Q84" si="3">COUNTIF(P4:P83, "*")</f>
        <v>0</v>
      </c>
      <c r="Q84" s="161">
        <f t="shared" si="3"/>
        <v>8</v>
      </c>
      <c r="R84" s="161">
        <f t="shared" ref="R84:T84" si="4">SUMPRODUCT(--R4:R83)</f>
        <v>2</v>
      </c>
      <c r="S84" s="161">
        <f t="shared" si="4"/>
        <v>7</v>
      </c>
      <c r="T84" s="161">
        <f t="shared" si="4"/>
        <v>8</v>
      </c>
    </row>
    <row r="85">
      <c r="A85" s="164" t="s">
        <v>117</v>
      </c>
      <c r="B85" s="165">
        <f>COUNTIF(B4:B83, "SEDE*")</f>
        <v>2</v>
      </c>
      <c r="C85" s="142"/>
      <c r="D85" s="166" t="s">
        <v>118</v>
      </c>
      <c r="E85" s="167" t="s">
        <v>119</v>
      </c>
      <c r="F85" s="168">
        <f>IFERROR(__xludf.DUMMYFUNCTION("IFERROR(TRANSPOSE(SORT(UNIQUE(FILTER($M$4:$M$83,$M$4:$M$83&lt;&gt;"""")))),"""")"),30.0)</f>
        <v>30</v>
      </c>
      <c r="G85" s="168">
        <f>IFERROR(__xludf.DUMMYFUNCTION("""COMPUTED_VALUE"""),32.0)</f>
        <v>32</v>
      </c>
      <c r="H85" s="168">
        <f>IFERROR(__xludf.DUMMYFUNCTION("""COMPUTED_VALUE"""),37.0)</f>
        <v>37</v>
      </c>
      <c r="I85" s="168"/>
      <c r="J85" s="168"/>
      <c r="K85" s="169"/>
      <c r="L85" s="169"/>
      <c r="M85" s="169"/>
      <c r="N85" s="169"/>
      <c r="O85" s="168"/>
      <c r="P85" s="170" t="s">
        <v>40</v>
      </c>
      <c r="Q85" s="171">
        <f>IF(SUM(F87:O87)=0,"",SUM(F87:O87))
</f>
        <v>60</v>
      </c>
      <c r="R85" s="164" t="s">
        <v>120</v>
      </c>
      <c r="S85" s="165" t="str">
        <f>IF(SUM(M84) = SUM(Q85:Q89), "OK", "ERRORE")</f>
        <v>OK</v>
      </c>
    </row>
    <row r="86">
      <c r="A86" s="164" t="s">
        <v>74</v>
      </c>
      <c r="B86" s="165">
        <f>COUNTIF(B4:B83, "ONLINE")</f>
        <v>6</v>
      </c>
      <c r="E86" s="172" t="s">
        <v>121</v>
      </c>
      <c r="F86" s="172">
        <f t="shared" ref="F86:O86" si="5">IF(
  F$85="",
  "",
  COUNTIFS($B$4:$B$83,"*SEDE*",$M$4:$M$83,F$85)
)
</f>
        <v>2</v>
      </c>
      <c r="G86" s="172">
        <f t="shared" si="5"/>
        <v>0</v>
      </c>
      <c r="H86" s="172">
        <f t="shared" si="5"/>
        <v>0</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f t="shared" ref="F87:O87" si="6">IF(
  F$85="",
  "",
  SUMIFS($M$4:$M$83,$B$4:$B$83,"*SEDE*",$M$4:$M$83,F$85)
)
</f>
        <v>60</v>
      </c>
      <c r="G87" s="174">
        <f t="shared" si="6"/>
        <v>0</v>
      </c>
      <c r="H87" s="174">
        <f t="shared" si="6"/>
        <v>0</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f t="shared" ref="F88:O88" si="7">IF(
  F$85="",
  "",
  COUNTIFS($B$4:$B$83,"*ONLINE*",$M$4:$M$83,F$85)
)
</f>
        <v>1</v>
      </c>
      <c r="G88" s="175">
        <f t="shared" si="7"/>
        <v>2</v>
      </c>
      <c r="H88" s="175">
        <f t="shared" si="7"/>
        <v>3</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f>IF(SUM(F89:O89)=0,"",SUM(F89:O89))
</f>
        <v>205</v>
      </c>
    </row>
    <row r="89">
      <c r="E89" s="173" t="s">
        <v>124</v>
      </c>
      <c r="F89" s="174">
        <f t="shared" ref="F89:O89" si="8">IF(
  F$85="",
  "",
  SUMIFS($M$4:$M$83,$B$4:$B$83,"*ONLINE*",$M$4:$M$83,F$85)
)
</f>
        <v>30</v>
      </c>
      <c r="G89" s="174">
        <f t="shared" si="8"/>
        <v>64</v>
      </c>
      <c r="H89" s="174">
        <f t="shared" si="8"/>
        <v>111</v>
      </c>
      <c r="I89" s="174" t="str">
        <f t="shared" si="8"/>
        <v/>
      </c>
      <c r="J89" s="174" t="str">
        <f t="shared" si="8"/>
        <v/>
      </c>
      <c r="K89" s="174" t="str">
        <f t="shared" si="8"/>
        <v/>
      </c>
      <c r="L89" s="174" t="str">
        <f t="shared" si="8"/>
        <v/>
      </c>
      <c r="M89" s="174" t="str">
        <f t="shared" si="8"/>
        <v/>
      </c>
      <c r="N89" s="174" t="str">
        <f t="shared" si="8"/>
        <v/>
      </c>
      <c r="O89" s="174" t="str">
        <f t="shared" si="8"/>
        <v/>
      </c>
    </row>
    <row r="90" ht="26.25" customHeight="1">
      <c r="A90" s="176"/>
      <c r="B90" s="176"/>
      <c r="C90" s="176" t="s">
        <v>125</v>
      </c>
    </row>
    <row r="91" outlineLevel="1">
      <c r="A91" s="116"/>
      <c r="B91" s="116"/>
      <c r="C91" s="129"/>
      <c r="D91" s="157"/>
      <c r="E91" s="157"/>
      <c r="F91" s="156"/>
      <c r="G91" s="157"/>
      <c r="H91" s="116"/>
      <c r="I91" s="116"/>
      <c r="J91" s="134"/>
      <c r="K91" s="177"/>
      <c r="L91" s="116"/>
      <c r="M91" s="178" t="str">
        <f>IFERROR(__xludf.DUMMYFUNCTION("IF(
  K91="""",
  """",
  ROUND(
    IF(
      L91="""",
      K91,
      IF(
        ISERROR(FIND(""-"",L91)),
        K91 - VALUE(REGEXEXTRACT(L91,""(\d+)"")),
        K91 * (1 - VALUE(REGEXEXTRACT(L91,""(\d+)""))/100)
      )
    ),
    2
  )
)
")," ")</f>
        <v/>
      </c>
      <c r="N91" s="116"/>
      <c r="O91" s="118" t="b">
        <v>0</v>
      </c>
      <c r="P91" s="179"/>
      <c r="Q91" s="120"/>
      <c r="R91" s="121" t="b">
        <v>0</v>
      </c>
      <c r="S91" s="121" t="b">
        <v>0</v>
      </c>
      <c r="T91" s="122" t="b">
        <v>0</v>
      </c>
    </row>
    <row r="92" outlineLevel="1">
      <c r="A92" s="116"/>
      <c r="B92" s="116"/>
      <c r="C92" s="129"/>
      <c r="D92" s="116"/>
      <c r="E92" s="116"/>
      <c r="F92" s="116"/>
      <c r="G92" s="116"/>
      <c r="H92" s="116"/>
      <c r="I92" s="116"/>
      <c r="J92" s="134"/>
      <c r="K92" s="177"/>
      <c r="L92" s="116"/>
      <c r="M92" s="178" t="str">
        <f>IFERROR(__xludf.DUMMYFUNCTION("IF(
  K92="""",
  """",
  ROUND(
    IF(
      L92="""",
      K92,
      IF(
        ISERROR(FIND(""-"",L92)),
        K92 - VALUE(REGEXEXTRACT(L92,""(\d+)"")),
        K92 * (1 - VALUE(REGEXEXTRACT(L92,""(\d+)""))/100)
      )
    ),
    2
  )
)
")," ")</f>
        <v/>
      </c>
      <c r="N92" s="116"/>
      <c r="O92" s="118" t="b">
        <v>0</v>
      </c>
      <c r="P92" s="179"/>
      <c r="Q92" s="120"/>
      <c r="R92" s="121" t="b">
        <v>0</v>
      </c>
      <c r="S92" s="121" t="b">
        <v>0</v>
      </c>
      <c r="T92" s="122" t="b">
        <v>0</v>
      </c>
    </row>
    <row r="93" outlineLevel="1">
      <c r="A93" s="116"/>
      <c r="B93" s="116"/>
      <c r="C93" s="129"/>
      <c r="D93" s="116"/>
      <c r="E93" s="116"/>
      <c r="F93" s="116"/>
      <c r="G93" s="116"/>
      <c r="H93" s="111"/>
      <c r="I93" s="111"/>
      <c r="J93" s="126"/>
      <c r="K93" s="180"/>
      <c r="L93" s="116"/>
      <c r="M93" s="178" t="str">
        <f>IFERROR(__xludf.DUMMYFUNCTION("IF(
  K93="""",
  """",
  ROUND(
    IF(
      L93="""",
      K93,
      IF(
        ISERROR(FIND(""-"",L93)),
        K93 - VALUE(REGEXEXTRACT(L93,""(\d+)"")),
        K93 * (1 - VALUE(REGEXEXTRACT(L93,""(\d+)""))/100)
      )
    ),
    2
  )
)
")," ")</f>
        <v/>
      </c>
      <c r="N93" s="116"/>
      <c r="O93" s="118" t="b">
        <v>0</v>
      </c>
      <c r="P93" s="179"/>
      <c r="Q93" s="120"/>
      <c r="R93" s="121" t="b">
        <v>0</v>
      </c>
      <c r="S93" s="121" t="b">
        <v>0</v>
      </c>
      <c r="T93" s="122" t="b">
        <v>0</v>
      </c>
    </row>
    <row r="94" outlineLevel="1">
      <c r="A94" s="116"/>
      <c r="B94" s="116"/>
      <c r="C94" s="129"/>
      <c r="D94" s="157"/>
      <c r="E94" s="157"/>
      <c r="F94" s="116"/>
      <c r="G94" s="116"/>
      <c r="H94" s="116"/>
      <c r="I94" s="116"/>
      <c r="J94" s="134"/>
      <c r="K94" s="177"/>
      <c r="L94" s="116"/>
      <c r="M94" s="178" t="str">
        <f>IFERROR(__xludf.DUMMYFUNCTION("IF(
  K94="""",
  """",
  ROUND(
    IF(
      L94="""",
      K94,
      IF(
        ISERROR(FIND(""-"",L94)),
        K94 - VALUE(REGEXEXTRACT(L94,""(\d+)"")),
        K94 * (1 - VALUE(REGEXEXTRACT(L94,""(\d+)""))/100)
      )
    ),
    2
  )
)
")," ")</f>
        <v/>
      </c>
      <c r="N94" s="116"/>
      <c r="O94" s="118" t="b">
        <v>0</v>
      </c>
      <c r="P94" s="179"/>
      <c r="Q94" s="120"/>
      <c r="R94" s="121" t="b">
        <v>0</v>
      </c>
      <c r="S94" s="121" t="b">
        <v>0</v>
      </c>
      <c r="T94" s="122" t="b">
        <v>0</v>
      </c>
    </row>
    <row r="95" outlineLevel="1">
      <c r="A95" s="116"/>
      <c r="B95" s="116"/>
      <c r="C95" s="129"/>
      <c r="D95" s="116"/>
      <c r="E95" s="116"/>
      <c r="F95" s="116"/>
      <c r="G95" s="116"/>
      <c r="H95" s="116"/>
      <c r="I95" s="116"/>
      <c r="J95" s="134"/>
      <c r="K95" s="177"/>
      <c r="L95" s="116"/>
      <c r="M95" s="178" t="str">
        <f>IFERROR(__xludf.DUMMYFUNCTION("IF(
  K95="""",
  """",
  ROUND(
    IF(
      L95="""",
      K95,
      IF(
        ISERROR(FIND(""-"",L95)),
        K95 - VALUE(REGEXEXTRACT(L95,""(\d+)"")),
        K95 * (1 - VALUE(REGEXEXTRACT(L95,""(\d+)""))/100)
      )
    ),
    2
  )
)
")," ")</f>
        <v/>
      </c>
      <c r="N95" s="116"/>
      <c r="O95" s="118" t="b">
        <v>0</v>
      </c>
      <c r="P95" s="179"/>
      <c r="Q95" s="120"/>
      <c r="R95" s="121" t="b">
        <v>0</v>
      </c>
      <c r="S95" s="121" t="b">
        <v>0</v>
      </c>
      <c r="T95" s="122" t="b">
        <v>0</v>
      </c>
    </row>
    <row r="96" outlineLevel="1">
      <c r="A96" s="116"/>
      <c r="B96" s="116"/>
      <c r="C96" s="112"/>
      <c r="D96" s="116"/>
      <c r="E96" s="116"/>
      <c r="F96" s="111"/>
      <c r="G96" s="111"/>
      <c r="H96" s="111"/>
      <c r="I96" s="111"/>
      <c r="J96" s="134"/>
      <c r="K96" s="177"/>
      <c r="L96" s="116"/>
      <c r="M96" s="178" t="str">
        <f>IFERROR(__xludf.DUMMYFUNCTION("IF(
  K96="""",
  """",
  ROUND(
    IF(
      L96="""",
      K96,
      IF(
        ISERROR(FIND(""-"",L96)),
        K96 - VALUE(REGEXEXTRACT(L96,""(\d+)"")),
        K96 * (1 - VALUE(REGEXEXTRACT(L96,""(\d+)""))/100)
      )
    ),
    2
  )
)
")," ")</f>
        <v/>
      </c>
      <c r="N96" s="116"/>
      <c r="O96" s="118" t="b">
        <v>0</v>
      </c>
      <c r="P96" s="179"/>
      <c r="Q96" s="120"/>
      <c r="R96" s="121" t="b">
        <v>0</v>
      </c>
      <c r="S96" s="121" t="b">
        <v>0</v>
      </c>
      <c r="T96" s="122" t="b">
        <v>0</v>
      </c>
    </row>
    <row r="97" outlineLevel="1">
      <c r="A97" s="116"/>
      <c r="B97" s="116"/>
      <c r="C97" s="112"/>
      <c r="D97" s="157"/>
      <c r="E97" s="157"/>
      <c r="F97" s="111"/>
      <c r="G97" s="111"/>
      <c r="H97" s="111"/>
      <c r="I97" s="111"/>
      <c r="J97" s="114"/>
      <c r="K97" s="177"/>
      <c r="L97" s="116"/>
      <c r="M97" s="178" t="str">
        <f>IFERROR(__xludf.DUMMYFUNCTION("IF(
  K97="""",
  """",
  ROUND(
    IF(
      L97="""",
      K97,
      IF(
        ISERROR(FIND(""-"",L97)),
        K97 - VALUE(REGEXEXTRACT(L97,""(\d+)"")),
        K97 * (1 - VALUE(REGEXEXTRACT(L97,""(\d+)""))/100)
      )
    ),
    2
  )
)
")," ")</f>
        <v/>
      </c>
      <c r="N97" s="116"/>
      <c r="O97" s="118" t="b">
        <v>0</v>
      </c>
      <c r="P97" s="179"/>
      <c r="Q97" s="120"/>
      <c r="R97" s="121" t="b">
        <v>0</v>
      </c>
      <c r="S97" s="121" t="b">
        <v>0</v>
      </c>
      <c r="T97" s="122" t="b">
        <v>0</v>
      </c>
    </row>
    <row r="98" outlineLevel="1">
      <c r="A98" s="116"/>
      <c r="B98" s="116"/>
      <c r="C98" s="112"/>
      <c r="D98" s="116"/>
      <c r="E98" s="116"/>
      <c r="F98" s="111"/>
      <c r="G98" s="111"/>
      <c r="H98" s="111"/>
      <c r="I98" s="111"/>
      <c r="J98" s="126"/>
      <c r="K98" s="180"/>
      <c r="L98" s="116"/>
      <c r="M98" s="178" t="str">
        <f>IFERROR(__xludf.DUMMYFUNCTION("IF(
  K98="""",
  """",
  ROUND(
    IF(
      L98="""",
      K98,
      IF(
        ISERROR(FIND(""-"",L98)),
        K98 - VALUE(REGEXEXTRACT(L98,""(\d+)"")),
        K98 * (1 - VALUE(REGEXEXTRACT(L98,""(\d+)""))/100)
      )
    ),
    2
  )
)
")," ")</f>
        <v/>
      </c>
      <c r="N98" s="116"/>
      <c r="O98" s="118" t="b">
        <v>0</v>
      </c>
      <c r="P98" s="179"/>
      <c r="Q98" s="120"/>
      <c r="R98" s="121" t="b">
        <v>0</v>
      </c>
      <c r="S98" s="121" t="b">
        <v>0</v>
      </c>
      <c r="T98" s="122" t="b">
        <v>0</v>
      </c>
    </row>
    <row r="99" outlineLevel="1">
      <c r="A99" s="116"/>
      <c r="B99" s="116"/>
      <c r="C99" s="112"/>
      <c r="D99" s="116"/>
      <c r="E99" s="116"/>
      <c r="F99" s="111"/>
      <c r="G99" s="111"/>
      <c r="H99" s="111"/>
      <c r="I99" s="111"/>
      <c r="J99" s="126"/>
      <c r="K99" s="177"/>
      <c r="L99" s="116"/>
      <c r="M99" s="178" t="str">
        <f>IFERROR(__xludf.DUMMYFUNCTION("IF(
  K99="""",
  """",
  ROUND(
    IF(
      L99="""",
      K99,
      IF(
        ISERROR(FIND(""-"",L99)),
        K99 - VALUE(REGEXEXTRACT(L99,""(\d+)"")),
        K99 * (1 - VALUE(REGEXEXTRACT(L99,""(\d+)""))/100)
      )
    ),
    2
  )
)
")," ")</f>
        <v/>
      </c>
      <c r="N99" s="116"/>
      <c r="O99" s="118" t="b">
        <v>0</v>
      </c>
      <c r="P99" s="179"/>
      <c r="Q99" s="120"/>
      <c r="R99" s="121" t="b">
        <v>0</v>
      </c>
      <c r="S99" s="121" t="b">
        <v>0</v>
      </c>
      <c r="T99" s="122" t="b">
        <v>0</v>
      </c>
    </row>
    <row r="100" outlineLevel="1">
      <c r="A100" s="116"/>
      <c r="B100" s="116"/>
      <c r="C100" s="112"/>
      <c r="D100" s="157"/>
      <c r="E100" s="157"/>
      <c r="F100" s="111"/>
      <c r="G100" s="111"/>
      <c r="H100" s="111"/>
      <c r="I100" s="111"/>
      <c r="J100" s="114"/>
      <c r="K100" s="177"/>
      <c r="L100" s="116"/>
      <c r="M100" s="178" t="str">
        <f>IFERROR(__xludf.DUMMYFUNCTION("IF(
  K100="""",
  """",
  ROUND(
    IF(
      L100="""",
      K100,
      IF(
        ISERROR(FIND(""-"",L100)),
        K100 - VALUE(REGEXEXTRACT(L100,""(\d+)"")),
        K100 * (1 - VALUE(REGEXEXTRACT(L100,""(\d+)""))/100)
      )
    ),
    2
  )
)"&amp;"
")," ")</f>
        <v/>
      </c>
      <c r="N100" s="116"/>
      <c r="O100" s="118" t="b">
        <v>0</v>
      </c>
      <c r="P100" s="179"/>
      <c r="Q100" s="120"/>
      <c r="R100" s="121" t="b">
        <v>0</v>
      </c>
      <c r="S100" s="121" t="b">
        <v>0</v>
      </c>
      <c r="T100" s="122" t="b">
        <v>0</v>
      </c>
    </row>
    <row r="101" outlineLevel="1">
      <c r="A101" s="116"/>
      <c r="B101" s="116"/>
      <c r="C101" s="112"/>
      <c r="D101" s="116"/>
      <c r="E101" s="116"/>
      <c r="F101" s="111"/>
      <c r="G101" s="111"/>
      <c r="H101" s="111"/>
      <c r="I101" s="111"/>
      <c r="J101" s="126"/>
      <c r="K101" s="177"/>
      <c r="L101" s="116"/>
      <c r="M101" s="178" t="str">
        <f>IFERROR(__xludf.DUMMYFUNCTION("IF(
  K101="""",
  """",
  ROUND(
    IF(
      L101="""",
      K101,
      IF(
        ISERROR(FIND(""-"",L101)),
        K101 - VALUE(REGEXEXTRACT(L101,""(\d+)"")),
        K101 * (1 - VALUE(REGEXEXTRACT(L101,""(\d+)""))/100)
      )
    ),
    2
  )
)"&amp;"
")," ")</f>
        <v/>
      </c>
      <c r="N101" s="116"/>
      <c r="O101" s="118" t="b">
        <v>0</v>
      </c>
      <c r="P101" s="179"/>
      <c r="Q101" s="120"/>
      <c r="R101" s="121" t="b">
        <v>0</v>
      </c>
      <c r="S101" s="121" t="b">
        <v>0</v>
      </c>
      <c r="T101" s="122" t="b">
        <v>0</v>
      </c>
    </row>
    <row r="102" outlineLevel="1">
      <c r="A102" s="116"/>
      <c r="B102" s="116"/>
      <c r="C102" s="112"/>
      <c r="D102" s="116"/>
      <c r="E102" s="116"/>
      <c r="F102" s="111"/>
      <c r="G102" s="111"/>
      <c r="H102" s="111"/>
      <c r="I102" s="111"/>
      <c r="J102" s="126"/>
      <c r="K102" s="177"/>
      <c r="L102" s="116"/>
      <c r="M102" s="178" t="str">
        <f>IFERROR(__xludf.DUMMYFUNCTION("IF(
  K102="""",
  """",
  ROUND(
    IF(
      L102="""",
      K102,
      IF(
        ISERROR(FIND(""-"",L102)),
        K102 - VALUE(REGEXEXTRACT(L102,""(\d+)"")),
        K102 * (1 - VALUE(REGEXEXTRACT(L102,""(\d+)""))/100)
      )
    ),
    2
  )
)"&amp;"
")," ")</f>
        <v/>
      </c>
      <c r="N102" s="116"/>
      <c r="O102" s="118" t="b">
        <v>0</v>
      </c>
      <c r="P102" s="179"/>
      <c r="Q102" s="120"/>
      <c r="R102" s="121" t="b">
        <v>0</v>
      </c>
      <c r="S102" s="121" t="b">
        <v>0</v>
      </c>
      <c r="T102" s="122" t="b">
        <v>0</v>
      </c>
    </row>
    <row r="103" outlineLevel="1">
      <c r="A103" s="116"/>
      <c r="B103" s="116"/>
      <c r="C103" s="112"/>
      <c r="D103" s="157"/>
      <c r="E103" s="157"/>
      <c r="F103" s="111"/>
      <c r="G103" s="111"/>
      <c r="H103" s="111"/>
      <c r="I103" s="111"/>
      <c r="J103" s="126"/>
      <c r="K103" s="177"/>
      <c r="L103" s="116"/>
      <c r="M103" s="178" t="str">
        <f>IFERROR(__xludf.DUMMYFUNCTION("IF(
  K103="""",
  """",
  ROUND(
    IF(
      L103="""",
      K103,
      IF(
        ISERROR(FIND(""-"",L103)),
        K103 - VALUE(REGEXEXTRACT(L103,""(\d+)"")),
        K103 * (1 - VALUE(REGEXEXTRACT(L103,""(\d+)""))/100)
      )
    ),
    2
  )
)"&amp;"
")," ")</f>
        <v/>
      </c>
      <c r="N103" s="116"/>
      <c r="O103" s="118" t="b">
        <v>0</v>
      </c>
      <c r="P103" s="179"/>
      <c r="Q103" s="120"/>
      <c r="R103" s="121" t="b">
        <v>0</v>
      </c>
      <c r="S103" s="121" t="b">
        <v>0</v>
      </c>
      <c r="T103" s="122" t="b">
        <v>0</v>
      </c>
    </row>
    <row r="104" outlineLevel="1">
      <c r="A104" s="116"/>
      <c r="B104" s="116"/>
      <c r="C104" s="112"/>
      <c r="D104" s="116"/>
      <c r="E104" s="116"/>
      <c r="F104" s="111"/>
      <c r="G104" s="111"/>
      <c r="H104" s="111"/>
      <c r="I104" s="111"/>
      <c r="J104" s="126"/>
      <c r="K104" s="177"/>
      <c r="L104" s="116"/>
      <c r="M104" s="178" t="str">
        <f>IFERROR(__xludf.DUMMYFUNCTION("IF(
  K104="""",
  """",
  ROUND(
    IF(
      L104="""",
      K104,
      IF(
        ISERROR(FIND(""-"",L104)),
        K104 - VALUE(REGEXEXTRACT(L104,""(\d+)"")),
        K104 * (1 - VALUE(REGEXEXTRACT(L104,""(\d+)""))/100)
      )
    ),
    2
  )
)"&amp;"
")," ")</f>
        <v/>
      </c>
      <c r="N104" s="116"/>
      <c r="O104" s="118" t="b">
        <v>0</v>
      </c>
      <c r="P104" s="179"/>
      <c r="Q104" s="120"/>
      <c r="R104" s="121" t="b">
        <v>0</v>
      </c>
      <c r="S104" s="121" t="b">
        <v>0</v>
      </c>
      <c r="T104" s="122" t="b">
        <v>0</v>
      </c>
    </row>
    <row r="105" outlineLevel="1">
      <c r="A105" s="116"/>
      <c r="B105" s="116"/>
      <c r="C105" s="112"/>
      <c r="D105" s="116"/>
      <c r="E105" s="116"/>
      <c r="F105" s="111"/>
      <c r="G105" s="111"/>
      <c r="H105" s="111"/>
      <c r="I105" s="111"/>
      <c r="J105" s="126"/>
      <c r="K105" s="177"/>
      <c r="L105" s="116"/>
      <c r="M105" s="178" t="str">
        <f>IFERROR(__xludf.DUMMYFUNCTION("IF(
  K105="""",
  """",
  ROUND(
    IF(
      L105="""",
      K105,
      IF(
        ISERROR(FIND(""-"",L105)),
        K105 - VALUE(REGEXEXTRACT(L105,""(\d+)"")),
        K105 * (1 - VALUE(REGEXEXTRACT(L105,""(\d+)""))/100)
      )
    ),
    2
  )
)"&amp;"
")," ")</f>
        <v/>
      </c>
      <c r="N105" s="116"/>
      <c r="O105" s="118" t="b">
        <v>0</v>
      </c>
      <c r="P105" s="179"/>
      <c r="Q105" s="120"/>
      <c r="R105" s="121" t="b">
        <v>0</v>
      </c>
      <c r="S105" s="121" t="b">
        <v>0</v>
      </c>
      <c r="T105" s="122" t="b">
        <v>0</v>
      </c>
    </row>
    <row r="106" outlineLevel="1">
      <c r="A106" s="116"/>
      <c r="B106" s="116"/>
      <c r="C106" s="112"/>
      <c r="D106" s="157"/>
      <c r="E106" s="157"/>
      <c r="F106" s="111"/>
      <c r="G106" s="111"/>
      <c r="H106" s="111"/>
      <c r="I106" s="111"/>
      <c r="J106" s="126"/>
      <c r="K106" s="177"/>
      <c r="L106" s="116"/>
      <c r="M106" s="178" t="str">
        <f>IFERROR(__xludf.DUMMYFUNCTION("IF(
  K106="""",
  """",
  ROUND(
    IF(
      L106="""",
      K106,
      IF(
        ISERROR(FIND(""-"",L106)),
        K106 - VALUE(REGEXEXTRACT(L106,""(\d+)"")),
        K106 * (1 - VALUE(REGEXEXTRACT(L106,""(\d+)""))/100)
      )
    ),
    2
  )
)"&amp;"
")," ")</f>
        <v/>
      </c>
      <c r="N106" s="116"/>
      <c r="O106" s="118" t="b">
        <v>0</v>
      </c>
      <c r="P106" s="179"/>
      <c r="Q106" s="120"/>
      <c r="R106" s="121" t="b">
        <v>0</v>
      </c>
      <c r="S106" s="121" t="b">
        <v>0</v>
      </c>
      <c r="T106" s="122" t="b">
        <v>0</v>
      </c>
    </row>
    <row r="107" outlineLevel="1">
      <c r="A107" s="131"/>
      <c r="B107" s="131"/>
      <c r="C107" s="123"/>
      <c r="D107" s="116"/>
      <c r="E107" s="116"/>
      <c r="F107" s="124"/>
      <c r="G107" s="124"/>
      <c r="H107" s="124"/>
      <c r="I107" s="124"/>
      <c r="J107" s="125"/>
      <c r="K107" s="180"/>
      <c r="L107" s="131"/>
      <c r="M107" s="178" t="str">
        <f>IFERROR(__xludf.DUMMYFUNCTION("IF(
  K107="""",
  """",
  ROUND(
    IF(
      L107="""",
      K107,
      IF(
        ISERROR(FIND(""-"",L107)),
        K107 - VALUE(REGEXEXTRACT(L107,""(\d+)"")),
        K107 * (1 - VALUE(REGEXEXTRACT(L107,""(\d+)""))/100)
      )
    ),
    2
  )
)"&amp;"
")," ")</f>
        <v/>
      </c>
      <c r="N107" s="131"/>
      <c r="O107" s="118" t="b">
        <v>0</v>
      </c>
      <c r="P107" s="179"/>
      <c r="Q107" s="149"/>
      <c r="R107" s="121" t="b">
        <v>0</v>
      </c>
      <c r="S107" s="121" t="b">
        <v>0</v>
      </c>
      <c r="T107" s="122" t="b">
        <v>0</v>
      </c>
    </row>
    <row r="108" outlineLevel="1">
      <c r="A108" s="116"/>
      <c r="B108" s="116"/>
      <c r="C108" s="112"/>
      <c r="D108" s="116"/>
      <c r="E108" s="116"/>
      <c r="F108" s="111"/>
      <c r="G108" s="111"/>
      <c r="H108" s="111"/>
      <c r="I108" s="111"/>
      <c r="J108" s="126"/>
      <c r="K108" s="177"/>
      <c r="L108" s="116"/>
      <c r="M108" s="178" t="str">
        <f>IFERROR(__xludf.DUMMYFUNCTION("IF(
  K108="""",
  """",
  ROUND(
    IF(
      L108="""",
      K108,
      IF(
        ISERROR(FIND(""-"",L108)),
        K108 - VALUE(REGEXEXTRACT(L108,""(\d+)"")),
        K108 * (1 - VALUE(REGEXEXTRACT(L108,""(\d+)""))/100)
      )
    ),
    2
  )
)"&amp;"
")," ")</f>
        <v/>
      </c>
      <c r="N108" s="116"/>
      <c r="O108" s="118" t="b">
        <v>0</v>
      </c>
      <c r="P108" s="179"/>
      <c r="Q108" s="120"/>
      <c r="R108" s="121" t="b">
        <v>0</v>
      </c>
      <c r="S108" s="121" t="b">
        <v>0</v>
      </c>
      <c r="T108" s="122" t="b">
        <v>0</v>
      </c>
    </row>
    <row r="109" outlineLevel="1">
      <c r="A109" s="116"/>
      <c r="B109" s="116"/>
      <c r="C109" s="112"/>
      <c r="D109" s="157"/>
      <c r="E109" s="157"/>
      <c r="F109" s="111"/>
      <c r="G109" s="111"/>
      <c r="H109" s="111"/>
      <c r="I109" s="111"/>
      <c r="J109" s="126"/>
      <c r="K109" s="177"/>
      <c r="L109" s="116"/>
      <c r="M109" s="178" t="str">
        <f>IFERROR(__xludf.DUMMYFUNCTION("IF(
  K109="""",
  """",
  ROUND(
    IF(
      L109="""",
      K109,
      IF(
        ISERROR(FIND(""-"",L109)),
        K109 - VALUE(REGEXEXTRACT(L109,""(\d+)"")),
        K109 * (1 - VALUE(REGEXEXTRACT(L109,""(\d+)""))/100)
      )
    ),
    2
  )
)"&amp;"
")," ")</f>
        <v/>
      </c>
      <c r="N109" s="116"/>
      <c r="O109" s="118" t="b">
        <v>0</v>
      </c>
      <c r="P109" s="179"/>
      <c r="Q109" s="120"/>
      <c r="R109" s="121" t="b">
        <v>0</v>
      </c>
      <c r="S109" s="121" t="b">
        <v>0</v>
      </c>
      <c r="T109" s="122" t="b">
        <v>0</v>
      </c>
    </row>
    <row r="110" outlineLevel="1">
      <c r="A110" s="116"/>
      <c r="B110" s="116"/>
      <c r="C110" s="112"/>
      <c r="D110" s="116"/>
      <c r="E110" s="116"/>
      <c r="F110" s="111"/>
      <c r="G110" s="111"/>
      <c r="H110" s="111"/>
      <c r="I110" s="111"/>
      <c r="J110" s="114"/>
      <c r="K110" s="177"/>
      <c r="L110" s="116"/>
      <c r="M110" s="178" t="str">
        <f>IFERROR(__xludf.DUMMYFUNCTION("IF(
  K110="""",
  """",
  ROUND(
    IF(
      L110="""",
      K110,
      IF(
        ISERROR(FIND(""-"",L110)),
        K110 - VALUE(REGEXEXTRACT(L110,""(\d+)"")),
        K110 * (1 - VALUE(REGEXEXTRACT(L110,""(\d+)""))/100)
      )
    ),
    2
  )
)"&amp;"
")," ")</f>
        <v/>
      </c>
      <c r="N110" s="116"/>
      <c r="O110" s="118" t="b">
        <v>0</v>
      </c>
      <c r="P110" s="179"/>
      <c r="Q110" s="120"/>
      <c r="R110" s="121" t="b">
        <v>0</v>
      </c>
      <c r="S110" s="121" t="b">
        <v>0</v>
      </c>
      <c r="T110" s="122" t="b">
        <v>0</v>
      </c>
    </row>
    <row r="111" outlineLevel="1">
      <c r="A111" s="116"/>
      <c r="B111" s="116"/>
      <c r="C111" s="112"/>
      <c r="D111" s="116"/>
      <c r="E111" s="116"/>
      <c r="F111" s="111"/>
      <c r="G111" s="111"/>
      <c r="H111" s="111"/>
      <c r="I111" s="111"/>
      <c r="J111" s="114"/>
      <c r="K111" s="177"/>
      <c r="L111" s="116"/>
      <c r="M111" s="178" t="str">
        <f>IFERROR(__xludf.DUMMYFUNCTION("IF(
  K111="""",
  """",
  ROUND(
    IF(
      L111="""",
      K111,
      IF(
        ISERROR(FIND(""-"",L111)),
        K111 - VALUE(REGEXEXTRACT(L111,""(\d+)"")),
        K111 * (1 - VALUE(REGEXEXTRACT(L111,""(\d+)""))/100)
      )
    ),
    2
  )
)"&amp;"
")," ")</f>
        <v/>
      </c>
      <c r="N111" s="116"/>
      <c r="O111" s="118" t="b">
        <v>0</v>
      </c>
      <c r="P111" s="179"/>
      <c r="Q111" s="120"/>
      <c r="R111" s="121" t="b">
        <v>0</v>
      </c>
      <c r="S111" s="121" t="b">
        <v>0</v>
      </c>
      <c r="T111" s="122" t="b">
        <v>0</v>
      </c>
    </row>
    <row r="112" outlineLevel="1">
      <c r="A112" s="116"/>
      <c r="B112" s="116"/>
      <c r="C112" s="112"/>
      <c r="D112" s="157"/>
      <c r="E112" s="157"/>
      <c r="F112" s="111"/>
      <c r="G112" s="111"/>
      <c r="H112" s="111"/>
      <c r="I112" s="111"/>
      <c r="J112" s="114"/>
      <c r="K112" s="177"/>
      <c r="L112" s="116"/>
      <c r="M112" s="178" t="str">
        <f>IFERROR(__xludf.DUMMYFUNCTION("IF(
  K112="""",
  """",
  ROUND(
    IF(
      L112="""",
      K112,
      IF(
        ISERROR(FIND(""-"",L112)),
        K112 - VALUE(REGEXEXTRACT(L112,""(\d+)"")),
        K112 * (1 - VALUE(REGEXEXTRACT(L112,""(\d+)""))/100)
      )
    ),
    2
  )
)"&amp;"
")," ")</f>
        <v/>
      </c>
      <c r="N112" s="116"/>
      <c r="O112" s="118" t="b">
        <v>0</v>
      </c>
      <c r="P112" s="179"/>
      <c r="Q112" s="120"/>
      <c r="R112" s="121" t="b">
        <v>0</v>
      </c>
      <c r="S112" s="121" t="b">
        <v>0</v>
      </c>
      <c r="T112" s="122" t="b">
        <v>0</v>
      </c>
    </row>
    <row r="113"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outlineLevel="1">
      <c r="A145" s="116"/>
      <c r="B145" s="116"/>
      <c r="C145" s="129"/>
      <c r="D145" s="157"/>
      <c r="E145" s="157"/>
      <c r="F145" s="116"/>
      <c r="G145" s="116"/>
      <c r="H145" s="116"/>
      <c r="I145" s="116"/>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outlineLevel="1">
      <c r="A146" s="116"/>
      <c r="B146" s="116"/>
      <c r="C146" s="185"/>
      <c r="D146" s="116"/>
      <c r="E146" s="116"/>
      <c r="F146" s="116"/>
      <c r="G146" s="116"/>
      <c r="H146" s="116"/>
      <c r="I146" s="116"/>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outlineLevel="1">
      <c r="A147" s="116"/>
      <c r="B147" s="116"/>
      <c r="C147" s="185"/>
      <c r="D147" s="116"/>
      <c r="E147" s="116"/>
      <c r="F147" s="116"/>
      <c r="G147" s="116"/>
      <c r="H147" s="116"/>
      <c r="I147" s="116"/>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outlineLevel="1">
      <c r="A148" s="116"/>
      <c r="B148" s="116"/>
      <c r="C148" s="185"/>
      <c r="D148" s="157"/>
      <c r="E148" s="157"/>
      <c r="F148" s="116"/>
      <c r="G148" s="116"/>
      <c r="H148" s="116"/>
      <c r="I148" s="116"/>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outlineLevel="1">
      <c r="A149" s="116"/>
      <c r="B149" s="116"/>
      <c r="C149" s="185"/>
      <c r="D149" s="116"/>
      <c r="E149" s="116"/>
      <c r="F149" s="116"/>
      <c r="G149" s="116"/>
      <c r="H149" s="116"/>
      <c r="I149" s="116"/>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outlineLevel="1">
      <c r="A150" s="116"/>
      <c r="B150" s="116"/>
      <c r="C150" s="185"/>
      <c r="D150" s="116"/>
      <c r="E150" s="116"/>
      <c r="F150" s="116"/>
      <c r="G150" s="116"/>
      <c r="H150" s="116"/>
      <c r="I150" s="116"/>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outlineLevel="1">
      <c r="A151" s="116"/>
      <c r="B151" s="116"/>
      <c r="C151" s="185"/>
      <c r="D151" s="157"/>
      <c r="E151" s="157"/>
      <c r="F151" s="116"/>
      <c r="G151" s="116"/>
      <c r="H151" s="116"/>
      <c r="I151" s="116"/>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outlineLevel="1">
      <c r="A152" s="116"/>
      <c r="B152" s="116"/>
      <c r="C152" s="185"/>
      <c r="D152" s="116"/>
      <c r="E152" s="116"/>
      <c r="F152" s="116"/>
      <c r="G152" s="116"/>
      <c r="H152" s="116"/>
      <c r="I152" s="116"/>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outlineLevel="1">
      <c r="A153" s="116"/>
      <c r="B153" s="116"/>
      <c r="C153" s="185"/>
      <c r="D153" s="116"/>
      <c r="E153" s="116"/>
      <c r="F153" s="116"/>
      <c r="G153" s="116"/>
      <c r="H153" s="116"/>
      <c r="I153" s="116"/>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outlineLevel="1">
      <c r="A154" s="116"/>
      <c r="B154" s="116"/>
      <c r="C154" s="185"/>
      <c r="D154" s="157"/>
      <c r="E154" s="157"/>
      <c r="F154" s="116"/>
      <c r="G154" s="116"/>
      <c r="H154" s="116"/>
      <c r="I154" s="116"/>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outlineLevel="1">
      <c r="A155" s="116"/>
      <c r="B155" s="116"/>
      <c r="C155" s="185"/>
      <c r="D155" s="116"/>
      <c r="E155" s="116"/>
      <c r="F155" s="116"/>
      <c r="G155" s="116"/>
      <c r="H155" s="116"/>
      <c r="I155" s="116"/>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outlineLevel="1">
      <c r="A156" s="116"/>
      <c r="B156" s="116"/>
      <c r="C156" s="186"/>
      <c r="D156" s="116"/>
      <c r="E156" s="116"/>
      <c r="F156" s="156"/>
      <c r="G156" s="157"/>
      <c r="H156" s="116"/>
      <c r="I156" s="116"/>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outlineLevel="1">
      <c r="A157" s="116"/>
      <c r="B157" s="116"/>
      <c r="C157" s="186"/>
      <c r="D157" s="157"/>
      <c r="E157" s="157"/>
      <c r="F157" s="187"/>
      <c r="G157" s="188"/>
      <c r="H157" s="116"/>
      <c r="I157" s="116"/>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outlineLevel="1">
      <c r="A158" s="131"/>
      <c r="B158" s="131"/>
      <c r="C158" s="130"/>
      <c r="D158" s="116"/>
      <c r="E158" s="116"/>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outlineLevel="1">
      <c r="A159" s="131"/>
      <c r="B159" s="131"/>
      <c r="C159" s="130"/>
      <c r="D159" s="116"/>
      <c r="E159" s="116"/>
      <c r="F159" s="131"/>
      <c r="G159" s="131"/>
      <c r="H159" s="131"/>
      <c r="I159" s="183"/>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outlineLevel="1">
      <c r="A160" s="131"/>
      <c r="B160" s="116"/>
      <c r="C160" s="130"/>
      <c r="D160" s="157"/>
      <c r="E160" s="157"/>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90">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50"/>
      <c r="H172" s="117"/>
      <c r="I172" s="168"/>
      <c r="J172" s="150"/>
      <c r="K172" s="117"/>
      <c r="L172" s="117"/>
      <c r="M172" s="191"/>
      <c r="N172" s="191"/>
      <c r="O172" s="191"/>
      <c r="P172" s="174"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t="str">
        <f t="shared" ref="F174:O174" si="14">IF(
  F$172="",
  "",
  SUMIFS($M$91:$M$170,$B$91:$B$170,"*SEDE*",$M$91:$M$170,F$172)
)
</f>
        <v/>
      </c>
      <c r="G174" s="193" t="str">
        <f t="shared" si="14"/>
        <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94" t="s">
        <v>124</v>
      </c>
      <c r="F176" s="195" t="str">
        <f t="shared" ref="F176:O176" si="16">IF(
  F$172="",
  "",
  SUMIFS($M$91:$M$170,$B$91:$B$170,"*ONLINE*",$M$91:$M$170,F$172)
)
</f>
        <v/>
      </c>
      <c r="G176" s="195" t="str">
        <f t="shared" si="16"/>
        <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2</v>
      </c>
      <c r="D177" s="199" t="s">
        <v>128</v>
      </c>
      <c r="E177" s="200" t="s">
        <v>129</v>
      </c>
      <c r="F177" s="201">
        <f>IFERROR(__xludf.DUMMYFUNCTION("IFERROR(
  TRANSPOSE(
    SORT(
      UNIQUE(
        FILTER(
          {$M$4:$M$83;$M$91:$M$170},
          {$M$4:$M$83;$M$91:$M$170}&lt;&gt;""""
        )
      )
    )
  ),
  """"
)
"),30.0)</f>
        <v>30</v>
      </c>
      <c r="G177" s="201">
        <f>IFERROR(__xludf.DUMMYFUNCTION("""COMPUTED_VALUE"""),32.0)</f>
        <v>32</v>
      </c>
      <c r="H177" s="201">
        <f>IFERROR(__xludf.DUMMYFUNCTION("""COMPUTED_VALUE"""),37.0)</f>
        <v>37</v>
      </c>
      <c r="I177" s="201"/>
      <c r="J177" s="201"/>
      <c r="K177" s="201"/>
      <c r="L177" s="202"/>
      <c r="M177" s="201"/>
      <c r="N177" s="201"/>
      <c r="O177" s="201"/>
      <c r="P177" s="203" t="s">
        <v>127</v>
      </c>
      <c r="Q177" s="204">
        <f>IF(SUM(F179:O179)=0,"",SUM(F179:O179))
</f>
        <v>60</v>
      </c>
      <c r="R177" s="205" t="s">
        <v>130</v>
      </c>
      <c r="S177" s="206">
        <f>IF(SUM(Q177,Q180)=0,"",SUM(Q177,Q180))
</f>
        <v>265</v>
      </c>
      <c r="T177" s="207"/>
    </row>
    <row r="178">
      <c r="A178" s="208" t="s">
        <v>131</v>
      </c>
      <c r="B178" s="209">
        <f t="shared" si="17"/>
        <v>6</v>
      </c>
      <c r="D178" s="210"/>
      <c r="E178" s="211" t="s">
        <v>132</v>
      </c>
      <c r="F178" s="212" t="str">
        <f t="shared" ref="F178:O178" si="18">IF(
  F$177="",
  "",
  COUNTIFS($B$4:$B$170,"*SEDE*",$M$4:$M$170,F$177) &amp; " da €" &amp; F$177
)
</f>
        <v>2 da €30</v>
      </c>
      <c r="G178" s="212" t="str">
        <f t="shared" si="18"/>
        <v>0 da €32</v>
      </c>
      <c r="H178" s="212" t="str">
        <f t="shared" si="18"/>
        <v>0 da €37</v>
      </c>
      <c r="I178" s="212" t="str">
        <f t="shared" si="18"/>
        <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8</v>
      </c>
      <c r="D179" s="210"/>
      <c r="E179" s="215" t="s">
        <v>122</v>
      </c>
      <c r="F179" s="216">
        <f t="shared" ref="F179:O179" si="19">IF(
  F$177="",
  "",
  SUMIFS($M$4:$M$170,$B$4:$B$170,"*SEDE*",$M$4:$M$170,F$177)
)
</f>
        <v>60</v>
      </c>
      <c r="G179" s="216">
        <f t="shared" si="19"/>
        <v>0</v>
      </c>
      <c r="H179" s="216">
        <f t="shared" si="19"/>
        <v>0</v>
      </c>
      <c r="I179" s="216" t="str">
        <f t="shared" si="19"/>
        <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5</v>
      </c>
      <c r="D180" s="210"/>
      <c r="E180" s="211" t="s">
        <v>135</v>
      </c>
      <c r="F180" s="211" t="str">
        <f t="shared" ref="F180:O180" si="20">IF(
  F$177="",
  "",
  COUNTIFS($B$4:$B$170,"*ONLINE*",$M$4:$M$170,F$177) &amp; " da €" &amp; F$177
)
</f>
        <v>1 da €30</v>
      </c>
      <c r="G180" s="211" t="str">
        <f t="shared" si="20"/>
        <v>2 da €32</v>
      </c>
      <c r="H180" s="211" t="str">
        <f t="shared" si="20"/>
        <v>3 da €37</v>
      </c>
      <c r="I180" s="211" t="str">
        <f t="shared" si="20"/>
        <v/>
      </c>
      <c r="J180" s="211" t="str">
        <f t="shared" si="20"/>
        <v/>
      </c>
      <c r="K180" s="211" t="str">
        <f t="shared" si="20"/>
        <v/>
      </c>
      <c r="L180" s="211" t="str">
        <f t="shared" si="20"/>
        <v/>
      </c>
      <c r="M180" s="211" t="str">
        <f t="shared" si="20"/>
        <v/>
      </c>
      <c r="N180" s="211" t="str">
        <f t="shared" si="20"/>
        <v/>
      </c>
      <c r="O180" s="211" t="str">
        <f t="shared" si="20"/>
        <v/>
      </c>
      <c r="P180" s="203" t="s">
        <v>131</v>
      </c>
      <c r="Q180" s="218">
        <f>IF(SUM(F181:O181)=0,"",SUM(F181:O181))
</f>
        <v>205</v>
      </c>
    </row>
    <row r="181">
      <c r="A181" s="219" t="s">
        <v>136</v>
      </c>
      <c r="B181" s="220">
        <f>COUNTIF(N4:N170,"*TESSERATO*")-COUNTIF(N4:N170,"*NON TESSERATO*")</f>
        <v>3</v>
      </c>
      <c r="D181" s="221"/>
      <c r="E181" s="222" t="s">
        <v>124</v>
      </c>
      <c r="F181" s="223">
        <f t="shared" ref="F181:O181" si="21">IF(
  F$177="",
  "",
  SUMIFS($M$4:$M$170,$B$4:$B$170,"*ONLINE*",$M$4:$M$170,F$177)
)
</f>
        <v>30</v>
      </c>
      <c r="G181" s="223">
        <f t="shared" si="21"/>
        <v>64</v>
      </c>
      <c r="H181" s="223">
        <f t="shared" si="21"/>
        <v>111</v>
      </c>
      <c r="I181" s="223" t="str">
        <f t="shared" si="21"/>
        <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formula1>"CASH - TESSERATO,CASH - NON TESSERATO,DIGIT - TESSERATO,DIGIT - NON TESSERATO"</formula1>
    </dataValidation>
    <dataValidation type="custom" allowBlank="1" showDropDown="1" showInputMessage="1" showErrorMessage="1" prompt="Immetti un valore che soddisfi la formula: =REGEXMATCH(TO_TEXT(J3); &quot;^[^@\s]+@[^@\s]+\.[^@\s]+$&quot;)" sqref="I8">
      <formula1>REGEXMATCH(TO_TEXT(I8), "^[^@\s]+@[^@\s]+\.[^@\s]+$")</formula1>
    </dataValidation>
    <dataValidation type="list" allowBlank="1" showErrorMessage="1" sqref="L4:L83 L91:L170">
      <formula1>"NURA02WS,GIUDITTA02WS,ALEXANDRA02WS,ESTEFANY02WS,JOEL02WS,MASSI02WS,SANTO02WS,SARA02WS,OMAGGIO-100WS"</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70">
      <formula1>elenchi!$M$2:$M$100</formula1>
    </dataValidation>
    <dataValidation type="list" allowBlank="1" sqref="Q4:Q83 Q91:Q170">
      <formula1>"INSERITO,CELL,EMAIL,COD FISCALE,INDIRIZZO"</formula1>
    </dataValidation>
    <dataValidation type="custom" allowBlank="1" showDropDown="1" showInputMessage="1" prompt="Immetti una data valida" sqref="C4:C83 J4:J83 C91:C170 J91:J170">
      <formula1>OR(NOT(ISERROR(DATEVALUE(C4))), AND(ISNUMBER(C4), LEFT(CELL("format", C4))="D"))</formula1>
    </dataValidation>
  </dataValidations>
  <hyperlinks>
    <hyperlink r:id="rId2" location="gid=123984173" ref="C1"/>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1" t="s">
        <v>137</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 r="A3" s="110"/>
      <c r="B3" s="110"/>
      <c r="C3" s="110" t="s">
        <v>138</v>
      </c>
    </row>
    <row r="4" outlineLevel="1">
      <c r="A4" s="111" t="s">
        <v>73</v>
      </c>
      <c r="B4" s="111" t="s">
        <v>74</v>
      </c>
      <c r="C4" s="112">
        <v>46070.0</v>
      </c>
      <c r="D4" s="111" t="s">
        <v>139</v>
      </c>
      <c r="E4" s="111" t="s">
        <v>140</v>
      </c>
      <c r="F4" s="111" t="s">
        <v>141</v>
      </c>
      <c r="G4" s="111">
        <v>3.490659648E9</v>
      </c>
      <c r="H4" s="113" t="s">
        <v>142</v>
      </c>
      <c r="I4" s="111" t="s">
        <v>143</v>
      </c>
      <c r="J4" s="224">
        <v>46070.0</v>
      </c>
      <c r="K4" s="115">
        <v>32.0</v>
      </c>
      <c r="L4" s="116" t="s">
        <v>106</v>
      </c>
      <c r="M4" s="117">
        <f>IFERROR(__xludf.DUMMYFUNCTION("IF(
  K4="""",
  """",
  ROUND(
    IF(
      L4="""",
      K4,
      IF(
        ISERROR(FIND(""-"",L4)),
        K4 - VALUE(REGEXEXTRACT(L4,""(\d+)"")),
        K4 * (1 - VALUE(REGEXEXTRACT(L4,""(\d+)""))/100)
      )
    ),
    2
  )
)
"),30.0)</f>
        <v>30</v>
      </c>
      <c r="N4" s="111" t="s">
        <v>100</v>
      </c>
      <c r="O4" s="118" t="b">
        <v>1</v>
      </c>
      <c r="P4" s="119"/>
      <c r="Q4" s="120" t="s">
        <v>81</v>
      </c>
      <c r="R4" s="121" t="b">
        <v>1</v>
      </c>
      <c r="S4" s="121" t="b">
        <v>0</v>
      </c>
      <c r="T4" s="122" t="b">
        <v>1</v>
      </c>
    </row>
    <row r="5" outlineLevel="1">
      <c r="A5" s="111" t="s">
        <v>73</v>
      </c>
      <c r="B5" s="111" t="s">
        <v>74</v>
      </c>
      <c r="C5" s="112">
        <v>46072.0</v>
      </c>
      <c r="D5" s="111" t="s">
        <v>144</v>
      </c>
      <c r="E5" s="111" t="s">
        <v>145</v>
      </c>
      <c r="F5" s="111" t="s">
        <v>146</v>
      </c>
      <c r="G5" s="111">
        <v>3.313419879E9</v>
      </c>
      <c r="H5" s="111" t="s">
        <v>147</v>
      </c>
      <c r="I5" s="111" t="s">
        <v>148</v>
      </c>
      <c r="J5" s="126">
        <v>46072.0</v>
      </c>
      <c r="K5" s="115">
        <v>32.0</v>
      </c>
      <c r="L5" s="116" t="s">
        <v>106</v>
      </c>
      <c r="M5" s="117">
        <f>IFERROR(__xludf.DUMMYFUNCTION("IF(
  K5="""",
  """",
  ROUND(
    IF(
      L5="""",
      K5,
      IF(
        ISERROR(FIND(""-"",L5)),
        K5 - VALUE(REGEXEXTRACT(L5,""(\d+)"")),
        K5 * (1 - VALUE(REGEXEXTRACT(L5,""(\d+)""))/100)
      )
    ),
    2
  )
)
"),30.0)</f>
        <v>30</v>
      </c>
      <c r="N5" s="111" t="s">
        <v>100</v>
      </c>
      <c r="O5" s="118" t="b">
        <v>1</v>
      </c>
      <c r="P5" s="119"/>
      <c r="Q5" s="120" t="s">
        <v>81</v>
      </c>
      <c r="R5" s="121" t="b">
        <v>1</v>
      </c>
      <c r="S5" s="121" t="b">
        <v>0</v>
      </c>
      <c r="T5" s="122" t="b">
        <v>1</v>
      </c>
    </row>
    <row r="6" outlineLevel="1">
      <c r="A6" s="111" t="s">
        <v>73</v>
      </c>
      <c r="B6" s="111" t="s">
        <v>74</v>
      </c>
      <c r="C6" s="112">
        <v>46076.0</v>
      </c>
      <c r="D6" s="111" t="s">
        <v>149</v>
      </c>
      <c r="E6" s="111" t="s">
        <v>150</v>
      </c>
      <c r="F6" s="111" t="s">
        <v>151</v>
      </c>
      <c r="G6" s="111">
        <v>3.343934888E9</v>
      </c>
      <c r="H6" s="111" t="s">
        <v>152</v>
      </c>
      <c r="I6" s="111" t="s">
        <v>153</v>
      </c>
      <c r="J6" s="126">
        <v>46076.0</v>
      </c>
      <c r="K6" s="115">
        <v>32.0</v>
      </c>
      <c r="L6" s="116"/>
      <c r="M6" s="117">
        <f>IFERROR(__xludf.DUMMYFUNCTION("IF(
  K6="""",
  """",
  ROUND(
    IF(
      L6="""",
      K6,
      IF(
        ISERROR(FIND(""-"",L6)),
        K6 - VALUE(REGEXEXTRACT(L6,""(\d+)"")),
        K6 * (1 - VALUE(REGEXEXTRACT(L6,""(\d+)""))/100)
      )
    ),
    2
  )
)
"),32.0)</f>
        <v>32</v>
      </c>
      <c r="N6" s="111" t="s">
        <v>100</v>
      </c>
      <c r="O6" s="118" t="b">
        <v>1</v>
      </c>
      <c r="P6" s="119"/>
      <c r="Q6" s="120" t="s">
        <v>81</v>
      </c>
      <c r="R6" s="121" t="b">
        <v>1</v>
      </c>
      <c r="S6" s="121" t="b">
        <v>0</v>
      </c>
      <c r="T6" s="122" t="b">
        <v>1</v>
      </c>
    </row>
    <row r="7" outlineLevel="1">
      <c r="A7" s="111" t="s">
        <v>73</v>
      </c>
      <c r="B7" s="111" t="s">
        <v>74</v>
      </c>
      <c r="C7" s="112">
        <v>46077.0</v>
      </c>
      <c r="D7" s="111"/>
      <c r="E7" s="111" t="s">
        <v>154</v>
      </c>
      <c r="F7" s="111" t="s">
        <v>155</v>
      </c>
      <c r="G7" s="111">
        <v>3.481955108E9</v>
      </c>
      <c r="H7" s="111" t="s">
        <v>156</v>
      </c>
      <c r="I7" s="111" t="s">
        <v>157</v>
      </c>
      <c r="J7" s="126">
        <v>46077.0</v>
      </c>
      <c r="K7" s="115">
        <v>32.0</v>
      </c>
      <c r="L7" s="116"/>
      <c r="M7" s="117">
        <f>IFERROR(__xludf.DUMMYFUNCTION("IF(
  K7="""",
  """",
  ROUND(
    IF(
      L7="""",
      K7,
      IF(
        ISERROR(FIND(""-"",L7)),
        K7 - VALUE(REGEXEXTRACT(L7,""(\d+)"")),
        K7 * (1 - VALUE(REGEXEXTRACT(L7,""(\d+)""))/100)
      )
    ),
    2
  )
)
"),32.0)</f>
        <v>32</v>
      </c>
      <c r="N7" s="111" t="s">
        <v>80</v>
      </c>
      <c r="O7" s="118" t="b">
        <v>1</v>
      </c>
      <c r="P7" s="119"/>
      <c r="Q7" s="120" t="s">
        <v>81</v>
      </c>
      <c r="R7" s="121" t="b">
        <v>0</v>
      </c>
      <c r="S7" s="121" t="b">
        <v>1</v>
      </c>
      <c r="T7" s="122" t="b">
        <v>1</v>
      </c>
    </row>
    <row r="8" outlineLevel="1">
      <c r="A8" s="111" t="s">
        <v>73</v>
      </c>
      <c r="B8" s="111" t="s">
        <v>94</v>
      </c>
      <c r="C8" s="112">
        <v>46081.0</v>
      </c>
      <c r="D8" s="111" t="s">
        <v>158</v>
      </c>
      <c r="E8" s="111" t="s">
        <v>159</v>
      </c>
      <c r="F8" s="111" t="s">
        <v>91</v>
      </c>
      <c r="G8" s="111">
        <v>3.389088473E9</v>
      </c>
      <c r="H8" s="111" t="s">
        <v>160</v>
      </c>
      <c r="I8" s="225" t="s">
        <v>161</v>
      </c>
      <c r="J8" s="126">
        <v>46081.0</v>
      </c>
      <c r="K8" s="115">
        <v>32.0</v>
      </c>
      <c r="L8" s="116" t="s">
        <v>99</v>
      </c>
      <c r="M8" s="117">
        <f>IFERROR(__xludf.DUMMYFUNCTION("IF(
  K8="""",
  """",
  ROUND(
    IF(
      L8="""",
      K8,
      IF(
        ISERROR(FIND(""-"",L8)),
        K8 - VALUE(REGEXEXTRACT(L8,""(\d+)"")),
        K8 * (1 - VALUE(REGEXEXTRACT(L8,""(\d+)""))/100)
      )
    ),
    2
  )
)
"),30.0)</f>
        <v>30</v>
      </c>
      <c r="N8" s="111" t="s">
        <v>162</v>
      </c>
      <c r="O8" s="118" t="b">
        <v>1</v>
      </c>
      <c r="P8" s="119"/>
      <c r="Q8" s="120" t="s">
        <v>81</v>
      </c>
      <c r="R8" s="121" t="b">
        <v>1</v>
      </c>
      <c r="S8" s="121" t="b">
        <v>0</v>
      </c>
      <c r="T8" s="122" t="b">
        <v>1</v>
      </c>
    </row>
    <row r="9" outlineLevel="1">
      <c r="A9" s="111" t="s">
        <v>73</v>
      </c>
      <c r="B9" s="111" t="s">
        <v>74</v>
      </c>
      <c r="C9" s="112">
        <v>46082.0</v>
      </c>
      <c r="D9" s="111" t="s">
        <v>163</v>
      </c>
      <c r="E9" s="111" t="s">
        <v>164</v>
      </c>
      <c r="F9" s="111" t="s">
        <v>165</v>
      </c>
      <c r="G9" s="111">
        <v>3.342145266E9</v>
      </c>
      <c r="H9" s="111" t="s">
        <v>166</v>
      </c>
      <c r="I9" s="111" t="s">
        <v>167</v>
      </c>
      <c r="J9" s="112">
        <v>46082.0</v>
      </c>
      <c r="K9" s="115">
        <v>32.0</v>
      </c>
      <c r="L9" s="116"/>
      <c r="M9" s="117">
        <f>IFERROR(__xludf.DUMMYFUNCTION("IF(
  K9="""",
  """",
  ROUND(
    IF(
      L9="""",
      K9,
      IF(
        ISERROR(FIND(""-"",L9)),
        K9 - VALUE(REGEXEXTRACT(L9,""(\d+)"")),
        K9 * (1 - VALUE(REGEXEXTRACT(L9,""(\d+)""))/100)
      )
    ),
    2
  )
)
"),32.0)</f>
        <v>32</v>
      </c>
      <c r="N9" s="111" t="s">
        <v>100</v>
      </c>
      <c r="O9" s="118" t="b">
        <v>1</v>
      </c>
      <c r="P9" s="119"/>
      <c r="Q9" s="120" t="s">
        <v>81</v>
      </c>
      <c r="R9" s="121" t="b">
        <v>1</v>
      </c>
      <c r="S9" s="121" t="b">
        <v>0</v>
      </c>
      <c r="T9" s="122" t="b">
        <v>1</v>
      </c>
    </row>
    <row r="10" outlineLevel="1">
      <c r="A10" s="111" t="s">
        <v>101</v>
      </c>
      <c r="B10" s="111" t="s">
        <v>102</v>
      </c>
      <c r="C10" s="112">
        <v>46087.0</v>
      </c>
      <c r="D10" s="111"/>
      <c r="E10" s="111" t="s">
        <v>168</v>
      </c>
      <c r="F10" s="111" t="s">
        <v>165</v>
      </c>
      <c r="G10" s="111">
        <v>3.342627444E9</v>
      </c>
      <c r="H10" s="128" t="s">
        <v>169</v>
      </c>
      <c r="I10" s="111" t="s">
        <v>170</v>
      </c>
      <c r="J10" s="126">
        <v>46087.0</v>
      </c>
      <c r="K10" s="115">
        <v>32.0</v>
      </c>
      <c r="L10" s="116"/>
      <c r="M10" s="117">
        <f>IFERROR(__xludf.DUMMYFUNCTION("IF(
  K10="""",
  """",
  ROUND(
    IF(
      L10="""",
      K10,
      IF(
        ISERROR(FIND(""-"",L10)),
        K10 - VALUE(REGEXEXTRACT(L10,""(\d+)"")),
        K10 * (1 - VALUE(REGEXEXTRACT(L10,""(\d+)""))/100)
      )
    ),
    2
  )
)
"),32.0)</f>
        <v>32</v>
      </c>
      <c r="N10" s="111" t="s">
        <v>100</v>
      </c>
      <c r="O10" s="118" t="b">
        <v>1</v>
      </c>
      <c r="P10" s="119"/>
      <c r="Q10" s="120" t="s">
        <v>81</v>
      </c>
      <c r="R10" s="121" t="b">
        <v>1</v>
      </c>
      <c r="S10" s="121" t="b">
        <v>0</v>
      </c>
      <c r="T10" s="122" t="b">
        <v>1</v>
      </c>
    </row>
    <row r="11" outlineLevel="1">
      <c r="A11" s="111" t="s">
        <v>101</v>
      </c>
      <c r="B11" s="111" t="s">
        <v>102</v>
      </c>
      <c r="C11" s="112">
        <v>46087.0</v>
      </c>
      <c r="D11" s="111"/>
      <c r="E11" s="111" t="s">
        <v>171</v>
      </c>
      <c r="F11" s="111" t="s">
        <v>172</v>
      </c>
      <c r="G11" s="111">
        <v>3.487100315E9</v>
      </c>
      <c r="H11" s="111" t="s">
        <v>173</v>
      </c>
      <c r="I11" s="111" t="s">
        <v>174</v>
      </c>
      <c r="J11" s="126">
        <v>46087.0</v>
      </c>
      <c r="K11" s="115">
        <v>32.0</v>
      </c>
      <c r="L11" s="116" t="s">
        <v>106</v>
      </c>
      <c r="M11" s="117">
        <f>IFERROR(__xludf.DUMMYFUNCTION("IF(
  K11="""",
  """",
  ROUND(
    IF(
      L11="""",
      K11,
      IF(
        ISERROR(FIND(""-"",L11)),
        K11 - VALUE(REGEXEXTRACT(L11,""(\d+)"")),
        K11 * (1 - VALUE(REGEXEXTRACT(L11,""(\d+)""))/100)
      )
    ),
    2
  )
)
"),30.0)</f>
        <v>30</v>
      </c>
      <c r="N11" s="111" t="s">
        <v>100</v>
      </c>
      <c r="O11" s="118" t="b">
        <v>1</v>
      </c>
      <c r="P11" s="226"/>
      <c r="Q11" s="120" t="s">
        <v>81</v>
      </c>
      <c r="R11" s="121" t="b">
        <v>1</v>
      </c>
      <c r="S11" s="121" t="b">
        <v>0</v>
      </c>
      <c r="T11" s="122" t="b">
        <v>1</v>
      </c>
    </row>
    <row r="12" outlineLevel="1">
      <c r="A12" s="111" t="s">
        <v>73</v>
      </c>
      <c r="B12" s="111" t="s">
        <v>74</v>
      </c>
      <c r="C12" s="112">
        <v>46089.0</v>
      </c>
      <c r="D12" s="111"/>
      <c r="E12" s="111" t="s">
        <v>140</v>
      </c>
      <c r="F12" s="111" t="s">
        <v>175</v>
      </c>
      <c r="G12" s="111">
        <v>3.337205209E9</v>
      </c>
      <c r="H12" s="111" t="s">
        <v>176</v>
      </c>
      <c r="I12" s="111" t="s">
        <v>177</v>
      </c>
      <c r="J12" s="114">
        <v>46089.0</v>
      </c>
      <c r="K12" s="115">
        <v>32.0</v>
      </c>
      <c r="L12" s="116" t="s">
        <v>106</v>
      </c>
      <c r="M12" s="117">
        <f>IFERROR(__xludf.DUMMYFUNCTION("IF(
  K12="""",
  """",
  ROUND(
    IF(
      L12="""",
      K12,
      IF(
        ISERROR(FIND(""-"",L12)),
        K12 - VALUE(REGEXEXTRACT(L12,""(\d+)"")),
        K12 * (1 - VALUE(REGEXEXTRACT(L12,""(\d+)""))/100)
      )
    ),
    2
  )
)
"),30.0)</f>
        <v>30</v>
      </c>
      <c r="N12" s="111" t="s">
        <v>80</v>
      </c>
      <c r="O12" s="118" t="b">
        <v>1</v>
      </c>
      <c r="P12" s="119"/>
      <c r="Q12" s="120" t="s">
        <v>81</v>
      </c>
      <c r="R12" s="121" t="b">
        <v>0</v>
      </c>
      <c r="S12" s="121" t="b">
        <v>1</v>
      </c>
      <c r="T12" s="122" t="b">
        <v>1</v>
      </c>
    </row>
    <row r="13" outlineLevel="1">
      <c r="A13" s="111" t="s">
        <v>73</v>
      </c>
      <c r="B13" s="111" t="s">
        <v>74</v>
      </c>
      <c r="C13" s="112">
        <v>46090.0</v>
      </c>
      <c r="D13" s="111" t="s">
        <v>178</v>
      </c>
      <c r="E13" s="111" t="s">
        <v>179</v>
      </c>
      <c r="F13" s="111" t="s">
        <v>180</v>
      </c>
      <c r="G13" s="111">
        <v>3.495601535E9</v>
      </c>
      <c r="H13" s="111" t="s">
        <v>181</v>
      </c>
      <c r="I13" s="111" t="s">
        <v>182</v>
      </c>
      <c r="J13" s="126">
        <v>46090.0</v>
      </c>
      <c r="K13" s="115">
        <v>32.0</v>
      </c>
      <c r="L13" s="116" t="s">
        <v>79</v>
      </c>
      <c r="M13" s="117">
        <f>IFERROR(__xludf.DUMMYFUNCTION("IF(
  K13="""",
  """",
  ROUND(
    IF(
      L13="""",
      K13,
      IF(
        ISERROR(FIND(""-"",L13)),
        K13 - VALUE(REGEXEXTRACT(L13,""(\d+)"")),
        K13 * (1 - VALUE(REGEXEXTRACT(L13,""(\d+)""))/100)
      )
    ),
    2
  )
)
"),30.0)</f>
        <v>30</v>
      </c>
      <c r="N13" s="111" t="s">
        <v>100</v>
      </c>
      <c r="O13" s="118" t="b">
        <v>1</v>
      </c>
      <c r="P13" s="119"/>
      <c r="Q13" s="120" t="s">
        <v>81</v>
      </c>
      <c r="R13" s="121" t="b">
        <v>1</v>
      </c>
      <c r="S13" s="121" t="b">
        <v>0</v>
      </c>
      <c r="T13" s="122" t="b">
        <v>1</v>
      </c>
    </row>
    <row r="14" outlineLevel="1">
      <c r="A14" s="116" t="s">
        <v>73</v>
      </c>
      <c r="B14" s="116" t="s">
        <v>74</v>
      </c>
      <c r="C14" s="129">
        <v>46093.0</v>
      </c>
      <c r="D14" s="111" t="s">
        <v>183</v>
      </c>
      <c r="E14" s="111" t="s">
        <v>184</v>
      </c>
      <c r="F14" s="111" t="s">
        <v>185</v>
      </c>
      <c r="G14" s="111">
        <v>3.400552152E9</v>
      </c>
      <c r="H14" s="111" t="s">
        <v>186</v>
      </c>
      <c r="I14" s="111" t="s">
        <v>187</v>
      </c>
      <c r="J14" s="126">
        <v>46093.0</v>
      </c>
      <c r="K14" s="115">
        <v>32.0</v>
      </c>
      <c r="L14" s="116"/>
      <c r="M14" s="117">
        <f>IFERROR(__xludf.DUMMYFUNCTION("IF(
  K14="""",
  """",
  ROUND(
    IF(
      L14="""",
      K14,
      IF(
        ISERROR(FIND(""-"",L14)),
        K14 - VALUE(REGEXEXTRACT(L14,""(\d+)"")),
        K14 * (1 - VALUE(REGEXEXTRACT(L14,""(\d+)""))/100)
      )
    ),
    2
  )
)
"),32.0)</f>
        <v>32</v>
      </c>
      <c r="N14" s="111" t="s">
        <v>100</v>
      </c>
      <c r="O14" s="118" t="b">
        <v>1</v>
      </c>
      <c r="P14" s="119"/>
      <c r="Q14" s="120" t="s">
        <v>81</v>
      </c>
      <c r="R14" s="121" t="b">
        <v>1</v>
      </c>
      <c r="S14" s="121" t="b">
        <v>0</v>
      </c>
      <c r="T14" s="122" t="b">
        <v>1</v>
      </c>
    </row>
    <row r="15" outlineLevel="1">
      <c r="A15" s="116" t="s">
        <v>73</v>
      </c>
      <c r="B15" s="116" t="s">
        <v>74</v>
      </c>
      <c r="C15" s="129">
        <v>46092.0</v>
      </c>
      <c r="D15" s="111"/>
      <c r="E15" s="111" t="s">
        <v>188</v>
      </c>
      <c r="F15" s="116" t="s">
        <v>189</v>
      </c>
      <c r="G15" s="111">
        <v>3.513213519E9</v>
      </c>
      <c r="H15" s="116" t="s">
        <v>190</v>
      </c>
      <c r="I15" s="111" t="s">
        <v>191</v>
      </c>
      <c r="J15" s="132">
        <v>46092.0</v>
      </c>
      <c r="K15" s="115">
        <v>32.0</v>
      </c>
      <c r="L15" s="116"/>
      <c r="M15" s="117">
        <f>IFERROR(__xludf.DUMMYFUNCTION("IF(
  K15="""",
  """",
  ROUND(
    IF(
      L15="""",
      K15,
      IF(
        ISERROR(FIND(""-"",L15)),
        K15 - VALUE(REGEXEXTRACT(L15,""(\d+)"")),
        K15 * (1 - VALUE(REGEXEXTRACT(L15,""(\d+)""))/100)
      )
    ),
    2
  )
)
"),32.0)</f>
        <v>32</v>
      </c>
      <c r="N15" s="111" t="s">
        <v>80</v>
      </c>
      <c r="O15" s="118" t="b">
        <v>1</v>
      </c>
      <c r="P15" s="119"/>
      <c r="Q15" s="120" t="s">
        <v>81</v>
      </c>
      <c r="R15" s="121" t="b">
        <v>0</v>
      </c>
      <c r="S15" s="121" t="b">
        <v>1</v>
      </c>
      <c r="T15" s="122" t="b">
        <v>1</v>
      </c>
    </row>
    <row r="16" outlineLevel="1">
      <c r="A16" s="111" t="s">
        <v>73</v>
      </c>
      <c r="B16" s="111" t="s">
        <v>74</v>
      </c>
      <c r="C16" s="129">
        <v>46094.0</v>
      </c>
      <c r="D16" s="111" t="s">
        <v>192</v>
      </c>
      <c r="E16" s="111" t="s">
        <v>193</v>
      </c>
      <c r="F16" s="111" t="s">
        <v>151</v>
      </c>
      <c r="G16" s="111">
        <v>3.382295075E9</v>
      </c>
      <c r="H16" s="111" t="s">
        <v>194</v>
      </c>
      <c r="I16" s="111" t="s">
        <v>195</v>
      </c>
      <c r="J16" s="132">
        <v>46094.0</v>
      </c>
      <c r="K16" s="115">
        <v>32.0</v>
      </c>
      <c r="L16" s="116"/>
      <c r="M16" s="117">
        <f>IFERROR(__xludf.DUMMYFUNCTION("IF(
  K16="""",
  """",
  ROUND(
    IF(
      L16="""",
      K16,
      IF(
        ISERROR(FIND(""-"",L16)),
        K16 - VALUE(REGEXEXTRACT(L16,""(\d+)"")),
        K16 * (1 - VALUE(REGEXEXTRACT(L16,""(\d+)""))/100)
      )
    ),
    2
  )
)
"),32.0)</f>
        <v>32</v>
      </c>
      <c r="N16" s="111" t="s">
        <v>100</v>
      </c>
      <c r="O16" s="118" t="b">
        <v>1</v>
      </c>
      <c r="P16" s="119"/>
      <c r="Q16" s="120" t="s">
        <v>81</v>
      </c>
      <c r="R16" s="121" t="b">
        <v>1</v>
      </c>
      <c r="S16" s="121" t="b">
        <v>0</v>
      </c>
      <c r="T16" s="122" t="b">
        <v>1</v>
      </c>
    </row>
    <row r="17" outlineLevel="1">
      <c r="A17" s="111" t="s">
        <v>101</v>
      </c>
      <c r="B17" s="111" t="s">
        <v>102</v>
      </c>
      <c r="C17" s="133">
        <v>46095.0</v>
      </c>
      <c r="D17" s="111"/>
      <c r="E17" s="111" t="s">
        <v>196</v>
      </c>
      <c r="F17" s="111" t="s">
        <v>197</v>
      </c>
      <c r="G17" s="111">
        <v>3.47496578E9</v>
      </c>
      <c r="H17" s="111" t="s">
        <v>198</v>
      </c>
      <c r="I17" s="111" t="s">
        <v>199</v>
      </c>
      <c r="J17" s="134">
        <v>46094.0</v>
      </c>
      <c r="K17" s="115">
        <v>32.0</v>
      </c>
      <c r="L17" s="116" t="s">
        <v>106</v>
      </c>
      <c r="M17" s="117">
        <f>IFERROR(__xludf.DUMMYFUNCTION("IF(
  K17="""",
  """",
  ROUND(
    IF(
      L17="""",
      K17,
      IF(
        ISERROR(FIND(""-"",L17)),
        K17 - VALUE(REGEXEXTRACT(L17,""(\d+)"")),
        K17 * (1 - VALUE(REGEXEXTRACT(L17,""(\d+)""))/100)
      )
    ),
    2
  )
)
"),30.0)</f>
        <v>30</v>
      </c>
      <c r="N17" s="111" t="s">
        <v>100</v>
      </c>
      <c r="O17" s="118" t="b">
        <v>1</v>
      </c>
      <c r="P17" s="119"/>
      <c r="Q17" s="120" t="s">
        <v>81</v>
      </c>
      <c r="R17" s="121" t="b">
        <v>1</v>
      </c>
      <c r="S17" s="121" t="b">
        <v>0</v>
      </c>
      <c r="T17" s="122" t="b">
        <v>1</v>
      </c>
    </row>
    <row r="18" outlineLevel="1">
      <c r="A18" s="116" t="s">
        <v>101</v>
      </c>
      <c r="B18" s="116" t="s">
        <v>102</v>
      </c>
      <c r="C18" s="129">
        <v>46095.0</v>
      </c>
      <c r="D18" s="111"/>
      <c r="E18" s="111" t="s">
        <v>200</v>
      </c>
      <c r="F18" s="116" t="s">
        <v>201</v>
      </c>
      <c r="G18" s="116">
        <v>3.283986848E9</v>
      </c>
      <c r="H18" s="116" t="s">
        <v>202</v>
      </c>
      <c r="I18" s="116" t="s">
        <v>203</v>
      </c>
      <c r="J18" s="135">
        <v>46094.0</v>
      </c>
      <c r="K18" s="115">
        <v>32.0</v>
      </c>
      <c r="L18" s="116" t="s">
        <v>106</v>
      </c>
      <c r="M18" s="117">
        <f>IFERROR(__xludf.DUMMYFUNCTION("IF(
  K18="""",
  """",
  ROUND(
    IF(
      L18="""",
      K18,
      IF(
        ISERROR(FIND(""-"",L18)),
        K18 - VALUE(REGEXEXTRACT(L18,""(\d+)"")),
        K18 * (1 - VALUE(REGEXEXTRACT(L18,""(\d+)""))/100)
      )
    ),
    2
  )
)
"),30.0)</f>
        <v>30</v>
      </c>
      <c r="N18" s="111" t="s">
        <v>100</v>
      </c>
      <c r="O18" s="118" t="b">
        <v>1</v>
      </c>
      <c r="P18" s="119"/>
      <c r="Q18" s="120" t="s">
        <v>81</v>
      </c>
      <c r="R18" s="121" t="b">
        <v>1</v>
      </c>
      <c r="S18" s="121" t="b">
        <v>0</v>
      </c>
      <c r="T18" s="122" t="b">
        <v>1</v>
      </c>
    </row>
    <row r="19" outlineLevel="1">
      <c r="A19" s="116" t="s">
        <v>101</v>
      </c>
      <c r="B19" s="116" t="s">
        <v>102</v>
      </c>
      <c r="C19" s="129">
        <v>46095.0</v>
      </c>
      <c r="D19" s="111"/>
      <c r="E19" s="111" t="s">
        <v>204</v>
      </c>
      <c r="F19" s="116" t="s">
        <v>205</v>
      </c>
      <c r="G19" s="116">
        <v>3.387062199E9</v>
      </c>
      <c r="H19" s="116" t="s">
        <v>206</v>
      </c>
      <c r="I19" s="116" t="s">
        <v>207</v>
      </c>
      <c r="J19" s="132">
        <v>46095.0</v>
      </c>
      <c r="K19" s="115">
        <v>32.0</v>
      </c>
      <c r="L19" s="116" t="s">
        <v>106</v>
      </c>
      <c r="M19" s="117">
        <f>IFERROR(__xludf.DUMMYFUNCTION("IF(
  K19="""",
  """",
  ROUND(
    IF(
      L19="""",
      K19,
      IF(
        ISERROR(FIND(""-"",L19)),
        K19 - VALUE(REGEXEXTRACT(L19,""(\d+)"")),
        K19 * (1 - VALUE(REGEXEXTRACT(L19,""(\d+)""))/100)
      )
    ),
    2
  )
)
"),30.0)</f>
        <v>30</v>
      </c>
      <c r="N19" s="111" t="s">
        <v>100</v>
      </c>
      <c r="O19" s="118" t="b">
        <v>1</v>
      </c>
      <c r="P19" s="119"/>
      <c r="Q19" s="120" t="s">
        <v>81</v>
      </c>
      <c r="R19" s="121" t="b">
        <v>1</v>
      </c>
      <c r="S19" s="121" t="b">
        <v>0</v>
      </c>
      <c r="T19" s="122" t="b">
        <v>1</v>
      </c>
    </row>
    <row r="20" outlineLevel="1">
      <c r="A20" s="116" t="s">
        <v>73</v>
      </c>
      <c r="B20" s="116" t="s">
        <v>74</v>
      </c>
      <c r="C20" s="130">
        <v>46073.0</v>
      </c>
      <c r="D20" s="124"/>
      <c r="E20" s="124" t="s">
        <v>208</v>
      </c>
      <c r="F20" s="131" t="s">
        <v>209</v>
      </c>
      <c r="G20" s="131">
        <v>3.801039339E9</v>
      </c>
      <c r="H20" s="131" t="s">
        <v>210</v>
      </c>
      <c r="I20" s="131" t="s">
        <v>211</v>
      </c>
      <c r="J20" s="148">
        <v>46073.0</v>
      </c>
      <c r="K20" s="227">
        <v>32.0</v>
      </c>
      <c r="L20" s="116"/>
      <c r="M20" s="117">
        <f>IFERROR(__xludf.DUMMYFUNCTION("IF(
  K20="""",
  """",
  ROUND(
    IF(
      L20="""",
      K20,
      IF(
        ISERROR(FIND(""-"",L20)),
        K20 - VALUE(REGEXEXTRACT(L20,""(\d+)"")),
        K20 * (1 - VALUE(REGEXEXTRACT(L20,""(\d+)""))/100)
      )
    ),
    2
  )
)
"),32.0)</f>
        <v>32</v>
      </c>
      <c r="N20" s="116" t="s">
        <v>100</v>
      </c>
      <c r="O20" s="118" t="b">
        <v>1</v>
      </c>
      <c r="P20" s="119"/>
      <c r="Q20" s="120" t="s">
        <v>81</v>
      </c>
      <c r="R20" s="121" t="b">
        <v>1</v>
      </c>
      <c r="S20" s="121" t="b">
        <v>0</v>
      </c>
      <c r="T20" s="122" t="b">
        <v>1</v>
      </c>
    </row>
    <row r="21" outlineLevel="1">
      <c r="A21" s="116"/>
      <c r="B21" s="116"/>
      <c r="C21" s="129"/>
      <c r="D21" s="111"/>
      <c r="E21" s="111"/>
      <c r="F21" s="116"/>
      <c r="G21" s="116"/>
      <c r="H21" s="116"/>
      <c r="I21" s="116"/>
      <c r="J21" s="135"/>
      <c r="K21" s="115"/>
      <c r="L21" s="116"/>
      <c r="M21" s="117" t="str">
        <f>IFERROR(__xludf.DUMMYFUNCTION("IF(
  K21="""",
  """",
  ROUND(
    IF(
      L21="""",
      K21,
      IF(
        ISERROR(FIND(""-"",L21)),
        K21 - VALUE(REGEXEXTRACT(L21,""(\d+)"")),
        K21 * (1 - VALUE(REGEXEXTRACT(L21,""(\d+)""))/100)
      )
    ),
    2
  )
)
")," ")</f>
        <v/>
      </c>
      <c r="N21" s="111"/>
      <c r="O21" s="118" t="b">
        <v>0</v>
      </c>
      <c r="P21" s="119"/>
      <c r="Q21" s="120"/>
      <c r="R21" s="121" t="b">
        <v>0</v>
      </c>
      <c r="S21" s="121" t="b">
        <v>0</v>
      </c>
      <c r="T21" s="122" t="b">
        <v>0</v>
      </c>
    </row>
    <row r="22" outlineLevel="1">
      <c r="A22" s="111"/>
      <c r="B22" s="111"/>
      <c r="C22" s="136"/>
      <c r="D22" s="137"/>
      <c r="E22" s="138"/>
      <c r="F22" s="138"/>
      <c r="G22" s="139"/>
      <c r="H22" s="140"/>
      <c r="I22" s="140"/>
      <c r="J22" s="136"/>
      <c r="K22" s="141"/>
      <c r="L22" s="116"/>
      <c r="M22" s="117" t="str">
        <f>IFERROR(__xludf.DUMMYFUNCTION("IF(
  K22="""",
  """",
  ROUND(
    IF(
      L22="""",
      K22,
      IF(
        ISERROR(FIND(""-"",L22)),
        K22 - VALUE(REGEXEXTRACT(L22,""(\d+)"")),
        K22 * (1 - VALUE(REGEXEXTRACT(L22,""(\d+)""))/100)
      )
    ),
    2
  )
)
")," ")</f>
        <v/>
      </c>
      <c r="N22" s="111"/>
      <c r="O22" s="118" t="b">
        <v>0</v>
      </c>
      <c r="P22" s="119"/>
      <c r="Q22" s="120"/>
      <c r="R22" s="121" t="b">
        <v>0</v>
      </c>
      <c r="S22" s="121" t="b">
        <v>0</v>
      </c>
      <c r="T22" s="122" t="b">
        <v>0</v>
      </c>
    </row>
    <row r="23"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t="b">
        <v>0</v>
      </c>
      <c r="S23" s="121" t="b">
        <v>0</v>
      </c>
      <c r="T23" s="122" t="b">
        <v>0</v>
      </c>
    </row>
    <row r="24" outlineLevel="1">
      <c r="A24" s="116"/>
      <c r="B24" s="116"/>
      <c r="C24" s="129"/>
      <c r="D24" s="111"/>
      <c r="E24" s="111"/>
      <c r="F24" s="116"/>
      <c r="G24" s="116"/>
      <c r="H24" s="116"/>
      <c r="I24" s="116"/>
      <c r="J24" s="134"/>
      <c r="K24" s="115"/>
      <c r="L24" s="116"/>
      <c r="M24" s="117" t="str">
        <f>IFERROR(__xludf.DUMMYFUNCTION("IF(
  K24="""",
  """",
  ROUND(
    IF(
      L24="""",
      K24,
      IF(
        ISERROR(FIND(""-"",L24)),
        K24 - VALUE(REGEXEXTRACT(L24,""(\d+)"")),
        K24 * (1 - VALUE(REGEXEXTRACT(L24,""(\d+)""))/100)
      )
    ),
    2
  )
)
")," ")</f>
        <v/>
      </c>
      <c r="N24" s="111"/>
      <c r="O24" s="118" t="b">
        <v>0</v>
      </c>
      <c r="P24" s="119"/>
      <c r="Q24" s="120"/>
      <c r="R24" s="121" t="b">
        <v>0</v>
      </c>
      <c r="S24" s="121" t="b">
        <v>0</v>
      </c>
      <c r="T24" s="122" t="b">
        <v>0</v>
      </c>
    </row>
    <row r="25" outlineLevel="1">
      <c r="A25" s="116"/>
      <c r="B25" s="116"/>
      <c r="C25" s="129"/>
      <c r="D25" s="111"/>
      <c r="E25" s="111"/>
      <c r="F25" s="116"/>
      <c r="G25" s="116"/>
      <c r="H25" s="116"/>
      <c r="I25" s="116"/>
      <c r="J25" s="134"/>
      <c r="K25" s="115"/>
      <c r="L25" s="116"/>
      <c r="M25" s="117" t="str">
        <f>IFERROR(__xludf.DUMMYFUNCTION("IF(
  K25="""",
  """",
  ROUND(
    IF(
      L25="""",
      K25,
      IF(
        ISERROR(FIND(""-"",L25)),
        K25 - VALUE(REGEXEXTRACT(L25,""(\d+)"")),
        K25 * (1 - VALUE(REGEXEXTRACT(L25,""(\d+)""))/100)
      )
    ),
    2
  )
)
")," ")</f>
        <v/>
      </c>
      <c r="N25" s="111"/>
      <c r="O25" s="118" t="b">
        <v>0</v>
      </c>
      <c r="P25" s="119"/>
      <c r="Q25" s="120"/>
      <c r="R25" s="121" t="b">
        <v>0</v>
      </c>
      <c r="S25" s="121" t="b">
        <v>0</v>
      </c>
      <c r="T25" s="122" t="b">
        <v>0</v>
      </c>
    </row>
    <row r="26" outlineLevel="1">
      <c r="A26" s="116"/>
      <c r="B26" s="116"/>
      <c r="C26" s="129"/>
      <c r="D26" s="111"/>
      <c r="E26" s="111"/>
      <c r="F26" s="116"/>
      <c r="G26" s="116"/>
      <c r="H26" s="116"/>
      <c r="I26" s="116"/>
      <c r="J26" s="134"/>
      <c r="K26" s="115"/>
      <c r="L26" s="116"/>
      <c r="M26" s="117" t="str">
        <f>IFERROR(__xludf.DUMMYFUNCTION("IF(
  K26="""",
  """",
  ROUND(
    IF(
      L26="""",
      K26,
      IF(
        ISERROR(FIND(""-"",L26)),
        K26 - VALUE(REGEXEXTRACT(L26,""(\d+)"")),
        K26 * (1 - VALUE(REGEXEXTRACT(L26,""(\d+)""))/100)
      )
    ),
    2
  )
)
")," ")</f>
        <v/>
      </c>
      <c r="N26" s="111"/>
      <c r="O26" s="118" t="b">
        <v>0</v>
      </c>
      <c r="P26" s="119"/>
      <c r="Q26" s="120"/>
      <c r="R26" s="121" t="b">
        <v>0</v>
      </c>
      <c r="S26" s="121" t="b">
        <v>0</v>
      </c>
      <c r="T26" s="122" t="b">
        <v>0</v>
      </c>
    </row>
    <row r="27"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outlineLevel="1">
      <c r="A28" s="116"/>
      <c r="B28" s="116"/>
      <c r="C28" s="129"/>
      <c r="D28" s="111"/>
      <c r="E28" s="111"/>
      <c r="F28" s="116"/>
      <c r="G28" s="116"/>
      <c r="H28" s="113"/>
      <c r="I28" s="113"/>
      <c r="J28" s="134"/>
      <c r="K28" s="115"/>
      <c r="L28" s="116"/>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outlineLevel="1">
      <c r="A30" s="116"/>
      <c r="B30" s="116"/>
      <c r="C30" s="129"/>
      <c r="D30" s="111"/>
      <c r="E30" s="111"/>
      <c r="F30" s="116"/>
      <c r="G30" s="228"/>
      <c r="H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20"/>
      <c r="R43" s="121" t="b">
        <v>0</v>
      </c>
      <c r="S43" s="121" t="b">
        <v>0</v>
      </c>
      <c r="T43" s="122" t="b">
        <v>0</v>
      </c>
    </row>
    <row r="44" outlineLevel="1">
      <c r="A44" s="116"/>
      <c r="B44" s="116"/>
      <c r="C44" s="129"/>
      <c r="D44" s="111"/>
      <c r="E44" s="111"/>
      <c r="F44" s="116"/>
      <c r="G44" s="116"/>
      <c r="H44" s="143"/>
      <c r="I44" s="116"/>
      <c r="J44" s="134"/>
      <c r="K44" s="115"/>
      <c r="L44" s="131"/>
      <c r="M44" s="117" t="str">
        <f>IFERROR(__xludf.DUMMYFUNCTION("IF(
  K44="""",
  """",
  ROUND(
    IF(
      L44="""",
      K44,
      IF(
        ISERROR(FIND(""-"",L44)),
        K44 - VALUE(REGEXEXTRACT(L44,""(\d+)"")),
        K44 * (1 - VALUE(REGEXEXTRACT(L44,""(\d+)""))/100)
      )
    ),
    2
  )
)
")," ")</f>
        <v/>
      </c>
      <c r="N44" s="131"/>
      <c r="O44" s="118" t="b">
        <v>0</v>
      </c>
      <c r="P44" s="119"/>
      <c r="Q44" s="120"/>
      <c r="R44" s="121" t="b">
        <v>0</v>
      </c>
      <c r="S44" s="121" t="b">
        <v>0</v>
      </c>
      <c r="T44" s="122" t="b">
        <v>0</v>
      </c>
    </row>
    <row r="45"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17</v>
      </c>
      <c r="C84" s="160" t="s">
        <v>116</v>
      </c>
      <c r="D84" s="161">
        <f t="shared" ref="D84:F84" si="1">COUNTIF(D4:D83, "*")</f>
        <v>8</v>
      </c>
      <c r="E84" s="161">
        <f t="shared" si="1"/>
        <v>17</v>
      </c>
      <c r="F84" s="161">
        <f t="shared" si="1"/>
        <v>17</v>
      </c>
      <c r="G84" s="162">
        <f>COUNTA(G4:G83)</f>
        <v>17</v>
      </c>
      <c r="H84" s="161">
        <f t="shared" ref="H84:I84" si="2">COUNTIF(H4:H83, "*")</f>
        <v>17</v>
      </c>
      <c r="I84" s="161">
        <f t="shared" si="2"/>
        <v>17</v>
      </c>
      <c r="J84" s="160" t="s">
        <v>116</v>
      </c>
      <c r="K84" s="163">
        <f>SUM(K4:K83)</f>
        <v>544</v>
      </c>
      <c r="L84" s="161">
        <f>COUNTIF(L4:L83, "*")</f>
        <v>9</v>
      </c>
      <c r="M84" s="163">
        <f>SUM(M4:M83)</f>
        <v>526</v>
      </c>
      <c r="N84" s="161">
        <f>COUNTIF(N4:N83, "*")</f>
        <v>17</v>
      </c>
      <c r="O84" s="161">
        <f>SUMPRODUCT(--O4:O83)</f>
        <v>17</v>
      </c>
      <c r="P84" s="161">
        <f t="shared" ref="P84:Q84" si="3">COUNTIF(P4:P83, "*")</f>
        <v>0</v>
      </c>
      <c r="Q84" s="161">
        <f t="shared" si="3"/>
        <v>17</v>
      </c>
      <c r="R84" s="161">
        <f t="shared" ref="R84:T84" si="4">SUMPRODUCT(--R4:R83)</f>
        <v>14</v>
      </c>
      <c r="S84" s="161">
        <f t="shared" si="4"/>
        <v>3</v>
      </c>
      <c r="T84" s="161">
        <f t="shared" si="4"/>
        <v>17</v>
      </c>
    </row>
    <row r="85">
      <c r="A85" s="164" t="s">
        <v>117</v>
      </c>
      <c r="B85" s="165">
        <f>COUNTIF(B4:B83, "SEDE*")</f>
        <v>6</v>
      </c>
      <c r="C85" s="142"/>
      <c r="D85" s="166" t="s">
        <v>118</v>
      </c>
      <c r="E85" s="167" t="s">
        <v>119</v>
      </c>
      <c r="F85" s="168">
        <f>IFERROR(__xludf.DUMMYFUNCTION("IFERROR(TRANSPOSE(SORT(UNIQUE(FILTER($M$4:$M$83,$M$4:$M$83&lt;&gt;"""")))),"""")"),30.0)</f>
        <v>30</v>
      </c>
      <c r="G85" s="168">
        <f>IFERROR(__xludf.DUMMYFUNCTION("""COMPUTED_VALUE"""),32.0)</f>
        <v>32</v>
      </c>
      <c r="H85" s="168"/>
      <c r="I85" s="168"/>
      <c r="J85" s="168"/>
      <c r="K85" s="169"/>
      <c r="L85" s="169"/>
      <c r="M85" s="169"/>
      <c r="N85" s="169"/>
      <c r="O85" s="168"/>
      <c r="P85" s="170" t="s">
        <v>40</v>
      </c>
      <c r="Q85" s="171">
        <f>IF(SUM(F87:O87)=0,"",SUM(F87:O87))
</f>
        <v>182</v>
      </c>
      <c r="R85" s="164" t="s">
        <v>120</v>
      </c>
      <c r="S85" s="165" t="str">
        <f>IF(SUM(M84) = SUM(Q85:Q89), "OK", "ERRORE")</f>
        <v>OK</v>
      </c>
    </row>
    <row r="86">
      <c r="A86" s="164" t="s">
        <v>74</v>
      </c>
      <c r="B86" s="165">
        <f>COUNTIF(B4:B83, "ONLINE")</f>
        <v>11</v>
      </c>
      <c r="E86" s="172" t="s">
        <v>121</v>
      </c>
      <c r="F86" s="172">
        <f t="shared" ref="F86:O86" si="5">IF(
  F$85="",
  "",
  COUNTIFS($B$4:$B$83,"*SEDE*",$M$4:$M$83,F$85)
)
</f>
        <v>5</v>
      </c>
      <c r="G86" s="172">
        <f t="shared" si="5"/>
        <v>1</v>
      </c>
      <c r="H86" s="172" t="str">
        <f t="shared" si="5"/>
        <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f t="shared" ref="F87:O87" si="6">IF(
  F$85="",
  "",
  SUMIFS($M$4:$M$83,$B$4:$B$83,"*SEDE*",$M$4:$M$83,F$85)
)
</f>
        <v>150</v>
      </c>
      <c r="G87" s="174">
        <f t="shared" si="6"/>
        <v>32</v>
      </c>
      <c r="H87" s="174" t="str">
        <f t="shared" si="6"/>
        <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f t="shared" ref="F88:O88" si="7">IF(
  F$85="",
  "",
  COUNTIFS($B$4:$B$83,"*ONLINE*",$M$4:$M$83,F$85)
)
</f>
        <v>4</v>
      </c>
      <c r="G88" s="175">
        <f t="shared" si="7"/>
        <v>7</v>
      </c>
      <c r="H88" s="175" t="str">
        <f t="shared" si="7"/>
        <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f>IF(SUM(F89:O89)=0,"",SUM(F89:O89))
</f>
        <v>344</v>
      </c>
    </row>
    <row r="89">
      <c r="E89" s="173" t="s">
        <v>124</v>
      </c>
      <c r="F89" s="174">
        <f t="shared" ref="F89:O89" si="8">IF(
  F$85="",
  "",
  SUMIFS($M$4:$M$83,$B$4:$B$83,"*ONLINE*",$M$4:$M$83,F$85)
)
</f>
        <v>120</v>
      </c>
      <c r="G89" s="174">
        <f t="shared" si="8"/>
        <v>224</v>
      </c>
      <c r="H89" s="174" t="str">
        <f t="shared" si="8"/>
        <v/>
      </c>
      <c r="I89" s="174" t="str">
        <f t="shared" si="8"/>
        <v/>
      </c>
      <c r="J89" s="174" t="str">
        <f t="shared" si="8"/>
        <v/>
      </c>
      <c r="K89" s="174" t="str">
        <f t="shared" si="8"/>
        <v/>
      </c>
      <c r="L89" s="174" t="str">
        <f t="shared" si="8"/>
        <v/>
      </c>
      <c r="M89" s="174" t="str">
        <f t="shared" si="8"/>
        <v/>
      </c>
      <c r="N89" s="174" t="str">
        <f t="shared" si="8"/>
        <v/>
      </c>
      <c r="O89" s="174" t="str">
        <f t="shared" si="8"/>
        <v/>
      </c>
    </row>
    <row r="90" ht="26.25" customHeight="1">
      <c r="A90" s="176"/>
      <c r="B90" s="176"/>
      <c r="C90" s="176" t="s">
        <v>125</v>
      </c>
    </row>
    <row r="91" outlineLevel="1">
      <c r="A91" s="116"/>
      <c r="B91" s="116"/>
      <c r="C91" s="129"/>
      <c r="D91" s="157"/>
      <c r="E91" s="157"/>
      <c r="F91" s="156"/>
      <c r="G91" s="157"/>
      <c r="H91" s="116"/>
      <c r="I91" s="116"/>
      <c r="J91" s="134"/>
      <c r="K91" s="177"/>
      <c r="L91" s="116"/>
      <c r="M91" s="178" t="str">
        <f>IFERROR(__xludf.DUMMYFUNCTION("IF(
  K91="""",
  """",
  ROUND(
    IF(
      L91="""",
      K91,
      IF(
        ISERROR(FIND(""-"",L91)),
        K91 - VALUE(REGEXEXTRACT(L91,""(\d+)"")),
        K91 * (1 - VALUE(REGEXEXTRACT(L91,""(\d+)""))/100)
      )
    ),
    2
  )
)
")," ")</f>
        <v/>
      </c>
      <c r="N91" s="116"/>
      <c r="O91" s="118" t="b">
        <v>0</v>
      </c>
      <c r="P91" s="179"/>
      <c r="Q91" s="120"/>
      <c r="R91" s="121" t="b">
        <v>0</v>
      </c>
      <c r="S91" s="121" t="b">
        <v>0</v>
      </c>
      <c r="T91" s="122" t="b">
        <v>0</v>
      </c>
    </row>
    <row r="92" outlineLevel="1">
      <c r="A92" s="116"/>
      <c r="B92" s="116"/>
      <c r="C92" s="129"/>
      <c r="D92" s="116"/>
      <c r="E92" s="116"/>
      <c r="F92" s="116"/>
      <c r="G92" s="116"/>
      <c r="H92" s="116"/>
      <c r="I92" s="116"/>
      <c r="J92" s="134"/>
      <c r="K92" s="177"/>
      <c r="L92" s="116"/>
      <c r="M92" s="178" t="str">
        <f>IFERROR(__xludf.DUMMYFUNCTION("IF(
  K92="""",
  """",
  ROUND(
    IF(
      L92="""",
      K92,
      IF(
        ISERROR(FIND(""-"",L92)),
        K92 - VALUE(REGEXEXTRACT(L92,""(\d+)"")),
        K92 * (1 - VALUE(REGEXEXTRACT(L92,""(\d+)""))/100)
      )
    ),
    2
  )
)
")," ")</f>
        <v/>
      </c>
      <c r="N92" s="116"/>
      <c r="O92" s="118" t="b">
        <v>0</v>
      </c>
      <c r="P92" s="179"/>
      <c r="Q92" s="120"/>
      <c r="R92" s="121" t="b">
        <v>0</v>
      </c>
      <c r="S92" s="121" t="b">
        <v>0</v>
      </c>
      <c r="T92" s="122" t="b">
        <v>0</v>
      </c>
    </row>
    <row r="93" outlineLevel="1">
      <c r="A93" s="116"/>
      <c r="B93" s="116"/>
      <c r="C93" s="129"/>
      <c r="D93" s="116"/>
      <c r="E93" s="116"/>
      <c r="F93" s="116"/>
      <c r="G93" s="116"/>
      <c r="H93" s="111"/>
      <c r="I93" s="111"/>
      <c r="J93" s="126"/>
      <c r="K93" s="180"/>
      <c r="L93" s="116"/>
      <c r="M93" s="178" t="str">
        <f>IFERROR(__xludf.DUMMYFUNCTION("IF(
  K93="""",
  """",
  ROUND(
    IF(
      L93="""",
      K93,
      IF(
        ISERROR(FIND(""-"",L93)),
        K93 - VALUE(REGEXEXTRACT(L93,""(\d+)"")),
        K93 * (1 - VALUE(REGEXEXTRACT(L93,""(\d+)""))/100)
      )
    ),
    2
  )
)
")," ")</f>
        <v/>
      </c>
      <c r="N93" s="116"/>
      <c r="O93" s="118" t="b">
        <v>0</v>
      </c>
      <c r="P93" s="179"/>
      <c r="Q93" s="120"/>
      <c r="R93" s="121" t="b">
        <v>0</v>
      </c>
      <c r="S93" s="121" t="b">
        <v>0</v>
      </c>
      <c r="T93" s="122" t="b">
        <v>0</v>
      </c>
    </row>
    <row r="94" outlineLevel="1">
      <c r="A94" s="116"/>
      <c r="B94" s="116"/>
      <c r="C94" s="129"/>
      <c r="D94" s="157"/>
      <c r="E94" s="157"/>
      <c r="F94" s="116"/>
      <c r="G94" s="116"/>
      <c r="H94" s="116"/>
      <c r="I94" s="116"/>
      <c r="J94" s="134"/>
      <c r="K94" s="177"/>
      <c r="L94" s="116"/>
      <c r="M94" s="178" t="str">
        <f>IFERROR(__xludf.DUMMYFUNCTION("IF(
  K94="""",
  """",
  ROUND(
    IF(
      L94="""",
      K94,
      IF(
        ISERROR(FIND(""-"",L94)),
        K94 - VALUE(REGEXEXTRACT(L94,""(\d+)"")),
        K94 * (1 - VALUE(REGEXEXTRACT(L94,""(\d+)""))/100)
      )
    ),
    2
  )
)
")," ")</f>
        <v/>
      </c>
      <c r="N94" s="116"/>
      <c r="O94" s="118" t="b">
        <v>0</v>
      </c>
      <c r="P94" s="179"/>
      <c r="Q94" s="120"/>
      <c r="R94" s="121" t="b">
        <v>0</v>
      </c>
      <c r="S94" s="121" t="b">
        <v>0</v>
      </c>
      <c r="T94" s="122" t="b">
        <v>0</v>
      </c>
    </row>
    <row r="95" outlineLevel="1">
      <c r="A95" s="116"/>
      <c r="B95" s="116"/>
      <c r="C95" s="129"/>
      <c r="D95" s="116"/>
      <c r="E95" s="116"/>
      <c r="F95" s="116"/>
      <c r="G95" s="116"/>
      <c r="H95" s="116"/>
      <c r="I95" s="116"/>
      <c r="J95" s="134"/>
      <c r="K95" s="177"/>
      <c r="L95" s="116"/>
      <c r="M95" s="178" t="str">
        <f>IFERROR(__xludf.DUMMYFUNCTION("IF(
  K95="""",
  """",
  ROUND(
    IF(
      L95="""",
      K95,
      IF(
        ISERROR(FIND(""-"",L95)),
        K95 - VALUE(REGEXEXTRACT(L95,""(\d+)"")),
        K95 * (1 - VALUE(REGEXEXTRACT(L95,""(\d+)""))/100)
      )
    ),
    2
  )
)
")," ")</f>
        <v/>
      </c>
      <c r="N95" s="116"/>
      <c r="O95" s="118" t="b">
        <v>0</v>
      </c>
      <c r="P95" s="179"/>
      <c r="Q95" s="120"/>
      <c r="R95" s="121" t="b">
        <v>0</v>
      </c>
      <c r="S95" s="121" t="b">
        <v>0</v>
      </c>
      <c r="T95" s="122" t="b">
        <v>0</v>
      </c>
    </row>
    <row r="96" outlineLevel="1">
      <c r="A96" s="116"/>
      <c r="B96" s="116"/>
      <c r="C96" s="112"/>
      <c r="D96" s="116"/>
      <c r="E96" s="116"/>
      <c r="F96" s="111"/>
      <c r="G96" s="111"/>
      <c r="H96" s="111"/>
      <c r="I96" s="111"/>
      <c r="J96" s="134"/>
      <c r="K96" s="177"/>
      <c r="L96" s="116"/>
      <c r="M96" s="178" t="str">
        <f>IFERROR(__xludf.DUMMYFUNCTION("IF(
  K96="""",
  """",
  ROUND(
    IF(
      L96="""",
      K96,
      IF(
        ISERROR(FIND(""-"",L96)),
        K96 - VALUE(REGEXEXTRACT(L96,""(\d+)"")),
        K96 * (1 - VALUE(REGEXEXTRACT(L96,""(\d+)""))/100)
      )
    ),
    2
  )
)
")," ")</f>
        <v/>
      </c>
      <c r="N96" s="116"/>
      <c r="O96" s="118" t="b">
        <v>0</v>
      </c>
      <c r="P96" s="179"/>
      <c r="Q96" s="120"/>
      <c r="R96" s="121" t="b">
        <v>0</v>
      </c>
      <c r="S96" s="121" t="b">
        <v>0</v>
      </c>
      <c r="T96" s="122" t="b">
        <v>0</v>
      </c>
    </row>
    <row r="97" outlineLevel="1">
      <c r="A97" s="116"/>
      <c r="B97" s="116"/>
      <c r="C97" s="112"/>
      <c r="D97" s="157"/>
      <c r="E97" s="157"/>
      <c r="F97" s="111"/>
      <c r="G97" s="111"/>
      <c r="H97" s="111"/>
      <c r="I97" s="111"/>
      <c r="J97" s="114"/>
      <c r="K97" s="177"/>
      <c r="L97" s="116"/>
      <c r="M97" s="178" t="str">
        <f>IFERROR(__xludf.DUMMYFUNCTION("IF(
  K97="""",
  """",
  ROUND(
    IF(
      L97="""",
      K97,
      IF(
        ISERROR(FIND(""-"",L97)),
        K97 - VALUE(REGEXEXTRACT(L97,""(\d+)"")),
        K97 * (1 - VALUE(REGEXEXTRACT(L97,""(\d+)""))/100)
      )
    ),
    2
  )
)
")," ")</f>
        <v/>
      </c>
      <c r="N97" s="116"/>
      <c r="O97" s="118" t="b">
        <v>0</v>
      </c>
      <c r="P97" s="179"/>
      <c r="Q97" s="120"/>
      <c r="R97" s="121" t="b">
        <v>0</v>
      </c>
      <c r="S97" s="121" t="b">
        <v>0</v>
      </c>
      <c r="T97" s="122" t="b">
        <v>0</v>
      </c>
    </row>
    <row r="98" outlineLevel="1">
      <c r="A98" s="116"/>
      <c r="B98" s="116"/>
      <c r="C98" s="112"/>
      <c r="D98" s="116"/>
      <c r="E98" s="116"/>
      <c r="F98" s="111"/>
      <c r="G98" s="111"/>
      <c r="H98" s="111"/>
      <c r="I98" s="111"/>
      <c r="J98" s="126"/>
      <c r="K98" s="180"/>
      <c r="L98" s="116"/>
      <c r="M98" s="178" t="str">
        <f>IFERROR(__xludf.DUMMYFUNCTION("IF(
  K98="""",
  """",
  ROUND(
    IF(
      L98="""",
      K98,
      IF(
        ISERROR(FIND(""-"",L98)),
        K98 - VALUE(REGEXEXTRACT(L98,""(\d+)"")),
        K98 * (1 - VALUE(REGEXEXTRACT(L98,""(\d+)""))/100)
      )
    ),
    2
  )
)
")," ")</f>
        <v/>
      </c>
      <c r="N98" s="116"/>
      <c r="O98" s="118" t="b">
        <v>0</v>
      </c>
      <c r="P98" s="179"/>
      <c r="Q98" s="120"/>
      <c r="R98" s="121" t="b">
        <v>0</v>
      </c>
      <c r="S98" s="121" t="b">
        <v>0</v>
      </c>
      <c r="T98" s="122" t="b">
        <v>0</v>
      </c>
    </row>
    <row r="99" outlineLevel="1">
      <c r="A99" s="116"/>
      <c r="B99" s="116"/>
      <c r="C99" s="112"/>
      <c r="D99" s="116"/>
      <c r="E99" s="116"/>
      <c r="F99" s="111"/>
      <c r="G99" s="111"/>
      <c r="H99" s="111"/>
      <c r="I99" s="111"/>
      <c r="J99" s="126"/>
      <c r="K99" s="177"/>
      <c r="L99" s="116"/>
      <c r="M99" s="178" t="str">
        <f>IFERROR(__xludf.DUMMYFUNCTION("IF(
  K99="""",
  """",
  ROUND(
    IF(
      L99="""",
      K99,
      IF(
        ISERROR(FIND(""-"",L99)),
        K99 - VALUE(REGEXEXTRACT(L99,""(\d+)"")),
        K99 * (1 - VALUE(REGEXEXTRACT(L99,""(\d+)""))/100)
      )
    ),
    2
  )
)
")," ")</f>
        <v/>
      </c>
      <c r="N99" s="116"/>
      <c r="O99" s="118" t="b">
        <v>0</v>
      </c>
      <c r="P99" s="179"/>
      <c r="Q99" s="120"/>
      <c r="R99" s="121" t="b">
        <v>0</v>
      </c>
      <c r="S99" s="121" t="b">
        <v>0</v>
      </c>
      <c r="T99" s="122" t="b">
        <v>0</v>
      </c>
    </row>
    <row r="100" outlineLevel="1">
      <c r="A100" s="116"/>
      <c r="B100" s="116"/>
      <c r="C100" s="112"/>
      <c r="D100" s="157"/>
      <c r="E100" s="157"/>
      <c r="F100" s="111"/>
      <c r="G100" s="111"/>
      <c r="H100" s="111"/>
      <c r="I100" s="111"/>
      <c r="J100" s="114"/>
      <c r="K100" s="177"/>
      <c r="L100" s="116"/>
      <c r="M100" s="178" t="str">
        <f>IFERROR(__xludf.DUMMYFUNCTION("IF(
  K100="""",
  """",
  ROUND(
    IF(
      L100="""",
      K100,
      IF(
        ISERROR(FIND(""-"",L100)),
        K100 - VALUE(REGEXEXTRACT(L100,""(\d+)"")),
        K100 * (1 - VALUE(REGEXEXTRACT(L100,""(\d+)""))/100)
      )
    ),
    2
  )
)"&amp;"
")," ")</f>
        <v/>
      </c>
      <c r="N100" s="116"/>
      <c r="O100" s="118" t="b">
        <v>0</v>
      </c>
      <c r="P100" s="179"/>
      <c r="Q100" s="120"/>
      <c r="R100" s="121" t="b">
        <v>0</v>
      </c>
      <c r="S100" s="121" t="b">
        <v>0</v>
      </c>
      <c r="T100" s="122" t="b">
        <v>0</v>
      </c>
    </row>
    <row r="101" outlineLevel="1">
      <c r="A101" s="116"/>
      <c r="B101" s="116"/>
      <c r="C101" s="112"/>
      <c r="D101" s="116"/>
      <c r="E101" s="116"/>
      <c r="F101" s="111"/>
      <c r="G101" s="111"/>
      <c r="H101" s="111"/>
      <c r="I101" s="111"/>
      <c r="J101" s="126"/>
      <c r="K101" s="177"/>
      <c r="L101" s="116"/>
      <c r="M101" s="178" t="str">
        <f>IFERROR(__xludf.DUMMYFUNCTION("IF(
  K101="""",
  """",
  ROUND(
    IF(
      L101="""",
      K101,
      IF(
        ISERROR(FIND(""-"",L101)),
        K101 - VALUE(REGEXEXTRACT(L101,""(\d+)"")),
        K101 * (1 - VALUE(REGEXEXTRACT(L101,""(\d+)""))/100)
      )
    ),
    2
  )
)"&amp;"
")," ")</f>
        <v/>
      </c>
      <c r="N101" s="116"/>
      <c r="O101" s="118" t="b">
        <v>0</v>
      </c>
      <c r="P101" s="179"/>
      <c r="Q101" s="120"/>
      <c r="R101" s="121" t="b">
        <v>0</v>
      </c>
      <c r="S101" s="121" t="b">
        <v>0</v>
      </c>
      <c r="T101" s="122" t="b">
        <v>0</v>
      </c>
    </row>
    <row r="102" outlineLevel="1">
      <c r="A102" s="116"/>
      <c r="B102" s="116"/>
      <c r="C102" s="112"/>
      <c r="D102" s="116"/>
      <c r="E102" s="116"/>
      <c r="F102" s="111"/>
      <c r="G102" s="111"/>
      <c r="H102" s="111"/>
      <c r="I102" s="111"/>
      <c r="J102" s="126"/>
      <c r="K102" s="177"/>
      <c r="L102" s="116"/>
      <c r="M102" s="178" t="str">
        <f>IFERROR(__xludf.DUMMYFUNCTION("IF(
  K102="""",
  """",
  ROUND(
    IF(
      L102="""",
      K102,
      IF(
        ISERROR(FIND(""-"",L102)),
        K102 - VALUE(REGEXEXTRACT(L102,""(\d+)"")),
        K102 * (1 - VALUE(REGEXEXTRACT(L102,""(\d+)""))/100)
      )
    ),
    2
  )
)"&amp;"
")," ")</f>
        <v/>
      </c>
      <c r="N102" s="116"/>
      <c r="O102" s="118" t="b">
        <v>0</v>
      </c>
      <c r="P102" s="179"/>
      <c r="Q102" s="120"/>
      <c r="R102" s="121" t="b">
        <v>0</v>
      </c>
      <c r="S102" s="121" t="b">
        <v>0</v>
      </c>
      <c r="T102" s="122" t="b">
        <v>0</v>
      </c>
    </row>
    <row r="103" outlineLevel="1">
      <c r="A103" s="116"/>
      <c r="B103" s="116"/>
      <c r="C103" s="112"/>
      <c r="D103" s="157"/>
      <c r="E103" s="157"/>
      <c r="F103" s="111"/>
      <c r="G103" s="111"/>
      <c r="H103" s="111"/>
      <c r="I103" s="111"/>
      <c r="J103" s="126"/>
      <c r="K103" s="177"/>
      <c r="L103" s="116"/>
      <c r="M103" s="178" t="str">
        <f>IFERROR(__xludf.DUMMYFUNCTION("IF(
  K103="""",
  """",
  ROUND(
    IF(
      L103="""",
      K103,
      IF(
        ISERROR(FIND(""-"",L103)),
        K103 - VALUE(REGEXEXTRACT(L103,""(\d+)"")),
        K103 * (1 - VALUE(REGEXEXTRACT(L103,""(\d+)""))/100)
      )
    ),
    2
  )
)"&amp;"
")," ")</f>
        <v/>
      </c>
      <c r="N103" s="116"/>
      <c r="O103" s="118" t="b">
        <v>0</v>
      </c>
      <c r="P103" s="179"/>
      <c r="Q103" s="120"/>
      <c r="R103" s="121" t="b">
        <v>0</v>
      </c>
      <c r="S103" s="121" t="b">
        <v>0</v>
      </c>
      <c r="T103" s="122" t="b">
        <v>0</v>
      </c>
    </row>
    <row r="104" outlineLevel="1">
      <c r="A104" s="116"/>
      <c r="B104" s="116"/>
      <c r="C104" s="112"/>
      <c r="D104" s="116"/>
      <c r="E104" s="116"/>
      <c r="F104" s="111"/>
      <c r="G104" s="111"/>
      <c r="H104" s="111"/>
      <c r="I104" s="111"/>
      <c r="J104" s="126"/>
      <c r="K104" s="177"/>
      <c r="L104" s="116"/>
      <c r="M104" s="178" t="str">
        <f>IFERROR(__xludf.DUMMYFUNCTION("IF(
  K104="""",
  """",
  ROUND(
    IF(
      L104="""",
      K104,
      IF(
        ISERROR(FIND(""-"",L104)),
        K104 - VALUE(REGEXEXTRACT(L104,""(\d+)"")),
        K104 * (1 - VALUE(REGEXEXTRACT(L104,""(\d+)""))/100)
      )
    ),
    2
  )
)"&amp;"
")," ")</f>
        <v/>
      </c>
      <c r="N104" s="116"/>
      <c r="O104" s="118" t="b">
        <v>0</v>
      </c>
      <c r="P104" s="179"/>
      <c r="Q104" s="120"/>
      <c r="R104" s="121" t="b">
        <v>0</v>
      </c>
      <c r="S104" s="121" t="b">
        <v>0</v>
      </c>
      <c r="T104" s="122" t="b">
        <v>0</v>
      </c>
    </row>
    <row r="105" outlineLevel="1">
      <c r="A105" s="116"/>
      <c r="B105" s="116"/>
      <c r="C105" s="112"/>
      <c r="D105" s="116"/>
      <c r="E105" s="116"/>
      <c r="F105" s="111"/>
      <c r="G105" s="111"/>
      <c r="H105" s="111"/>
      <c r="I105" s="111"/>
      <c r="J105" s="126"/>
      <c r="K105" s="177"/>
      <c r="L105" s="116"/>
      <c r="M105" s="178" t="str">
        <f>IFERROR(__xludf.DUMMYFUNCTION("IF(
  K105="""",
  """",
  ROUND(
    IF(
      L105="""",
      K105,
      IF(
        ISERROR(FIND(""-"",L105)),
        K105 - VALUE(REGEXEXTRACT(L105,""(\d+)"")),
        K105 * (1 - VALUE(REGEXEXTRACT(L105,""(\d+)""))/100)
      )
    ),
    2
  )
)"&amp;"
")," ")</f>
        <v/>
      </c>
      <c r="N105" s="116"/>
      <c r="O105" s="118" t="b">
        <v>0</v>
      </c>
      <c r="P105" s="179"/>
      <c r="Q105" s="120"/>
      <c r="R105" s="121" t="b">
        <v>0</v>
      </c>
      <c r="S105" s="121" t="b">
        <v>0</v>
      </c>
      <c r="T105" s="122" t="b">
        <v>0</v>
      </c>
    </row>
    <row r="106" outlineLevel="1">
      <c r="A106" s="116"/>
      <c r="B106" s="116"/>
      <c r="C106" s="112"/>
      <c r="D106" s="157"/>
      <c r="E106" s="157"/>
      <c r="F106" s="111"/>
      <c r="G106" s="111"/>
      <c r="H106" s="111"/>
      <c r="I106" s="111"/>
      <c r="J106" s="126"/>
      <c r="K106" s="177"/>
      <c r="L106" s="116"/>
      <c r="M106" s="178" t="str">
        <f>IFERROR(__xludf.DUMMYFUNCTION("IF(
  K106="""",
  """",
  ROUND(
    IF(
      L106="""",
      K106,
      IF(
        ISERROR(FIND(""-"",L106)),
        K106 - VALUE(REGEXEXTRACT(L106,""(\d+)"")),
        K106 * (1 - VALUE(REGEXEXTRACT(L106,""(\d+)""))/100)
      )
    ),
    2
  )
)"&amp;"
")," ")</f>
        <v/>
      </c>
      <c r="N106" s="116"/>
      <c r="O106" s="118" t="b">
        <v>0</v>
      </c>
      <c r="P106" s="179"/>
      <c r="Q106" s="120"/>
      <c r="R106" s="121" t="b">
        <v>0</v>
      </c>
      <c r="S106" s="121" t="b">
        <v>0</v>
      </c>
      <c r="T106" s="122" t="b">
        <v>0</v>
      </c>
    </row>
    <row r="107" outlineLevel="1">
      <c r="A107" s="131"/>
      <c r="B107" s="131"/>
      <c r="C107" s="123"/>
      <c r="D107" s="116"/>
      <c r="E107" s="116"/>
      <c r="F107" s="124"/>
      <c r="G107" s="124"/>
      <c r="H107" s="124"/>
      <c r="I107" s="124"/>
      <c r="J107" s="125"/>
      <c r="K107" s="180"/>
      <c r="L107" s="131"/>
      <c r="M107" s="178" t="str">
        <f>IFERROR(__xludf.DUMMYFUNCTION("IF(
  K107="""",
  """",
  ROUND(
    IF(
      L107="""",
      K107,
      IF(
        ISERROR(FIND(""-"",L107)),
        K107 - VALUE(REGEXEXTRACT(L107,""(\d+)"")),
        K107 * (1 - VALUE(REGEXEXTRACT(L107,""(\d+)""))/100)
      )
    ),
    2
  )
)"&amp;"
")," ")</f>
        <v/>
      </c>
      <c r="N107" s="131"/>
      <c r="O107" s="118" t="b">
        <v>0</v>
      </c>
      <c r="P107" s="179"/>
      <c r="Q107" s="149"/>
      <c r="R107" s="121" t="b">
        <v>0</v>
      </c>
      <c r="S107" s="121" t="b">
        <v>0</v>
      </c>
      <c r="T107" s="122" t="b">
        <v>0</v>
      </c>
    </row>
    <row r="108" outlineLevel="1">
      <c r="A108" s="116"/>
      <c r="B108" s="116"/>
      <c r="C108" s="112"/>
      <c r="D108" s="116"/>
      <c r="E108" s="116"/>
      <c r="F108" s="111"/>
      <c r="G108" s="111"/>
      <c r="H108" s="111"/>
      <c r="I108" s="111"/>
      <c r="J108" s="126"/>
      <c r="K108" s="177"/>
      <c r="L108" s="116"/>
      <c r="M108" s="178" t="str">
        <f>IFERROR(__xludf.DUMMYFUNCTION("IF(
  K108="""",
  """",
  ROUND(
    IF(
      L108="""",
      K108,
      IF(
        ISERROR(FIND(""-"",L108)),
        K108 - VALUE(REGEXEXTRACT(L108,""(\d+)"")),
        K108 * (1 - VALUE(REGEXEXTRACT(L108,""(\d+)""))/100)
      )
    ),
    2
  )
)"&amp;"
")," ")</f>
        <v/>
      </c>
      <c r="N108" s="116"/>
      <c r="O108" s="118" t="b">
        <v>0</v>
      </c>
      <c r="P108" s="179"/>
      <c r="Q108" s="120"/>
      <c r="R108" s="121" t="b">
        <v>0</v>
      </c>
      <c r="S108" s="121" t="b">
        <v>0</v>
      </c>
      <c r="T108" s="122" t="b">
        <v>0</v>
      </c>
    </row>
    <row r="109" outlineLevel="1">
      <c r="A109" s="116"/>
      <c r="B109" s="116"/>
      <c r="C109" s="112"/>
      <c r="D109" s="157"/>
      <c r="E109" s="157"/>
      <c r="F109" s="111"/>
      <c r="G109" s="111"/>
      <c r="H109" s="111"/>
      <c r="I109" s="111"/>
      <c r="J109" s="126"/>
      <c r="K109" s="177"/>
      <c r="L109" s="116"/>
      <c r="M109" s="178" t="str">
        <f>IFERROR(__xludf.DUMMYFUNCTION("IF(
  K109="""",
  """",
  ROUND(
    IF(
      L109="""",
      K109,
      IF(
        ISERROR(FIND(""-"",L109)),
        K109 - VALUE(REGEXEXTRACT(L109,""(\d+)"")),
        K109 * (1 - VALUE(REGEXEXTRACT(L109,""(\d+)""))/100)
      )
    ),
    2
  )
)"&amp;"
")," ")</f>
        <v/>
      </c>
      <c r="N109" s="116"/>
      <c r="O109" s="118" t="b">
        <v>0</v>
      </c>
      <c r="P109" s="179"/>
      <c r="Q109" s="120"/>
      <c r="R109" s="121" t="b">
        <v>0</v>
      </c>
      <c r="S109" s="121" t="b">
        <v>0</v>
      </c>
      <c r="T109" s="122" t="b">
        <v>0</v>
      </c>
    </row>
    <row r="110" outlineLevel="1">
      <c r="A110" s="116"/>
      <c r="B110" s="116"/>
      <c r="C110" s="112"/>
      <c r="D110" s="116"/>
      <c r="E110" s="116"/>
      <c r="F110" s="111"/>
      <c r="G110" s="111"/>
      <c r="H110" s="111"/>
      <c r="I110" s="111"/>
      <c r="J110" s="114"/>
      <c r="K110" s="177"/>
      <c r="L110" s="116"/>
      <c r="M110" s="178" t="str">
        <f>IFERROR(__xludf.DUMMYFUNCTION("IF(
  K110="""",
  """",
  ROUND(
    IF(
      L110="""",
      K110,
      IF(
        ISERROR(FIND(""-"",L110)),
        K110 - VALUE(REGEXEXTRACT(L110,""(\d+)"")),
        K110 * (1 - VALUE(REGEXEXTRACT(L110,""(\d+)""))/100)
      )
    ),
    2
  )
)"&amp;"
")," ")</f>
        <v/>
      </c>
      <c r="N110" s="116"/>
      <c r="O110" s="118" t="b">
        <v>0</v>
      </c>
      <c r="P110" s="179"/>
      <c r="Q110" s="120"/>
      <c r="R110" s="121" t="b">
        <v>0</v>
      </c>
      <c r="S110" s="121" t="b">
        <v>0</v>
      </c>
      <c r="T110" s="122" t="b">
        <v>0</v>
      </c>
    </row>
    <row r="111" outlineLevel="1">
      <c r="A111" s="116"/>
      <c r="B111" s="116"/>
      <c r="C111" s="112"/>
      <c r="D111" s="116"/>
      <c r="E111" s="116"/>
      <c r="F111" s="111"/>
      <c r="G111" s="111"/>
      <c r="H111" s="111"/>
      <c r="I111" s="111"/>
      <c r="J111" s="114"/>
      <c r="K111" s="177"/>
      <c r="L111" s="116"/>
      <c r="M111" s="178" t="str">
        <f>IFERROR(__xludf.DUMMYFUNCTION("IF(
  K111="""",
  """",
  ROUND(
    IF(
      L111="""",
      K111,
      IF(
        ISERROR(FIND(""-"",L111)),
        K111 - VALUE(REGEXEXTRACT(L111,""(\d+)"")),
        K111 * (1 - VALUE(REGEXEXTRACT(L111,""(\d+)""))/100)
      )
    ),
    2
  )
)"&amp;"
")," ")</f>
        <v/>
      </c>
      <c r="N111" s="116"/>
      <c r="O111" s="118" t="b">
        <v>0</v>
      </c>
      <c r="P111" s="179"/>
      <c r="Q111" s="120"/>
      <c r="R111" s="121" t="b">
        <v>0</v>
      </c>
      <c r="S111" s="121" t="b">
        <v>0</v>
      </c>
      <c r="T111" s="122" t="b">
        <v>0</v>
      </c>
    </row>
    <row r="112" outlineLevel="1">
      <c r="A112" s="116"/>
      <c r="B112" s="116"/>
      <c r="C112" s="112"/>
      <c r="D112" s="157"/>
      <c r="E112" s="157"/>
      <c r="F112" s="111"/>
      <c r="G112" s="111"/>
      <c r="H112" s="111"/>
      <c r="I112" s="111"/>
      <c r="J112" s="114"/>
      <c r="K112" s="177"/>
      <c r="L112" s="116"/>
      <c r="M112" s="178" t="str">
        <f>IFERROR(__xludf.DUMMYFUNCTION("IF(
  K112="""",
  """",
  ROUND(
    IF(
      L112="""",
      K112,
      IF(
        ISERROR(FIND(""-"",L112)),
        K112 - VALUE(REGEXEXTRACT(L112,""(\d+)"")),
        K112 * (1 - VALUE(REGEXEXTRACT(L112,""(\d+)""))/100)
      )
    ),
    2
  )
)"&amp;"
")," ")</f>
        <v/>
      </c>
      <c r="N112" s="116"/>
      <c r="O112" s="118" t="b">
        <v>0</v>
      </c>
      <c r="P112" s="179"/>
      <c r="Q112" s="120"/>
      <c r="R112" s="121" t="b">
        <v>0</v>
      </c>
      <c r="S112" s="121" t="b">
        <v>0</v>
      </c>
      <c r="T112" s="122" t="b">
        <v>0</v>
      </c>
    </row>
    <row r="113"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outlineLevel="1">
      <c r="A145" s="116"/>
      <c r="B145" s="116"/>
      <c r="C145" s="129"/>
      <c r="D145" s="157"/>
      <c r="E145" s="157"/>
      <c r="F145" s="116"/>
      <c r="G145" s="116"/>
      <c r="H145" s="116"/>
      <c r="I145" s="116"/>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outlineLevel="1">
      <c r="A146" s="116"/>
      <c r="B146" s="116"/>
      <c r="C146" s="185"/>
      <c r="D146" s="116"/>
      <c r="E146" s="116"/>
      <c r="F146" s="116"/>
      <c r="G146" s="116"/>
      <c r="H146" s="116"/>
      <c r="I146" s="116"/>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outlineLevel="1">
      <c r="A147" s="116"/>
      <c r="B147" s="116"/>
      <c r="C147" s="185"/>
      <c r="D147" s="116"/>
      <c r="E147" s="116"/>
      <c r="F147" s="116"/>
      <c r="G147" s="116"/>
      <c r="H147" s="116"/>
      <c r="I147" s="116"/>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outlineLevel="1">
      <c r="A148" s="116"/>
      <c r="B148" s="116"/>
      <c r="C148" s="185"/>
      <c r="D148" s="157"/>
      <c r="E148" s="157"/>
      <c r="F148" s="116"/>
      <c r="G148" s="116"/>
      <c r="H148" s="116"/>
      <c r="I148" s="116"/>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outlineLevel="1">
      <c r="A149" s="116"/>
      <c r="B149" s="116"/>
      <c r="C149" s="185"/>
      <c r="D149" s="116"/>
      <c r="E149" s="116"/>
      <c r="F149" s="116"/>
      <c r="G149" s="116"/>
      <c r="H149" s="116"/>
      <c r="I149" s="116"/>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outlineLevel="1">
      <c r="A150" s="116"/>
      <c r="B150" s="116"/>
      <c r="C150" s="185"/>
      <c r="D150" s="116"/>
      <c r="E150" s="116"/>
      <c r="F150" s="116"/>
      <c r="G150" s="116"/>
      <c r="H150" s="116"/>
      <c r="I150" s="116"/>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outlineLevel="1">
      <c r="A151" s="116"/>
      <c r="B151" s="116"/>
      <c r="C151" s="185"/>
      <c r="D151" s="157"/>
      <c r="E151" s="157"/>
      <c r="F151" s="116"/>
      <c r="G151" s="116"/>
      <c r="H151" s="116"/>
      <c r="I151" s="116"/>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outlineLevel="1">
      <c r="A152" s="116"/>
      <c r="B152" s="116"/>
      <c r="C152" s="185"/>
      <c r="D152" s="116"/>
      <c r="E152" s="116"/>
      <c r="F152" s="116"/>
      <c r="G152" s="116"/>
      <c r="H152" s="116"/>
      <c r="I152" s="116"/>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outlineLevel="1">
      <c r="A153" s="116"/>
      <c r="B153" s="116"/>
      <c r="C153" s="185"/>
      <c r="D153" s="116"/>
      <c r="E153" s="116"/>
      <c r="F153" s="116"/>
      <c r="G153" s="116"/>
      <c r="H153" s="116"/>
      <c r="I153" s="116"/>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outlineLevel="1">
      <c r="A154" s="116"/>
      <c r="B154" s="116"/>
      <c r="C154" s="185"/>
      <c r="D154" s="157"/>
      <c r="E154" s="157"/>
      <c r="F154" s="116"/>
      <c r="G154" s="116"/>
      <c r="H154" s="116"/>
      <c r="I154" s="116"/>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outlineLevel="1">
      <c r="A155" s="116"/>
      <c r="B155" s="116"/>
      <c r="C155" s="185"/>
      <c r="D155" s="116"/>
      <c r="E155" s="116"/>
      <c r="F155" s="116"/>
      <c r="G155" s="116"/>
      <c r="H155" s="116"/>
      <c r="I155" s="116"/>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outlineLevel="1">
      <c r="A156" s="116"/>
      <c r="B156" s="116"/>
      <c r="C156" s="186"/>
      <c r="D156" s="116"/>
      <c r="E156" s="116"/>
      <c r="F156" s="156"/>
      <c r="G156" s="157"/>
      <c r="H156" s="116"/>
      <c r="I156" s="116"/>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outlineLevel="1">
      <c r="A157" s="116"/>
      <c r="B157" s="116"/>
      <c r="C157" s="186"/>
      <c r="D157" s="157"/>
      <c r="E157" s="157"/>
      <c r="F157" s="187"/>
      <c r="G157" s="188"/>
      <c r="H157" s="116"/>
      <c r="I157" s="116"/>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outlineLevel="1">
      <c r="A158" s="131"/>
      <c r="B158" s="131"/>
      <c r="C158" s="130"/>
      <c r="D158" s="116"/>
      <c r="E158" s="116"/>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outlineLevel="1">
      <c r="A159" s="131"/>
      <c r="B159" s="131"/>
      <c r="C159" s="130"/>
      <c r="D159" s="116"/>
      <c r="E159" s="116"/>
      <c r="F159" s="131"/>
      <c r="G159" s="131"/>
      <c r="H159" s="131"/>
      <c r="I159" s="183"/>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outlineLevel="1">
      <c r="A160" s="131"/>
      <c r="B160" s="116"/>
      <c r="C160" s="130"/>
      <c r="D160" s="157"/>
      <c r="E160" s="157"/>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90">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50"/>
      <c r="H172" s="117"/>
      <c r="I172" s="168"/>
      <c r="J172" s="150"/>
      <c r="K172" s="117"/>
      <c r="L172" s="117"/>
      <c r="M172" s="191"/>
      <c r="N172" s="191"/>
      <c r="O172" s="191"/>
      <c r="P172" s="174"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t="str">
        <f t="shared" ref="F174:O174" si="14">IF(
  F$172="",
  "",
  SUMIFS($M$91:$M$170,$B$91:$B$170,"*SEDE*",$M$91:$M$170,F$172)
)
</f>
        <v/>
      </c>
      <c r="G174" s="193" t="str">
        <f t="shared" si="14"/>
        <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94" t="s">
        <v>124</v>
      </c>
      <c r="F176" s="195" t="str">
        <f t="shared" ref="F176:O176" si="16">IF(
  F$172="",
  "",
  SUMIFS($M$91:$M$170,$B$91:$B$170,"*ONLINE*",$M$91:$M$170,F$172)
)
</f>
        <v/>
      </c>
      <c r="G176" s="195" t="str">
        <f t="shared" si="16"/>
        <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6</v>
      </c>
      <c r="D177" s="199" t="s">
        <v>128</v>
      </c>
      <c r="E177" s="200" t="s">
        <v>129</v>
      </c>
      <c r="F177" s="201">
        <f>IFERROR(__xludf.DUMMYFUNCTION("IFERROR(
  TRANSPOSE(
    SORT(
      UNIQUE(
        FILTER(
          {$M$4:$M$83;$M$91:$M$170},
          {$M$4:$M$83;$M$91:$M$170}&lt;&gt;""""
        )
      )
    )
  ),
  """"
)
"),30.0)</f>
        <v>30</v>
      </c>
      <c r="G177" s="201">
        <f>IFERROR(__xludf.DUMMYFUNCTION("""COMPUTED_VALUE"""),32.0)</f>
        <v>32</v>
      </c>
      <c r="H177" s="201"/>
      <c r="I177" s="201"/>
      <c r="J177" s="201"/>
      <c r="K177" s="201"/>
      <c r="L177" s="202"/>
      <c r="M177" s="201"/>
      <c r="N177" s="201"/>
      <c r="O177" s="201"/>
      <c r="P177" s="203" t="s">
        <v>127</v>
      </c>
      <c r="Q177" s="204">
        <f>IF(SUM(F179:O179)=0,"",SUM(F179:O179))
</f>
        <v>182</v>
      </c>
      <c r="R177" s="205" t="s">
        <v>130</v>
      </c>
      <c r="S177" s="206">
        <f>IF(SUM(Q177,Q180)=0,"",SUM(Q177,Q180))
</f>
        <v>526</v>
      </c>
      <c r="T177" s="207"/>
    </row>
    <row r="178">
      <c r="A178" s="208" t="s">
        <v>131</v>
      </c>
      <c r="B178" s="209">
        <f t="shared" si="17"/>
        <v>11</v>
      </c>
      <c r="D178" s="210"/>
      <c r="E178" s="211" t="s">
        <v>132</v>
      </c>
      <c r="F178" s="212" t="str">
        <f t="shared" ref="F178:O178" si="18">IF(
  F$177="",
  "",
  COUNTIFS($B$4:$B$170,"*SEDE*",$M$4:$M$170,F$177) &amp; " da €" &amp; F$177
)
</f>
        <v>5 da €30</v>
      </c>
      <c r="G178" s="212" t="str">
        <f t="shared" si="18"/>
        <v>1 da €32</v>
      </c>
      <c r="H178" s="212" t="str">
        <f t="shared" si="18"/>
        <v/>
      </c>
      <c r="I178" s="212" t="str">
        <f t="shared" si="18"/>
        <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17</v>
      </c>
      <c r="D179" s="210"/>
      <c r="E179" s="215" t="s">
        <v>122</v>
      </c>
      <c r="F179" s="216">
        <f t="shared" ref="F179:O179" si="19">IF(
  F$177="",
  "",
  SUMIFS($M$4:$M$170,$B$4:$B$170,"*SEDE*",$M$4:$M$170,F$177)
)
</f>
        <v>150</v>
      </c>
      <c r="G179" s="216">
        <f t="shared" si="19"/>
        <v>32</v>
      </c>
      <c r="H179" s="216" t="str">
        <f t="shared" si="19"/>
        <v/>
      </c>
      <c r="I179" s="216" t="str">
        <f t="shared" si="19"/>
        <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3</v>
      </c>
      <c r="D180" s="210"/>
      <c r="E180" s="211" t="s">
        <v>135</v>
      </c>
      <c r="F180" s="211" t="str">
        <f t="shared" ref="F180:O180" si="20">IF(
  F$177="",
  "",
  COUNTIFS($B$4:$B$170,"*ONLINE*",$M$4:$M$170,F$177) &amp; " da €" &amp; F$177
)
</f>
        <v>4 da €30</v>
      </c>
      <c r="G180" s="211" t="str">
        <f t="shared" si="20"/>
        <v>7 da €32</v>
      </c>
      <c r="H180" s="211" t="str">
        <f t="shared" si="20"/>
        <v/>
      </c>
      <c r="I180" s="211" t="str">
        <f t="shared" si="20"/>
        <v/>
      </c>
      <c r="J180" s="211" t="str">
        <f t="shared" si="20"/>
        <v/>
      </c>
      <c r="K180" s="211" t="str">
        <f t="shared" si="20"/>
        <v/>
      </c>
      <c r="L180" s="211" t="str">
        <f t="shared" si="20"/>
        <v/>
      </c>
      <c r="M180" s="211" t="str">
        <f t="shared" si="20"/>
        <v/>
      </c>
      <c r="N180" s="211" t="str">
        <f t="shared" si="20"/>
        <v/>
      </c>
      <c r="O180" s="211" t="str">
        <f t="shared" si="20"/>
        <v/>
      </c>
      <c r="P180" s="203" t="s">
        <v>131</v>
      </c>
      <c r="Q180" s="218">
        <f>IF(SUM(F181:O181)=0,"",SUM(F181:O181))
</f>
        <v>344</v>
      </c>
    </row>
    <row r="181">
      <c r="A181" s="219" t="s">
        <v>136</v>
      </c>
      <c r="B181" s="220">
        <f>COUNTIF(N4:N170,"*TESSERATO*")-COUNTIF(N4:N170,"*NON TESSERATO*")</f>
        <v>14</v>
      </c>
      <c r="D181" s="221"/>
      <c r="E181" s="222" t="s">
        <v>124</v>
      </c>
      <c r="F181" s="223">
        <f t="shared" ref="F181:O181" si="21">IF(
  F$177="",
  "",
  SUMIFS($M$4:$M$170,$B$4:$B$170,"*ONLINE*",$M$4:$M$170,F$177)
)
</f>
        <v>120</v>
      </c>
      <c r="G181" s="223">
        <f t="shared" si="21"/>
        <v>224</v>
      </c>
      <c r="H181" s="223" t="str">
        <f t="shared" si="21"/>
        <v/>
      </c>
      <c r="I181" s="223" t="str">
        <f t="shared" si="21"/>
        <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formula1>"CASH - TESSERATO,CASH - NON TESSERATO,DIGIT - TESSERATO,DIGIT - NON TESSERATO"</formula1>
    </dataValidation>
    <dataValidation type="custom" allowBlank="1" showDropDown="1" showInputMessage="1" showErrorMessage="1" prompt="Immetti un valore che soddisfi la formula: =REGEXMATCH(TO_TEXT(J3); &quot;^[^@\s]+@[^@\s]+\.[^@\s]+$&quot;)" sqref="I8">
      <formula1>REGEXMATCH(TO_TEXT(I8), "^[^@\s]+@[^@\s]+\.[^@\s]+$")</formula1>
    </dataValidation>
    <dataValidation type="list" allowBlank="1" showErrorMessage="1" sqref="L4:L83 L91:L170">
      <formula1>"NURA02WS,GIUDITTA02WS,ALEXANDRA02WS,ESTEFANY02WS,JOEL02WS,MASSI02WS,SANTO02WS,SARA02WS,OMAGGIO-100WS"</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70">
      <formula1>elenchi!$M$2:$M$100</formula1>
    </dataValidation>
    <dataValidation type="list" allowBlank="1" sqref="Q4:Q83 Q91:Q170">
      <formula1>"INSERITO,CELL,EMAIL,COD FISCALE,INDIRIZZO"</formula1>
    </dataValidation>
    <dataValidation type="custom" allowBlank="1" showDropDown="1" showInputMessage="1" prompt="Immetti una data valida" sqref="C4:C83 J4:J83 C91:C170 J91:J170">
      <formula1>OR(NOT(ISERROR(DATEVALUE(C4))), AND(ISNUMBER(C4), LEFT(CELL("format", C4))="D"))</formula1>
    </dataValidation>
  </dataValidations>
  <hyperlinks>
    <hyperlink r:id="rId4" location="gid=1814967349" ref="C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229"/>
      <c r="B1" s="229"/>
      <c r="C1" s="230" t="s">
        <v>212</v>
      </c>
    </row>
    <row r="2">
      <c r="A2" s="231" t="s">
        <v>52</v>
      </c>
      <c r="B2" s="232" t="s">
        <v>53</v>
      </c>
      <c r="C2" s="232" t="s">
        <v>54</v>
      </c>
      <c r="D2" s="232" t="s">
        <v>55</v>
      </c>
      <c r="E2" s="231" t="s">
        <v>56</v>
      </c>
      <c r="F2" s="231" t="s">
        <v>57</v>
      </c>
      <c r="G2" s="231" t="s">
        <v>58</v>
      </c>
      <c r="H2" s="232" t="s">
        <v>59</v>
      </c>
      <c r="I2" s="232" t="s">
        <v>60</v>
      </c>
      <c r="J2" s="232" t="s">
        <v>61</v>
      </c>
      <c r="K2" s="104" t="s">
        <v>62</v>
      </c>
      <c r="L2" s="232" t="s">
        <v>63</v>
      </c>
      <c r="M2" s="105" t="s">
        <v>64</v>
      </c>
      <c r="N2" s="232" t="s">
        <v>65</v>
      </c>
      <c r="O2" s="232" t="s">
        <v>66</v>
      </c>
      <c r="P2" s="232" t="s">
        <v>67</v>
      </c>
      <c r="Q2" s="233" t="s">
        <v>68</v>
      </c>
      <c r="R2" s="107" t="s">
        <v>69</v>
      </c>
      <c r="S2" s="108" t="s">
        <v>70</v>
      </c>
      <c r="T2" s="109" t="s">
        <v>71</v>
      </c>
    </row>
    <row r="3">
      <c r="A3" s="234"/>
      <c r="B3" s="234"/>
      <c r="C3" s="235" t="s">
        <v>213</v>
      </c>
      <c r="N3" s="236" t="s">
        <v>214</v>
      </c>
      <c r="O3" s="237">
        <f>SUMPRODUCT(--$O$4:$O$43)</f>
        <v>32</v>
      </c>
      <c r="P3" s="236"/>
    </row>
    <row r="4" outlineLevel="1">
      <c r="A4" s="111" t="s">
        <v>73</v>
      </c>
      <c r="B4" s="111" t="s">
        <v>74</v>
      </c>
      <c r="C4" s="112">
        <v>46063.0</v>
      </c>
      <c r="D4" s="111" t="s">
        <v>215</v>
      </c>
      <c r="E4" s="111" t="s">
        <v>216</v>
      </c>
      <c r="F4" s="111" t="s">
        <v>217</v>
      </c>
      <c r="G4" s="111">
        <v>3.396859611E9</v>
      </c>
      <c r="H4" s="111" t="s">
        <v>218</v>
      </c>
      <c r="I4" s="111" t="s">
        <v>219</v>
      </c>
      <c r="J4" s="126">
        <v>46063.0</v>
      </c>
      <c r="K4" s="115">
        <v>32.0</v>
      </c>
      <c r="L4" s="116"/>
      <c r="M4" s="117">
        <f>IFERROR(__xludf.DUMMYFUNCTION("IF(
  K4="""",
  """",
  ROUND(
    IF(
      L4="""",
      K4,
      IF(
        ISERROR(FIND(""-"",L4)),
        K4 - VALUE(REGEXEXTRACT(L4,""(\d+)"")),
        K4 * (1 - VALUE(REGEXEXTRACT(L4,""(\d+)""))/100)
      )
    ),
    2
  )
)
"),32.0)</f>
        <v>32</v>
      </c>
      <c r="N4" s="111" t="s">
        <v>100</v>
      </c>
      <c r="O4" s="118" t="b">
        <v>1</v>
      </c>
      <c r="P4" s="119"/>
      <c r="Q4" s="238" t="s">
        <v>81</v>
      </c>
      <c r="R4" s="121" t="b">
        <v>1</v>
      </c>
      <c r="S4" s="121" t="b">
        <v>0</v>
      </c>
      <c r="T4" s="122" t="b">
        <v>1</v>
      </c>
    </row>
    <row r="5" outlineLevel="1">
      <c r="A5" s="111" t="s">
        <v>73</v>
      </c>
      <c r="B5" s="111" t="s">
        <v>74</v>
      </c>
      <c r="C5" s="112">
        <v>46063.0</v>
      </c>
      <c r="D5" s="111" t="s">
        <v>220</v>
      </c>
      <c r="E5" s="111" t="s">
        <v>221</v>
      </c>
      <c r="F5" s="111" t="s">
        <v>222</v>
      </c>
      <c r="G5" s="111">
        <v>3.34605149E9</v>
      </c>
      <c r="H5" s="111" t="s">
        <v>223</v>
      </c>
      <c r="I5" s="111" t="s">
        <v>224</v>
      </c>
      <c r="J5" s="126">
        <v>46063.0</v>
      </c>
      <c r="K5" s="115">
        <v>32.0</v>
      </c>
      <c r="L5" s="116"/>
      <c r="M5" s="117">
        <f>IFERROR(__xludf.DUMMYFUNCTION("IF(
  K5="""",
  """",
  ROUND(
    IF(
      L5="""",
      K5,
      IF(
        ISERROR(FIND(""-"",L5)),
        K5 - VALUE(REGEXEXTRACT(L5,""(\d+)"")),
        K5 * (1 - VALUE(REGEXEXTRACT(L5,""(\d+)""))/100)
      )
    ),
    2
  )
)
"),32.0)</f>
        <v>32</v>
      </c>
      <c r="N5" s="111" t="s">
        <v>100</v>
      </c>
      <c r="O5" s="118" t="b">
        <v>1</v>
      </c>
      <c r="P5" s="119"/>
      <c r="Q5" s="120" t="s">
        <v>81</v>
      </c>
      <c r="R5" s="121" t="b">
        <v>1</v>
      </c>
      <c r="S5" s="121" t="b">
        <v>0</v>
      </c>
      <c r="T5" s="122" t="b">
        <v>1</v>
      </c>
    </row>
    <row r="6" outlineLevel="1">
      <c r="A6" s="111" t="s">
        <v>73</v>
      </c>
      <c r="B6" s="111" t="s">
        <v>74</v>
      </c>
      <c r="C6" s="112">
        <v>46063.0</v>
      </c>
      <c r="D6" s="111" t="s">
        <v>225</v>
      </c>
      <c r="E6" s="111" t="s">
        <v>226</v>
      </c>
      <c r="F6" s="111" t="s">
        <v>227</v>
      </c>
      <c r="G6" s="111">
        <v>3.355278963E9</v>
      </c>
      <c r="H6" s="111" t="s">
        <v>228</v>
      </c>
      <c r="I6" s="111" t="s">
        <v>229</v>
      </c>
      <c r="J6" s="239">
        <v>46063.0</v>
      </c>
      <c r="K6" s="115">
        <v>32.0</v>
      </c>
      <c r="L6" s="116" t="s">
        <v>99</v>
      </c>
      <c r="M6" s="117">
        <f>IFERROR(__xludf.DUMMYFUNCTION("IF(
  K6="""",
  """",
  ROUND(
    IF(
      L6="""",
      K6,
      IF(
        ISERROR(FIND(""-"",L6)),
        K6 - VALUE(REGEXEXTRACT(L6,""(\d+)"")),
        K6 * (1 - VALUE(REGEXEXTRACT(L6,""(\d+)""))/100)
      )
    ),
    2
  )
)
"),30.0)</f>
        <v>30</v>
      </c>
      <c r="N6" s="111" t="s">
        <v>100</v>
      </c>
      <c r="O6" s="118" t="b">
        <v>1</v>
      </c>
      <c r="P6" s="119"/>
      <c r="Q6" s="120" t="s">
        <v>81</v>
      </c>
      <c r="R6" s="121" t="b">
        <v>1</v>
      </c>
      <c r="S6" s="121" t="b">
        <v>0</v>
      </c>
      <c r="T6" s="122" t="b">
        <v>1</v>
      </c>
    </row>
    <row r="7" outlineLevel="1">
      <c r="A7" s="111" t="s">
        <v>73</v>
      </c>
      <c r="B7" s="111" t="s">
        <v>74</v>
      </c>
      <c r="C7" s="112">
        <v>46063.0</v>
      </c>
      <c r="D7" s="111" t="s">
        <v>230</v>
      </c>
      <c r="E7" s="111" t="s">
        <v>164</v>
      </c>
      <c r="F7" s="111" t="s">
        <v>231</v>
      </c>
      <c r="G7" s="111">
        <v>3.381642215E9</v>
      </c>
      <c r="H7" s="111" t="s">
        <v>232</v>
      </c>
      <c r="I7" s="111" t="s">
        <v>233</v>
      </c>
      <c r="J7" s="126">
        <v>46063.0</v>
      </c>
      <c r="K7" s="115">
        <v>32.0</v>
      </c>
      <c r="L7" s="116"/>
      <c r="M7" s="117">
        <f>IFERROR(__xludf.DUMMYFUNCTION("IF(
  K7="""",
  """",
  ROUND(
    IF(
      L7="""",
      K7,
      IF(
        ISERROR(FIND(""-"",L7)),
        K7 - VALUE(REGEXEXTRACT(L7,""(\d+)"")),
        K7 * (1 - VALUE(REGEXEXTRACT(L7,""(\d+)""))/100)
      )
    ),
    2
  )
)
"),32.0)</f>
        <v>32</v>
      </c>
      <c r="N7" s="111" t="s">
        <v>100</v>
      </c>
      <c r="O7" s="118" t="b">
        <v>1</v>
      </c>
      <c r="P7" s="119"/>
      <c r="Q7" s="120" t="s">
        <v>81</v>
      </c>
      <c r="R7" s="121" t="b">
        <v>1</v>
      </c>
      <c r="S7" s="121" t="b">
        <v>0</v>
      </c>
      <c r="T7" s="122" t="b">
        <v>1</v>
      </c>
    </row>
    <row r="8" outlineLevel="1">
      <c r="A8" s="111" t="s">
        <v>73</v>
      </c>
      <c r="B8" s="111" t="s">
        <v>74</v>
      </c>
      <c r="C8" s="112">
        <v>46064.0</v>
      </c>
      <c r="D8" s="111" t="s">
        <v>234</v>
      </c>
      <c r="E8" s="111" t="s">
        <v>235</v>
      </c>
      <c r="F8" s="111" t="s">
        <v>236</v>
      </c>
      <c r="G8" s="111">
        <v>3.496579417E9</v>
      </c>
      <c r="H8" s="111" t="s">
        <v>237</v>
      </c>
      <c r="I8" s="111" t="s">
        <v>238</v>
      </c>
      <c r="J8" s="126">
        <v>46064.0</v>
      </c>
      <c r="K8" s="115">
        <v>32.0</v>
      </c>
      <c r="L8" s="131"/>
      <c r="M8" s="117">
        <f>IFERROR(__xludf.DUMMYFUNCTION("IF(
  K8="""",
  """",
  ROUND(
    IF(
      L8="""",
      K8,
      IF(
        ISERROR(FIND(""-"",L8)),
        K8 - VALUE(REGEXEXTRACT(L8,""(\d+)"")),
        K8 * (1 - VALUE(REGEXEXTRACT(L8,""(\d+)""))/100)
      )
    ),
    2
  )
)
"),32.0)</f>
        <v>32</v>
      </c>
      <c r="N8" s="111" t="s">
        <v>100</v>
      </c>
      <c r="O8" s="118" t="b">
        <v>1</v>
      </c>
      <c r="P8" s="119"/>
      <c r="Q8" s="120" t="s">
        <v>81</v>
      </c>
      <c r="R8" s="121" t="b">
        <v>1</v>
      </c>
      <c r="S8" s="121" t="b">
        <v>0</v>
      </c>
      <c r="T8" s="122" t="b">
        <v>1</v>
      </c>
    </row>
    <row r="9" outlineLevel="1">
      <c r="A9" s="111" t="s">
        <v>73</v>
      </c>
      <c r="B9" s="111" t="s">
        <v>74</v>
      </c>
      <c r="C9" s="112">
        <v>46065.0</v>
      </c>
      <c r="D9" s="111"/>
      <c r="E9" s="111" t="s">
        <v>75</v>
      </c>
      <c r="F9" s="111" t="s">
        <v>76</v>
      </c>
      <c r="G9" s="111">
        <v>3.770848139E9</v>
      </c>
      <c r="H9" s="111" t="s">
        <v>77</v>
      </c>
      <c r="I9" s="111" t="s">
        <v>78</v>
      </c>
      <c r="J9" s="112">
        <v>46065.0</v>
      </c>
      <c r="K9" s="115">
        <v>32.0</v>
      </c>
      <c r="L9" s="116" t="s">
        <v>79</v>
      </c>
      <c r="M9" s="117">
        <f>IFERROR(__xludf.DUMMYFUNCTION("IF(
  K9="""",
  """",
  ROUND(
    IF(
      L9="""",
      K9,
      IF(
        ISERROR(FIND(""-"",L9)),
        K9 - VALUE(REGEXEXTRACT(L9,""(\d+)"")),
        K9 * (1 - VALUE(REGEXEXTRACT(L9,""(\d+)""))/100)
      )
    ),
    2
  )
)
"),30.0)</f>
        <v>30</v>
      </c>
      <c r="N9" s="111" t="s">
        <v>80</v>
      </c>
      <c r="O9" s="118" t="b">
        <v>1</v>
      </c>
      <c r="P9" s="119"/>
      <c r="Q9" s="120" t="s">
        <v>81</v>
      </c>
      <c r="R9" s="121" t="b">
        <v>0</v>
      </c>
      <c r="S9" s="121" t="b">
        <v>1</v>
      </c>
      <c r="T9" s="122" t="b">
        <v>1</v>
      </c>
    </row>
    <row r="10" outlineLevel="1">
      <c r="A10" s="111" t="s">
        <v>239</v>
      </c>
      <c r="B10" s="111" t="s">
        <v>240</v>
      </c>
      <c r="C10" s="112">
        <v>46065.0</v>
      </c>
      <c r="D10" s="111"/>
      <c r="E10" s="111" t="s">
        <v>241</v>
      </c>
      <c r="F10" s="111" t="s">
        <v>242</v>
      </c>
      <c r="G10" s="111">
        <v>3.938905093E9</v>
      </c>
      <c r="H10" s="128" t="s">
        <v>243</v>
      </c>
      <c r="I10" s="111" t="s">
        <v>244</v>
      </c>
      <c r="J10" s="126">
        <v>46065.0</v>
      </c>
      <c r="K10" s="115">
        <v>32.0</v>
      </c>
      <c r="L10" s="116" t="s">
        <v>245</v>
      </c>
      <c r="M10" s="117">
        <f>IFERROR(__xludf.DUMMYFUNCTION("IF(
  K10="""",
  """",
  ROUND(
    IF(
      L10="""",
      K10,
      IF(
        ISERROR(FIND(""-"",L10)),
        K10 - VALUE(REGEXEXTRACT(L10,""(\d+)"")),
        K10 * (1 - VALUE(REGEXEXTRACT(L10,""(\d+)""))/100)
      )
    ),
    2
  )
)
"),30.0)</f>
        <v>30</v>
      </c>
      <c r="N10" s="111" t="s">
        <v>162</v>
      </c>
      <c r="O10" s="118" t="b">
        <v>1</v>
      </c>
      <c r="P10" s="119"/>
      <c r="Q10" s="120" t="s">
        <v>81</v>
      </c>
      <c r="R10" s="121" t="b">
        <v>1</v>
      </c>
      <c r="S10" s="121" t="b">
        <v>0</v>
      </c>
      <c r="T10" s="122" t="b">
        <v>1</v>
      </c>
    </row>
    <row r="11" outlineLevel="1">
      <c r="A11" s="111" t="s">
        <v>73</v>
      </c>
      <c r="B11" s="111" t="s">
        <v>74</v>
      </c>
      <c r="C11" s="112">
        <v>46065.0</v>
      </c>
      <c r="D11" s="111"/>
      <c r="E11" s="111" t="s">
        <v>246</v>
      </c>
      <c r="F11" s="111" t="s">
        <v>247</v>
      </c>
      <c r="G11" s="111">
        <v>3.202477786E9</v>
      </c>
      <c r="H11" s="111" t="s">
        <v>248</v>
      </c>
      <c r="I11" s="111" t="s">
        <v>249</v>
      </c>
      <c r="J11" s="126">
        <v>46065.0</v>
      </c>
      <c r="K11" s="115">
        <v>32.0</v>
      </c>
      <c r="L11" s="116"/>
      <c r="M11" s="117">
        <f>IFERROR(__xludf.DUMMYFUNCTION("IF(
  K11="""",
  """",
  ROUND(
    IF(
      L11="""",
      K11,
      IF(
        ISERROR(FIND(""-"",L11)),
        K11 - VALUE(REGEXEXTRACT(L11,""(\d+)"")),
        K11 * (1 - VALUE(REGEXEXTRACT(L11,""(\d+)""))/100)
      )
    ),
    2
  )
)
"),32.0)</f>
        <v>32</v>
      </c>
      <c r="N11" s="111" t="s">
        <v>100</v>
      </c>
      <c r="O11" s="118" t="b">
        <v>1</v>
      </c>
      <c r="P11" s="119"/>
      <c r="Q11" s="120" t="s">
        <v>81</v>
      </c>
      <c r="R11" s="121" t="b">
        <v>1</v>
      </c>
      <c r="S11" s="121" t="b">
        <v>0</v>
      </c>
      <c r="T11" s="122" t="b">
        <v>1</v>
      </c>
    </row>
    <row r="12" outlineLevel="1">
      <c r="A12" s="111" t="s">
        <v>239</v>
      </c>
      <c r="B12" s="111" t="s">
        <v>240</v>
      </c>
      <c r="C12" s="112">
        <v>46066.0</v>
      </c>
      <c r="D12" s="111"/>
      <c r="E12" s="111" t="s">
        <v>250</v>
      </c>
      <c r="F12" s="111" t="s">
        <v>251</v>
      </c>
      <c r="G12" s="111">
        <v>3.39886405E9</v>
      </c>
      <c r="H12" s="111" t="s">
        <v>252</v>
      </c>
      <c r="I12" s="111" t="s">
        <v>253</v>
      </c>
      <c r="J12" s="126">
        <v>46066.0</v>
      </c>
      <c r="K12" s="115">
        <v>32.0</v>
      </c>
      <c r="L12" s="116" t="s">
        <v>245</v>
      </c>
      <c r="M12" s="117">
        <f>IFERROR(__xludf.DUMMYFUNCTION("IF(
  K12="""",
  """",
  ROUND(
    IF(
      L12="""",
      K12,
      IF(
        ISERROR(FIND(""-"",L12)),
        K12 - VALUE(REGEXEXTRACT(L12,""(\d+)"")),
        K12 * (1 - VALUE(REGEXEXTRACT(L12,""(\d+)""))/100)
      )
    ),
    2
  )
)
"),30.0)</f>
        <v>30</v>
      </c>
      <c r="N12" s="111" t="s">
        <v>162</v>
      </c>
      <c r="O12" s="118" t="b">
        <v>1</v>
      </c>
      <c r="P12" s="119"/>
      <c r="Q12" s="120" t="s">
        <v>81</v>
      </c>
      <c r="R12" s="121" t="b">
        <v>1</v>
      </c>
      <c r="S12" s="121" t="b">
        <v>0</v>
      </c>
      <c r="T12" s="122" t="b">
        <v>1</v>
      </c>
    </row>
    <row r="13" outlineLevel="1">
      <c r="A13" s="111" t="s">
        <v>73</v>
      </c>
      <c r="B13" s="111" t="s">
        <v>74</v>
      </c>
      <c r="C13" s="112">
        <v>46066.0</v>
      </c>
      <c r="D13" s="111" t="s">
        <v>254</v>
      </c>
      <c r="E13" s="111" t="s">
        <v>255</v>
      </c>
      <c r="F13" s="111" t="s">
        <v>256</v>
      </c>
      <c r="G13" s="189">
        <v>3.420984354E9</v>
      </c>
      <c r="H13" s="111" t="s">
        <v>257</v>
      </c>
      <c r="I13" s="111" t="s">
        <v>258</v>
      </c>
      <c r="J13" s="126">
        <v>46066.0</v>
      </c>
      <c r="K13" s="115">
        <v>32.0</v>
      </c>
      <c r="L13" s="116" t="s">
        <v>79</v>
      </c>
      <c r="M13" s="117">
        <f>IFERROR(__xludf.DUMMYFUNCTION("IF(
  K13="""",
  """",
  ROUND(
    IF(
      L13="""",
      K13,
      IF(
        ISERROR(FIND(""-"",L13)),
        K13 - VALUE(REGEXEXTRACT(L13,""(\d+)"")),
        K13 * (1 - VALUE(REGEXEXTRACT(L13,""(\d+)""))/100)
      )
    ),
    2
  )
)
"),30.0)</f>
        <v>30</v>
      </c>
      <c r="N13" s="111" t="s">
        <v>100</v>
      </c>
      <c r="O13" s="118" t="b">
        <v>1</v>
      </c>
      <c r="P13" s="119"/>
      <c r="Q13" s="120" t="s">
        <v>81</v>
      </c>
      <c r="R13" s="121" t="b">
        <v>1</v>
      </c>
      <c r="S13" s="121" t="b">
        <v>0</v>
      </c>
      <c r="T13" s="122" t="b">
        <v>1</v>
      </c>
    </row>
    <row r="14" outlineLevel="1">
      <c r="A14" s="116" t="s">
        <v>73</v>
      </c>
      <c r="B14" s="116" t="s">
        <v>74</v>
      </c>
      <c r="C14" s="129">
        <v>46067.0</v>
      </c>
      <c r="D14" s="111" t="s">
        <v>259</v>
      </c>
      <c r="E14" s="111" t="s">
        <v>260</v>
      </c>
      <c r="F14" s="116" t="s">
        <v>261</v>
      </c>
      <c r="G14" s="116">
        <v>3.346013249E9</v>
      </c>
      <c r="H14" s="116" t="s">
        <v>262</v>
      </c>
      <c r="I14" s="116" t="s">
        <v>263</v>
      </c>
      <c r="J14" s="135">
        <v>46067.0</v>
      </c>
      <c r="K14" s="115">
        <v>32.0</v>
      </c>
      <c r="L14" s="116"/>
      <c r="M14" s="117">
        <f>IFERROR(__xludf.DUMMYFUNCTION("IF(
  K14="""",
  """",
  ROUND(
    IF(
      L14="""",
      K14,
      IF(
        ISERROR(FIND(""-"",L14)),
        K14 - VALUE(REGEXEXTRACT(L14,""(\d+)"")),
        K14 * (1 - VALUE(REGEXEXTRACT(L14,""(\d+)""))/100)
      )
    ),
    2
  )
)
"),32.0)</f>
        <v>32</v>
      </c>
      <c r="N14" s="111" t="s">
        <v>100</v>
      </c>
      <c r="O14" s="118" t="b">
        <v>1</v>
      </c>
      <c r="P14" s="119"/>
      <c r="Q14" s="120" t="s">
        <v>81</v>
      </c>
      <c r="R14" s="121" t="b">
        <v>1</v>
      </c>
      <c r="S14" s="121" t="b">
        <v>0</v>
      </c>
      <c r="T14" s="122" t="b">
        <v>1</v>
      </c>
    </row>
    <row r="15" outlineLevel="1">
      <c r="A15" s="116" t="s">
        <v>73</v>
      </c>
      <c r="B15" s="116" t="s">
        <v>94</v>
      </c>
      <c r="C15" s="129">
        <v>46069.0</v>
      </c>
      <c r="D15" s="111" t="s">
        <v>264</v>
      </c>
      <c r="E15" s="111" t="s">
        <v>265</v>
      </c>
      <c r="F15" s="116" t="s">
        <v>266</v>
      </c>
      <c r="G15" s="116">
        <v>3.896980899E9</v>
      </c>
      <c r="H15" s="116" t="s">
        <v>267</v>
      </c>
      <c r="I15" s="116" t="s">
        <v>268</v>
      </c>
      <c r="J15" s="132">
        <v>46069.0</v>
      </c>
      <c r="K15" s="115">
        <v>37.0</v>
      </c>
      <c r="L15" s="116" t="s">
        <v>99</v>
      </c>
      <c r="M15" s="117">
        <f>IFERROR(__xludf.DUMMYFUNCTION("IF(
  K15="""",
  """",
  ROUND(
    IF(
      L15="""",
      K15,
      IF(
        ISERROR(FIND(""-"",L15)),
        K15 - VALUE(REGEXEXTRACT(L15,""(\d+)"")),
        K15 * (1 - VALUE(REGEXEXTRACT(L15,""(\d+)""))/100)
      )
    ),
    2
  )
)
"),35.0)</f>
        <v>35</v>
      </c>
      <c r="N15" s="111" t="s">
        <v>162</v>
      </c>
      <c r="O15" s="118" t="b">
        <v>0</v>
      </c>
      <c r="P15" s="119"/>
      <c r="Q15" s="120" t="s">
        <v>81</v>
      </c>
      <c r="R15" s="121" t="b">
        <v>1</v>
      </c>
      <c r="S15" s="121" t="b">
        <v>0</v>
      </c>
      <c r="T15" s="122" t="b">
        <v>1</v>
      </c>
    </row>
    <row r="16" outlineLevel="1">
      <c r="A16" s="111" t="s">
        <v>73</v>
      </c>
      <c r="B16" s="111" t="s">
        <v>74</v>
      </c>
      <c r="C16" s="129">
        <v>46067.0</v>
      </c>
      <c r="D16" s="111" t="s">
        <v>269</v>
      </c>
      <c r="E16" s="111" t="s">
        <v>270</v>
      </c>
      <c r="F16" s="111" t="s">
        <v>271</v>
      </c>
      <c r="G16" s="111">
        <v>3.807877826E9</v>
      </c>
      <c r="H16" s="111" t="s">
        <v>272</v>
      </c>
      <c r="I16" s="111" t="s">
        <v>273</v>
      </c>
      <c r="J16" s="132">
        <v>46067.0</v>
      </c>
      <c r="K16" s="115">
        <v>32.0</v>
      </c>
      <c r="L16" s="116" t="s">
        <v>106</v>
      </c>
      <c r="M16" s="117">
        <f>IFERROR(__xludf.DUMMYFUNCTION("IF(
  K16="""",
  """",
  ROUND(
    IF(
      L16="""",
      K16,
      IF(
        ISERROR(FIND(""-"",L16)),
        K16 - VALUE(REGEXEXTRACT(L16,""(\d+)"")),
        K16 * (1 - VALUE(REGEXEXTRACT(L16,""(\d+)""))/100)
      )
    ),
    2
  )
)
"),30.0)</f>
        <v>30</v>
      </c>
      <c r="N16" s="111" t="s">
        <v>100</v>
      </c>
      <c r="O16" s="118" t="b">
        <v>1</v>
      </c>
      <c r="P16" s="119"/>
      <c r="Q16" s="120" t="s">
        <v>81</v>
      </c>
      <c r="R16" s="121" t="b">
        <v>1</v>
      </c>
      <c r="S16" s="121" t="b">
        <v>0</v>
      </c>
      <c r="T16" s="122" t="b">
        <v>1</v>
      </c>
    </row>
    <row r="17" outlineLevel="1">
      <c r="A17" s="111" t="s">
        <v>73</v>
      </c>
      <c r="B17" s="111" t="s">
        <v>74</v>
      </c>
      <c r="C17" s="129">
        <v>46067.0</v>
      </c>
      <c r="D17" s="111" t="s">
        <v>274</v>
      </c>
      <c r="E17" s="111" t="s">
        <v>275</v>
      </c>
      <c r="F17" s="111" t="s">
        <v>165</v>
      </c>
      <c r="G17" s="111">
        <v>3.486480889E9</v>
      </c>
      <c r="H17" s="111" t="s">
        <v>276</v>
      </c>
      <c r="I17" s="111" t="s">
        <v>277</v>
      </c>
      <c r="J17" s="132">
        <v>46067.0</v>
      </c>
      <c r="K17" s="115">
        <v>32.0</v>
      </c>
      <c r="L17" s="116"/>
      <c r="M17" s="117">
        <f>IFERROR(__xludf.DUMMYFUNCTION("IF(
  K17="""",
  """",
  ROUND(
    IF(
      L17="""",
      K17,
      IF(
        ISERROR(FIND(""-"",L17)),
        K17 - VALUE(REGEXEXTRACT(L17,""(\d+)"")),
        K17 * (1 - VALUE(REGEXEXTRACT(L17,""(\d+)""))/100)
      )
    ),
    2
  )
)
"),32.0)</f>
        <v>32</v>
      </c>
      <c r="N17" s="111" t="s">
        <v>100</v>
      </c>
      <c r="O17" s="118" t="b">
        <v>1</v>
      </c>
      <c r="P17" s="119"/>
      <c r="Q17" s="120" t="s">
        <v>81</v>
      </c>
      <c r="R17" s="121" t="b">
        <v>1</v>
      </c>
      <c r="S17" s="121" t="b">
        <v>0</v>
      </c>
      <c r="T17" s="122" t="b">
        <v>1</v>
      </c>
    </row>
    <row r="18" outlineLevel="1">
      <c r="A18" s="116" t="s">
        <v>73</v>
      </c>
      <c r="B18" s="116" t="s">
        <v>74</v>
      </c>
      <c r="C18" s="129">
        <v>46069.0</v>
      </c>
      <c r="D18" s="111" t="s">
        <v>278</v>
      </c>
      <c r="E18" s="111" t="s">
        <v>279</v>
      </c>
      <c r="F18" s="116" t="s">
        <v>146</v>
      </c>
      <c r="G18" s="116">
        <v>3.923922667E9</v>
      </c>
      <c r="H18" s="116" t="s">
        <v>280</v>
      </c>
      <c r="I18" s="116" t="s">
        <v>281</v>
      </c>
      <c r="J18" s="135">
        <v>46069.0</v>
      </c>
      <c r="K18" s="115">
        <v>37.0</v>
      </c>
      <c r="L18" s="116" t="s">
        <v>282</v>
      </c>
      <c r="M18" s="117">
        <f>IFERROR(__xludf.DUMMYFUNCTION("IF(
  K18="""",
  """",
  ROUND(
    IF(
      L18="""",
      K18,
      IF(
        ISERROR(FIND(""-"",L18)),
        K18 - VALUE(REGEXEXTRACT(L18,""(\d+)"")),
        K18 * (1 - VALUE(REGEXEXTRACT(L18,""(\d+)""))/100)
      )
    ),
    2
  )
)
"),32.0)</f>
        <v>32</v>
      </c>
      <c r="N18" s="111" t="s">
        <v>100</v>
      </c>
      <c r="O18" s="118" t="b">
        <v>1</v>
      </c>
      <c r="P18" s="119"/>
      <c r="Q18" s="120" t="s">
        <v>81</v>
      </c>
      <c r="R18" s="121" t="b">
        <v>1</v>
      </c>
      <c r="S18" s="121" t="b">
        <v>0</v>
      </c>
      <c r="T18" s="122" t="b">
        <v>1</v>
      </c>
    </row>
    <row r="19" outlineLevel="1">
      <c r="A19" s="116" t="s">
        <v>73</v>
      </c>
      <c r="B19" s="116" t="s">
        <v>74</v>
      </c>
      <c r="C19" s="129">
        <v>46070.0</v>
      </c>
      <c r="D19" s="111" t="s">
        <v>283</v>
      </c>
      <c r="E19" s="111" t="s">
        <v>284</v>
      </c>
      <c r="F19" s="116" t="s">
        <v>285</v>
      </c>
      <c r="G19" s="116">
        <v>3.478840176E9</v>
      </c>
      <c r="H19" s="116" t="s">
        <v>286</v>
      </c>
      <c r="I19" s="116" t="s">
        <v>287</v>
      </c>
      <c r="J19" s="132">
        <v>46070.0</v>
      </c>
      <c r="K19" s="115">
        <v>37.0</v>
      </c>
      <c r="L19" s="116"/>
      <c r="M19" s="117">
        <f>IFERROR(__xludf.DUMMYFUNCTION("IF(
  K19="""",
  """",
  ROUND(
    IF(
      L19="""",
      K19,
      IF(
        ISERROR(FIND(""-"",L19)),
        K19 - VALUE(REGEXEXTRACT(L19,""(\d+)"")),
        K19 * (1 - VALUE(REGEXEXTRACT(L19,""(\d+)""))/100)
      )
    ),
    2
  )
)
"),37.0)</f>
        <v>37</v>
      </c>
      <c r="N19" s="111" t="s">
        <v>100</v>
      </c>
      <c r="O19" s="118" t="b">
        <v>1</v>
      </c>
      <c r="P19" s="119"/>
      <c r="Q19" s="120" t="s">
        <v>81</v>
      </c>
      <c r="R19" s="121" t="b">
        <v>1</v>
      </c>
      <c r="S19" s="121" t="b">
        <v>0</v>
      </c>
      <c r="T19" s="122" t="b">
        <v>1</v>
      </c>
    </row>
    <row r="20" outlineLevel="1">
      <c r="A20" s="116" t="s">
        <v>73</v>
      </c>
      <c r="B20" s="116" t="s">
        <v>74</v>
      </c>
      <c r="C20" s="129">
        <v>46070.0</v>
      </c>
      <c r="D20" s="111" t="s">
        <v>288</v>
      </c>
      <c r="E20" s="111" t="s">
        <v>289</v>
      </c>
      <c r="F20" s="116" t="s">
        <v>146</v>
      </c>
      <c r="G20" s="116">
        <v>3.49892317E9</v>
      </c>
      <c r="H20" s="116" t="s">
        <v>290</v>
      </c>
      <c r="I20" s="116" t="s">
        <v>291</v>
      </c>
      <c r="J20" s="132">
        <v>46070.0</v>
      </c>
      <c r="K20" s="115">
        <v>37.0</v>
      </c>
      <c r="L20" s="116"/>
      <c r="M20" s="117">
        <f>IFERROR(__xludf.DUMMYFUNCTION("IF(
  K20="""",
  """",
  ROUND(
    IF(
      L20="""",
      K20,
      IF(
        ISERROR(FIND(""-"",L20)),
        K20 - VALUE(REGEXEXTRACT(L20,""(\d+)"")),
        K20 * (1 - VALUE(REGEXEXTRACT(L20,""(\d+)""))/100)
      )
    ),
    2
  )
)
"),37.0)</f>
        <v>37</v>
      </c>
      <c r="N20" s="116" t="s">
        <v>100</v>
      </c>
      <c r="O20" s="118" t="b">
        <v>1</v>
      </c>
      <c r="P20" s="119"/>
      <c r="Q20" s="120" t="s">
        <v>81</v>
      </c>
      <c r="R20" s="121" t="b">
        <v>1</v>
      </c>
      <c r="S20" s="121" t="b">
        <v>0</v>
      </c>
      <c r="T20" s="122" t="b">
        <v>1</v>
      </c>
    </row>
    <row r="21" outlineLevel="1">
      <c r="A21" s="116" t="s">
        <v>73</v>
      </c>
      <c r="B21" s="116" t="s">
        <v>74</v>
      </c>
      <c r="C21" s="129">
        <v>46074.0</v>
      </c>
      <c r="D21" s="111" t="s">
        <v>292</v>
      </c>
      <c r="E21" s="111" t="s">
        <v>293</v>
      </c>
      <c r="F21" s="116" t="s">
        <v>294</v>
      </c>
      <c r="G21" s="116">
        <v>3.286790381E9</v>
      </c>
      <c r="H21" s="116" t="s">
        <v>295</v>
      </c>
      <c r="I21" s="116" t="s">
        <v>296</v>
      </c>
      <c r="J21" s="135">
        <v>46074.0</v>
      </c>
      <c r="K21" s="115">
        <v>37.0</v>
      </c>
      <c r="L21" s="116" t="s">
        <v>99</v>
      </c>
      <c r="M21" s="117">
        <f>IFERROR(__xludf.DUMMYFUNCTION("IF(
  K21="""",
  """",
  ROUND(
    IF(
      L21="""",
      K21,
      IF(
        ISERROR(FIND(""-"",L21)),
        K21 - VALUE(REGEXEXTRACT(L21,""(\d+)"")),
        K21 * (1 - VALUE(REGEXEXTRACT(L21,""(\d+)""))/100)
      )
    ),
    2
  )
)
"),35.0)</f>
        <v>35</v>
      </c>
      <c r="N21" s="111" t="s">
        <v>100</v>
      </c>
      <c r="O21" s="118" t="b">
        <v>1</v>
      </c>
      <c r="P21" s="119"/>
      <c r="Q21" s="120" t="s">
        <v>81</v>
      </c>
      <c r="R21" s="121" t="b">
        <v>1</v>
      </c>
      <c r="S21" s="121" t="b">
        <v>0</v>
      </c>
      <c r="T21" s="122" t="b">
        <v>1</v>
      </c>
    </row>
    <row r="22" outlineLevel="1">
      <c r="A22" s="111" t="s">
        <v>73</v>
      </c>
      <c r="B22" s="111" t="s">
        <v>74</v>
      </c>
      <c r="C22" s="129">
        <v>46074.0</v>
      </c>
      <c r="D22" s="111"/>
      <c r="E22" s="111" t="s">
        <v>297</v>
      </c>
      <c r="F22" s="111" t="s">
        <v>298</v>
      </c>
      <c r="G22" s="111">
        <v>3.497103252E9</v>
      </c>
      <c r="H22" s="240" t="s">
        <v>299</v>
      </c>
      <c r="I22" s="240" t="s">
        <v>300</v>
      </c>
      <c r="J22" s="126">
        <v>46074.0</v>
      </c>
      <c r="K22" s="115">
        <v>37.0</v>
      </c>
      <c r="L22" s="116"/>
      <c r="M22" s="117">
        <f>IFERROR(__xludf.DUMMYFUNCTION("IF(
  K22="""",
  """",
  ROUND(
    IF(
      L22="""",
      K22,
      IF(
        ISERROR(FIND(""-"",L22)),
        K22 - VALUE(REGEXEXTRACT(L22,""(\d+)"")),
        K22 * (1 - VALUE(REGEXEXTRACT(L22,""(\d+)""))/100)
      )
    ),
    2
  )
)
"),37.0)</f>
        <v>37</v>
      </c>
      <c r="N22" s="111" t="s">
        <v>80</v>
      </c>
      <c r="O22" s="118" t="b">
        <v>1</v>
      </c>
      <c r="P22" s="119" t="s">
        <v>301</v>
      </c>
      <c r="Q22" s="120" t="s">
        <v>81</v>
      </c>
      <c r="R22" s="121" t="b">
        <v>0</v>
      </c>
      <c r="S22" s="121" t="b">
        <v>1</v>
      </c>
      <c r="T22" s="122" t="b">
        <v>1</v>
      </c>
    </row>
    <row r="23" outlineLevel="1">
      <c r="A23" s="116" t="s">
        <v>73</v>
      </c>
      <c r="B23" s="116" t="s">
        <v>74</v>
      </c>
      <c r="C23" s="129">
        <v>46074.0</v>
      </c>
      <c r="D23" s="111"/>
      <c r="E23" s="111" t="s">
        <v>297</v>
      </c>
      <c r="F23" s="116" t="s">
        <v>298</v>
      </c>
      <c r="G23" s="116">
        <v>3.497103252E9</v>
      </c>
      <c r="H23" s="116" t="s">
        <v>299</v>
      </c>
      <c r="I23" s="116" t="s">
        <v>300</v>
      </c>
      <c r="J23" s="132">
        <v>46074.0</v>
      </c>
      <c r="K23" s="115">
        <v>37.0</v>
      </c>
      <c r="L23" s="116"/>
      <c r="M23" s="117">
        <f>IFERROR(__xludf.DUMMYFUNCTION("IF(
  K23="""",
  """",
  ROUND(
    IF(
      L23="""",
      K23,
      IF(
        ISERROR(FIND(""-"",L23)),
        K23 - VALUE(REGEXEXTRACT(L23,""(\d+)"")),
        K23 * (1 - VALUE(REGEXEXTRACT(L23,""(\d+)""))/100)
      )
    ),
    2
  )
)
"),37.0)</f>
        <v>37</v>
      </c>
      <c r="N23" s="111" t="s">
        <v>80</v>
      </c>
      <c r="O23" s="118" t="b">
        <v>1</v>
      </c>
      <c r="P23" s="119" t="s">
        <v>301</v>
      </c>
      <c r="Q23" s="120" t="s">
        <v>81</v>
      </c>
      <c r="R23" s="121" t="b">
        <v>0</v>
      </c>
      <c r="S23" s="121" t="b">
        <v>1</v>
      </c>
      <c r="T23" s="122" t="b">
        <v>1</v>
      </c>
    </row>
    <row r="24" outlineLevel="1">
      <c r="A24" s="116" t="s">
        <v>73</v>
      </c>
      <c r="B24" s="116" t="s">
        <v>74</v>
      </c>
      <c r="C24" s="112">
        <v>46075.0</v>
      </c>
      <c r="D24" s="116"/>
      <c r="E24" s="116" t="s">
        <v>302</v>
      </c>
      <c r="F24" s="111" t="s">
        <v>303</v>
      </c>
      <c r="G24" s="111">
        <v>3.272618075E9</v>
      </c>
      <c r="H24" s="111" t="s">
        <v>304</v>
      </c>
      <c r="I24" s="111" t="s">
        <v>305</v>
      </c>
      <c r="J24" s="114">
        <v>46075.0</v>
      </c>
      <c r="K24" s="115">
        <v>37.0</v>
      </c>
      <c r="L24" s="116"/>
      <c r="M24" s="117">
        <f>IFERROR(__xludf.DUMMYFUNCTION("IF(
  K24="""",
  """",
  ROUND(
    IF(
      L24="""",
      K24,
      IF(
        ISERROR(FIND(""-"",L24)),
        K24 - VALUE(REGEXEXTRACT(L24,""(\d+)"")),
        K24 * (1 - VALUE(REGEXEXTRACT(L24,""(\d+)""))/100)
      )
    ),
    2
  )
)
"),37.0)</f>
        <v>37</v>
      </c>
      <c r="N24" s="111" t="s">
        <v>80</v>
      </c>
      <c r="O24" s="118" t="b">
        <v>1</v>
      </c>
      <c r="P24" s="119"/>
      <c r="Q24" s="120" t="s">
        <v>81</v>
      </c>
      <c r="R24" s="121" t="b">
        <v>0</v>
      </c>
      <c r="S24" s="121" t="b">
        <v>1</v>
      </c>
      <c r="T24" s="122" t="b">
        <v>1</v>
      </c>
    </row>
    <row r="25" outlineLevel="1">
      <c r="A25" s="116" t="s">
        <v>73</v>
      </c>
      <c r="B25" s="116" t="s">
        <v>74</v>
      </c>
      <c r="C25" s="129">
        <v>46080.0</v>
      </c>
      <c r="D25" s="111" t="s">
        <v>306</v>
      </c>
      <c r="E25" s="111" t="s">
        <v>307</v>
      </c>
      <c r="F25" s="116" t="s">
        <v>308</v>
      </c>
      <c r="G25" s="116">
        <v>3.482727792E9</v>
      </c>
      <c r="H25" s="116" t="s">
        <v>309</v>
      </c>
      <c r="I25" s="116" t="s">
        <v>310</v>
      </c>
      <c r="J25" s="134">
        <v>46080.0</v>
      </c>
      <c r="K25" s="115">
        <v>37.0</v>
      </c>
      <c r="L25" s="116"/>
      <c r="M25" s="117">
        <f>IFERROR(__xludf.DUMMYFUNCTION("IF(
  K25="""",
  """",
  ROUND(
    IF(
      L25="""",
      K25,
      IF(
        ISERROR(FIND(""-"",L25)),
        K25 - VALUE(REGEXEXTRACT(L25,""(\d+)"")),
        K25 * (1 - VALUE(REGEXEXTRACT(L25,""(\d+)""))/100)
      )
    ),
    2
  )
)
"),37.0)</f>
        <v>37</v>
      </c>
      <c r="N25" s="111" t="s">
        <v>100</v>
      </c>
      <c r="O25" s="118" t="b">
        <v>1</v>
      </c>
      <c r="P25" s="119"/>
      <c r="Q25" s="120" t="s">
        <v>81</v>
      </c>
      <c r="R25" s="121" t="b">
        <v>1</v>
      </c>
      <c r="S25" s="121" t="b">
        <v>0</v>
      </c>
      <c r="T25" s="122" t="b">
        <v>1</v>
      </c>
    </row>
    <row r="26" outlineLevel="1">
      <c r="A26" s="116" t="s">
        <v>73</v>
      </c>
      <c r="B26" s="116" t="s">
        <v>74</v>
      </c>
      <c r="C26" s="129">
        <v>46082.0</v>
      </c>
      <c r="D26" s="111"/>
      <c r="E26" s="111" t="s">
        <v>311</v>
      </c>
      <c r="F26" s="116" t="s">
        <v>312</v>
      </c>
      <c r="G26" s="116">
        <v>3.468106903E9</v>
      </c>
      <c r="H26" s="116" t="s">
        <v>313</v>
      </c>
      <c r="I26" s="116" t="s">
        <v>314</v>
      </c>
      <c r="J26" s="134">
        <v>46082.0</v>
      </c>
      <c r="K26" s="115">
        <v>37.0</v>
      </c>
      <c r="L26" s="116"/>
      <c r="M26" s="117">
        <f>IFERROR(__xludf.DUMMYFUNCTION("IF(
  K26="""",
  """",
  ROUND(
    IF(
      L26="""",
      K26,
      IF(
        ISERROR(FIND(""-"",L26)),
        K26 - VALUE(REGEXEXTRACT(L26,""(\d+)"")),
        K26 * (1 - VALUE(REGEXEXTRACT(L26,""(\d+)""))/100)
      )
    ),
    2
  )
)
"),37.0)</f>
        <v>37</v>
      </c>
      <c r="N26" s="111" t="s">
        <v>80</v>
      </c>
      <c r="O26" s="118" t="b">
        <v>1</v>
      </c>
      <c r="P26" s="119"/>
      <c r="Q26" s="120" t="s">
        <v>81</v>
      </c>
      <c r="R26" s="121" t="b">
        <v>0</v>
      </c>
      <c r="S26" s="121" t="b">
        <v>1</v>
      </c>
      <c r="T26" s="122" t="b">
        <v>1</v>
      </c>
    </row>
    <row r="27" outlineLevel="1">
      <c r="A27" s="116" t="s">
        <v>73</v>
      </c>
      <c r="B27" s="116" t="s">
        <v>74</v>
      </c>
      <c r="C27" s="129">
        <v>46083.0</v>
      </c>
      <c r="D27" s="111"/>
      <c r="E27" s="111" t="s">
        <v>315</v>
      </c>
      <c r="F27" s="116" t="s">
        <v>316</v>
      </c>
      <c r="G27" s="116">
        <v>3.33420102E9</v>
      </c>
      <c r="H27" s="116" t="s">
        <v>317</v>
      </c>
      <c r="I27" s="116" t="s">
        <v>318</v>
      </c>
      <c r="J27" s="134">
        <v>46083.0</v>
      </c>
      <c r="K27" s="115">
        <v>37.0</v>
      </c>
      <c r="L27" s="116" t="s">
        <v>99</v>
      </c>
      <c r="M27" s="117">
        <f>IFERROR(__xludf.DUMMYFUNCTION("IF(
  K27="""",
  """",
  ROUND(
    IF(
      L27="""",
      K27,
      IF(
        ISERROR(FIND(""-"",L27)),
        K27 - VALUE(REGEXEXTRACT(L27,""(\d+)"")),
        K27 * (1 - VALUE(REGEXEXTRACT(L27,""(\d+)""))/100)
      )
    ),
    2
  )
)
"),35.0)</f>
        <v>35</v>
      </c>
      <c r="N27" s="111" t="s">
        <v>80</v>
      </c>
      <c r="O27" s="118" t="b">
        <v>1</v>
      </c>
      <c r="P27" s="119"/>
      <c r="Q27" s="120" t="s">
        <v>81</v>
      </c>
      <c r="R27" s="121" t="b">
        <v>0</v>
      </c>
      <c r="S27" s="121" t="b">
        <v>1</v>
      </c>
      <c r="T27" s="122" t="b">
        <v>1</v>
      </c>
    </row>
    <row r="28" outlineLevel="1">
      <c r="A28" s="116" t="s">
        <v>101</v>
      </c>
      <c r="B28" s="116" t="s">
        <v>102</v>
      </c>
      <c r="C28" s="129">
        <v>46088.0</v>
      </c>
      <c r="D28" s="111"/>
      <c r="E28" s="111" t="s">
        <v>319</v>
      </c>
      <c r="F28" s="116" t="s">
        <v>165</v>
      </c>
      <c r="G28" s="116">
        <v>3.291314909E9</v>
      </c>
      <c r="H28" s="113" t="s">
        <v>320</v>
      </c>
      <c r="I28" s="113" t="s">
        <v>321</v>
      </c>
      <c r="J28" s="134">
        <v>46088.0</v>
      </c>
      <c r="K28" s="115">
        <v>37.0</v>
      </c>
      <c r="L28" s="131"/>
      <c r="M28" s="117">
        <f>IFERROR(__xludf.DUMMYFUNCTION("IF(
  K28="""",
  """",
  ROUND(
    IF(
      L28="""",
      K28,
      IF(
        ISERROR(FIND(""-"",L28)),
        K28 - VALUE(REGEXEXTRACT(L28,""(\d+)"")),
        K28 * (1 - VALUE(REGEXEXTRACT(L28,""(\d+)""))/100)
      )
    ),
    2
  )
)
"),37.0)</f>
        <v>37</v>
      </c>
      <c r="N28" s="111" t="s">
        <v>100</v>
      </c>
      <c r="O28" s="118" t="b">
        <v>1</v>
      </c>
      <c r="P28" s="119"/>
      <c r="Q28" s="120" t="s">
        <v>81</v>
      </c>
      <c r="R28" s="121" t="b">
        <v>1</v>
      </c>
      <c r="S28" s="121" t="b">
        <v>0</v>
      </c>
      <c r="T28" s="122" t="b">
        <v>1</v>
      </c>
    </row>
    <row r="29" outlineLevel="1">
      <c r="A29" s="116" t="s">
        <v>101</v>
      </c>
      <c r="B29" s="116" t="s">
        <v>102</v>
      </c>
      <c r="C29" s="129">
        <v>46091.0</v>
      </c>
      <c r="D29" s="111"/>
      <c r="E29" s="111" t="s">
        <v>322</v>
      </c>
      <c r="F29" s="116" t="s">
        <v>323</v>
      </c>
      <c r="G29" s="116">
        <v>3.333544512E9</v>
      </c>
      <c r="H29" s="116" t="s">
        <v>324</v>
      </c>
      <c r="I29" s="116" t="s">
        <v>325</v>
      </c>
      <c r="J29" s="134">
        <v>46091.0</v>
      </c>
      <c r="K29" s="115">
        <v>37.0</v>
      </c>
      <c r="L29" s="116" t="s">
        <v>106</v>
      </c>
      <c r="M29" s="117">
        <f>IFERROR(__xludf.DUMMYFUNCTION("IF(
  K29="""",
  """",
  ROUND(
    IF(
      L29="""",
      K29,
      IF(
        ISERROR(FIND(""-"",L29)),
        K29 - VALUE(REGEXEXTRACT(L29,""(\d+)"")),
        K29 * (1 - VALUE(REGEXEXTRACT(L29,""(\d+)""))/100)
      )
    ),
    2
  )
)
"),35.0)</f>
        <v>35</v>
      </c>
      <c r="N29" s="111" t="s">
        <v>100</v>
      </c>
      <c r="O29" s="118" t="b">
        <v>1</v>
      </c>
      <c r="P29" s="119"/>
      <c r="Q29" s="120" t="s">
        <v>81</v>
      </c>
      <c r="R29" s="121" t="b">
        <v>1</v>
      </c>
      <c r="S29" s="121" t="b">
        <v>0</v>
      </c>
      <c r="T29" s="122" t="b">
        <v>1</v>
      </c>
    </row>
    <row r="30" outlineLevel="1">
      <c r="A30" s="116" t="s">
        <v>101</v>
      </c>
      <c r="B30" s="116" t="s">
        <v>102</v>
      </c>
      <c r="C30" s="129">
        <v>46091.0</v>
      </c>
      <c r="D30" s="111"/>
      <c r="E30" s="111" t="s">
        <v>326</v>
      </c>
      <c r="F30" s="116" t="s">
        <v>327</v>
      </c>
      <c r="G30" s="116">
        <v>3.208721656E9</v>
      </c>
      <c r="H30" s="116" t="s">
        <v>328</v>
      </c>
      <c r="I30" s="116" t="s">
        <v>329</v>
      </c>
      <c r="J30" s="134">
        <v>46091.0</v>
      </c>
      <c r="K30" s="115">
        <v>37.0</v>
      </c>
      <c r="L30" s="116" t="s">
        <v>106</v>
      </c>
      <c r="M30" s="117">
        <f>IFERROR(__xludf.DUMMYFUNCTION("IF(
  K30="""",
  """",
  ROUND(
    IF(
      L30="""",
      K30,
      IF(
        ISERROR(FIND(""-"",L30)),
        K30 - VALUE(REGEXEXTRACT(L30,""(\d+)"")),
        K30 * (1 - VALUE(REGEXEXTRACT(L30,""(\d+)""))/100)
      )
    ),
    2
  )
)
"),35.0)</f>
        <v>35</v>
      </c>
      <c r="N30" s="111" t="s">
        <v>100</v>
      </c>
      <c r="O30" s="118" t="b">
        <v>1</v>
      </c>
      <c r="P30" s="119"/>
      <c r="Q30" s="120" t="s">
        <v>81</v>
      </c>
      <c r="R30" s="121" t="b">
        <v>1</v>
      </c>
      <c r="S30" s="121" t="b">
        <v>0</v>
      </c>
      <c r="T30" s="122" t="b">
        <v>1</v>
      </c>
    </row>
    <row r="31" outlineLevel="1">
      <c r="A31" s="111" t="s">
        <v>73</v>
      </c>
      <c r="B31" s="111" t="s">
        <v>74</v>
      </c>
      <c r="C31" s="112">
        <v>46092.0</v>
      </c>
      <c r="D31" s="111"/>
      <c r="E31" s="111" t="s">
        <v>330</v>
      </c>
      <c r="F31" s="111" t="s">
        <v>7</v>
      </c>
      <c r="G31" s="111">
        <v>3.342155647E9</v>
      </c>
      <c r="H31" s="111" t="s">
        <v>331</v>
      </c>
      <c r="I31" s="111" t="s">
        <v>332</v>
      </c>
      <c r="J31" s="126">
        <v>46092.0</v>
      </c>
      <c r="K31" s="115">
        <v>37.0</v>
      </c>
      <c r="L31" s="116"/>
      <c r="M31" s="117">
        <f>IFERROR(__xludf.DUMMYFUNCTION("IF(
  K31="""",
  """",
  ROUND(
    IF(
      L31="""",
      K31,
      IF(
        ISERROR(FIND(""-"",L31)),
        K31 - VALUE(REGEXEXTRACT(L31,""(\d+)"")),
        K31 * (1 - VALUE(REGEXEXTRACT(L31,""(\d+)""))/100)
      )
    ),
    2
  )
)
"),37.0)</f>
        <v>37</v>
      </c>
      <c r="N31" s="111" t="s">
        <v>80</v>
      </c>
      <c r="O31" s="118" t="b">
        <v>1</v>
      </c>
      <c r="P31" s="119"/>
      <c r="Q31" s="120" t="s">
        <v>81</v>
      </c>
      <c r="R31" s="121" t="b">
        <v>0</v>
      </c>
      <c r="S31" s="121" t="b">
        <v>1</v>
      </c>
      <c r="T31" s="122" t="b">
        <v>1</v>
      </c>
    </row>
    <row r="32" outlineLevel="1">
      <c r="A32" s="116" t="s">
        <v>73</v>
      </c>
      <c r="B32" s="116" t="s">
        <v>74</v>
      </c>
      <c r="C32" s="129">
        <v>46092.0</v>
      </c>
      <c r="D32" s="116"/>
      <c r="E32" s="116" t="s">
        <v>333</v>
      </c>
      <c r="F32" s="116" t="s">
        <v>7</v>
      </c>
      <c r="G32" s="116">
        <v>3.401295574E9</v>
      </c>
      <c r="H32" s="116" t="s">
        <v>334</v>
      </c>
      <c r="I32" s="116" t="s">
        <v>335</v>
      </c>
      <c r="J32" s="134">
        <v>46092.0</v>
      </c>
      <c r="K32" s="115">
        <v>37.0</v>
      </c>
      <c r="L32" s="116"/>
      <c r="M32" s="117">
        <f>IFERROR(__xludf.DUMMYFUNCTION("IF(
  K32="""",
  """",
  ROUND(
    IF(
      L32="""",
      K32,
      IF(
        ISERROR(FIND(""-"",L32)),
        K32 - VALUE(REGEXEXTRACT(L32,""(\d+)"")),
        K32 * (1 - VALUE(REGEXEXTRACT(L32,""(\d+)""))/100)
      )
    ),
    2
  )
)
"),37.0)</f>
        <v>37</v>
      </c>
      <c r="N32" s="111" t="s">
        <v>80</v>
      </c>
      <c r="O32" s="118" t="b">
        <v>1</v>
      </c>
      <c r="P32" s="119"/>
      <c r="Q32" s="120" t="s">
        <v>81</v>
      </c>
      <c r="R32" s="121" t="b">
        <v>0</v>
      </c>
      <c r="S32" s="121" t="b">
        <v>1</v>
      </c>
      <c r="T32" s="122" t="b">
        <v>1</v>
      </c>
    </row>
    <row r="33" outlineLevel="1">
      <c r="A33" s="116" t="s">
        <v>73</v>
      </c>
      <c r="B33" s="116" t="s">
        <v>74</v>
      </c>
      <c r="C33" s="129">
        <v>46093.0</v>
      </c>
      <c r="D33" s="111" t="s">
        <v>336</v>
      </c>
      <c r="E33" s="111" t="s">
        <v>337</v>
      </c>
      <c r="F33" s="116" t="s">
        <v>338</v>
      </c>
      <c r="G33" s="116">
        <v>9.178530786E9</v>
      </c>
      <c r="H33" s="116" t="s">
        <v>339</v>
      </c>
      <c r="I33" s="116" t="s">
        <v>340</v>
      </c>
      <c r="J33" s="134">
        <v>46093.0</v>
      </c>
      <c r="K33" s="115">
        <v>37.0</v>
      </c>
      <c r="L33" s="116"/>
      <c r="M33" s="117">
        <f>IFERROR(__xludf.DUMMYFUNCTION("IF(
  K33="""",
  """",
  ROUND(
    IF(
      L33="""",
      K33,
      IF(
        ISERROR(FIND(""-"",L33)),
        K33 - VALUE(REGEXEXTRACT(L33,""(\d+)"")),
        K33 * (1 - VALUE(REGEXEXTRACT(L33,""(\d+)""))/100)
      )
    ),
    2
  )
)
"),37.0)</f>
        <v>37</v>
      </c>
      <c r="N33" s="111" t="s">
        <v>100</v>
      </c>
      <c r="O33" s="118" t="b">
        <v>1</v>
      </c>
      <c r="P33" s="119"/>
      <c r="Q33" s="120" t="s">
        <v>81</v>
      </c>
      <c r="R33" s="121" t="b">
        <v>1</v>
      </c>
      <c r="S33" s="121" t="b">
        <v>0</v>
      </c>
      <c r="T33" s="122" t="b">
        <v>1</v>
      </c>
    </row>
    <row r="34" outlineLevel="1">
      <c r="A34" s="116" t="s">
        <v>73</v>
      </c>
      <c r="B34" s="116" t="s">
        <v>74</v>
      </c>
      <c r="C34" s="129">
        <v>46095.0</v>
      </c>
      <c r="D34" s="111" t="s">
        <v>341</v>
      </c>
      <c r="E34" s="111" t="s">
        <v>342</v>
      </c>
      <c r="F34" s="116" t="s">
        <v>343</v>
      </c>
      <c r="G34" s="116">
        <v>3.93760494267E11</v>
      </c>
      <c r="H34" s="116" t="s">
        <v>344</v>
      </c>
      <c r="I34" s="116" t="s">
        <v>345</v>
      </c>
      <c r="J34" s="132">
        <v>46095.0</v>
      </c>
      <c r="K34" s="115">
        <v>37.0</v>
      </c>
      <c r="L34" s="116"/>
      <c r="M34" s="117">
        <f>IFERROR(__xludf.DUMMYFUNCTION("IF(
  K34="""",
  """",
  ROUND(
    IF(
      L34="""",
      K34,
      IF(
        ISERROR(FIND(""-"",L34)),
        K34 - VALUE(REGEXEXTRACT(L34,""(\d+)"")),
        K34 * (1 - VALUE(REGEXEXTRACT(L34,""(\d+)""))/100)
      )
    ),
    2
  )
)
"),37.0)</f>
        <v>37</v>
      </c>
      <c r="N34" s="111" t="s">
        <v>100</v>
      </c>
      <c r="O34" s="118" t="b">
        <v>1</v>
      </c>
      <c r="P34" s="119"/>
      <c r="Q34" s="120" t="s">
        <v>81</v>
      </c>
      <c r="R34" s="121" t="b">
        <v>1</v>
      </c>
      <c r="S34" s="121" t="b">
        <v>0</v>
      </c>
      <c r="T34" s="122" t="b">
        <v>1</v>
      </c>
    </row>
    <row r="35" outlineLevel="1">
      <c r="A35" s="116" t="s">
        <v>73</v>
      </c>
      <c r="B35" s="116" t="s">
        <v>74</v>
      </c>
      <c r="C35" s="129">
        <v>46095.0</v>
      </c>
      <c r="D35" s="111"/>
      <c r="E35" s="111" t="s">
        <v>346</v>
      </c>
      <c r="F35" s="116" t="s">
        <v>347</v>
      </c>
      <c r="G35" s="116">
        <v>3.460892521E9</v>
      </c>
      <c r="H35" s="116" t="s">
        <v>348</v>
      </c>
      <c r="I35" s="116" t="s">
        <v>349</v>
      </c>
      <c r="J35" s="132">
        <v>46095.0</v>
      </c>
      <c r="K35" s="115">
        <v>37.0</v>
      </c>
      <c r="L35" s="116" t="s">
        <v>99</v>
      </c>
      <c r="M35" s="117">
        <f>IFERROR(__xludf.DUMMYFUNCTION("IF(
  K35="""",
  """",
  ROUND(
    IF(
      L35="""",
      K35,
      IF(
        ISERROR(FIND(""-"",L35)),
        K35 - VALUE(REGEXEXTRACT(L35,""(\d+)"")),
        K35 * (1 - VALUE(REGEXEXTRACT(L35,""(\d+)""))/100)
      )
    ),
    2
  )
)
"),35.0)</f>
        <v>35</v>
      </c>
      <c r="N35" s="111" t="s">
        <v>80</v>
      </c>
      <c r="O35" s="118" t="b">
        <v>1</v>
      </c>
      <c r="P35" s="119"/>
      <c r="Q35" s="120" t="s">
        <v>81</v>
      </c>
      <c r="R35" s="121" t="b">
        <v>0</v>
      </c>
      <c r="S35" s="121" t="b">
        <v>1</v>
      </c>
      <c r="T35" s="122" t="b">
        <v>1</v>
      </c>
    </row>
    <row r="36" outlineLevel="1">
      <c r="A36" s="116" t="s">
        <v>73</v>
      </c>
      <c r="B36" s="116" t="s">
        <v>74</v>
      </c>
      <c r="C36" s="129">
        <v>46095.0</v>
      </c>
      <c r="D36" s="111"/>
      <c r="E36" s="111" t="s">
        <v>350</v>
      </c>
      <c r="F36" s="116" t="s">
        <v>351</v>
      </c>
      <c r="G36" s="116">
        <v>3.476833177E9</v>
      </c>
      <c r="H36" s="116" t="s">
        <v>352</v>
      </c>
      <c r="I36" s="116" t="s">
        <v>353</v>
      </c>
      <c r="J36" s="132">
        <v>46095.0</v>
      </c>
      <c r="K36" s="115">
        <v>37.0</v>
      </c>
      <c r="L36" s="116" t="s">
        <v>99</v>
      </c>
      <c r="M36" s="117">
        <f>IFERROR(__xludf.DUMMYFUNCTION("IF(
  K36="""",
  """",
  ROUND(
    IF(
      L36="""",
      K36,
      IF(
        ISERROR(FIND(""-"",L36)),
        K36 - VALUE(REGEXEXTRACT(L36,""(\d+)"")),
        K36 * (1 - VALUE(REGEXEXTRACT(L36,""(\d+)""))/100)
      )
    ),
    2
  )
)
"),35.0)</f>
        <v>35</v>
      </c>
      <c r="N36" s="111" t="s">
        <v>80</v>
      </c>
      <c r="O36" s="118" t="b">
        <v>1</v>
      </c>
      <c r="P36" s="119"/>
      <c r="Q36" s="120" t="s">
        <v>81</v>
      </c>
      <c r="R36" s="121" t="b">
        <v>0</v>
      </c>
      <c r="S36" s="121" t="b">
        <v>1</v>
      </c>
      <c r="T36" s="122" t="b">
        <v>1</v>
      </c>
    </row>
    <row r="37"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59"/>
      <c r="R43" s="121" t="b">
        <v>0</v>
      </c>
      <c r="S43" s="121" t="b">
        <v>0</v>
      </c>
      <c r="T43" s="122" t="b">
        <v>0</v>
      </c>
    </row>
    <row r="44" collapsed="1">
      <c r="A44" s="241"/>
      <c r="C44" s="242" t="s">
        <v>354</v>
      </c>
      <c r="N44" s="243" t="s">
        <v>355</v>
      </c>
      <c r="O44" s="244">
        <f>SUMPRODUCT(--$O$45:$O$84)</f>
        <v>0</v>
      </c>
      <c r="P44" s="243"/>
    </row>
    <row r="45" hidden="1" outlineLevel="1">
      <c r="A45" s="116"/>
      <c r="B45" s="116"/>
      <c r="C45" s="129"/>
      <c r="D45" s="111"/>
      <c r="E45" s="111"/>
      <c r="F45" s="116"/>
      <c r="G45" s="116"/>
      <c r="H45" s="143"/>
      <c r="I45" s="116"/>
      <c r="J45" s="134"/>
      <c r="K45" s="115"/>
      <c r="L45" s="131"/>
      <c r="M45" s="117" t="str">
        <f>IFERROR(__xludf.DUMMYFUNCTION("IF(
  K45="""",
  """",
  ROUND(
    IF(
      L45="""",
      K45,
      IF(
        ISERROR(FIND(""-"",L45)),
        K45 - VALUE(REGEXEXTRACT(L45,""(\d+)"")),
        K45 * (1 - VALUE(REGEXEXTRACT(L45,""(\d+)""))/100)
      )
    ),
    2
  )
)
")," ")</f>
        <v/>
      </c>
      <c r="N45" s="131"/>
      <c r="O45" s="118" t="b">
        <v>0</v>
      </c>
      <c r="P45" s="119"/>
      <c r="Q45" s="238"/>
      <c r="R45" s="121" t="b">
        <v>0</v>
      </c>
      <c r="S45" s="121" t="b">
        <v>0</v>
      </c>
      <c r="T45" s="122" t="b">
        <v>0</v>
      </c>
    </row>
    <row r="46" hidden="1" outlineLevel="1">
      <c r="A46" s="116"/>
      <c r="B46" s="116"/>
      <c r="C46" s="129"/>
      <c r="D46" s="111"/>
      <c r="E46" s="111"/>
      <c r="F46" s="116"/>
      <c r="G46" s="116"/>
      <c r="H46" s="116"/>
      <c r="I46" s="116"/>
      <c r="J46" s="134"/>
      <c r="K46" s="115"/>
      <c r="L46" s="116"/>
      <c r="M46" s="117" t="str">
        <f>IFERROR(__xludf.DUMMYFUNCTION("IF(
  K46="""",
  """",
  ROUND(
    IF(
      L46="""",
      K46,
      IF(
        ISERROR(FIND(""-"",L46)),
        K46 - VALUE(REGEXEXTRACT(L46,""(\d+)"")),
        K46 * (1 - VALUE(REGEXEXTRACT(L46,""(\d+)""))/100)
      )
    ),
    2
  )
)
")," ")</f>
        <v/>
      </c>
      <c r="N46" s="111"/>
      <c r="O46" s="118" t="b">
        <v>0</v>
      </c>
      <c r="P46" s="119"/>
      <c r="Q46" s="120"/>
      <c r="R46" s="121" t="b">
        <v>0</v>
      </c>
      <c r="S46" s="121" t="b">
        <v>0</v>
      </c>
      <c r="T46" s="122" t="b">
        <v>0</v>
      </c>
    </row>
    <row r="47" hidden="1" outlineLevel="1">
      <c r="A47" s="116"/>
      <c r="B47" s="116"/>
      <c r="C47" s="129"/>
      <c r="D47" s="111"/>
      <c r="E47" s="111"/>
      <c r="F47" s="116"/>
      <c r="G47" s="116"/>
      <c r="H47" s="144"/>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hidden="1"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hidden="1"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hidden="1" outlineLevel="1">
      <c r="A50" s="116"/>
      <c r="B50" s="116"/>
      <c r="C50" s="129"/>
      <c r="D50" s="111"/>
      <c r="E50" s="111"/>
      <c r="F50" s="116"/>
      <c r="G50" s="116"/>
      <c r="H50" s="116"/>
      <c r="I50" s="116"/>
      <c r="J50" s="132"/>
      <c r="K50" s="115"/>
      <c r="L50" s="116"/>
      <c r="M50" s="117" t="str">
        <f>IFERROR(__xludf.DUMMYFUNCTION("IF(
  K50="""",
  """",
  ROUND(
    IF(
      L50="""",
      K50,
      IF(
        ISERROR(FIND(""-"",L50)),
        K50 - VALUE(REGEXEXTRACT(L50,""(\d+)"")),
        K50 * (1 - VALUE(REGEXEXTRACT(L50,""(\d+)""))/100)
      )
    ),
    2
  )
)
")," ")</f>
        <v/>
      </c>
      <c r="N50" s="116"/>
      <c r="O50" s="118" t="b">
        <v>0</v>
      </c>
      <c r="P50" s="119"/>
      <c r="Q50" s="120"/>
      <c r="R50" s="121" t="b">
        <v>0</v>
      </c>
      <c r="S50" s="121" t="b">
        <v>0</v>
      </c>
      <c r="T50" s="122" t="b">
        <v>0</v>
      </c>
    </row>
    <row r="51" hidden="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hidden="1"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hidden="1" outlineLevel="1">
      <c r="A53" s="116"/>
      <c r="B53" s="116"/>
      <c r="C53" s="145"/>
      <c r="D53" s="111"/>
      <c r="E53" s="111"/>
      <c r="F53" s="116"/>
      <c r="G53" s="116"/>
      <c r="H53" s="116"/>
      <c r="I53" s="116"/>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hidden="1" outlineLevel="1">
      <c r="A54" s="116"/>
      <c r="B54" s="116"/>
      <c r="C54" s="146"/>
      <c r="D54" s="111"/>
      <c r="E54" s="111"/>
      <c r="F54" s="111"/>
      <c r="G54" s="111"/>
      <c r="H54" s="111"/>
      <c r="I54" s="111"/>
      <c r="J54" s="126"/>
      <c r="K54" s="115"/>
      <c r="L54" s="116"/>
      <c r="M54" s="117" t="str">
        <f>IFERROR(__xludf.DUMMYFUNCTION("IF(
  K54="""",
  """",
  ROUND(
    IF(
      L54="""",
      K54,
      IF(
        ISERROR(FIND(""-"",L54)),
        K54 - VALUE(REGEXEXTRACT(L54,""(\d+)"")),
        K54 * (1 - VALUE(REGEXEXTRACT(L54,""(\d+)""))/100)
      )
    ),
    2
  )
)
")," ")</f>
        <v/>
      </c>
      <c r="N54" s="111"/>
      <c r="O54" s="118" t="b">
        <v>0</v>
      </c>
      <c r="P54" s="119"/>
      <c r="Q54" s="120"/>
      <c r="R54" s="121" t="b">
        <v>0</v>
      </c>
      <c r="S54" s="121" t="b">
        <v>0</v>
      </c>
      <c r="T54" s="122" t="b">
        <v>0</v>
      </c>
    </row>
    <row r="55" hidden="1" outlineLevel="1">
      <c r="A55" s="131"/>
      <c r="B55" s="131"/>
      <c r="C55" s="147"/>
      <c r="D55" s="111"/>
      <c r="E55" s="111"/>
      <c r="F55" s="131"/>
      <c r="G55" s="131"/>
      <c r="H55" s="131"/>
      <c r="I55" s="131"/>
      <c r="J55" s="148"/>
      <c r="K55" s="115"/>
      <c r="L55" s="131"/>
      <c r="M55" s="117" t="str">
        <f>IFERROR(__xludf.DUMMYFUNCTION("IF(
  K55="""",
  """",
  ROUND(
    IF(
      L55="""",
      K55,
      IF(
        ISERROR(FIND(""-"",L55)),
        K55 - VALUE(REGEXEXTRACT(L55,""(\d+)"")),
        K55 * (1 - VALUE(REGEXEXTRACT(L55,""(\d+)""))/100)
      )
    ),
    2
  )
)
")," ")</f>
        <v/>
      </c>
      <c r="N55" s="131"/>
      <c r="O55" s="118" t="b">
        <v>0</v>
      </c>
      <c r="P55" s="119"/>
      <c r="Q55" s="149"/>
      <c r="R55" s="121" t="b">
        <v>0</v>
      </c>
      <c r="S55" s="121" t="b">
        <v>0</v>
      </c>
      <c r="T55" s="122" t="b">
        <v>0</v>
      </c>
    </row>
    <row r="56" hidden="1" outlineLevel="1">
      <c r="A56" s="116"/>
      <c r="B56" s="116"/>
      <c r="C56" s="146"/>
      <c r="D56" s="111"/>
      <c r="E56" s="111"/>
      <c r="F56" s="116"/>
      <c r="G56" s="116"/>
      <c r="H56" s="116"/>
      <c r="I56" s="116"/>
      <c r="J56" s="126"/>
      <c r="K56" s="115"/>
      <c r="L56" s="116"/>
      <c r="M56" s="117"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hidden="1" outlineLevel="1">
      <c r="A57" s="116"/>
      <c r="B57" s="116"/>
      <c r="C57" s="145"/>
      <c r="D57" s="111"/>
      <c r="E57" s="111"/>
      <c r="F57" s="116"/>
      <c r="G57" s="116"/>
      <c r="H57" s="116"/>
      <c r="I57" s="116"/>
      <c r="J57" s="126"/>
      <c r="K57" s="115"/>
      <c r="L57" s="116"/>
      <c r="M57" s="150" t="str">
        <f>IFERROR(__xludf.DUMMYFUNCTION("IF(
  K57="""",
  """",
  ROUND(
    IF(
      L57="""",
      K57,
      IF(
        ISERROR(FIND(""-"",L57)),
        K57 - VALUE(REGEXEXTRACT(L57,""(\d+)"")),
        K57 * (1 - VALUE(REGEXEXTRACT(L57,""(\d+)""))/100)
      )
    ),
    2
  )
)
")," ")</f>
        <v/>
      </c>
      <c r="N57" s="111"/>
      <c r="O57" s="118" t="b">
        <v>0</v>
      </c>
      <c r="P57" s="119"/>
      <c r="Q57" s="120"/>
      <c r="R57" s="121" t="b">
        <v>0</v>
      </c>
      <c r="S57" s="121" t="b">
        <v>0</v>
      </c>
      <c r="T57" s="122" t="b">
        <v>0</v>
      </c>
    </row>
    <row r="58" hidden="1" outlineLevel="1">
      <c r="A58" s="116"/>
      <c r="B58" s="116"/>
      <c r="C58" s="145"/>
      <c r="D58" s="111"/>
      <c r="E58" s="111"/>
      <c r="F58" s="116"/>
      <c r="G58" s="116"/>
      <c r="H58" s="151"/>
      <c r="I58" s="116"/>
      <c r="J58" s="126"/>
      <c r="K58" s="115"/>
      <c r="L58" s="116"/>
      <c r="M58" s="150" t="str">
        <f>IFERROR(__xludf.DUMMYFUNCTION("IF(
  K58="""",
  """",
  ROUND(
    IF(
      L58="""",
      K58,
      IF(
        ISERROR(FIND(""-"",L58)),
        K58 - VALUE(REGEXEXTRACT(L58,""(\d+)"")),
        K58 * (1 - VALUE(REGEXEXTRACT(L58,""(\d+)""))/100)
      )
    ),
    2
  )
)
")," ")</f>
        <v/>
      </c>
      <c r="N58" s="116"/>
      <c r="O58" s="118" t="b">
        <v>0</v>
      </c>
      <c r="P58" s="119"/>
      <c r="Q58" s="120"/>
      <c r="R58" s="121" t="b">
        <v>0</v>
      </c>
      <c r="S58" s="121" t="b">
        <v>0</v>
      </c>
      <c r="T58" s="122" t="b">
        <v>0</v>
      </c>
    </row>
    <row r="59" hidden="1"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hidden="1"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hidden="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hidden="1" outlineLevel="1">
      <c r="A62" s="131"/>
      <c r="B62" s="131"/>
      <c r="C62" s="130"/>
      <c r="D62" s="111"/>
      <c r="E62" s="111"/>
      <c r="F62" s="131"/>
      <c r="G62" s="131"/>
      <c r="H62" s="152"/>
      <c r="I62" s="131"/>
      <c r="J62" s="153"/>
      <c r="K62" s="115"/>
      <c r="L62" s="116"/>
      <c r="M62" s="150" t="str">
        <f>IFERROR(__xludf.DUMMYFUNCTION("IF(
  K62="""",
  """",
  ROUND(
    IF(
      L62="""",
      K62,
      IF(
        ISERROR(FIND(""-"",L62)),
        K62 - VALUE(REGEXEXTRACT(L62,""(\d+)"")),
        K62 * (1 - VALUE(REGEXEXTRACT(L62,""(\d+)""))/100)
      )
    ),
    2
  )
)
")," ")</f>
        <v/>
      </c>
      <c r="N62" s="131"/>
      <c r="O62" s="118" t="b">
        <v>0</v>
      </c>
      <c r="P62" s="119"/>
      <c r="Q62" s="120"/>
      <c r="R62" s="121" t="b">
        <v>0</v>
      </c>
      <c r="S62" s="121" t="b">
        <v>0</v>
      </c>
      <c r="T62" s="122" t="b">
        <v>0</v>
      </c>
    </row>
    <row r="63" hidden="1"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hidden="1"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hidden="1" outlineLevel="1">
      <c r="A65" s="116"/>
      <c r="B65" s="116"/>
      <c r="C65" s="129"/>
      <c r="D65" s="111"/>
      <c r="E65" s="111"/>
      <c r="F65" s="116"/>
      <c r="G65" s="116"/>
      <c r="H65" s="151"/>
      <c r="I65" s="116"/>
      <c r="J65" s="134"/>
      <c r="K65" s="115"/>
      <c r="L65" s="116"/>
      <c r="M65" s="150" t="str">
        <f>IFERROR(__xludf.DUMMYFUNCTION("IF(
  K65="""",
  """",
  ROUND(
    IF(
      L65="""",
      K65,
      IF(
        ISERROR(FIND(""-"",L65)),
        K65 - VALUE(REGEXEXTRACT(L65,""(\d+)"")),
        K65 * (1 - VALUE(REGEXEXTRACT(L65,""(\d+)""))/100)
      )
    ),
    2
  )
)
")," ")</f>
        <v/>
      </c>
      <c r="N65" s="116"/>
      <c r="O65" s="118" t="b">
        <v>0</v>
      </c>
      <c r="P65" s="119"/>
      <c r="Q65" s="120"/>
      <c r="R65" s="121" t="b">
        <v>0</v>
      </c>
      <c r="S65" s="121" t="b">
        <v>0</v>
      </c>
      <c r="T65" s="122" t="b">
        <v>0</v>
      </c>
    </row>
    <row r="66" hidden="1"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hidden="1"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hidden="1"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hidden="1"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hidden="1"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hidden="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hidden="1"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hidden="1"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hidden="1"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hidden="1"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hidden="1"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hidden="1"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hidden="1"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hidden="1" outlineLevel="1">
      <c r="A79" s="111"/>
      <c r="B79" s="116"/>
      <c r="C79" s="112"/>
      <c r="D79" s="111"/>
      <c r="E79" s="111"/>
      <c r="F79" s="111"/>
      <c r="G79" s="111"/>
      <c r="H79" s="144"/>
      <c r="I79" s="111"/>
      <c r="J79" s="114"/>
      <c r="K79" s="115"/>
      <c r="L79" s="116"/>
      <c r="M79" s="117" t="str">
        <f>IFERROR(__xludf.DUMMYFUNCTION("IF(
  K79="""",
  """",
  ROUND(
    IF(
      L79="""",
      K79,
      IF(
        ISERROR(FIND(""-"",L79)),
        K79 - VALUE(REGEXEXTRACT(L79,""(\d+)"")),
        K79 * (1 - VALUE(REGEXEXTRACT(L79,""(\d+)""))/100)
      )
    ),
    2
  )
)
")," ")</f>
        <v/>
      </c>
      <c r="N79" s="111"/>
      <c r="O79" s="154" t="b">
        <v>0</v>
      </c>
      <c r="P79" s="119"/>
      <c r="Q79" s="120"/>
      <c r="R79" s="121" t="b">
        <v>0</v>
      </c>
      <c r="S79" s="121" t="b">
        <v>0</v>
      </c>
      <c r="T79" s="122" t="b">
        <v>0</v>
      </c>
    </row>
    <row r="80" hidden="1" outlineLevel="1">
      <c r="A80" s="116"/>
      <c r="B80" s="116"/>
      <c r="C80" s="129"/>
      <c r="D80" s="111"/>
      <c r="E80" s="111"/>
      <c r="F80" s="116"/>
      <c r="G80" s="116"/>
      <c r="H80" s="151"/>
      <c r="I80" s="116"/>
      <c r="J80" s="132"/>
      <c r="K80" s="115"/>
      <c r="L80" s="116"/>
      <c r="M80" s="150"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hidden="1" outlineLevel="1">
      <c r="A81" s="116"/>
      <c r="B81" s="116"/>
      <c r="C81" s="129"/>
      <c r="D81" s="111"/>
      <c r="E81" s="111"/>
      <c r="F81" s="116"/>
      <c r="G81" s="116"/>
      <c r="H81" s="151"/>
      <c r="I81" s="116"/>
      <c r="J81" s="132"/>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hidden="1"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hidden="1" outlineLevel="1">
      <c r="A83" s="116"/>
      <c r="B83" s="116"/>
      <c r="C83" s="129"/>
      <c r="D83" s="111"/>
      <c r="E83" s="111"/>
      <c r="F83" s="116"/>
      <c r="G83" s="116"/>
      <c r="H83" s="151"/>
      <c r="I83" s="116"/>
      <c r="J83" s="129"/>
      <c r="K83" s="115"/>
      <c r="L83" s="116"/>
      <c r="M83" s="117" t="str">
        <f>IFERROR(__xludf.DUMMYFUNCTION("IF(
  K83="""",
  """",
  ROUND(
    IF(
      L83="""",
      K83,
      IF(
        ISERROR(FIND(""-"",L83)),
        K83 - VALUE(REGEXEXTRACT(L83,""(\d+)"")),
        K83 * (1 - VALUE(REGEXEXTRACT(L83,""(\d+)""))/100)
      )
    ),
    2
  )
)
")," ")</f>
        <v/>
      </c>
      <c r="N83" s="116"/>
      <c r="O83" s="118" t="b">
        <v>0</v>
      </c>
      <c r="P83" s="119"/>
      <c r="Q83" s="120"/>
      <c r="R83" s="121" t="b">
        <v>0</v>
      </c>
      <c r="S83" s="121" t="b">
        <v>0</v>
      </c>
      <c r="T83" s="122" t="b">
        <v>0</v>
      </c>
    </row>
    <row r="84" hidden="1" outlineLevel="1">
      <c r="A84" s="116"/>
      <c r="B84" s="116"/>
      <c r="C84" s="155"/>
      <c r="D84" s="111"/>
      <c r="E84" s="111"/>
      <c r="F84" s="156"/>
      <c r="G84" s="157"/>
      <c r="H84" s="156"/>
      <c r="I84" s="156"/>
      <c r="J84" s="158"/>
      <c r="K84" s="115"/>
      <c r="L84" s="116"/>
      <c r="M84" s="117" t="str">
        <f>IFERROR(__xludf.DUMMYFUNCTION("IF(
  K84="""",
  """",
  ROUND(
    IF(
      L84="""",
      K84,
      IF(
        ISERROR(FIND(""-"",L84)),
        K84 - VALUE(REGEXEXTRACT(L84,""(\d+)"")),
        K84 * (1 - VALUE(REGEXEXTRACT(L84,""(\d+)""))/100)
      )
    ),
    2
  )
)
")," ")</f>
        <v/>
      </c>
      <c r="N84" s="116"/>
      <c r="O84" s="118" t="b">
        <v>0</v>
      </c>
      <c r="P84" s="119"/>
      <c r="Q84" s="159"/>
      <c r="R84" s="121" t="b">
        <v>0</v>
      </c>
      <c r="S84" s="121" t="b">
        <v>0</v>
      </c>
      <c r="T84" s="122" t="b">
        <v>0</v>
      </c>
    </row>
    <row r="85">
      <c r="A85" s="160" t="s">
        <v>116</v>
      </c>
      <c r="B85" s="161">
        <f>COUNTIF(B4:B84,"ONLINE")+COUNTIF(B4:B84,"SEDE*")</f>
        <v>33</v>
      </c>
      <c r="C85" s="160" t="s">
        <v>116</v>
      </c>
      <c r="D85" s="161">
        <f t="shared" ref="D85:F85" si="1">COUNTIF(D4:D84, "*")</f>
        <v>17</v>
      </c>
      <c r="E85" s="161">
        <f t="shared" si="1"/>
        <v>33</v>
      </c>
      <c r="F85" s="161">
        <f t="shared" si="1"/>
        <v>33</v>
      </c>
      <c r="G85" s="162">
        <f>COUNTA(G4:G84)</f>
        <v>33</v>
      </c>
      <c r="H85" s="161">
        <f t="shared" ref="H85:I85" si="2">COUNTIF(H4:H84, "*")</f>
        <v>33</v>
      </c>
      <c r="I85" s="161">
        <f t="shared" si="2"/>
        <v>33</v>
      </c>
      <c r="J85" s="160" t="s">
        <v>116</v>
      </c>
      <c r="K85" s="163">
        <f>SUM(K4:K84)</f>
        <v>1156</v>
      </c>
      <c r="L85" s="161">
        <f>COUNTIF(L4:L84, "*")</f>
        <v>14</v>
      </c>
      <c r="M85" s="163">
        <f>SUM(M4:M84)</f>
        <v>1125</v>
      </c>
      <c r="N85" s="161">
        <f>COUNTIF(N4:N43, "*")+COUNTIF(N45:N84, "*")</f>
        <v>33</v>
      </c>
      <c r="O85" s="161">
        <f>SUMPRODUCT(--O4:O84)</f>
        <v>32</v>
      </c>
      <c r="P85" s="161">
        <f t="shared" ref="P85:Q85" si="3">COUNTIF(P4:P84, "*")</f>
        <v>2</v>
      </c>
      <c r="Q85" s="161">
        <f t="shared" si="3"/>
        <v>33</v>
      </c>
      <c r="R85" s="161">
        <f t="shared" ref="R85:T85" si="4">SUMPRODUCT(--R4:R84)</f>
        <v>23</v>
      </c>
      <c r="S85" s="161">
        <f t="shared" si="4"/>
        <v>10</v>
      </c>
      <c r="T85" s="161">
        <f t="shared" si="4"/>
        <v>33</v>
      </c>
    </row>
    <row r="86">
      <c r="A86" s="164" t="s">
        <v>117</v>
      </c>
      <c r="B86" s="165">
        <f>COUNTIF(B4:B84, "SEDE*")</f>
        <v>6</v>
      </c>
      <c r="C86" s="142"/>
      <c r="D86" s="166" t="s">
        <v>118</v>
      </c>
      <c r="E86" s="167" t="s">
        <v>119</v>
      </c>
      <c r="F86" s="168">
        <f>IFERROR(__xludf.DUMMYFUNCTION("IFERROR(TRANSPOSE(SORT(UNIQUE(FILTER($M$4:$M$84,$M$4:$M$84&lt;&gt;"""")))),"""")"),30.0)</f>
        <v>30</v>
      </c>
      <c r="G86" s="168">
        <f>IFERROR(__xludf.DUMMYFUNCTION("""COMPUTED_VALUE"""),32.0)</f>
        <v>32</v>
      </c>
      <c r="H86" s="168">
        <f>IFERROR(__xludf.DUMMYFUNCTION("""COMPUTED_VALUE"""),35.0)</f>
        <v>35</v>
      </c>
      <c r="I86" s="168">
        <f>IFERROR(__xludf.DUMMYFUNCTION("""COMPUTED_VALUE"""),37.0)</f>
        <v>37</v>
      </c>
      <c r="J86" s="168"/>
      <c r="K86" s="169"/>
      <c r="L86" s="169"/>
      <c r="M86" s="169"/>
      <c r="N86" s="169"/>
      <c r="O86" s="168"/>
      <c r="P86" s="170" t="s">
        <v>40</v>
      </c>
      <c r="Q86" s="171">
        <f>IF(SUM(F88:O88)=0,"",SUM(F88:O88))
</f>
        <v>202</v>
      </c>
      <c r="R86" s="164" t="s">
        <v>120</v>
      </c>
      <c r="S86" s="165" t="str">
        <f>IF(SUM(M85) = SUM(Q86:Q90), "OK", "ERRORE")</f>
        <v>OK</v>
      </c>
    </row>
    <row r="87">
      <c r="A87" s="164" t="s">
        <v>74</v>
      </c>
      <c r="B87" s="165">
        <f>COUNTIF(B4:B84, "ONLINE")</f>
        <v>27</v>
      </c>
      <c r="E87" s="172" t="s">
        <v>121</v>
      </c>
      <c r="F87" s="172">
        <f t="shared" ref="F87:O87" si="5">IF(
  F$86="",
  "",
  COUNTIFS($B$4:$B$84,"*SEDE*",$M$4:$M$84,F$86)
)
</f>
        <v>2</v>
      </c>
      <c r="G87" s="172">
        <f t="shared" si="5"/>
        <v>0</v>
      </c>
      <c r="H87" s="172">
        <f t="shared" si="5"/>
        <v>3</v>
      </c>
      <c r="I87" s="172">
        <f t="shared" si="5"/>
        <v>1</v>
      </c>
      <c r="J87" s="172" t="str">
        <f t="shared" si="5"/>
        <v/>
      </c>
      <c r="K87" s="172" t="str">
        <f t="shared" si="5"/>
        <v/>
      </c>
      <c r="L87" s="172" t="str">
        <f t="shared" si="5"/>
        <v/>
      </c>
      <c r="M87" s="172" t="str">
        <f t="shared" si="5"/>
        <v/>
      </c>
      <c r="N87" s="172" t="str">
        <f t="shared" si="5"/>
        <v/>
      </c>
      <c r="O87" s="172" t="str">
        <f t="shared" si="5"/>
        <v/>
      </c>
    </row>
    <row r="88">
      <c r="A88" s="245" t="s">
        <v>356</v>
      </c>
      <c r="B88" s="246">
        <f>COUNTIF($E4:$E43, "*")</f>
        <v>33</v>
      </c>
      <c r="E88" s="173" t="s">
        <v>122</v>
      </c>
      <c r="F88" s="174">
        <f t="shared" ref="F88:O88" si="6">IF(
  F$86="",
  "",
  SUMIFS($M$4:$M$84,$B$4:$B$84,"*SEDE*",$M$4:$M$84,F$86)
)
</f>
        <v>60</v>
      </c>
      <c r="G88" s="174">
        <f t="shared" si="6"/>
        <v>0</v>
      </c>
      <c r="H88" s="174">
        <f t="shared" si="6"/>
        <v>105</v>
      </c>
      <c r="I88" s="174">
        <f t="shared" si="6"/>
        <v>37</v>
      </c>
      <c r="J88" s="174" t="str">
        <f t="shared" si="6"/>
        <v/>
      </c>
      <c r="K88" s="174" t="str">
        <f t="shared" si="6"/>
        <v/>
      </c>
      <c r="L88" s="174" t="str">
        <f t="shared" si="6"/>
        <v/>
      </c>
      <c r="M88" s="174" t="str">
        <f t="shared" si="6"/>
        <v/>
      </c>
      <c r="N88" s="174" t="str">
        <f t="shared" si="6"/>
        <v/>
      </c>
      <c r="O88" s="174" t="str">
        <f t="shared" si="6"/>
        <v/>
      </c>
    </row>
    <row r="89">
      <c r="A89" s="245" t="s">
        <v>357</v>
      </c>
      <c r="B89" s="246">
        <f>COUNTIF(E45:E84, "*")</f>
        <v>0</v>
      </c>
      <c r="E89" s="172" t="s">
        <v>123</v>
      </c>
      <c r="F89" s="175">
        <f t="shared" ref="F89:O89" si="7">IF(
  F$86="",
  "",
  COUNTIFS($B$4:$B$84,"*ONLINE*",$M$4:$M$84,F$86)
)
</f>
        <v>4</v>
      </c>
      <c r="G89" s="175">
        <f t="shared" si="7"/>
        <v>8</v>
      </c>
      <c r="H89" s="175">
        <f t="shared" si="7"/>
        <v>4</v>
      </c>
      <c r="I89" s="175">
        <f t="shared" si="7"/>
        <v>11</v>
      </c>
      <c r="J89" s="175" t="str">
        <f t="shared" si="7"/>
        <v/>
      </c>
      <c r="K89" s="175" t="str">
        <f t="shared" si="7"/>
        <v/>
      </c>
      <c r="L89" s="175" t="str">
        <f t="shared" si="7"/>
        <v/>
      </c>
      <c r="M89" s="175" t="str">
        <f t="shared" si="7"/>
        <v/>
      </c>
      <c r="N89" s="175" t="str">
        <f t="shared" si="7"/>
        <v/>
      </c>
      <c r="O89" s="175" t="str">
        <f t="shared" si="7"/>
        <v/>
      </c>
      <c r="P89" s="170" t="s">
        <v>40</v>
      </c>
      <c r="Q89" s="171">
        <f>IF(SUM(F90:O90)=0,"",SUM(F90:O90))
</f>
        <v>923</v>
      </c>
    </row>
    <row r="90">
      <c r="E90" s="173" t="s">
        <v>124</v>
      </c>
      <c r="F90" s="174">
        <f t="shared" ref="F90:O90" si="8">IF(
  F$86="",
  "",
  SUMIFS($M$4:$M$84,$B$4:$B$84,"*ONLINE*",$M$4:$M$84,F$86)
)
</f>
        <v>120</v>
      </c>
      <c r="G90" s="174">
        <f t="shared" si="8"/>
        <v>256</v>
      </c>
      <c r="H90" s="174">
        <f t="shared" si="8"/>
        <v>140</v>
      </c>
      <c r="I90" s="174">
        <f t="shared" si="8"/>
        <v>407</v>
      </c>
      <c r="J90" s="174" t="str">
        <f t="shared" si="8"/>
        <v/>
      </c>
      <c r="K90" s="174" t="str">
        <f t="shared" si="8"/>
        <v/>
      </c>
      <c r="L90" s="174" t="str">
        <f t="shared" si="8"/>
        <v/>
      </c>
      <c r="M90" s="174" t="str">
        <f t="shared" si="8"/>
        <v/>
      </c>
      <c r="N90" s="174" t="str">
        <f t="shared" si="8"/>
        <v/>
      </c>
      <c r="O90" s="174" t="str">
        <f t="shared" si="8"/>
        <v/>
      </c>
    </row>
    <row r="91" collapsed="1">
      <c r="A91" s="234"/>
      <c r="B91" s="234"/>
      <c r="C91" s="235" t="s">
        <v>354</v>
      </c>
      <c r="N91" s="236" t="s">
        <v>214</v>
      </c>
      <c r="O91" s="237">
        <f>SUMPRODUCT(--$O$92:$O$130)</f>
        <v>0</v>
      </c>
      <c r="P91" s="235"/>
      <c r="Q91" s="235"/>
      <c r="R91" s="235"/>
      <c r="S91" s="235"/>
      <c r="T91" s="235"/>
    </row>
    <row r="92" hidden="1" outlineLevel="1">
      <c r="A92" s="111"/>
      <c r="B92" s="111"/>
      <c r="C92" s="112"/>
      <c r="D92" s="111"/>
      <c r="E92" s="111"/>
      <c r="F92" s="111"/>
      <c r="G92" s="111"/>
      <c r="H92" s="111"/>
      <c r="I92" s="111"/>
      <c r="J92" s="126"/>
      <c r="K92" s="115"/>
      <c r="L92" s="116"/>
      <c r="M92" s="117" t="str">
        <f>IFERROR(__xludf.DUMMYFUNCTION("IF(
  K92="""",
  """",
  ROUND(
    IF(
      L92="""",
      K92,
      IF(
        ISERROR(FIND(""-"",L92)),
        K92 - VALUE(REGEXEXTRACT(L92,""(\d+)"")),
        K92 * (1 - VALUE(REGEXEXTRACT(L92,""(\d+)""))/100)
      )
    ),
    2
  )
)
")," ")</f>
        <v/>
      </c>
      <c r="N92" s="111"/>
      <c r="O92" s="118" t="b">
        <v>0</v>
      </c>
      <c r="P92" s="119"/>
      <c r="Q92" s="120"/>
      <c r="R92" s="121" t="b">
        <v>0</v>
      </c>
      <c r="S92" s="121" t="b">
        <v>0</v>
      </c>
      <c r="T92" s="122" t="b">
        <v>0</v>
      </c>
    </row>
    <row r="93" hidden="1" outlineLevel="1">
      <c r="A93" s="111"/>
      <c r="B93" s="111"/>
      <c r="C93" s="112"/>
      <c r="D93" s="111"/>
      <c r="E93" s="111"/>
      <c r="F93" s="111"/>
      <c r="G93" s="111"/>
      <c r="H93" s="111"/>
      <c r="I93" s="111"/>
      <c r="J93" s="126"/>
      <c r="K93" s="115"/>
      <c r="L93" s="116"/>
      <c r="M93" s="117" t="str">
        <f>IFERROR(__xludf.DUMMYFUNCTION("IF(
  K93="""",
  """",
  ROUND(
    IF(
      L93="""",
      K93,
      IF(
        ISERROR(FIND(""-"",L93)),
        K93 - VALUE(REGEXEXTRACT(L93,""(\d+)"")),
        K93 * (1 - VALUE(REGEXEXTRACT(L93,""(\d+)""))/100)
      )
    ),
    2
  )
)
")," ")</f>
        <v/>
      </c>
      <c r="N93" s="111"/>
      <c r="O93" s="118" t="b">
        <v>0</v>
      </c>
      <c r="P93" s="119"/>
      <c r="Q93" s="120"/>
      <c r="R93" s="121" t="b">
        <v>0</v>
      </c>
      <c r="S93" s="121" t="b">
        <v>0</v>
      </c>
      <c r="T93" s="122" t="b">
        <v>0</v>
      </c>
    </row>
    <row r="94" hidden="1" outlineLevel="1">
      <c r="A94" s="111"/>
      <c r="B94" s="111"/>
      <c r="C94" s="112"/>
      <c r="D94" s="111"/>
      <c r="E94" s="111"/>
      <c r="F94" s="111"/>
      <c r="G94" s="111"/>
      <c r="H94" s="111"/>
      <c r="I94" s="111"/>
      <c r="J94" s="239"/>
      <c r="K94" s="115"/>
      <c r="L94" s="116"/>
      <c r="M94" s="117" t="str">
        <f>IFERROR(__xludf.DUMMYFUNCTION("IF(
  K94="""",
  """",
  ROUND(
    IF(
      L94="""",
      K94,
      IF(
        ISERROR(FIND(""-"",L94)),
        K94 - VALUE(REGEXEXTRACT(L94,""(\d+)"")),
        K94 * (1 - VALUE(REGEXEXTRACT(L94,""(\d+)""))/100)
      )
    ),
    2
  )
)
")," ")</f>
        <v/>
      </c>
      <c r="N94" s="111"/>
      <c r="O94" s="118" t="b">
        <v>0</v>
      </c>
      <c r="P94" s="119"/>
      <c r="Q94" s="120"/>
      <c r="R94" s="121" t="b">
        <v>0</v>
      </c>
      <c r="S94" s="121" t="b">
        <v>0</v>
      </c>
      <c r="T94" s="122" t="b">
        <v>0</v>
      </c>
    </row>
    <row r="95" hidden="1" outlineLevel="1">
      <c r="A95" s="111"/>
      <c r="B95" s="111"/>
      <c r="C95" s="112"/>
      <c r="D95" s="111"/>
      <c r="E95" s="111"/>
      <c r="F95" s="111"/>
      <c r="G95" s="111"/>
      <c r="H95" s="111"/>
      <c r="I95" s="111"/>
      <c r="J95" s="126"/>
      <c r="K95" s="115"/>
      <c r="L95" s="116"/>
      <c r="M95" s="117" t="str">
        <f>IFERROR(__xludf.DUMMYFUNCTION("IF(
  K95="""",
  """",
  ROUND(
    IF(
      L95="""",
      K95,
      IF(
        ISERROR(FIND(""-"",L95)),
        K95 - VALUE(REGEXEXTRACT(L95,""(\d+)"")),
        K95 * (1 - VALUE(REGEXEXTRACT(L95,""(\d+)""))/100)
      )
    ),
    2
  )
)
")," ")</f>
        <v/>
      </c>
      <c r="N95" s="111"/>
      <c r="O95" s="118" t="b">
        <v>0</v>
      </c>
      <c r="P95" s="119"/>
      <c r="Q95" s="120"/>
      <c r="R95" s="121" t="b">
        <v>0</v>
      </c>
      <c r="S95" s="121" t="b">
        <v>0</v>
      </c>
      <c r="T95" s="122" t="b">
        <v>0</v>
      </c>
    </row>
    <row r="96" hidden="1" outlineLevel="1">
      <c r="A96" s="111"/>
      <c r="B96" s="111"/>
      <c r="C96" s="112"/>
      <c r="D96" s="111"/>
      <c r="E96" s="111"/>
      <c r="F96" s="111"/>
      <c r="G96" s="111"/>
      <c r="H96" s="111"/>
      <c r="I96" s="111"/>
      <c r="J96" s="126"/>
      <c r="K96" s="115"/>
      <c r="L96" s="131"/>
      <c r="M96" s="117" t="str">
        <f>IFERROR(__xludf.DUMMYFUNCTION("IF(
  K96="""",
  """",
  ROUND(
    IF(
      L96="""",
      K96,
      IF(
        ISERROR(FIND(""-"",L96)),
        K96 - VALUE(REGEXEXTRACT(L96,""(\d+)"")),
        K96 * (1 - VALUE(REGEXEXTRACT(L96,""(\d+)""))/100)
      )
    ),
    2
  )
)
")," ")</f>
        <v/>
      </c>
      <c r="N96" s="111"/>
      <c r="O96" s="118" t="b">
        <v>0</v>
      </c>
      <c r="P96" s="119"/>
      <c r="Q96" s="120"/>
      <c r="R96" s="121" t="b">
        <v>0</v>
      </c>
      <c r="S96" s="121" t="b">
        <v>0</v>
      </c>
      <c r="T96" s="122" t="b">
        <v>0</v>
      </c>
    </row>
    <row r="97" hidden="1" outlineLevel="1">
      <c r="A97" s="111"/>
      <c r="B97" s="111"/>
      <c r="C97" s="112"/>
      <c r="D97" s="111"/>
      <c r="E97" s="111"/>
      <c r="F97" s="111"/>
      <c r="G97" s="111"/>
      <c r="H97" s="111"/>
      <c r="I97" s="111"/>
      <c r="J97" s="112"/>
      <c r="K97" s="115"/>
      <c r="L97" s="116"/>
      <c r="M97" s="117" t="str">
        <f>IFERROR(__xludf.DUMMYFUNCTION("IF(
  K97="""",
  """",
  ROUND(
    IF(
      L97="""",
      K97,
      IF(
        ISERROR(FIND(""-"",L97)),
        K97 - VALUE(REGEXEXTRACT(L97,""(\d+)"")),
        K97 * (1 - VALUE(REGEXEXTRACT(L97,""(\d+)""))/100)
      )
    ),
    2
  )
)
")," ")</f>
        <v/>
      </c>
      <c r="N97" s="111"/>
      <c r="O97" s="118" t="b">
        <v>0</v>
      </c>
      <c r="P97" s="119"/>
      <c r="Q97" s="120"/>
      <c r="R97" s="121" t="b">
        <v>0</v>
      </c>
      <c r="S97" s="121" t="b">
        <v>0</v>
      </c>
      <c r="T97" s="122" t="b">
        <v>0</v>
      </c>
    </row>
    <row r="98" hidden="1" outlineLevel="1">
      <c r="A98" s="111"/>
      <c r="B98" s="111"/>
      <c r="C98" s="112"/>
      <c r="D98" s="111"/>
      <c r="E98" s="111"/>
      <c r="F98" s="111"/>
      <c r="G98" s="111"/>
      <c r="H98" s="128"/>
      <c r="I98" s="111"/>
      <c r="J98" s="126"/>
      <c r="K98" s="115"/>
      <c r="L98" s="116"/>
      <c r="M98" s="117" t="str">
        <f>IFERROR(__xludf.DUMMYFUNCTION("IF(
  K98="""",
  """",
  ROUND(
    IF(
      L98="""",
      K98,
      IF(
        ISERROR(FIND(""-"",L98)),
        K98 - VALUE(REGEXEXTRACT(L98,""(\d+)"")),
        K98 * (1 - VALUE(REGEXEXTRACT(L98,""(\d+)""))/100)
      )
    ),
    2
  )
)
")," ")</f>
        <v/>
      </c>
      <c r="N98" s="111"/>
      <c r="O98" s="118" t="b">
        <v>0</v>
      </c>
      <c r="P98" s="119"/>
      <c r="Q98" s="120"/>
      <c r="R98" s="121" t="b">
        <v>0</v>
      </c>
      <c r="S98" s="121" t="b">
        <v>0</v>
      </c>
      <c r="T98" s="122" t="b">
        <v>0</v>
      </c>
    </row>
    <row r="99" hidden="1" outlineLevel="1">
      <c r="A99" s="111"/>
      <c r="B99" s="111"/>
      <c r="C99" s="112"/>
      <c r="D99" s="111"/>
      <c r="E99" s="111"/>
      <c r="F99" s="111"/>
      <c r="G99" s="111"/>
      <c r="H99" s="111"/>
      <c r="I99" s="111"/>
      <c r="J99" s="126"/>
      <c r="K99" s="115"/>
      <c r="L99" s="116"/>
      <c r="M99" s="117" t="str">
        <f>IFERROR(__xludf.DUMMYFUNCTION("IF(
  K99="""",
  """",
  ROUND(
    IF(
      L99="""",
      K99,
      IF(
        ISERROR(FIND(""-"",L99)),
        K99 - VALUE(REGEXEXTRACT(L99,""(\d+)"")),
        K99 * (1 - VALUE(REGEXEXTRACT(L99,""(\d+)""))/100)
      )
    ),
    2
  )
)
")," ")</f>
        <v/>
      </c>
      <c r="N99" s="111"/>
      <c r="O99" s="118" t="b">
        <v>0</v>
      </c>
      <c r="P99" s="119"/>
      <c r="Q99" s="120"/>
      <c r="R99" s="121" t="b">
        <v>0</v>
      </c>
      <c r="S99" s="121" t="b">
        <v>0</v>
      </c>
      <c r="T99" s="122" t="b">
        <v>0</v>
      </c>
    </row>
    <row r="100" hidden="1" outlineLevel="1">
      <c r="A100" s="111"/>
      <c r="B100" s="111"/>
      <c r="C100" s="112"/>
      <c r="D100" s="111"/>
      <c r="E100" s="111"/>
      <c r="F100" s="111"/>
      <c r="G100" s="111"/>
      <c r="H100" s="111"/>
      <c r="I100" s="111"/>
      <c r="J100" s="126"/>
      <c r="K100" s="115"/>
      <c r="L100" s="116"/>
      <c r="M100" s="117" t="str">
        <f>IFERROR(__xludf.DUMMYFUNCTION("IF(
  K100="""",
  """",
  ROUND(
    IF(
      L100="""",
      K100,
      IF(
        ISERROR(FIND(""-"",L100)),
        K100 - VALUE(REGEXEXTRACT(L100,""(\d+)"")),
        K100 * (1 - VALUE(REGEXEXTRACT(L100,""(\d+)""))/100)
      )
    ),
    2
  )
)"&amp;"
")," ")</f>
        <v/>
      </c>
      <c r="N100" s="111"/>
      <c r="O100" s="118" t="b">
        <v>0</v>
      </c>
      <c r="P100" s="119"/>
      <c r="Q100" s="120"/>
      <c r="R100" s="121" t="b">
        <v>0</v>
      </c>
      <c r="S100" s="121" t="b">
        <v>0</v>
      </c>
      <c r="T100" s="122" t="b">
        <v>0</v>
      </c>
    </row>
    <row r="101" hidden="1" outlineLevel="1">
      <c r="A101" s="111"/>
      <c r="B101" s="111"/>
      <c r="C101" s="112"/>
      <c r="D101" s="111"/>
      <c r="E101" s="111"/>
      <c r="F101" s="111"/>
      <c r="G101" s="189"/>
      <c r="H101" s="111"/>
      <c r="I101" s="111"/>
      <c r="J101" s="126"/>
      <c r="K101" s="115"/>
      <c r="L101" s="116"/>
      <c r="M101" s="117" t="str">
        <f>IFERROR(__xludf.DUMMYFUNCTION("IF(
  K101="""",
  """",
  ROUND(
    IF(
      L101="""",
      K101,
      IF(
        ISERROR(FIND(""-"",L101)),
        K101 - VALUE(REGEXEXTRACT(L101,""(\d+)"")),
        K101 * (1 - VALUE(REGEXEXTRACT(L101,""(\d+)""))/100)
      )
    ),
    2
  )
)"&amp;"
")," ")</f>
        <v/>
      </c>
      <c r="N101" s="111"/>
      <c r="O101" s="118" t="b">
        <v>0</v>
      </c>
      <c r="P101" s="119"/>
      <c r="Q101" s="120"/>
      <c r="R101" s="121" t="b">
        <v>0</v>
      </c>
      <c r="S101" s="121" t="b">
        <v>0</v>
      </c>
      <c r="T101" s="122" t="b">
        <v>0</v>
      </c>
    </row>
    <row r="102" hidden="1" outlineLevel="1">
      <c r="A102" s="116"/>
      <c r="B102" s="116"/>
      <c r="C102" s="129"/>
      <c r="D102" s="111"/>
      <c r="E102" s="111"/>
      <c r="F102" s="116"/>
      <c r="G102" s="116"/>
      <c r="H102" s="116"/>
      <c r="I102" s="116"/>
      <c r="J102" s="135"/>
      <c r="K102" s="115"/>
      <c r="L102" s="116"/>
      <c r="M102" s="117" t="str">
        <f>IFERROR(__xludf.DUMMYFUNCTION("IF(
  K102="""",
  """",
  ROUND(
    IF(
      L102="""",
      K102,
      IF(
        ISERROR(FIND(""-"",L102)),
        K102 - VALUE(REGEXEXTRACT(L102,""(\d+)"")),
        K102 * (1 - VALUE(REGEXEXTRACT(L102,""(\d+)""))/100)
      )
    ),
    2
  )
)"&amp;"
")," ")</f>
        <v/>
      </c>
      <c r="N102" s="111"/>
      <c r="O102" s="118" t="b">
        <v>0</v>
      </c>
      <c r="P102" s="119"/>
      <c r="Q102" s="120"/>
      <c r="R102" s="121" t="b">
        <v>0</v>
      </c>
      <c r="S102" s="121" t="b">
        <v>0</v>
      </c>
      <c r="T102" s="122" t="b">
        <v>0</v>
      </c>
    </row>
    <row r="103" hidden="1" outlineLevel="1">
      <c r="A103" s="116"/>
      <c r="B103" s="116"/>
      <c r="C103" s="129"/>
      <c r="D103" s="111"/>
      <c r="E103" s="111"/>
      <c r="F103" s="116"/>
      <c r="G103" s="116"/>
      <c r="H103" s="116"/>
      <c r="I103" s="116"/>
      <c r="J103" s="132"/>
      <c r="K103" s="115"/>
      <c r="L103" s="116"/>
      <c r="M103" s="117" t="str">
        <f>IFERROR(__xludf.DUMMYFUNCTION("IF(
  K103="""",
  """",
  ROUND(
    IF(
      L103="""",
      K103,
      IF(
        ISERROR(FIND(""-"",L103)),
        K103 - VALUE(REGEXEXTRACT(L103,""(\d+)"")),
        K103 * (1 - VALUE(REGEXEXTRACT(L103,""(\d+)""))/100)
      )
    ),
    2
  )
)"&amp;"
")," ")</f>
        <v/>
      </c>
      <c r="N103" s="111"/>
      <c r="O103" s="118" t="b">
        <v>0</v>
      </c>
      <c r="P103" s="119"/>
      <c r="Q103" s="120"/>
      <c r="R103" s="121" t="b">
        <v>0</v>
      </c>
      <c r="S103" s="121" t="b">
        <v>0</v>
      </c>
      <c r="T103" s="122" t="b">
        <v>0</v>
      </c>
    </row>
    <row r="104" hidden="1" outlineLevel="1">
      <c r="A104" s="111"/>
      <c r="B104" s="111"/>
      <c r="C104" s="129"/>
      <c r="D104" s="111"/>
      <c r="E104" s="111"/>
      <c r="F104" s="111"/>
      <c r="G104" s="111"/>
      <c r="H104" s="111"/>
      <c r="I104" s="111"/>
      <c r="J104" s="132"/>
      <c r="K104" s="115"/>
      <c r="L104" s="116"/>
      <c r="M104" s="117" t="str">
        <f>IFERROR(__xludf.DUMMYFUNCTION("IF(
  K104="""",
  """",
  ROUND(
    IF(
      L104="""",
      K104,
      IF(
        ISERROR(FIND(""-"",L104)),
        K104 - VALUE(REGEXEXTRACT(L104,""(\d+)"")),
        K104 * (1 - VALUE(REGEXEXTRACT(L104,""(\d+)""))/100)
      )
    ),
    2
  )
)"&amp;"
")," ")</f>
        <v/>
      </c>
      <c r="N104" s="111"/>
      <c r="O104" s="118" t="b">
        <v>0</v>
      </c>
      <c r="P104" s="119"/>
      <c r="Q104" s="120"/>
      <c r="R104" s="121" t="b">
        <v>0</v>
      </c>
      <c r="S104" s="121" t="b">
        <v>0</v>
      </c>
      <c r="T104" s="122" t="b">
        <v>0</v>
      </c>
    </row>
    <row r="105" hidden="1" outlineLevel="1">
      <c r="A105" s="111"/>
      <c r="B105" s="111"/>
      <c r="C105" s="129"/>
      <c r="D105" s="111"/>
      <c r="E105" s="111"/>
      <c r="F105" s="111"/>
      <c r="G105" s="111"/>
      <c r="H105" s="111"/>
      <c r="I105" s="111"/>
      <c r="J105" s="132"/>
      <c r="K105" s="115"/>
      <c r="L105" s="116"/>
      <c r="M105" s="117" t="str">
        <f>IFERROR(__xludf.DUMMYFUNCTION("IF(
  K105="""",
  """",
  ROUND(
    IF(
      L105="""",
      K105,
      IF(
        ISERROR(FIND(""-"",L105)),
        K105 - VALUE(REGEXEXTRACT(L105,""(\d+)"")),
        K105 * (1 - VALUE(REGEXEXTRACT(L105,""(\d+)""))/100)
      )
    ),
    2
  )
)"&amp;"
")," ")</f>
        <v/>
      </c>
      <c r="N105" s="111"/>
      <c r="O105" s="118" t="b">
        <v>0</v>
      </c>
      <c r="P105" s="119"/>
      <c r="Q105" s="120"/>
      <c r="R105" s="121" t="b">
        <v>0</v>
      </c>
      <c r="S105" s="121" t="b">
        <v>0</v>
      </c>
      <c r="T105" s="122" t="b">
        <v>0</v>
      </c>
    </row>
    <row r="106" hidden="1" outlineLevel="1">
      <c r="A106" s="116"/>
      <c r="B106" s="116"/>
      <c r="C106" s="129"/>
      <c r="D106" s="111"/>
      <c r="E106" s="111"/>
      <c r="F106" s="116"/>
      <c r="G106" s="116"/>
      <c r="H106" s="116"/>
      <c r="I106" s="116"/>
      <c r="J106" s="135"/>
      <c r="K106" s="115"/>
      <c r="L106" s="116"/>
      <c r="M106" s="117" t="str">
        <f>IFERROR(__xludf.DUMMYFUNCTION("IF(
  K106="""",
  """",
  ROUND(
    IF(
      L106="""",
      K106,
      IF(
        ISERROR(FIND(""-"",L106)),
        K106 - VALUE(REGEXEXTRACT(L106,""(\d+)"")),
        K106 * (1 - VALUE(REGEXEXTRACT(L106,""(\d+)""))/100)
      )
    ),
    2
  )
)"&amp;"
")," ")</f>
        <v/>
      </c>
      <c r="N106" s="111"/>
      <c r="O106" s="118" t="b">
        <v>0</v>
      </c>
      <c r="P106" s="119"/>
      <c r="Q106" s="120"/>
      <c r="R106" s="121" t="b">
        <v>0</v>
      </c>
      <c r="S106" s="121" t="b">
        <v>0</v>
      </c>
      <c r="T106" s="122" t="b">
        <v>0</v>
      </c>
    </row>
    <row r="107" hidden="1" outlineLevel="1">
      <c r="A107" s="116"/>
      <c r="B107" s="116"/>
      <c r="C107" s="129"/>
      <c r="D107" s="111"/>
      <c r="E107" s="111"/>
      <c r="F107" s="116"/>
      <c r="G107" s="116"/>
      <c r="H107" s="116"/>
      <c r="I107" s="116"/>
      <c r="J107" s="132"/>
      <c r="K107" s="115"/>
      <c r="L107" s="116"/>
      <c r="M107" s="117" t="str">
        <f>IFERROR(__xludf.DUMMYFUNCTION("IF(
  K107="""",
  """",
  ROUND(
    IF(
      L107="""",
      K107,
      IF(
        ISERROR(FIND(""-"",L107)),
        K107 - VALUE(REGEXEXTRACT(L107,""(\d+)"")),
        K107 * (1 - VALUE(REGEXEXTRACT(L107,""(\d+)""))/100)
      )
    ),
    2
  )
)"&amp;"
")," ")</f>
        <v/>
      </c>
      <c r="N107" s="111"/>
      <c r="O107" s="118" t="b">
        <v>0</v>
      </c>
      <c r="P107" s="119"/>
      <c r="Q107" s="120"/>
      <c r="R107" s="121" t="b">
        <v>0</v>
      </c>
      <c r="S107" s="121" t="b">
        <v>0</v>
      </c>
      <c r="T107" s="122" t="b">
        <v>0</v>
      </c>
    </row>
    <row r="108" hidden="1" outlineLevel="1">
      <c r="A108" s="116"/>
      <c r="B108" s="116"/>
      <c r="C108" s="129"/>
      <c r="D108" s="111"/>
      <c r="E108" s="111"/>
      <c r="F108" s="116"/>
      <c r="G108" s="116"/>
      <c r="H108" s="116"/>
      <c r="I108" s="116"/>
      <c r="J108" s="132"/>
      <c r="K108" s="115"/>
      <c r="L108" s="116"/>
      <c r="M108" s="117" t="str">
        <f>IFERROR(__xludf.DUMMYFUNCTION("IF(
  K108="""",
  """",
  ROUND(
    IF(
      L108="""",
      K108,
      IF(
        ISERROR(FIND(""-"",L108)),
        K108 - VALUE(REGEXEXTRACT(L108,""(\d+)"")),
        K108 * (1 - VALUE(REGEXEXTRACT(L108,""(\d+)""))/100)
      )
    ),
    2
  )
)"&amp;"
")," ")</f>
        <v/>
      </c>
      <c r="N108" s="116"/>
      <c r="O108" s="118" t="b">
        <v>0</v>
      </c>
      <c r="P108" s="119"/>
      <c r="Q108" s="120"/>
      <c r="R108" s="121" t="b">
        <v>0</v>
      </c>
      <c r="S108" s="121" t="b">
        <v>0</v>
      </c>
      <c r="T108" s="122" t="b">
        <v>0</v>
      </c>
    </row>
    <row r="109" hidden="1" outlineLevel="1">
      <c r="A109" s="116"/>
      <c r="B109" s="116"/>
      <c r="C109" s="129"/>
      <c r="D109" s="111"/>
      <c r="E109" s="111"/>
      <c r="F109" s="116"/>
      <c r="G109" s="116"/>
      <c r="H109" s="116"/>
      <c r="I109" s="116"/>
      <c r="J109" s="135"/>
      <c r="K109" s="115"/>
      <c r="L109" s="116"/>
      <c r="M109" s="117" t="str">
        <f>IFERROR(__xludf.DUMMYFUNCTION("IF(
  K109="""",
  """",
  ROUND(
    IF(
      L109="""",
      K109,
      IF(
        ISERROR(FIND(""-"",L109)),
        K109 - VALUE(REGEXEXTRACT(L109,""(\d+)"")),
        K109 * (1 - VALUE(REGEXEXTRACT(L109,""(\d+)""))/100)
      )
    ),
    2
  )
)"&amp;"
")," ")</f>
        <v/>
      </c>
      <c r="N109" s="111"/>
      <c r="O109" s="118" t="b">
        <v>0</v>
      </c>
      <c r="P109" s="119"/>
      <c r="Q109" s="120"/>
      <c r="R109" s="121" t="b">
        <v>0</v>
      </c>
      <c r="S109" s="121" t="b">
        <v>0</v>
      </c>
      <c r="T109" s="122" t="b">
        <v>0</v>
      </c>
    </row>
    <row r="110" hidden="1" outlineLevel="1">
      <c r="A110" s="111"/>
      <c r="B110" s="111"/>
      <c r="C110" s="129"/>
      <c r="D110" s="111"/>
      <c r="E110" s="111"/>
      <c r="F110" s="111"/>
      <c r="G110" s="111"/>
      <c r="H110" s="240"/>
      <c r="I110" s="240"/>
      <c r="J110" s="126"/>
      <c r="K110" s="115"/>
      <c r="L110" s="116"/>
      <c r="M110" s="117" t="str">
        <f>IFERROR(__xludf.DUMMYFUNCTION("IF(
  K110="""",
  """",
  ROUND(
    IF(
      L110="""",
      K110,
      IF(
        ISERROR(FIND(""-"",L110)),
        K110 - VALUE(REGEXEXTRACT(L110,""(\d+)"")),
        K110 * (1 - VALUE(REGEXEXTRACT(L110,""(\d+)""))/100)
      )
    ),
    2
  )
)"&amp;"
")," ")</f>
        <v/>
      </c>
      <c r="N110" s="111"/>
      <c r="O110" s="118" t="b">
        <v>0</v>
      </c>
      <c r="P110" s="119"/>
      <c r="Q110" s="120"/>
      <c r="R110" s="121" t="b">
        <v>0</v>
      </c>
      <c r="S110" s="121" t="b">
        <v>0</v>
      </c>
      <c r="T110" s="122" t="b">
        <v>0</v>
      </c>
    </row>
    <row r="111" hidden="1" outlineLevel="1">
      <c r="A111" s="116"/>
      <c r="B111" s="116"/>
      <c r="C111" s="129"/>
      <c r="D111" s="111"/>
      <c r="E111" s="111"/>
      <c r="F111" s="116"/>
      <c r="G111" s="116"/>
      <c r="H111" s="116"/>
      <c r="I111" s="116"/>
      <c r="J111" s="132"/>
      <c r="K111" s="115"/>
      <c r="L111" s="116"/>
      <c r="M111" s="117" t="str">
        <f>IFERROR(__xludf.DUMMYFUNCTION("IF(
  K111="""",
  """",
  ROUND(
    IF(
      L111="""",
      K111,
      IF(
        ISERROR(FIND(""-"",L111)),
        K111 - VALUE(REGEXEXTRACT(L111,""(\d+)"")),
        K111 * (1 - VALUE(REGEXEXTRACT(L111,""(\d+)""))/100)
      )
    ),
    2
  )
)"&amp;"
")," ")</f>
        <v/>
      </c>
      <c r="N111" s="111"/>
      <c r="O111" s="118" t="b">
        <v>0</v>
      </c>
      <c r="P111" s="119"/>
      <c r="Q111" s="120"/>
      <c r="R111" s="121" t="b">
        <v>0</v>
      </c>
      <c r="S111" s="121" t="b">
        <v>0</v>
      </c>
      <c r="T111" s="122" t="b">
        <v>0</v>
      </c>
    </row>
    <row r="112" hidden="1" outlineLevel="1">
      <c r="A112" s="116"/>
      <c r="B112" s="116"/>
      <c r="C112" s="129"/>
      <c r="D112" s="111"/>
      <c r="E112" s="111"/>
      <c r="F112" s="116"/>
      <c r="G112" s="116"/>
      <c r="H112" s="116"/>
      <c r="I112" s="116"/>
      <c r="J112" s="134"/>
      <c r="K112" s="115"/>
      <c r="L112" s="116"/>
      <c r="M112" s="117" t="str">
        <f>IFERROR(__xludf.DUMMYFUNCTION("IF(
  K112="""",
  """",
  ROUND(
    IF(
      L112="""",
      K112,
      IF(
        ISERROR(FIND(""-"",L112)),
        K112 - VALUE(REGEXEXTRACT(L112,""(\d+)"")),
        K112 * (1 - VALUE(REGEXEXTRACT(L112,""(\d+)""))/100)
      )
    ),
    2
  )
)"&amp;"
")," ")</f>
        <v/>
      </c>
      <c r="N112" s="111"/>
      <c r="O112" s="118" t="b">
        <v>0</v>
      </c>
      <c r="P112" s="119"/>
      <c r="Q112" s="120"/>
      <c r="R112" s="121" t="b">
        <v>0</v>
      </c>
      <c r="S112" s="121" t="b">
        <v>0</v>
      </c>
      <c r="T112" s="122" t="b">
        <v>0</v>
      </c>
    </row>
    <row r="113" hidden="1" outlineLevel="1">
      <c r="A113" s="116"/>
      <c r="B113" s="116"/>
      <c r="C113" s="129"/>
      <c r="D113" s="111"/>
      <c r="E113" s="111"/>
      <c r="F113" s="116"/>
      <c r="G113" s="116"/>
      <c r="H113" s="116"/>
      <c r="I113" s="116"/>
      <c r="J113" s="134"/>
      <c r="K113" s="115"/>
      <c r="L113" s="116"/>
      <c r="M113" s="117" t="str">
        <f>IFERROR(__xludf.DUMMYFUNCTION("IF(
  K113="""",
  """",
  ROUND(
    IF(
      L113="""",
      K113,
      IF(
        ISERROR(FIND(""-"",L113)),
        K113 - VALUE(REGEXEXTRACT(L113,""(\d+)"")),
        K113 * (1 - VALUE(REGEXEXTRACT(L113,""(\d+)""))/100)
      )
    ),
    2
  )
)"&amp;"
")," ")</f>
        <v/>
      </c>
      <c r="N113" s="111"/>
      <c r="O113" s="118" t="b">
        <v>0</v>
      </c>
      <c r="P113" s="119"/>
      <c r="Q113" s="120"/>
      <c r="R113" s="121" t="b">
        <v>0</v>
      </c>
      <c r="S113" s="121" t="b">
        <v>0</v>
      </c>
      <c r="T113" s="122" t="b">
        <v>0</v>
      </c>
    </row>
    <row r="114" hidden="1" outlineLevel="1">
      <c r="A114" s="116"/>
      <c r="B114" s="116"/>
      <c r="C114" s="129"/>
      <c r="D114" s="111"/>
      <c r="E114" s="111"/>
      <c r="F114" s="116"/>
      <c r="G114" s="116"/>
      <c r="H114" s="116"/>
      <c r="I114" s="116"/>
      <c r="J114" s="134"/>
      <c r="K114" s="115"/>
      <c r="L114" s="116"/>
      <c r="M114" s="117" t="str">
        <f>IFERROR(__xludf.DUMMYFUNCTION("IF(
  K114="""",
  """",
  ROUND(
    IF(
      L114="""",
      K114,
      IF(
        ISERROR(FIND(""-"",L114)),
        K114 - VALUE(REGEXEXTRACT(L114,""(\d+)"")),
        K114 * (1 - VALUE(REGEXEXTRACT(L114,""(\d+)""))/100)
      )
    ),
    2
  )
)"&amp;"
")," ")</f>
        <v/>
      </c>
      <c r="N114" s="111"/>
      <c r="O114" s="118" t="b">
        <v>0</v>
      </c>
      <c r="P114" s="119"/>
      <c r="Q114" s="120"/>
      <c r="R114" s="121" t="b">
        <v>0</v>
      </c>
      <c r="S114" s="121" t="b">
        <v>0</v>
      </c>
      <c r="T114" s="122" t="b">
        <v>0</v>
      </c>
    </row>
    <row r="115" hidden="1" outlineLevel="1">
      <c r="A115" s="116"/>
      <c r="B115" s="116"/>
      <c r="C115" s="129"/>
      <c r="D115" s="111"/>
      <c r="E115" s="111"/>
      <c r="F115" s="116"/>
      <c r="G115" s="116"/>
      <c r="H115" s="116"/>
      <c r="I115" s="116"/>
      <c r="J115" s="134"/>
      <c r="K115" s="115"/>
      <c r="L115" s="116"/>
      <c r="M115" s="117" t="str">
        <f>IFERROR(__xludf.DUMMYFUNCTION("IF(
  K115="""",
  """",
  ROUND(
    IF(
      L115="""",
      K115,
      IF(
        ISERROR(FIND(""-"",L115)),
        K115 - VALUE(REGEXEXTRACT(L115,""(\d+)"")),
        K115 * (1 - VALUE(REGEXEXTRACT(L115,""(\d+)""))/100)
      )
    ),
    2
  )
)"&amp;"
")," ")</f>
        <v/>
      </c>
      <c r="N115" s="111"/>
      <c r="O115" s="118" t="b">
        <v>0</v>
      </c>
      <c r="P115" s="119"/>
      <c r="Q115" s="120"/>
      <c r="R115" s="121" t="b">
        <v>0</v>
      </c>
      <c r="S115" s="121" t="b">
        <v>0</v>
      </c>
      <c r="T115" s="122" t="b">
        <v>0</v>
      </c>
    </row>
    <row r="116" hidden="1" outlineLevel="1">
      <c r="A116" s="116"/>
      <c r="B116" s="116"/>
      <c r="C116" s="129"/>
      <c r="D116" s="111"/>
      <c r="E116" s="111"/>
      <c r="F116" s="116"/>
      <c r="G116" s="116"/>
      <c r="H116" s="113"/>
      <c r="I116" s="113"/>
      <c r="J116" s="134"/>
      <c r="K116" s="115"/>
      <c r="L116" s="131"/>
      <c r="M116" s="117" t="str">
        <f>IFERROR(__xludf.DUMMYFUNCTION("IF(
  K116="""",
  """",
  ROUND(
    IF(
      L116="""",
      K116,
      IF(
        ISERROR(FIND(""-"",L116)),
        K116 - VALUE(REGEXEXTRACT(L116,""(\d+)"")),
        K116 * (1 - VALUE(REGEXEXTRACT(L116,""(\d+)""))/100)
      )
    ),
    2
  )
)"&amp;"
")," ")</f>
        <v/>
      </c>
      <c r="N116" s="111"/>
      <c r="O116" s="118" t="b">
        <v>0</v>
      </c>
      <c r="P116" s="119"/>
      <c r="Q116" s="120"/>
      <c r="R116" s="121" t="b">
        <v>0</v>
      </c>
      <c r="S116" s="121" t="b">
        <v>0</v>
      </c>
      <c r="T116" s="122" t="b">
        <v>0</v>
      </c>
    </row>
    <row r="117" hidden="1" outlineLevel="1">
      <c r="A117" s="116"/>
      <c r="B117" s="116"/>
      <c r="C117" s="129"/>
      <c r="D117" s="111"/>
      <c r="E117" s="111"/>
      <c r="F117" s="116"/>
      <c r="G117" s="116"/>
      <c r="H117" s="116"/>
      <c r="I117" s="116"/>
      <c r="J117" s="134"/>
      <c r="K117" s="115"/>
      <c r="L117" s="116"/>
      <c r="M117" s="117" t="str">
        <f>IFERROR(__xludf.DUMMYFUNCTION("IF(
  K117="""",
  """",
  ROUND(
    IF(
      L117="""",
      K117,
      IF(
        ISERROR(FIND(""-"",L117)),
        K117 - VALUE(REGEXEXTRACT(L117,""(\d+)"")),
        K117 * (1 - VALUE(REGEXEXTRACT(L117,""(\d+)""))/100)
      )
    ),
    2
  )
)"&amp;"
")," ")</f>
        <v/>
      </c>
      <c r="N117" s="111"/>
      <c r="O117" s="118" t="b">
        <v>0</v>
      </c>
      <c r="P117" s="119"/>
      <c r="Q117" s="120"/>
      <c r="R117" s="121" t="b">
        <v>0</v>
      </c>
      <c r="S117" s="121" t="b">
        <v>0</v>
      </c>
      <c r="T117" s="122" t="b">
        <v>0</v>
      </c>
    </row>
    <row r="118" hidden="1" outlineLevel="1">
      <c r="A118" s="116"/>
      <c r="B118" s="116"/>
      <c r="C118" s="129"/>
      <c r="D118" s="111"/>
      <c r="E118" s="111"/>
      <c r="F118" s="116"/>
      <c r="G118" s="116"/>
      <c r="H118" s="116"/>
      <c r="I118" s="116"/>
      <c r="J118" s="134"/>
      <c r="K118" s="115"/>
      <c r="L118" s="116"/>
      <c r="M118" s="117" t="str">
        <f>IFERROR(__xludf.DUMMYFUNCTION("IF(
  K118="""",
  """",
  ROUND(
    IF(
      L118="""",
      K118,
      IF(
        ISERROR(FIND(""-"",L118)),
        K118 - VALUE(REGEXEXTRACT(L118,""(\d+)"")),
        K118 * (1 - VALUE(REGEXEXTRACT(L118,""(\d+)""))/100)
      )
    ),
    2
  )
)"&amp;"
")," ")</f>
        <v/>
      </c>
      <c r="N118" s="111"/>
      <c r="O118" s="118" t="b">
        <v>0</v>
      </c>
      <c r="P118" s="119"/>
      <c r="Q118" s="120"/>
      <c r="R118" s="121" t="b">
        <v>0</v>
      </c>
      <c r="S118" s="121" t="b">
        <v>0</v>
      </c>
      <c r="T118" s="122" t="b">
        <v>0</v>
      </c>
    </row>
    <row r="119" hidden="1" outlineLevel="1">
      <c r="A119" s="111"/>
      <c r="B119" s="111"/>
      <c r="C119" s="112"/>
      <c r="D119" s="111"/>
      <c r="E119" s="111"/>
      <c r="F119" s="111"/>
      <c r="G119" s="111"/>
      <c r="H119" s="111"/>
      <c r="I119" s="111"/>
      <c r="J119" s="126"/>
      <c r="K119" s="115"/>
      <c r="L119" s="116"/>
      <c r="M119" s="117" t="str">
        <f>IFERROR(__xludf.DUMMYFUNCTION("IF(
  K119="""",
  """",
  ROUND(
    IF(
      L119="""",
      K119,
      IF(
        ISERROR(FIND(""-"",L119)),
        K119 - VALUE(REGEXEXTRACT(L119,""(\d+)"")),
        K119 * (1 - VALUE(REGEXEXTRACT(L119,""(\d+)""))/100)
      )
    ),
    2
  )
)"&amp;"
")," ")</f>
        <v/>
      </c>
      <c r="N119" s="111"/>
      <c r="O119" s="118" t="b">
        <v>0</v>
      </c>
      <c r="P119" s="119"/>
      <c r="Q119" s="120"/>
      <c r="R119" s="121" t="b">
        <v>0</v>
      </c>
      <c r="S119" s="121" t="b">
        <v>0</v>
      </c>
      <c r="T119" s="122" t="b">
        <v>0</v>
      </c>
    </row>
    <row r="120" hidden="1" outlineLevel="1">
      <c r="A120" s="116"/>
      <c r="B120" s="116"/>
      <c r="C120" s="129"/>
      <c r="D120" s="111"/>
      <c r="E120" s="111"/>
      <c r="F120" s="116"/>
      <c r="G120" s="116"/>
      <c r="H120" s="116"/>
      <c r="I120" s="116"/>
      <c r="J120" s="134"/>
      <c r="K120" s="115"/>
      <c r="L120" s="116"/>
      <c r="M120" s="117" t="str">
        <f>IFERROR(__xludf.DUMMYFUNCTION("IF(
  K120="""",
  """",
  ROUND(
    IF(
      L120="""",
      K120,
      IF(
        ISERROR(FIND(""-"",L120)),
        K120 - VALUE(REGEXEXTRACT(L120,""(\d+)"")),
        K120 * (1 - VALUE(REGEXEXTRACT(L120,""(\d+)""))/100)
      )
    ),
    2
  )
)"&amp;"
")," ")</f>
        <v/>
      </c>
      <c r="N120" s="111"/>
      <c r="O120" s="118" t="b">
        <v>0</v>
      </c>
      <c r="P120" s="119"/>
      <c r="Q120" s="120"/>
      <c r="R120" s="121" t="b">
        <v>0</v>
      </c>
      <c r="S120" s="121" t="b">
        <v>0</v>
      </c>
      <c r="T120" s="122" t="b">
        <v>0</v>
      </c>
    </row>
    <row r="121" hidden="1" outlineLevel="1">
      <c r="A121" s="116"/>
      <c r="B121" s="116"/>
      <c r="C121" s="129"/>
      <c r="D121" s="111"/>
      <c r="E121" s="111"/>
      <c r="F121" s="116"/>
      <c r="G121" s="116"/>
      <c r="H121" s="116"/>
      <c r="I121" s="116"/>
      <c r="J121" s="134"/>
      <c r="K121" s="115"/>
      <c r="L121" s="116"/>
      <c r="M121" s="117" t="str">
        <f>IFERROR(__xludf.DUMMYFUNCTION("IF(
  K121="""",
  """",
  ROUND(
    IF(
      L121="""",
      K121,
      IF(
        ISERROR(FIND(""-"",L121)),
        K121 - VALUE(REGEXEXTRACT(L121,""(\d+)"")),
        K121 * (1 - VALUE(REGEXEXTRACT(L121,""(\d+)""))/100)
      )
    ),
    2
  )
)"&amp;"
")," ")</f>
        <v/>
      </c>
      <c r="N121" s="111"/>
      <c r="O121" s="118" t="b">
        <v>0</v>
      </c>
      <c r="P121" s="119"/>
      <c r="Q121" s="120"/>
      <c r="R121" s="121" t="b">
        <v>0</v>
      </c>
      <c r="S121" s="121" t="b">
        <v>0</v>
      </c>
      <c r="T121" s="122" t="b">
        <v>0</v>
      </c>
    </row>
    <row r="122" hidden="1" outlineLevel="1">
      <c r="A122" s="116"/>
      <c r="B122" s="116"/>
      <c r="C122" s="129"/>
      <c r="D122" s="111"/>
      <c r="E122" s="111"/>
      <c r="F122" s="116"/>
      <c r="G122" s="116"/>
      <c r="H122" s="116"/>
      <c r="I122" s="116"/>
      <c r="J122" s="132"/>
      <c r="K122" s="115"/>
      <c r="L122" s="116"/>
      <c r="M122" s="117" t="str">
        <f>IFERROR(__xludf.DUMMYFUNCTION("IF(
  K122="""",
  """",
  ROUND(
    IF(
      L122="""",
      K122,
      IF(
        ISERROR(FIND(""-"",L122)),
        K122 - VALUE(REGEXEXTRACT(L122,""(\d+)"")),
        K122 * (1 - VALUE(REGEXEXTRACT(L122,""(\d+)""))/100)
      )
    ),
    2
  )
)"&amp;"
")," ")</f>
        <v/>
      </c>
      <c r="N122" s="111"/>
      <c r="O122" s="118" t="b">
        <v>0</v>
      </c>
      <c r="P122" s="119"/>
      <c r="Q122" s="120"/>
      <c r="R122" s="121" t="b">
        <v>0</v>
      </c>
      <c r="S122" s="121" t="b">
        <v>0</v>
      </c>
      <c r="T122" s="122" t="b">
        <v>0</v>
      </c>
    </row>
    <row r="123" hidden="1" outlineLevel="1">
      <c r="A123" s="116"/>
      <c r="B123" s="116"/>
      <c r="C123" s="129"/>
      <c r="D123" s="111"/>
      <c r="E123" s="111"/>
      <c r="F123" s="116"/>
      <c r="G123" s="116"/>
      <c r="H123" s="116"/>
      <c r="I123" s="116"/>
      <c r="J123" s="132"/>
      <c r="K123" s="115"/>
      <c r="L123" s="116"/>
      <c r="M123" s="117" t="str">
        <f>IFERROR(__xludf.DUMMYFUNCTION("IF(
  K123="""",
  """",
  ROUND(
    IF(
      L123="""",
      K123,
      IF(
        ISERROR(FIND(""-"",L123)),
        K123 - VALUE(REGEXEXTRACT(L123,""(\d+)"")),
        K123 * (1 - VALUE(REGEXEXTRACT(L123,""(\d+)""))/100)
      )
    ),
    2
  )
)"&amp;"
")," ")</f>
        <v/>
      </c>
      <c r="N123" s="111"/>
      <c r="O123" s="118" t="b">
        <v>0</v>
      </c>
      <c r="P123" s="119"/>
      <c r="Q123" s="120"/>
      <c r="R123" s="121" t="b">
        <v>0</v>
      </c>
      <c r="S123" s="121" t="b">
        <v>0</v>
      </c>
      <c r="T123" s="122" t="b">
        <v>0</v>
      </c>
    </row>
    <row r="124" hidden="1" outlineLevel="1">
      <c r="A124" s="116"/>
      <c r="B124" s="116"/>
      <c r="C124" s="129"/>
      <c r="D124" s="111"/>
      <c r="E124" s="111"/>
      <c r="F124" s="116"/>
      <c r="G124" s="116"/>
      <c r="H124" s="116"/>
      <c r="I124" s="116"/>
      <c r="J124" s="132"/>
      <c r="K124" s="115"/>
      <c r="L124" s="116"/>
      <c r="M124" s="117" t="str">
        <f>IFERROR(__xludf.DUMMYFUNCTION("IF(
  K124="""",
  """",
  ROUND(
    IF(
      L124="""",
      K124,
      IF(
        ISERROR(FIND(""-"",L124)),
        K124 - VALUE(REGEXEXTRACT(L124,""(\d+)"")),
        K124 * (1 - VALUE(REGEXEXTRACT(L124,""(\d+)""))/100)
      )
    ),
    2
  )
)"&amp;"
")," ")</f>
        <v/>
      </c>
      <c r="N124" s="111"/>
      <c r="O124" s="118" t="b">
        <v>0</v>
      </c>
      <c r="P124" s="119"/>
      <c r="Q124" s="120"/>
      <c r="R124" s="121" t="b">
        <v>0</v>
      </c>
      <c r="S124" s="121" t="b">
        <v>0</v>
      </c>
      <c r="T124" s="122" t="b">
        <v>0</v>
      </c>
    </row>
    <row r="125" hidden="1" outlineLevel="1">
      <c r="A125" s="116"/>
      <c r="B125" s="116"/>
      <c r="C125" s="129"/>
      <c r="D125" s="111"/>
      <c r="E125" s="111"/>
      <c r="F125" s="116"/>
      <c r="G125" s="116"/>
      <c r="H125" s="116"/>
      <c r="I125" s="116"/>
      <c r="J125" s="134"/>
      <c r="K125" s="115"/>
      <c r="L125" s="116"/>
      <c r="M125" s="117" t="str">
        <f>IFERROR(__xludf.DUMMYFUNCTION("IF(
  K125="""",
  """",
  ROUND(
    IF(
      L125="""",
      K125,
      IF(
        ISERROR(FIND(""-"",L125)),
        K125 - VALUE(REGEXEXTRACT(L125,""(\d+)"")),
        K125 * (1 - VALUE(REGEXEXTRACT(L125,""(\d+)""))/100)
      )
    ),
    2
  )
)"&amp;"
")," ")</f>
        <v/>
      </c>
      <c r="N125" s="111"/>
      <c r="O125" s="118" t="b">
        <v>0</v>
      </c>
      <c r="P125" s="119"/>
      <c r="Q125" s="120"/>
      <c r="R125" s="121" t="b">
        <v>0</v>
      </c>
      <c r="S125" s="121" t="b">
        <v>0</v>
      </c>
      <c r="T125" s="122" t="b">
        <v>0</v>
      </c>
    </row>
    <row r="126" hidden="1" outlineLevel="1">
      <c r="A126" s="116"/>
      <c r="B126" s="116"/>
      <c r="C126" s="129"/>
      <c r="D126" s="111"/>
      <c r="E126" s="111"/>
      <c r="F126" s="116"/>
      <c r="G126" s="116"/>
      <c r="H126" s="116"/>
      <c r="I126" s="116"/>
      <c r="J126" s="132"/>
      <c r="K126" s="115"/>
      <c r="L126" s="116"/>
      <c r="M126" s="117" t="str">
        <f>IFERROR(__xludf.DUMMYFUNCTION("IF(
  K126="""",
  """",
  ROUND(
    IF(
      L126="""",
      K126,
      IF(
        ISERROR(FIND(""-"",L126)),
        K126 - VALUE(REGEXEXTRACT(L126,""(\d+)"")),
        K126 * (1 - VALUE(REGEXEXTRACT(L126,""(\d+)""))/100)
      )
    ),
    2
  )
)"&amp;"
")," ")</f>
        <v/>
      </c>
      <c r="N126" s="111"/>
      <c r="O126" s="118" t="b">
        <v>0</v>
      </c>
      <c r="P126" s="119"/>
      <c r="Q126" s="120"/>
      <c r="R126" s="121" t="b">
        <v>0</v>
      </c>
      <c r="S126" s="121" t="b">
        <v>0</v>
      </c>
      <c r="T126" s="122" t="b">
        <v>0</v>
      </c>
    </row>
    <row r="127" hidden="1" outlineLevel="1">
      <c r="A127" s="116"/>
      <c r="B127" s="116"/>
      <c r="C127" s="129"/>
      <c r="D127" s="111"/>
      <c r="E127" s="111"/>
      <c r="F127" s="116"/>
      <c r="G127" s="142"/>
      <c r="H127" s="116"/>
      <c r="I127" s="116"/>
      <c r="J127" s="134"/>
      <c r="K127" s="115"/>
      <c r="L127" s="116"/>
      <c r="M127" s="117" t="str">
        <f>IFERROR(__xludf.DUMMYFUNCTION("IF(
  K127="""",
  """",
  ROUND(
    IF(
      L127="""",
      K127,
      IF(
        ISERROR(FIND(""-"",L127)),
        K127 - VALUE(REGEXEXTRACT(L127,""(\d+)"")),
        K127 * (1 - VALUE(REGEXEXTRACT(L127,""(\d+)""))/100)
      )
    ),
    2
  )
)"&amp;"
")," ")</f>
        <v/>
      </c>
      <c r="N127" s="111"/>
      <c r="O127" s="118" t="b">
        <v>0</v>
      </c>
      <c r="P127" s="119"/>
      <c r="Q127" s="120"/>
      <c r="R127" s="121" t="b">
        <v>0</v>
      </c>
      <c r="S127" s="121" t="b">
        <v>0</v>
      </c>
      <c r="T127" s="122" t="b">
        <v>0</v>
      </c>
    </row>
    <row r="128" hidden="1" outlineLevel="1">
      <c r="A128" s="116"/>
      <c r="B128" s="116"/>
      <c r="C128" s="129"/>
      <c r="D128" s="111"/>
      <c r="E128" s="111"/>
      <c r="F128" s="116"/>
      <c r="G128" s="116"/>
      <c r="H128" s="116"/>
      <c r="I128" s="116"/>
      <c r="J128" s="134"/>
      <c r="K128" s="115"/>
      <c r="L128" s="116"/>
      <c r="M128" s="117" t="str">
        <f>IFERROR(__xludf.DUMMYFUNCTION("IF(
  K128="""",
  """",
  ROUND(
    IF(
      L128="""",
      K128,
      IF(
        ISERROR(FIND(""-"",L128)),
        K128 - VALUE(REGEXEXTRACT(L128,""(\d+)"")),
        K128 * (1 - VALUE(REGEXEXTRACT(L128,""(\d+)""))/100)
      )
    ),
    2
  )
)"&amp;"
")," ")</f>
        <v/>
      </c>
      <c r="N128" s="111"/>
      <c r="O128" s="118" t="b">
        <v>0</v>
      </c>
      <c r="P128" s="119"/>
      <c r="Q128" s="120"/>
      <c r="R128" s="121" t="b">
        <v>0</v>
      </c>
      <c r="S128" s="121" t="b">
        <v>0</v>
      </c>
      <c r="T128" s="122" t="b">
        <v>0</v>
      </c>
    </row>
    <row r="129" hidden="1" outlineLevel="1">
      <c r="A129" s="116"/>
      <c r="B129" s="116"/>
      <c r="C129" s="129"/>
      <c r="D129" s="111"/>
      <c r="E129" s="111"/>
      <c r="F129" s="116"/>
      <c r="G129" s="116"/>
      <c r="H129" s="116"/>
      <c r="I129" s="116"/>
      <c r="J129" s="134"/>
      <c r="K129" s="115"/>
      <c r="L129" s="116"/>
      <c r="M129" s="117" t="str">
        <f>IFERROR(__xludf.DUMMYFUNCTION("IF(
  K129="""",
  """",
  ROUND(
    IF(
      L129="""",
      K129,
      IF(
        ISERROR(FIND(""-"",L129)),
        K129 - VALUE(REGEXEXTRACT(L129,""(\d+)"")),
        K129 * (1 - VALUE(REGEXEXTRACT(L129,""(\d+)""))/100)
      )
    ),
    2
  )
)"&amp;"
")," ")</f>
        <v/>
      </c>
      <c r="N129" s="116"/>
      <c r="O129" s="118" t="b">
        <v>0</v>
      </c>
      <c r="P129" s="119"/>
      <c r="Q129" s="120"/>
      <c r="R129" s="121" t="b">
        <v>0</v>
      </c>
      <c r="S129" s="121" t="b">
        <v>0</v>
      </c>
      <c r="T129" s="122" t="b">
        <v>0</v>
      </c>
    </row>
    <row r="130" hidden="1" outlineLevel="1">
      <c r="A130" s="116"/>
      <c r="B130" s="116"/>
      <c r="C130" s="129"/>
      <c r="D130" s="111"/>
      <c r="E130" s="111"/>
      <c r="F130" s="116"/>
      <c r="G130" s="116"/>
      <c r="H130" s="116"/>
      <c r="I130" s="116"/>
      <c r="J130" s="134"/>
      <c r="K130" s="115"/>
      <c r="L130" s="116"/>
      <c r="M130" s="117" t="str">
        <f>IFERROR(__xludf.DUMMYFUNCTION("IF(
  K130="""",
  """",
  ROUND(
    IF(
      L130="""",
      K130,
      IF(
        ISERROR(FIND(""-"",L130)),
        K130 - VALUE(REGEXEXTRACT(L130,""(\d+)"")),
        K130 * (1 - VALUE(REGEXEXTRACT(L130,""(\d+)""))/100)
      )
    ),
    2
  )
)"&amp;"
")," ")</f>
        <v/>
      </c>
      <c r="N130" s="116"/>
      <c r="O130" s="118" t="b">
        <v>0</v>
      </c>
      <c r="P130" s="119"/>
      <c r="Q130" s="120"/>
      <c r="R130" s="121" t="b">
        <v>0</v>
      </c>
      <c r="S130" s="121" t="b">
        <v>0</v>
      </c>
      <c r="T130" s="122" t="b">
        <v>0</v>
      </c>
    </row>
    <row r="131">
      <c r="A131" s="241"/>
      <c r="C131" s="242" t="s">
        <v>358</v>
      </c>
      <c r="N131" s="243" t="s">
        <v>355</v>
      </c>
      <c r="O131" s="244">
        <f>SUMPRODUCT(--$O$132:$O$172)</f>
        <v>17</v>
      </c>
      <c r="P131" s="242"/>
      <c r="Q131" s="242"/>
      <c r="R131" s="242"/>
      <c r="S131" s="242"/>
      <c r="T131" s="242"/>
    </row>
    <row r="132" outlineLevel="1">
      <c r="A132" s="116" t="s">
        <v>239</v>
      </c>
      <c r="B132" s="116" t="s">
        <v>240</v>
      </c>
      <c r="C132" s="129">
        <v>46065.0</v>
      </c>
      <c r="D132" s="111"/>
      <c r="E132" s="111" t="s">
        <v>359</v>
      </c>
      <c r="F132" s="116" t="s">
        <v>360</v>
      </c>
      <c r="G132" s="116">
        <v>3.9215623E9</v>
      </c>
      <c r="H132" s="116" t="s">
        <v>361</v>
      </c>
      <c r="I132" s="116" t="s">
        <v>362</v>
      </c>
      <c r="J132" s="134">
        <v>46065.0</v>
      </c>
      <c r="K132" s="115">
        <v>32.0</v>
      </c>
      <c r="L132" s="116" t="s">
        <v>245</v>
      </c>
      <c r="M132" s="117">
        <f>IFERROR(__xludf.DUMMYFUNCTION("IF(
  K132="""",
  """",
  ROUND(
    IF(
      L132="""",
      K132,
      IF(
        ISERROR(FIND(""-"",L132)),
        K132 - VALUE(REGEXEXTRACT(L132,""(\d+)"")),
        K132 * (1 - VALUE(REGEXEXTRACT(L132,""(\d+)""))/100)
      )
    ),
    2
  )
)"&amp;"
"),30.0)</f>
        <v>30</v>
      </c>
      <c r="N132" s="111"/>
      <c r="O132" s="118" t="b">
        <v>1</v>
      </c>
      <c r="P132" s="119"/>
      <c r="Q132" s="120" t="s">
        <v>81</v>
      </c>
      <c r="R132" s="121" t="b">
        <v>1</v>
      </c>
      <c r="S132" s="121" t="b">
        <v>0</v>
      </c>
      <c r="T132" s="122" t="b">
        <v>1</v>
      </c>
    </row>
    <row r="133" outlineLevel="1">
      <c r="A133" s="116" t="s">
        <v>73</v>
      </c>
      <c r="B133" s="116" t="s">
        <v>74</v>
      </c>
      <c r="C133" s="129">
        <v>46066.0</v>
      </c>
      <c r="D133" s="111" t="s">
        <v>363</v>
      </c>
      <c r="E133" s="111" t="s">
        <v>364</v>
      </c>
      <c r="F133" s="116" t="s">
        <v>365</v>
      </c>
      <c r="G133" s="116">
        <v>3.518042662E9</v>
      </c>
      <c r="H133" s="128" t="s">
        <v>366</v>
      </c>
      <c r="I133" s="116" t="s">
        <v>367</v>
      </c>
      <c r="J133" s="134">
        <v>46066.0</v>
      </c>
      <c r="K133" s="115">
        <v>32.0</v>
      </c>
      <c r="L133" s="131"/>
      <c r="M133" s="117">
        <f>IFERROR(__xludf.DUMMYFUNCTION("IF(
  K133="""",
  """",
  ROUND(
    IF(
      L133="""",
      K133,
      IF(
        ISERROR(FIND(""-"",L133)),
        K133 - VALUE(REGEXEXTRACT(L133,""(\d+)"")),
        K133 * (1 - VALUE(REGEXEXTRACT(L133,""(\d+)""))/100)
      )
    ),
    2
  )
)"&amp;"
"),32.0)</f>
        <v>32</v>
      </c>
      <c r="N133" s="116" t="s">
        <v>100</v>
      </c>
      <c r="O133" s="118" t="b">
        <v>1</v>
      </c>
      <c r="P133" s="119"/>
      <c r="Q133" s="120" t="s">
        <v>81</v>
      </c>
      <c r="R133" s="121" t="b">
        <v>1</v>
      </c>
      <c r="S133" s="121" t="b">
        <v>0</v>
      </c>
      <c r="T133" s="122" t="b">
        <v>1</v>
      </c>
    </row>
    <row r="134" outlineLevel="1">
      <c r="A134" s="116" t="s">
        <v>368</v>
      </c>
      <c r="B134" s="116" t="s">
        <v>369</v>
      </c>
      <c r="C134" s="129">
        <v>46063.0</v>
      </c>
      <c r="D134" s="111" t="s">
        <v>370</v>
      </c>
      <c r="E134" s="111" t="s">
        <v>371</v>
      </c>
      <c r="F134" s="116" t="s">
        <v>372</v>
      </c>
      <c r="G134" s="247" t="s">
        <v>373</v>
      </c>
      <c r="H134" s="116" t="s">
        <v>374</v>
      </c>
      <c r="I134" s="116" t="s">
        <v>375</v>
      </c>
      <c r="J134" s="134">
        <v>46063.0</v>
      </c>
      <c r="K134" s="115">
        <v>32.0</v>
      </c>
      <c r="L134" s="116" t="s">
        <v>79</v>
      </c>
      <c r="M134" s="117">
        <f>IFERROR(__xludf.DUMMYFUNCTION("IF(
  K134="""",
  """",
  ROUND(
    IF(
      L134="""",
      K134,
      IF(
        ISERROR(FIND(""-"",L134)),
        K134 - VALUE(REGEXEXTRACT(L134,""(\d+)"")),
        K134 * (1 - VALUE(REGEXEXTRACT(L134,""(\d+)""))/100)
      )
    ),
    2
  )
)"&amp;"
"),30.0)</f>
        <v>30</v>
      </c>
      <c r="N134" s="111"/>
      <c r="O134" s="118" t="b">
        <v>1</v>
      </c>
      <c r="P134" s="119"/>
      <c r="Q134" s="120" t="s">
        <v>81</v>
      </c>
      <c r="R134" s="121" t="b">
        <v>1</v>
      </c>
      <c r="S134" s="121" t="b">
        <v>0</v>
      </c>
      <c r="T134" s="122" t="b">
        <v>1</v>
      </c>
    </row>
    <row r="135" outlineLevel="1">
      <c r="A135" s="116" t="s">
        <v>73</v>
      </c>
      <c r="B135" s="116" t="s">
        <v>74</v>
      </c>
      <c r="C135" s="129">
        <v>46067.0</v>
      </c>
      <c r="D135" s="111" t="s">
        <v>376</v>
      </c>
      <c r="E135" s="111" t="s">
        <v>377</v>
      </c>
      <c r="F135" s="116" t="s">
        <v>378</v>
      </c>
      <c r="G135" s="116">
        <v>3.273653268E9</v>
      </c>
      <c r="H135" s="144" t="s">
        <v>379</v>
      </c>
      <c r="I135" s="116" t="s">
        <v>380</v>
      </c>
      <c r="J135" s="132">
        <v>46067.0</v>
      </c>
      <c r="K135" s="115">
        <v>32.0</v>
      </c>
      <c r="L135" s="116" t="s">
        <v>106</v>
      </c>
      <c r="M135" s="117">
        <f>IFERROR(__xludf.DUMMYFUNCTION("IF(
  K135="""",
  """",
  ROUND(
    IF(
      L135="""",
      K135,
      IF(
        ISERROR(FIND(""-"",L135)),
        K135 - VALUE(REGEXEXTRACT(L135,""(\d+)"")),
        K135 * (1 - VALUE(REGEXEXTRACT(L135,""(\d+)""))/100)
      )
    ),
    2
  )
)"&amp;"
"),30.0)</f>
        <v>30</v>
      </c>
      <c r="N135" s="116" t="s">
        <v>100</v>
      </c>
      <c r="O135" s="118" t="b">
        <v>1</v>
      </c>
      <c r="P135" s="119"/>
      <c r="Q135" s="120" t="s">
        <v>81</v>
      </c>
      <c r="R135" s="121" t="b">
        <v>1</v>
      </c>
      <c r="S135" s="121" t="b">
        <v>0</v>
      </c>
      <c r="T135" s="122" t="b">
        <v>1</v>
      </c>
    </row>
    <row r="136" outlineLevel="1">
      <c r="A136" s="116" t="s">
        <v>73</v>
      </c>
      <c r="B136" s="116" t="s">
        <v>74</v>
      </c>
      <c r="C136" s="129">
        <v>46067.0</v>
      </c>
      <c r="D136" s="111"/>
      <c r="E136" s="111" t="s">
        <v>381</v>
      </c>
      <c r="F136" s="116" t="s">
        <v>382</v>
      </c>
      <c r="G136" s="116">
        <v>3.398667133E9</v>
      </c>
      <c r="H136" s="116" t="s">
        <v>383</v>
      </c>
      <c r="I136" s="116" t="s">
        <v>384</v>
      </c>
      <c r="J136" s="132">
        <v>46067.0</v>
      </c>
      <c r="K136" s="115">
        <v>32.0</v>
      </c>
      <c r="L136" s="116"/>
      <c r="M136" s="117">
        <f>IFERROR(__xludf.DUMMYFUNCTION("IF(
  K136="""",
  """",
  ROUND(
    IF(
      L136="""",
      K136,
      IF(
        ISERROR(FIND(""-"",L136)),
        K136 - VALUE(REGEXEXTRACT(L136,""(\d+)"")),
        K136 * (1 - VALUE(REGEXEXTRACT(L136,""(\d+)""))/100)
      )
    ),
    2
  )
)"&amp;"
"),32.0)</f>
        <v>32</v>
      </c>
      <c r="N136" s="116" t="s">
        <v>80</v>
      </c>
      <c r="O136" s="118" t="b">
        <v>1</v>
      </c>
      <c r="P136" s="119"/>
      <c r="Q136" s="120" t="s">
        <v>81</v>
      </c>
      <c r="R136" s="121" t="b">
        <v>0</v>
      </c>
      <c r="S136" s="121" t="b">
        <v>1</v>
      </c>
      <c r="T136" s="122" t="b">
        <v>1</v>
      </c>
    </row>
    <row r="137" outlineLevel="1">
      <c r="A137" s="116" t="s">
        <v>73</v>
      </c>
      <c r="B137" s="116" t="s">
        <v>74</v>
      </c>
      <c r="C137" s="129">
        <v>46069.0</v>
      </c>
      <c r="D137" s="111"/>
      <c r="E137" s="111" t="s">
        <v>385</v>
      </c>
      <c r="F137" s="116" t="s">
        <v>386</v>
      </c>
      <c r="G137" s="116">
        <v>3.358200964E9</v>
      </c>
      <c r="H137" s="116" t="s">
        <v>387</v>
      </c>
      <c r="I137" s="116" t="s">
        <v>388</v>
      </c>
      <c r="J137" s="132">
        <v>46069.0</v>
      </c>
      <c r="K137" s="115">
        <v>37.0</v>
      </c>
      <c r="L137" s="116" t="s">
        <v>282</v>
      </c>
      <c r="M137" s="117">
        <f>IFERROR(__xludf.DUMMYFUNCTION("IF(
  K137="""",
  """",
  ROUND(
    IF(
      L137="""",
      K137,
      IF(
        ISERROR(FIND(""-"",L137)),
        K137 - VALUE(REGEXEXTRACT(L137,""(\d+)"")),
        K137 * (1 - VALUE(REGEXEXTRACT(L137,""(\d+)""))/100)
      )
    ),
    2
  )
)"&amp;"
"),32.0)</f>
        <v>32</v>
      </c>
      <c r="N137" s="116" t="s">
        <v>100</v>
      </c>
      <c r="O137" s="118" t="b">
        <v>1</v>
      </c>
      <c r="P137" s="119"/>
      <c r="Q137" s="120" t="s">
        <v>81</v>
      </c>
      <c r="R137" s="121" t="b">
        <v>1</v>
      </c>
      <c r="S137" s="121" t="b">
        <v>0</v>
      </c>
      <c r="T137" s="122" t="b">
        <v>1</v>
      </c>
    </row>
    <row r="138" outlineLevel="1">
      <c r="A138" s="116" t="s">
        <v>73</v>
      </c>
      <c r="B138" s="116" t="s">
        <v>74</v>
      </c>
      <c r="C138" s="129">
        <v>46072.0</v>
      </c>
      <c r="D138" s="111" t="s">
        <v>389</v>
      </c>
      <c r="E138" s="111" t="s">
        <v>390</v>
      </c>
      <c r="F138" s="116" t="s">
        <v>391</v>
      </c>
      <c r="G138" s="116">
        <v>3.357446092E9</v>
      </c>
      <c r="H138" s="116" t="s">
        <v>392</v>
      </c>
      <c r="I138" s="116" t="s">
        <v>393</v>
      </c>
      <c r="J138" s="132">
        <v>46072.0</v>
      </c>
      <c r="K138" s="115">
        <v>37.0</v>
      </c>
      <c r="L138" s="116" t="s">
        <v>394</v>
      </c>
      <c r="M138" s="117">
        <f>IFERROR(__xludf.DUMMYFUNCTION("IF(
  K138="""",
  """",
  ROUND(
    IF(
      L138="""",
      K138,
      IF(
        ISERROR(FIND(""-"",L138)),
        K138 - VALUE(REGEXEXTRACT(L138,""(\d+)"")),
        K138 * (1 - VALUE(REGEXEXTRACT(L138,""(\d+)""))/100)
      )
    ),
    2
  )
)"&amp;"
"),35.0)</f>
        <v>35</v>
      </c>
      <c r="N138" s="116" t="s">
        <v>100</v>
      </c>
      <c r="O138" s="118" t="b">
        <v>1</v>
      </c>
      <c r="P138" s="119"/>
      <c r="Q138" s="120" t="s">
        <v>81</v>
      </c>
      <c r="R138" s="121" t="b">
        <v>1</v>
      </c>
      <c r="S138" s="121" t="b">
        <v>0</v>
      </c>
      <c r="T138" s="122" t="b">
        <v>1</v>
      </c>
    </row>
    <row r="139" outlineLevel="1">
      <c r="A139" s="116" t="s">
        <v>73</v>
      </c>
      <c r="B139" s="116" t="s">
        <v>74</v>
      </c>
      <c r="C139" s="129">
        <v>46074.0</v>
      </c>
      <c r="D139" s="116" t="s">
        <v>395</v>
      </c>
      <c r="E139" s="116" t="s">
        <v>396</v>
      </c>
      <c r="F139" s="116" t="s">
        <v>397</v>
      </c>
      <c r="G139" s="116">
        <v>3.661951513E9</v>
      </c>
      <c r="H139" s="116" t="s">
        <v>398</v>
      </c>
      <c r="I139" s="116" t="s">
        <v>399</v>
      </c>
      <c r="J139" s="134">
        <v>46074.0</v>
      </c>
      <c r="K139" s="115">
        <v>37.0</v>
      </c>
      <c r="L139" s="116"/>
      <c r="M139" s="117">
        <f>IFERROR(__xludf.DUMMYFUNCTION("IF(
  K139="""",
  """",
  ROUND(
    IF(
      L139="""",
      K139,
      IF(
        ISERROR(FIND(""-"",L139)),
        K139 - VALUE(REGEXEXTRACT(L139,""(\d+)"")),
        K139 * (1 - VALUE(REGEXEXTRACT(L139,""(\d+)""))/100)
      )
    ),
    2
  )
)"&amp;"
"),37.0)</f>
        <v>37</v>
      </c>
      <c r="N139" s="111" t="s">
        <v>100</v>
      </c>
      <c r="O139" s="118" t="b">
        <v>0</v>
      </c>
      <c r="P139" s="119"/>
      <c r="Q139" s="120" t="s">
        <v>81</v>
      </c>
      <c r="R139" s="121" t="b">
        <v>1</v>
      </c>
      <c r="S139" s="121" t="b">
        <v>0</v>
      </c>
      <c r="T139" s="122" t="b">
        <v>1</v>
      </c>
    </row>
    <row r="140" outlineLevel="1">
      <c r="A140" s="116" t="s">
        <v>73</v>
      </c>
      <c r="B140" s="116" t="s">
        <v>74</v>
      </c>
      <c r="C140" s="145">
        <v>46082.0</v>
      </c>
      <c r="D140" s="111" t="s">
        <v>400</v>
      </c>
      <c r="E140" s="111" t="s">
        <v>401</v>
      </c>
      <c r="F140" s="116" t="s">
        <v>402</v>
      </c>
      <c r="G140" s="116">
        <v>3.3829622E9</v>
      </c>
      <c r="H140" s="116" t="s">
        <v>403</v>
      </c>
      <c r="I140" s="116" t="s">
        <v>404</v>
      </c>
      <c r="J140" s="126">
        <v>46082.0</v>
      </c>
      <c r="K140" s="115">
        <v>37.0</v>
      </c>
      <c r="L140" s="116" t="s">
        <v>394</v>
      </c>
      <c r="M140" s="117">
        <f>IFERROR(__xludf.DUMMYFUNCTION("IF(
  K140="""",
  """",
  ROUND(
    IF(
      L140="""",
      K140,
      IF(
        ISERROR(FIND(""-"",L140)),
        K140 - VALUE(REGEXEXTRACT(L140,""(\d+)"")),
        K140 * (1 - VALUE(REGEXEXTRACT(L140,""(\d+)""))/100)
      )
    ),
    2
  )
)"&amp;"
"),35.0)</f>
        <v>35</v>
      </c>
      <c r="N140" s="111" t="s">
        <v>100</v>
      </c>
      <c r="O140" s="118" t="b">
        <v>0</v>
      </c>
      <c r="P140" s="119"/>
      <c r="Q140" s="120" t="s">
        <v>81</v>
      </c>
      <c r="R140" s="121" t="b">
        <v>1</v>
      </c>
      <c r="S140" s="121" t="b">
        <v>0</v>
      </c>
      <c r="T140" s="122" t="b">
        <v>1</v>
      </c>
    </row>
    <row r="141" outlineLevel="1">
      <c r="A141" s="116" t="s">
        <v>73</v>
      </c>
      <c r="B141" s="116" t="s">
        <v>94</v>
      </c>
      <c r="C141" s="145">
        <v>46090.0</v>
      </c>
      <c r="D141" s="111" t="s">
        <v>405</v>
      </c>
      <c r="E141" s="111" t="s">
        <v>406</v>
      </c>
      <c r="F141" s="116" t="s">
        <v>407</v>
      </c>
      <c r="G141" s="116">
        <v>3.922808058E9</v>
      </c>
      <c r="H141" s="116" t="s">
        <v>408</v>
      </c>
      <c r="I141" s="116" t="s">
        <v>409</v>
      </c>
      <c r="J141" s="126">
        <v>46090.0</v>
      </c>
      <c r="K141" s="115">
        <v>37.0</v>
      </c>
      <c r="L141" s="116" t="s">
        <v>99</v>
      </c>
      <c r="M141" s="117">
        <f>IFERROR(__xludf.DUMMYFUNCTION("IF(
  K141="""",
  """",
  ROUND(
    IF(
      L141="""",
      K141,
      IF(
        ISERROR(FIND(""-"",L141)),
        K141 - VALUE(REGEXEXTRACT(L141,""(\d+)"")),
        K141 * (1 - VALUE(REGEXEXTRACT(L141,""(\d+)""))/100)
      )
    ),
    2
  )
)"&amp;"
"),35.0)</f>
        <v>35</v>
      </c>
      <c r="N141" s="111" t="s">
        <v>162</v>
      </c>
      <c r="O141" s="118" t="b">
        <v>1</v>
      </c>
      <c r="P141" s="119"/>
      <c r="Q141" s="120" t="s">
        <v>81</v>
      </c>
      <c r="R141" s="121" t="b">
        <v>1</v>
      </c>
      <c r="S141" s="121" t="b">
        <v>0</v>
      </c>
      <c r="T141" s="122" t="b">
        <v>1</v>
      </c>
    </row>
    <row r="142" outlineLevel="1">
      <c r="A142" s="116" t="s">
        <v>73</v>
      </c>
      <c r="B142" s="116" t="s">
        <v>74</v>
      </c>
      <c r="C142" s="146">
        <v>46091.0</v>
      </c>
      <c r="D142" s="111" t="s">
        <v>410</v>
      </c>
      <c r="E142" s="111" t="s">
        <v>411</v>
      </c>
      <c r="F142" s="111" t="s">
        <v>412</v>
      </c>
      <c r="G142" s="111">
        <v>3.514012826E9</v>
      </c>
      <c r="H142" s="111" t="s">
        <v>413</v>
      </c>
      <c r="I142" s="111" t="s">
        <v>414</v>
      </c>
      <c r="J142" s="126">
        <v>46091.0</v>
      </c>
      <c r="K142" s="115">
        <v>37.0</v>
      </c>
      <c r="L142" s="116" t="s">
        <v>106</v>
      </c>
      <c r="M142" s="117">
        <f>IFERROR(__xludf.DUMMYFUNCTION("IF(
  K142="""",
  """",
  ROUND(
    IF(
      L142="""",
      K142,
      IF(
        ISERROR(FIND(""-"",L142)),
        K142 - VALUE(REGEXEXTRACT(L142,""(\d+)"")),
        K142 * (1 - VALUE(REGEXEXTRACT(L142,""(\d+)""))/100)
      )
    ),
    2
  )
)"&amp;"
"),35.0)</f>
        <v>35</v>
      </c>
      <c r="N142" s="111" t="s">
        <v>100</v>
      </c>
      <c r="O142" s="118" t="b">
        <v>1</v>
      </c>
      <c r="P142" s="119"/>
      <c r="Q142" s="120" t="s">
        <v>81</v>
      </c>
      <c r="R142" s="121" t="b">
        <v>1</v>
      </c>
      <c r="S142" s="121" t="b">
        <v>0</v>
      </c>
      <c r="T142" s="122" t="b">
        <v>1</v>
      </c>
    </row>
    <row r="143" outlineLevel="1">
      <c r="A143" s="116" t="s">
        <v>73</v>
      </c>
      <c r="B143" s="116" t="s">
        <v>74</v>
      </c>
      <c r="C143" s="248">
        <v>46092.0</v>
      </c>
      <c r="D143" s="249" t="s">
        <v>415</v>
      </c>
      <c r="E143" s="111" t="s">
        <v>416</v>
      </c>
      <c r="F143" s="116" t="s">
        <v>417</v>
      </c>
      <c r="G143" s="116">
        <v>3.246663527E9</v>
      </c>
      <c r="H143" s="116" t="s">
        <v>418</v>
      </c>
      <c r="I143" s="116" t="s">
        <v>419</v>
      </c>
      <c r="J143" s="134">
        <v>46092.0</v>
      </c>
      <c r="K143" s="115">
        <v>37.0</v>
      </c>
      <c r="L143" s="131"/>
      <c r="M143" s="117">
        <f>IFERROR(__xludf.DUMMYFUNCTION("IF(
  K143="""",
  """",
  ROUND(
    IF(
      L143="""",
      K143,
      IF(
        ISERROR(FIND(""-"",L143)),
        K143 - VALUE(REGEXEXTRACT(L143,""(\d+)"")),
        K143 * (1 - VALUE(REGEXEXTRACT(L143,""(\d+)""))/100)
      )
    ),
    2
  )
)"&amp;"
"),37.0)</f>
        <v>37</v>
      </c>
      <c r="N143" s="116" t="s">
        <v>80</v>
      </c>
      <c r="O143" s="118" t="b">
        <v>1</v>
      </c>
      <c r="P143" s="119" t="s">
        <v>415</v>
      </c>
      <c r="Q143" s="120" t="s">
        <v>81</v>
      </c>
      <c r="R143" s="121" t="b">
        <v>0</v>
      </c>
      <c r="S143" s="121" t="b">
        <v>1</v>
      </c>
      <c r="T143" s="122" t="b">
        <v>1</v>
      </c>
    </row>
    <row r="144" outlineLevel="1">
      <c r="A144" s="116" t="s">
        <v>239</v>
      </c>
      <c r="B144" s="116"/>
      <c r="C144" s="146">
        <v>46094.0</v>
      </c>
      <c r="D144" s="111"/>
      <c r="E144" s="111" t="s">
        <v>420</v>
      </c>
      <c r="F144" s="116" t="s">
        <v>421</v>
      </c>
      <c r="G144" s="116">
        <v>3.299285413E9</v>
      </c>
      <c r="H144" s="116" t="s">
        <v>422</v>
      </c>
      <c r="I144" s="116" t="s">
        <v>423</v>
      </c>
      <c r="J144" s="126"/>
      <c r="K144" s="115">
        <v>0.0</v>
      </c>
      <c r="L144" s="116"/>
      <c r="M144" s="117">
        <f>IFERROR(__xludf.DUMMYFUNCTION("IF(
  K144="""",
  """",
  ROUND(
    IF(
      L144="""",
      K144,
      IF(
        ISERROR(FIND(""-"",L144)),
        K144 - VALUE(REGEXEXTRACT(L144,""(\d+)"")),
        K144 * (1 - VALUE(REGEXEXTRACT(L144,""(\d+)""))/100)
      )
    ),
    2
  )
)"&amp;"
"),0.0)</f>
        <v>0</v>
      </c>
      <c r="N144" s="111"/>
      <c r="O144" s="118" t="b">
        <v>1</v>
      </c>
      <c r="P144" s="119" t="s">
        <v>424</v>
      </c>
      <c r="Q144" s="120"/>
      <c r="R144" s="121" t="b">
        <v>0</v>
      </c>
      <c r="S144" s="121" t="b">
        <v>0</v>
      </c>
      <c r="T144" s="122" t="b">
        <v>1</v>
      </c>
    </row>
    <row r="145" outlineLevel="1">
      <c r="A145" s="116" t="s">
        <v>73</v>
      </c>
      <c r="B145" s="116" t="s">
        <v>74</v>
      </c>
      <c r="C145" s="145">
        <v>46095.0</v>
      </c>
      <c r="D145" s="111" t="s">
        <v>425</v>
      </c>
      <c r="E145" s="111" t="s">
        <v>426</v>
      </c>
      <c r="F145" s="116" t="s">
        <v>427</v>
      </c>
      <c r="G145" s="116">
        <v>3.465001112E9</v>
      </c>
      <c r="H145" s="116" t="s">
        <v>428</v>
      </c>
      <c r="I145" s="116" t="s">
        <v>429</v>
      </c>
      <c r="J145" s="126">
        <v>46095.0</v>
      </c>
      <c r="K145" s="115">
        <v>37.0</v>
      </c>
      <c r="L145" s="116" t="s">
        <v>245</v>
      </c>
      <c r="M145" s="150">
        <f>IFERROR(__xludf.DUMMYFUNCTION("IF(
  K145="""",
  """",
  ROUND(
    IF(
      L145="""",
      K145,
      IF(
        ISERROR(FIND(""-"",L145)),
        K145 - VALUE(REGEXEXTRACT(L145,""(\d+)"")),
        K145 * (1 - VALUE(REGEXEXTRACT(L145,""(\d+)""))/100)
      )
    ),
    2
  )
)"&amp;"
"),35.0)</f>
        <v>35</v>
      </c>
      <c r="N145" s="111" t="s">
        <v>100</v>
      </c>
      <c r="O145" s="118" t="b">
        <v>1</v>
      </c>
      <c r="P145" s="119"/>
      <c r="Q145" s="120" t="s">
        <v>81</v>
      </c>
      <c r="R145" s="121" t="b">
        <v>1</v>
      </c>
      <c r="S145" s="121" t="b">
        <v>0</v>
      </c>
      <c r="T145" s="122" t="b">
        <v>1</v>
      </c>
    </row>
    <row r="146" outlineLevel="1">
      <c r="A146" s="116" t="s">
        <v>73</v>
      </c>
      <c r="B146" s="116" t="s">
        <v>74</v>
      </c>
      <c r="C146" s="145">
        <v>46095.0</v>
      </c>
      <c r="D146" s="111"/>
      <c r="E146" s="111" t="s">
        <v>430</v>
      </c>
      <c r="F146" s="116" t="s">
        <v>431</v>
      </c>
      <c r="G146" s="116">
        <v>3.476833177E9</v>
      </c>
      <c r="H146" s="151" t="s">
        <v>432</v>
      </c>
      <c r="I146" s="116" t="s">
        <v>353</v>
      </c>
      <c r="J146" s="126">
        <v>46095.0</v>
      </c>
      <c r="K146" s="115">
        <v>37.0</v>
      </c>
      <c r="L146" s="116" t="s">
        <v>99</v>
      </c>
      <c r="M146" s="150">
        <f>IFERROR(__xludf.DUMMYFUNCTION("IF(
  K146="""",
  """",
  ROUND(
    IF(
      L146="""",
      K146,
      IF(
        ISERROR(FIND(""-"",L146)),
        K146 - VALUE(REGEXEXTRACT(L146,""(\d+)"")),
        K146 * (1 - VALUE(REGEXEXTRACT(L146,""(\d+)""))/100)
      )
    ),
    2
  )
)"&amp;"
"),35.0)</f>
        <v>35</v>
      </c>
      <c r="N146" s="116" t="s">
        <v>80</v>
      </c>
      <c r="O146" s="118" t="b">
        <v>1</v>
      </c>
      <c r="P146" s="119"/>
      <c r="Q146" s="120" t="s">
        <v>81</v>
      </c>
      <c r="R146" s="121" t="b">
        <v>0</v>
      </c>
      <c r="S146" s="121" t="b">
        <v>1</v>
      </c>
      <c r="T146" s="122" t="b">
        <v>1</v>
      </c>
    </row>
    <row r="147" outlineLevel="1">
      <c r="A147" s="116" t="s">
        <v>73</v>
      </c>
      <c r="B147" s="116" t="s">
        <v>74</v>
      </c>
      <c r="C147" s="129">
        <v>46095.0</v>
      </c>
      <c r="D147" s="111"/>
      <c r="E147" s="111" t="s">
        <v>433</v>
      </c>
      <c r="F147" s="116" t="s">
        <v>434</v>
      </c>
      <c r="G147" s="116">
        <v>3.663107821E9</v>
      </c>
      <c r="H147" s="151" t="s">
        <v>435</v>
      </c>
      <c r="I147" s="116" t="s">
        <v>436</v>
      </c>
      <c r="J147" s="132">
        <v>46095.0</v>
      </c>
      <c r="K147" s="115">
        <v>35.0</v>
      </c>
      <c r="L147" s="116" t="s">
        <v>106</v>
      </c>
      <c r="M147" s="150">
        <f>IFERROR(__xludf.DUMMYFUNCTION("IF(
  K147="""",
  """",
  ROUND(
    IF(
      L147="""",
      K147,
      IF(
        ISERROR(FIND(""-"",L147)),
        K147 - VALUE(REGEXEXTRACT(L147,""(\d+)"")),
        K147 * (1 - VALUE(REGEXEXTRACT(L147,""(\d+)""))/100)
      )
    ),
    2
  )
)"&amp;"
"),33.0)</f>
        <v>33</v>
      </c>
      <c r="N147" s="116" t="s">
        <v>80</v>
      </c>
      <c r="O147" s="118" t="b">
        <v>1</v>
      </c>
      <c r="P147" s="119"/>
      <c r="Q147" s="120" t="s">
        <v>81</v>
      </c>
      <c r="R147" s="121" t="b">
        <v>0</v>
      </c>
      <c r="S147" s="121" t="b">
        <v>1</v>
      </c>
      <c r="T147" s="122" t="b">
        <v>1</v>
      </c>
    </row>
    <row r="148" outlineLevel="1">
      <c r="A148" s="116" t="s">
        <v>73</v>
      </c>
      <c r="B148" s="116" t="s">
        <v>74</v>
      </c>
      <c r="C148" s="129">
        <v>46096.0</v>
      </c>
      <c r="D148" s="111"/>
      <c r="E148" s="111" t="s">
        <v>437</v>
      </c>
      <c r="F148" s="116" t="s">
        <v>171</v>
      </c>
      <c r="G148" s="116">
        <v>3.401866792E9</v>
      </c>
      <c r="H148" s="151" t="s">
        <v>438</v>
      </c>
      <c r="I148" s="116" t="s">
        <v>439</v>
      </c>
      <c r="J148" s="132">
        <v>46096.0</v>
      </c>
      <c r="K148" s="115">
        <v>37.0</v>
      </c>
      <c r="L148" s="116"/>
      <c r="M148" s="150">
        <f>IFERROR(__xludf.DUMMYFUNCTION("IF(
  K148="""",
  """",
  ROUND(
    IF(
      L148="""",
      K148,
      IF(
        ISERROR(FIND(""-"",L148)),
        K148 - VALUE(REGEXEXTRACT(L148,""(\d+)"")),
        K148 * (1 - VALUE(REGEXEXTRACT(L148,""(\d+)""))/100)
      )
    ),
    2
  )
)"&amp;"
"),37.0)</f>
        <v>37</v>
      </c>
      <c r="N148" s="116" t="s">
        <v>100</v>
      </c>
      <c r="O148" s="118" t="b">
        <v>1</v>
      </c>
      <c r="P148" s="119"/>
      <c r="Q148" s="120" t="s">
        <v>81</v>
      </c>
      <c r="R148" s="121" t="b">
        <v>1</v>
      </c>
      <c r="S148" s="121" t="b">
        <v>0</v>
      </c>
      <c r="T148" s="122" t="b">
        <v>1</v>
      </c>
    </row>
    <row r="149" outlineLevel="1">
      <c r="A149" s="116" t="s">
        <v>368</v>
      </c>
      <c r="B149" s="116" t="s">
        <v>369</v>
      </c>
      <c r="C149" s="129">
        <v>46096.0</v>
      </c>
      <c r="D149" s="111" t="s">
        <v>440</v>
      </c>
      <c r="E149" s="111" t="s">
        <v>441</v>
      </c>
      <c r="F149" s="116" t="s">
        <v>442</v>
      </c>
      <c r="G149" s="116">
        <v>3.299834249E9</v>
      </c>
      <c r="H149" s="151" t="s">
        <v>443</v>
      </c>
      <c r="I149" s="225" t="s">
        <v>444</v>
      </c>
      <c r="J149" s="132">
        <v>46096.0</v>
      </c>
      <c r="K149" s="115">
        <v>0.0</v>
      </c>
      <c r="L149" s="116"/>
      <c r="M149" s="150">
        <f>IFERROR(__xludf.DUMMYFUNCTION("IF(
  K149="""",
  """",
  ROUND(
    IF(
      L149="""",
      K149,
      IF(
        ISERROR(FIND(""-"",L149)),
        K149 - VALUE(REGEXEXTRACT(L149,""(\d+)"")),
        K149 * (1 - VALUE(REGEXEXTRACT(L149,""(\d+)""))/100)
      )
    ),
    2
  )
)"&amp;"
"),0.0)</f>
        <v>0</v>
      </c>
      <c r="N149" s="131"/>
      <c r="O149" s="118" t="b">
        <v>1</v>
      </c>
      <c r="P149" s="119" t="s">
        <v>424</v>
      </c>
      <c r="Q149" s="120"/>
      <c r="R149" s="121" t="b">
        <v>0</v>
      </c>
      <c r="S149" s="121" t="b">
        <v>0</v>
      </c>
      <c r="T149" s="122" t="b">
        <v>1</v>
      </c>
    </row>
    <row r="150" outlineLevel="1">
      <c r="A150" s="116" t="s">
        <v>368</v>
      </c>
      <c r="B150" s="116" t="s">
        <v>369</v>
      </c>
      <c r="C150" s="129">
        <v>46096.0</v>
      </c>
      <c r="D150" s="111"/>
      <c r="E150" s="124" t="s">
        <v>445</v>
      </c>
      <c r="F150" s="131" t="s">
        <v>446</v>
      </c>
      <c r="G150" s="116">
        <v>3.470060051E9</v>
      </c>
      <c r="H150" s="151" t="s">
        <v>447</v>
      </c>
      <c r="I150" s="116" t="s">
        <v>448</v>
      </c>
      <c r="J150" s="132">
        <v>46096.0</v>
      </c>
      <c r="K150" s="115">
        <v>37.0</v>
      </c>
      <c r="L150" s="116" t="s">
        <v>79</v>
      </c>
      <c r="M150" s="150">
        <f>IFERROR(__xludf.DUMMYFUNCTION("IF(
  K150="""",
  """",
  ROUND(
    IF(
      L150="""",
      K150,
      IF(
        ISERROR(FIND(""-"",L150)),
        K150 - VALUE(REGEXEXTRACT(L150,""(\d+)"")),
        K150 * (1 - VALUE(REGEXEXTRACT(L150,""(\d+)""))/100)
      )
    ),
    2
  )
)"&amp;"
"),35.0)</f>
        <v>35</v>
      </c>
      <c r="N150" s="116" t="s">
        <v>449</v>
      </c>
      <c r="O150" s="118" t="b">
        <v>1</v>
      </c>
      <c r="P150" s="119"/>
      <c r="Q150" s="120"/>
      <c r="R150" s="121" t="b">
        <v>0</v>
      </c>
      <c r="S150" s="121" t="b">
        <v>0</v>
      </c>
      <c r="T150" s="122" t="b">
        <v>1</v>
      </c>
    </row>
    <row r="151" outlineLevel="1">
      <c r="A151" s="116"/>
      <c r="B151" s="116"/>
      <c r="C151" s="129"/>
      <c r="D151" s="111"/>
      <c r="E151" s="111"/>
      <c r="F151" s="116"/>
      <c r="G151" s="116"/>
      <c r="H151" s="151"/>
      <c r="I151" s="116"/>
      <c r="J151" s="134"/>
      <c r="K151" s="115"/>
      <c r="L151" s="116"/>
      <c r="M151" s="150" t="str">
        <f>IFERROR(__xludf.DUMMYFUNCTION("IF(
  K151="""",
  """",
  ROUND(
    IF(
      L151="""",
      K151,
      IF(
        ISERROR(FIND(""-"",L151)),
        K151 - VALUE(REGEXEXTRACT(L151,""(\d+)"")),
        K151 * (1 - VALUE(REGEXEXTRACT(L151,""(\d+)""))/100)
      )
    ),
    2
  )
)"&amp;"
")," ")</f>
        <v/>
      </c>
      <c r="N151" s="116"/>
      <c r="O151" s="118" t="b">
        <v>0</v>
      </c>
      <c r="P151" s="119"/>
      <c r="Q151" s="120"/>
      <c r="R151" s="121" t="b">
        <v>0</v>
      </c>
      <c r="S151" s="121" t="b">
        <v>0</v>
      </c>
      <c r="T151" s="122" t="b">
        <v>0</v>
      </c>
    </row>
    <row r="152" outlineLevel="1">
      <c r="A152" s="116"/>
      <c r="B152" s="116"/>
      <c r="C152" s="129"/>
      <c r="D152" s="111"/>
      <c r="E152" s="111"/>
      <c r="F152" s="116"/>
      <c r="G152" s="116"/>
      <c r="H152" s="151"/>
      <c r="I152" s="116"/>
      <c r="J152" s="134"/>
      <c r="K152" s="115"/>
      <c r="L152" s="116"/>
      <c r="M152" s="150" t="str">
        <f>IFERROR(__xludf.DUMMYFUNCTION("IF(
  K152="""",
  """",
  ROUND(
    IF(
      L152="""",
      K152,
      IF(
        ISERROR(FIND(""-"",L152)),
        K152 - VALUE(REGEXEXTRACT(L152,""(\d+)"")),
        K152 * (1 - VALUE(REGEXEXTRACT(L152,""(\d+)""))/100)
      )
    ),
    2
  )
)"&amp;"
")," ")</f>
        <v/>
      </c>
      <c r="N152" s="116"/>
      <c r="O152" s="118" t="b">
        <v>0</v>
      </c>
      <c r="P152" s="119"/>
      <c r="Q152" s="120"/>
      <c r="R152" s="121" t="b">
        <v>0</v>
      </c>
      <c r="S152" s="121" t="b">
        <v>0</v>
      </c>
      <c r="T152" s="122" t="b">
        <v>0</v>
      </c>
    </row>
    <row r="153" outlineLevel="1">
      <c r="A153" s="116"/>
      <c r="B153" s="116"/>
      <c r="C153" s="129"/>
      <c r="D153" s="111"/>
      <c r="E153" s="111"/>
      <c r="F153" s="116"/>
      <c r="G153" s="116"/>
      <c r="H153" s="151"/>
      <c r="I153" s="116"/>
      <c r="J153" s="134"/>
      <c r="K153" s="115"/>
      <c r="L153" s="116"/>
      <c r="M153" s="150" t="str">
        <f>IFERROR(__xludf.DUMMYFUNCTION("IF(
  K153="""",
  """",
  ROUND(
    IF(
      L153="""",
      K153,
      IF(
        ISERROR(FIND(""-"",L153)),
        K153 - VALUE(REGEXEXTRACT(L153,""(\d+)"")),
        K153 * (1 - VALUE(REGEXEXTRACT(L153,""(\d+)""))/100)
      )
    ),
    2
  )
)"&amp;"
")," ")</f>
        <v/>
      </c>
      <c r="N153" s="116"/>
      <c r="O153" s="118" t="b">
        <v>0</v>
      </c>
      <c r="P153" s="119"/>
      <c r="Q153" s="120"/>
      <c r="R153" s="121" t="b">
        <v>0</v>
      </c>
      <c r="S153" s="121" t="b">
        <v>0</v>
      </c>
      <c r="T153" s="122" t="b">
        <v>0</v>
      </c>
    </row>
    <row r="154" outlineLevel="1">
      <c r="A154" s="111"/>
      <c r="B154" s="116"/>
      <c r="C154" s="112"/>
      <c r="D154" s="111"/>
      <c r="E154" s="111"/>
      <c r="F154" s="111"/>
      <c r="G154" s="111"/>
      <c r="H154" s="144"/>
      <c r="I154" s="111"/>
      <c r="J154" s="114"/>
      <c r="K154" s="115"/>
      <c r="L154" s="116"/>
      <c r="M154" s="117" t="str">
        <f>IFERROR(__xludf.DUMMYFUNCTION("IF(
  K154="""",
  """",
  ROUND(
    IF(
      L154="""",
      K154,
      IF(
        ISERROR(FIND(""-"",L154)),
        K154 - VALUE(REGEXEXTRACT(L154,""(\d+)"")),
        K154 * (1 - VALUE(REGEXEXTRACT(L154,""(\d+)""))/100)
      )
    ),
    2
  )
)"&amp;"
")," ")</f>
        <v/>
      </c>
      <c r="N154" s="111"/>
      <c r="O154" s="154" t="b">
        <v>0</v>
      </c>
      <c r="P154" s="119"/>
      <c r="Q154" s="120"/>
      <c r="R154" s="121" t="b">
        <v>0</v>
      </c>
      <c r="S154" s="121" t="b">
        <v>0</v>
      </c>
      <c r="T154" s="122" t="b">
        <v>0</v>
      </c>
    </row>
    <row r="155" outlineLevel="1">
      <c r="A155" s="111"/>
      <c r="B155" s="116"/>
      <c r="C155" s="112"/>
      <c r="D155" s="111"/>
      <c r="E155" s="111"/>
      <c r="F155" s="111"/>
      <c r="G155" s="111"/>
      <c r="H155" s="144"/>
      <c r="I155" s="111"/>
      <c r="J155" s="114"/>
      <c r="K155" s="115"/>
      <c r="L155" s="116"/>
      <c r="M155" s="117" t="str">
        <f>IFERROR(__xludf.DUMMYFUNCTION("IF(
  K155="""",
  """",
  ROUND(
    IF(
      L155="""",
      K155,
      IF(
        ISERROR(FIND(""-"",L155)),
        K155 - VALUE(REGEXEXTRACT(L155,""(\d+)"")),
        K155 * (1 - VALUE(REGEXEXTRACT(L155,""(\d+)""))/100)
      )
    ),
    2
  )
)"&amp;"
")," ")</f>
        <v/>
      </c>
      <c r="N155" s="111"/>
      <c r="O155" s="154" t="b">
        <v>0</v>
      </c>
      <c r="P155" s="119"/>
      <c r="Q155" s="120"/>
      <c r="R155" s="121" t="b">
        <v>0</v>
      </c>
      <c r="S155" s="121" t="b">
        <v>0</v>
      </c>
      <c r="T155" s="122" t="b">
        <v>0</v>
      </c>
    </row>
    <row r="156" outlineLevel="1">
      <c r="A156" s="111"/>
      <c r="B156" s="116"/>
      <c r="C156" s="112"/>
      <c r="D156" s="111"/>
      <c r="E156" s="111"/>
      <c r="F156" s="111"/>
      <c r="G156" s="111"/>
      <c r="H156" s="144"/>
      <c r="I156" s="111"/>
      <c r="J156" s="114"/>
      <c r="K156" s="115"/>
      <c r="L156" s="116"/>
      <c r="M156" s="117" t="str">
        <f>IFERROR(__xludf.DUMMYFUNCTION("IF(
  K156="""",
  """",
  ROUND(
    IF(
      L156="""",
      K156,
      IF(
        ISERROR(FIND(""-"",L156)),
        K156 - VALUE(REGEXEXTRACT(L156,""(\d+)"")),
        K156 * (1 - VALUE(REGEXEXTRACT(L156,""(\d+)""))/100)
      )
    ),
    2
  )
)"&amp;"
")," ")</f>
        <v/>
      </c>
      <c r="N156" s="111"/>
      <c r="O156" s="154" t="b">
        <v>0</v>
      </c>
      <c r="P156" s="119"/>
      <c r="Q156" s="120"/>
      <c r="R156" s="121" t="b">
        <v>0</v>
      </c>
      <c r="S156" s="121" t="b">
        <v>0</v>
      </c>
      <c r="T156" s="122" t="b">
        <v>0</v>
      </c>
    </row>
    <row r="157" outlineLevel="1">
      <c r="A157" s="111"/>
      <c r="B157" s="116"/>
      <c r="C157" s="112"/>
      <c r="D157" s="111"/>
      <c r="E157" s="111"/>
      <c r="F157" s="111"/>
      <c r="G157" s="111"/>
      <c r="H157" s="144"/>
      <c r="I157" s="111"/>
      <c r="J157" s="114"/>
      <c r="K157" s="115"/>
      <c r="L157" s="116"/>
      <c r="M157" s="117" t="str">
        <f>IFERROR(__xludf.DUMMYFUNCTION("IF(
  K157="""",
  """",
  ROUND(
    IF(
      L157="""",
      K157,
      IF(
        ISERROR(FIND(""-"",L157)),
        K157 - VALUE(REGEXEXTRACT(L157,""(\d+)"")),
        K157 * (1 - VALUE(REGEXEXTRACT(L157,""(\d+)""))/100)
      )
    ),
    2
  )
)"&amp;"
")," ")</f>
        <v/>
      </c>
      <c r="N157" s="111"/>
      <c r="O157" s="154" t="b">
        <v>0</v>
      </c>
      <c r="P157" s="119"/>
      <c r="Q157" s="120"/>
      <c r="R157" s="121" t="b">
        <v>0</v>
      </c>
      <c r="S157" s="121" t="b">
        <v>0</v>
      </c>
      <c r="T157" s="122" t="b">
        <v>0</v>
      </c>
    </row>
    <row r="158" outlineLevel="1">
      <c r="A158" s="111"/>
      <c r="B158" s="116"/>
      <c r="C158" s="112"/>
      <c r="D158" s="111"/>
      <c r="E158" s="111"/>
      <c r="F158" s="111"/>
      <c r="G158" s="111"/>
      <c r="H158" s="144"/>
      <c r="I158" s="111"/>
      <c r="J158" s="114"/>
      <c r="K158" s="115"/>
      <c r="L158" s="116"/>
      <c r="M158" s="117" t="str">
        <f>IFERROR(__xludf.DUMMYFUNCTION("IF(
  K158="""",
  """",
  ROUND(
    IF(
      L158="""",
      K158,
      IF(
        ISERROR(FIND(""-"",L158)),
        K158 - VALUE(REGEXEXTRACT(L158,""(\d+)"")),
        K158 * (1 - VALUE(REGEXEXTRACT(L158,""(\d+)""))/100)
      )
    ),
    2
  )
)"&amp;"
")," ")</f>
        <v/>
      </c>
      <c r="N158" s="111"/>
      <c r="O158" s="154" t="b">
        <v>0</v>
      </c>
      <c r="P158" s="119"/>
      <c r="Q158" s="120"/>
      <c r="R158" s="121" t="b">
        <v>0</v>
      </c>
      <c r="S158" s="121" t="b">
        <v>0</v>
      </c>
      <c r="T158" s="122" t="b">
        <v>0</v>
      </c>
    </row>
    <row r="159" outlineLevel="1">
      <c r="A159" s="111"/>
      <c r="B159" s="116"/>
      <c r="C159" s="112"/>
      <c r="D159" s="111"/>
      <c r="E159" s="111"/>
      <c r="F159" s="111"/>
      <c r="G159" s="111"/>
      <c r="H159" s="144"/>
      <c r="I159" s="111"/>
      <c r="J159" s="114"/>
      <c r="K159" s="115"/>
      <c r="L159" s="116"/>
      <c r="M159" s="117" t="str">
        <f>IFERROR(__xludf.DUMMYFUNCTION("IF(
  K159="""",
  """",
  ROUND(
    IF(
      L159="""",
      K159,
      IF(
        ISERROR(FIND(""-"",L159)),
        K159 - VALUE(REGEXEXTRACT(L159,""(\d+)"")),
        K159 * (1 - VALUE(REGEXEXTRACT(L159,""(\d+)""))/100)
      )
    ),
    2
  )
)"&amp;"
")," ")</f>
        <v/>
      </c>
      <c r="N159" s="111"/>
      <c r="O159" s="154" t="b">
        <v>0</v>
      </c>
      <c r="P159" s="119"/>
      <c r="Q159" s="120"/>
      <c r="R159" s="121" t="b">
        <v>0</v>
      </c>
      <c r="S159" s="121" t="b">
        <v>0</v>
      </c>
      <c r="T159" s="122" t="b">
        <v>0</v>
      </c>
    </row>
    <row r="160" outlineLevel="1">
      <c r="A160" s="111"/>
      <c r="B160" s="116"/>
      <c r="C160" s="112"/>
      <c r="D160" s="111"/>
      <c r="E160" s="111"/>
      <c r="F160" s="111"/>
      <c r="G160" s="111"/>
      <c r="H160" s="144"/>
      <c r="I160" s="111"/>
      <c r="J160" s="114"/>
      <c r="K160" s="115"/>
      <c r="L160" s="116"/>
      <c r="M160" s="117" t="str">
        <f>IFERROR(__xludf.DUMMYFUNCTION("IF(
  K160="""",
  """",
  ROUND(
    IF(
      L160="""",
      K160,
      IF(
        ISERROR(FIND(""-"",L160)),
        K160 - VALUE(REGEXEXTRACT(L160,""(\d+)"")),
        K160 * (1 - VALUE(REGEXEXTRACT(L160,""(\d+)""))/100)
      )
    ),
    2
  )
)"&amp;"
")," ")</f>
        <v/>
      </c>
      <c r="N160" s="111"/>
      <c r="O160" s="154" t="b">
        <v>0</v>
      </c>
      <c r="P160" s="119"/>
      <c r="Q160" s="120"/>
      <c r="R160" s="121" t="b">
        <v>0</v>
      </c>
      <c r="S160" s="121" t="b">
        <v>0</v>
      </c>
      <c r="T160" s="122" t="b">
        <v>0</v>
      </c>
    </row>
    <row r="161" outlineLevel="1">
      <c r="A161" s="111"/>
      <c r="B161" s="116"/>
      <c r="C161" s="112"/>
      <c r="D161" s="111"/>
      <c r="E161" s="111"/>
      <c r="F161" s="111"/>
      <c r="G161" s="111"/>
      <c r="H161" s="144"/>
      <c r="I161" s="111"/>
      <c r="J161" s="114"/>
      <c r="K161" s="115"/>
      <c r="L161" s="116"/>
      <c r="M161" s="117" t="str">
        <f>IFERROR(__xludf.DUMMYFUNCTION("IF(
  K161="""",
  """",
  ROUND(
    IF(
      L161="""",
      K161,
      IF(
        ISERROR(FIND(""-"",L161)),
        K161 - VALUE(REGEXEXTRACT(L161,""(\d+)"")),
        K161 * (1 - VALUE(REGEXEXTRACT(L161,""(\d+)""))/100)
      )
    ),
    2
  )
)"&amp;"
")," ")</f>
        <v/>
      </c>
      <c r="N161" s="111"/>
      <c r="O161" s="154" t="b">
        <v>0</v>
      </c>
      <c r="P161" s="119"/>
      <c r="Q161" s="120"/>
      <c r="R161" s="121" t="b">
        <v>0</v>
      </c>
      <c r="S161" s="121" t="b">
        <v>0</v>
      </c>
      <c r="T161" s="122" t="b">
        <v>0</v>
      </c>
    </row>
    <row r="162" outlineLevel="1">
      <c r="A162" s="111"/>
      <c r="B162" s="116"/>
      <c r="C162" s="112"/>
      <c r="D162" s="111"/>
      <c r="E162" s="111"/>
      <c r="F162" s="111"/>
      <c r="G162" s="111"/>
      <c r="H162" s="144"/>
      <c r="I162" s="111"/>
      <c r="J162" s="114"/>
      <c r="K162" s="115"/>
      <c r="L162" s="116"/>
      <c r="M162" s="117" t="str">
        <f>IFERROR(__xludf.DUMMYFUNCTION("IF(
  K162="""",
  """",
  ROUND(
    IF(
      L162="""",
      K162,
      IF(
        ISERROR(FIND(""-"",L162)),
        K162 - VALUE(REGEXEXTRACT(L162,""(\d+)"")),
        K162 * (1 - VALUE(REGEXEXTRACT(L162,""(\d+)""))/100)
      )
    ),
    2
  )
)"&amp;"
")," ")</f>
        <v/>
      </c>
      <c r="N162" s="111"/>
      <c r="O162" s="154" t="b">
        <v>0</v>
      </c>
      <c r="P162" s="119"/>
      <c r="Q162" s="120"/>
      <c r="R162" s="121" t="b">
        <v>0</v>
      </c>
      <c r="S162" s="121" t="b">
        <v>0</v>
      </c>
      <c r="T162" s="122" t="b">
        <v>0</v>
      </c>
    </row>
    <row r="163" outlineLevel="1">
      <c r="A163" s="111"/>
      <c r="B163" s="116"/>
      <c r="C163" s="112"/>
      <c r="D163" s="111"/>
      <c r="E163" s="111"/>
      <c r="F163" s="111"/>
      <c r="G163" s="111"/>
      <c r="H163" s="144"/>
      <c r="I163" s="111"/>
      <c r="J163" s="114"/>
      <c r="K163" s="115"/>
      <c r="L163" s="116"/>
      <c r="M163" s="117" t="str">
        <f>IFERROR(__xludf.DUMMYFUNCTION("IF(
  K163="""",
  """",
  ROUND(
    IF(
      L163="""",
      K163,
      IF(
        ISERROR(FIND(""-"",L163)),
        K163 - VALUE(REGEXEXTRACT(L163,""(\d+)"")),
        K163 * (1 - VALUE(REGEXEXTRACT(L163,""(\d+)""))/100)
      )
    ),
    2
  )
)"&amp;"
")," ")</f>
        <v/>
      </c>
      <c r="N163" s="111"/>
      <c r="O163" s="154" t="b">
        <v>0</v>
      </c>
      <c r="P163" s="119"/>
      <c r="Q163" s="120"/>
      <c r="R163" s="121" t="b">
        <v>0</v>
      </c>
      <c r="S163" s="121" t="b">
        <v>0</v>
      </c>
      <c r="T163" s="122" t="b">
        <v>0</v>
      </c>
    </row>
    <row r="164" outlineLevel="1">
      <c r="A164" s="111"/>
      <c r="B164" s="116"/>
      <c r="C164" s="112"/>
      <c r="D164" s="111"/>
      <c r="E164" s="111"/>
      <c r="F164" s="111"/>
      <c r="G164" s="111"/>
      <c r="H164" s="144"/>
      <c r="I164" s="111"/>
      <c r="J164" s="114"/>
      <c r="K164" s="115"/>
      <c r="L164" s="116"/>
      <c r="M164" s="117" t="str">
        <f>IFERROR(__xludf.DUMMYFUNCTION("IF(
  K164="""",
  """",
  ROUND(
    IF(
      L164="""",
      K164,
      IF(
        ISERROR(FIND(""-"",L164)),
        K164 - VALUE(REGEXEXTRACT(L164,""(\d+)"")),
        K164 * (1 - VALUE(REGEXEXTRACT(L164,""(\d+)""))/100)
      )
    ),
    2
  )
)"&amp;"
")," ")</f>
        <v/>
      </c>
      <c r="N164" s="111"/>
      <c r="O164" s="154" t="b">
        <v>0</v>
      </c>
      <c r="P164" s="119"/>
      <c r="Q164" s="120"/>
      <c r="R164" s="121" t="b">
        <v>0</v>
      </c>
      <c r="S164" s="121" t="b">
        <v>0</v>
      </c>
      <c r="T164" s="122" t="b">
        <v>0</v>
      </c>
    </row>
    <row r="165" outlineLevel="1">
      <c r="A165" s="111"/>
      <c r="B165" s="116"/>
      <c r="C165" s="112"/>
      <c r="D165" s="111"/>
      <c r="E165" s="111"/>
      <c r="F165" s="111"/>
      <c r="G165" s="111"/>
      <c r="H165" s="144"/>
      <c r="I165" s="111"/>
      <c r="J165" s="114"/>
      <c r="K165" s="115"/>
      <c r="L165" s="116"/>
      <c r="M165" s="117" t="str">
        <f>IFERROR(__xludf.DUMMYFUNCTION("IF(
  K165="""",
  """",
  ROUND(
    IF(
      L165="""",
      K165,
      IF(
        ISERROR(FIND(""-"",L165)),
        K165 - VALUE(REGEXEXTRACT(L165,""(\d+)"")),
        K165 * (1 - VALUE(REGEXEXTRACT(L165,""(\d+)""))/100)
      )
    ),
    2
  )
)"&amp;"
")," ")</f>
        <v/>
      </c>
      <c r="N165" s="111"/>
      <c r="O165" s="154" t="b">
        <v>0</v>
      </c>
      <c r="P165" s="119"/>
      <c r="Q165" s="120"/>
      <c r="R165" s="121" t="b">
        <v>0</v>
      </c>
      <c r="S165" s="121" t="b">
        <v>0</v>
      </c>
      <c r="T165" s="122" t="b">
        <v>0</v>
      </c>
    </row>
    <row r="166" outlineLevel="1">
      <c r="A166" s="111"/>
      <c r="B166" s="116"/>
      <c r="C166" s="112"/>
      <c r="D166" s="111"/>
      <c r="E166" s="111"/>
      <c r="F166" s="111"/>
      <c r="G166" s="111"/>
      <c r="H166" s="144"/>
      <c r="I166" s="111"/>
      <c r="J166" s="114"/>
      <c r="K166" s="115"/>
      <c r="L166" s="116"/>
      <c r="M166" s="117" t="str">
        <f>IFERROR(__xludf.DUMMYFUNCTION("IF(
  K166="""",
  """",
  ROUND(
    IF(
      L166="""",
      K166,
      IF(
        ISERROR(FIND(""-"",L166)),
        K166 - VALUE(REGEXEXTRACT(L166,""(\d+)"")),
        K166 * (1 - VALUE(REGEXEXTRACT(L166,""(\d+)""))/100)
      )
    ),
    2
  )
)"&amp;"
")," ")</f>
        <v/>
      </c>
      <c r="N166" s="111"/>
      <c r="O166" s="154" t="b">
        <v>0</v>
      </c>
      <c r="P166" s="119"/>
      <c r="Q166" s="120"/>
      <c r="R166" s="121" t="b">
        <v>0</v>
      </c>
      <c r="S166" s="121" t="b">
        <v>0</v>
      </c>
      <c r="T166" s="122" t="b">
        <v>0</v>
      </c>
    </row>
    <row r="167" outlineLevel="1">
      <c r="A167" s="111"/>
      <c r="B167" s="116"/>
      <c r="C167" s="112"/>
      <c r="D167" s="111"/>
      <c r="E167" s="111"/>
      <c r="F167" s="111"/>
      <c r="G167" s="111"/>
      <c r="H167" s="144"/>
      <c r="I167" s="111"/>
      <c r="J167" s="114"/>
      <c r="K167" s="115"/>
      <c r="L167" s="116"/>
      <c r="M167" s="117" t="str">
        <f>IFERROR(__xludf.DUMMYFUNCTION("IF(
  K167="""",
  """",
  ROUND(
    IF(
      L167="""",
      K167,
      IF(
        ISERROR(FIND(""-"",L167)),
        K167 - VALUE(REGEXEXTRACT(L167,""(\d+)"")),
        K167 * (1 - VALUE(REGEXEXTRACT(L167,""(\d+)""))/100)
      )
    ),
    2
  )
)"&amp;"
")," ")</f>
        <v/>
      </c>
      <c r="N167" s="111"/>
      <c r="O167" s="154" t="b">
        <v>0</v>
      </c>
      <c r="P167" s="119"/>
      <c r="Q167" s="120"/>
      <c r="R167" s="121" t="b">
        <v>0</v>
      </c>
      <c r="S167" s="121" t="b">
        <v>0</v>
      </c>
      <c r="T167" s="122" t="b">
        <v>0</v>
      </c>
    </row>
    <row r="168" outlineLevel="1">
      <c r="A168" s="116"/>
      <c r="B168" s="116"/>
      <c r="C168" s="129"/>
      <c r="D168" s="111"/>
      <c r="E168" s="111"/>
      <c r="F168" s="116"/>
      <c r="G168" s="116"/>
      <c r="H168" s="151"/>
      <c r="I168" s="116"/>
      <c r="J168" s="132"/>
      <c r="K168" s="115"/>
      <c r="L168" s="116"/>
      <c r="M168" s="150" t="str">
        <f>IFERROR(__xludf.DUMMYFUNCTION("IF(
  K168="""",
  """",
  ROUND(
    IF(
      L168="""",
      K168,
      IF(
        ISERROR(FIND(""-"",L168)),
        K168 - VALUE(REGEXEXTRACT(L168,""(\d+)"")),
        K168 * (1 - VALUE(REGEXEXTRACT(L168,""(\d+)""))/100)
      )
    ),
    2
  )
)"&amp;"
")," ")</f>
        <v/>
      </c>
      <c r="N168" s="116"/>
      <c r="O168" s="118" t="b">
        <v>0</v>
      </c>
      <c r="P168" s="119"/>
      <c r="Q168" s="120"/>
      <c r="R168" s="121" t="b">
        <v>0</v>
      </c>
      <c r="S168" s="121" t="b">
        <v>0</v>
      </c>
      <c r="T168" s="122" t="b">
        <v>0</v>
      </c>
    </row>
    <row r="169" outlineLevel="1">
      <c r="A169" s="116"/>
      <c r="B169" s="116"/>
      <c r="C169" s="129"/>
      <c r="D169" s="111"/>
      <c r="E169" s="111"/>
      <c r="F169" s="116"/>
      <c r="G169" s="116"/>
      <c r="H169" s="151"/>
      <c r="I169" s="116"/>
      <c r="J169" s="132"/>
      <c r="K169" s="115"/>
      <c r="L169" s="116"/>
      <c r="M169" s="117" t="str">
        <f>IFERROR(__xludf.DUMMYFUNCTION("IF(
  K169="""",
  """",
  ROUND(
    IF(
      L169="""",
      K169,
      IF(
        ISERROR(FIND(""-"",L169)),
        K169 - VALUE(REGEXEXTRACT(L169,""(\d+)"")),
        K169 * (1 - VALUE(REGEXEXTRACT(L169,""(\d+)""))/100)
      )
    ),
    2
  )
)"&amp;"
")," ")</f>
        <v/>
      </c>
      <c r="N169" s="116"/>
      <c r="O169" s="118" t="b">
        <v>0</v>
      </c>
      <c r="P169" s="119"/>
      <c r="Q169" s="120"/>
      <c r="R169" s="121" t="b">
        <v>0</v>
      </c>
      <c r="S169" s="121" t="b">
        <v>0</v>
      </c>
      <c r="T169" s="122" t="b">
        <v>0</v>
      </c>
    </row>
    <row r="170" outlineLevel="1">
      <c r="A170" s="116"/>
      <c r="B170" s="116"/>
      <c r="C170" s="129"/>
      <c r="D170" s="111"/>
      <c r="E170" s="111"/>
      <c r="F170" s="116"/>
      <c r="G170" s="116"/>
      <c r="H170" s="151"/>
      <c r="I170" s="116"/>
      <c r="J170" s="129"/>
      <c r="K170" s="115"/>
      <c r="L170" s="116"/>
      <c r="M170" s="117" t="str">
        <f>IFERROR(__xludf.DUMMYFUNCTION("IF(
  K170="""",
  """",
  ROUND(
    IF(
      L170="""",
      K170,
      IF(
        ISERROR(FIND(""-"",L170)),
        K170 - VALUE(REGEXEXTRACT(L170,""(\d+)"")),
        K170 * (1 - VALUE(REGEXEXTRACT(L170,""(\d+)""))/100)
      )
    ),
    2
  )
)"&amp;"
")," ")</f>
        <v/>
      </c>
      <c r="N170" s="116"/>
      <c r="O170" s="118" t="b">
        <v>0</v>
      </c>
      <c r="P170" s="119"/>
      <c r="Q170" s="120"/>
      <c r="R170" s="121" t="b">
        <v>0</v>
      </c>
      <c r="S170" s="121" t="b">
        <v>0</v>
      </c>
      <c r="T170" s="122" t="b">
        <v>0</v>
      </c>
    </row>
    <row r="171" outlineLevel="1">
      <c r="A171" s="116"/>
      <c r="B171" s="116"/>
      <c r="C171" s="129"/>
      <c r="D171" s="111"/>
      <c r="E171" s="111"/>
      <c r="F171" s="116"/>
      <c r="G171" s="116"/>
      <c r="H171" s="151"/>
      <c r="I171" s="116"/>
      <c r="J171" s="129"/>
      <c r="K171" s="115"/>
      <c r="L171" s="116"/>
      <c r="M171" s="117" t="str">
        <f>IFERROR(__xludf.DUMMYFUNCTION("IF(
  K171="""",
  """",
  ROUND(
    IF(
      L171="""",
      K171,
      IF(
        ISERROR(FIND(""-"",L171)),
        K171 - VALUE(REGEXEXTRACT(L171,""(\d+)"")),
        K171 * (1 - VALUE(REGEXEXTRACT(L171,""(\d+)""))/100)
      )
    ),
    2
  )
)"&amp;"
")," ")</f>
        <v/>
      </c>
      <c r="N171" s="116"/>
      <c r="O171" s="118" t="b">
        <v>0</v>
      </c>
      <c r="P171" s="119"/>
      <c r="Q171" s="120"/>
      <c r="R171" s="121" t="b">
        <v>0</v>
      </c>
      <c r="S171" s="121" t="b">
        <v>0</v>
      </c>
      <c r="T171" s="122" t="b">
        <v>0</v>
      </c>
    </row>
    <row r="172" outlineLevel="1">
      <c r="A172" s="116"/>
      <c r="B172" s="116"/>
      <c r="C172" s="155"/>
      <c r="D172" s="111"/>
      <c r="E172" s="111"/>
      <c r="F172" s="156"/>
      <c r="G172" s="157"/>
      <c r="H172" s="156"/>
      <c r="I172" s="156"/>
      <c r="J172" s="158"/>
      <c r="K172" s="115"/>
      <c r="L172" s="116"/>
      <c r="M172" s="117" t="str">
        <f>IFERROR(__xludf.DUMMYFUNCTION("IF(
  K172="""",
  """",
  ROUND(
    IF(
      L172="""",
      K172,
      IF(
        ISERROR(FIND(""-"",L172)),
        K172 - VALUE(REGEXEXTRACT(L172,""(\d+)"")),
        K172 * (1 - VALUE(REGEXEXTRACT(L172,""(\d+)""))/100)
      )
    ),
    2
  )
)"&amp;"
")," ")</f>
        <v/>
      </c>
      <c r="N172" s="116"/>
      <c r="O172" s="118" t="b">
        <v>0</v>
      </c>
      <c r="P172" s="119"/>
      <c r="Q172" s="159"/>
      <c r="R172" s="121" t="b">
        <v>0</v>
      </c>
      <c r="S172" s="121" t="b">
        <v>0</v>
      </c>
      <c r="T172" s="122" t="b">
        <v>0</v>
      </c>
    </row>
    <row r="173">
      <c r="A173" s="160" t="s">
        <v>116</v>
      </c>
      <c r="B173" s="161">
        <f>COUNTIF(B92:B172,"ONLINE")+COUNTIF(B92:B172,"SEDE*")</f>
        <v>18</v>
      </c>
      <c r="C173" s="160" t="s">
        <v>116</v>
      </c>
      <c r="D173" s="161">
        <f t="shared" ref="D173:F173" si="9">COUNTIF(D92:D172, "*")</f>
        <v>11</v>
      </c>
      <c r="E173" s="161">
        <f t="shared" si="9"/>
        <v>19</v>
      </c>
      <c r="F173" s="161">
        <f t="shared" si="9"/>
        <v>19</v>
      </c>
      <c r="G173" s="162">
        <f>COUNTA(G92:G172)</f>
        <v>19</v>
      </c>
      <c r="H173" s="161">
        <f t="shared" ref="H173:I173" si="10">COUNTIF(H92:H172, "*")</f>
        <v>19</v>
      </c>
      <c r="I173" s="161">
        <f t="shared" si="10"/>
        <v>19</v>
      </c>
      <c r="J173" s="160" t="s">
        <v>116</v>
      </c>
      <c r="K173" s="163">
        <f>SUM(K92:K172)</f>
        <v>602</v>
      </c>
      <c r="L173" s="161">
        <f>COUNTIF(L92:L172, "*")</f>
        <v>12</v>
      </c>
      <c r="M173" s="163">
        <f>SUM(M92:M172)</f>
        <v>575</v>
      </c>
      <c r="N173" s="161">
        <f>COUNTIF(N92:N130, "*")+COUNTIF(N132:N172, "*")</f>
        <v>15</v>
      </c>
      <c r="O173" s="161">
        <f>SUMPRODUCT(--O92:O172)</f>
        <v>34</v>
      </c>
      <c r="P173" s="161">
        <f t="shared" ref="P173:Q173" si="11">COUNTIF(P92:P172, "*")</f>
        <v>3</v>
      </c>
      <c r="Q173" s="161">
        <f t="shared" si="11"/>
        <v>16</v>
      </c>
      <c r="R173" s="161">
        <f t="shared" ref="R173:T173" si="12">SUMPRODUCT(--R92:R172)</f>
        <v>12</v>
      </c>
      <c r="S173" s="161">
        <f t="shared" si="12"/>
        <v>4</v>
      </c>
      <c r="T173" s="161">
        <f t="shared" si="12"/>
        <v>19</v>
      </c>
    </row>
    <row r="174">
      <c r="A174" s="164" t="s">
        <v>117</v>
      </c>
      <c r="B174" s="165">
        <f>COUNTIF(B92:B172, "SEDE*")</f>
        <v>5</v>
      </c>
      <c r="C174" s="142"/>
      <c r="D174" s="166" t="s">
        <v>126</v>
      </c>
      <c r="E174" s="167" t="s">
        <v>119</v>
      </c>
      <c r="F174" s="168">
        <f>IFERROR(__xludf.DUMMYFUNCTION("IFERROR(TRANSPOSE(SORT(UNIQUE(FILTER($M$92:$M$172,$M$92:$M$172&lt;&gt;"""")))),"""")"),0.0)</f>
        <v>0</v>
      </c>
      <c r="G174" s="168">
        <f>IFERROR(__xludf.DUMMYFUNCTION("""COMPUTED_VALUE"""),30.0)</f>
        <v>30</v>
      </c>
      <c r="H174" s="168">
        <f>IFERROR(__xludf.DUMMYFUNCTION("""COMPUTED_VALUE"""),32.0)</f>
        <v>32</v>
      </c>
      <c r="I174" s="168">
        <f>IFERROR(__xludf.DUMMYFUNCTION("""COMPUTED_VALUE"""),33.0)</f>
        <v>33</v>
      </c>
      <c r="J174" s="168">
        <f>IFERROR(__xludf.DUMMYFUNCTION("""COMPUTED_VALUE"""),35.0)</f>
        <v>35</v>
      </c>
      <c r="K174" s="169">
        <f>IFERROR(__xludf.DUMMYFUNCTION("""COMPUTED_VALUE"""),37.0)</f>
        <v>37</v>
      </c>
      <c r="L174" s="169"/>
      <c r="M174" s="169"/>
      <c r="N174" s="169"/>
      <c r="O174" s="168"/>
      <c r="P174" s="170" t="s">
        <v>40</v>
      </c>
      <c r="Q174" s="171">
        <f>IF(SUM(F176:O176)=0,"",SUM(F176:O176))
</f>
        <v>130</v>
      </c>
      <c r="R174" s="164" t="s">
        <v>120</v>
      </c>
      <c r="S174" s="165" t="str">
        <f>IF(SUM(M173) = SUM(Q174:Q178), "OK", "ERRORE")</f>
        <v>OK</v>
      </c>
    </row>
    <row r="175">
      <c r="A175" s="164" t="s">
        <v>74</v>
      </c>
      <c r="B175" s="165">
        <f>COUNTIF(B92:B172, "ONLINE")</f>
        <v>13</v>
      </c>
      <c r="E175" s="172" t="s">
        <v>121</v>
      </c>
      <c r="F175" s="172">
        <f t="shared" ref="F175:O175" si="13">IF(
  F$174="",
  "",
  COUNTIFS($B$92:$B$172,"*SEDE*",$M$92:$M$172,F$174)
)
</f>
        <v>1</v>
      </c>
      <c r="G175" s="172">
        <f t="shared" si="13"/>
        <v>2</v>
      </c>
      <c r="H175" s="172">
        <f t="shared" si="13"/>
        <v>0</v>
      </c>
      <c r="I175" s="172">
        <f t="shared" si="13"/>
        <v>0</v>
      </c>
      <c r="J175" s="172">
        <f t="shared" si="13"/>
        <v>2</v>
      </c>
      <c r="K175" s="172">
        <f t="shared" si="13"/>
        <v>0</v>
      </c>
      <c r="L175" s="172" t="str">
        <f t="shared" si="13"/>
        <v/>
      </c>
      <c r="M175" s="172" t="str">
        <f t="shared" si="13"/>
        <v/>
      </c>
      <c r="N175" s="172" t="str">
        <f t="shared" si="13"/>
        <v/>
      </c>
      <c r="O175" s="172" t="str">
        <f t="shared" si="13"/>
        <v/>
      </c>
    </row>
    <row r="176">
      <c r="A176" s="245" t="s">
        <v>356</v>
      </c>
      <c r="B176" s="246">
        <f>COUNTIF(E92:E130, "*")</f>
        <v>0</v>
      </c>
      <c r="E176" s="173" t="s">
        <v>122</v>
      </c>
      <c r="F176" s="174">
        <f t="shared" ref="F176:O176" si="14">IF(
  F$174="",
  "",
  SUMIFS($M$92:$M$172,$B$92:$B$172,"*SEDE*",$M$92:$M$172,F$174)
)
</f>
        <v>0</v>
      </c>
      <c r="G176" s="174">
        <f t="shared" si="14"/>
        <v>60</v>
      </c>
      <c r="H176" s="174">
        <f t="shared" si="14"/>
        <v>0</v>
      </c>
      <c r="I176" s="174">
        <f t="shared" si="14"/>
        <v>0</v>
      </c>
      <c r="J176" s="174">
        <f t="shared" si="14"/>
        <v>70</v>
      </c>
      <c r="K176" s="174">
        <f t="shared" si="14"/>
        <v>0</v>
      </c>
      <c r="L176" s="174" t="str">
        <f t="shared" si="14"/>
        <v/>
      </c>
      <c r="M176" s="174" t="str">
        <f t="shared" si="14"/>
        <v/>
      </c>
      <c r="N176" s="174" t="str">
        <f t="shared" si="14"/>
        <v/>
      </c>
      <c r="O176" s="174" t="str">
        <f t="shared" si="14"/>
        <v/>
      </c>
    </row>
    <row r="177">
      <c r="A177" s="245" t="s">
        <v>357</v>
      </c>
      <c r="B177" s="246">
        <f>COUNTIF(E132:E172, "*")</f>
        <v>19</v>
      </c>
      <c r="E177" s="172" t="s">
        <v>123</v>
      </c>
      <c r="F177" s="175">
        <f t="shared" ref="F177:O177" si="15">IF(
  F$174="",
  "",
  COUNTIFS($B$92:$B$172,"*ONLINE*",$M$92:$M$172,F$174)
)
</f>
        <v>0</v>
      </c>
      <c r="G177" s="175">
        <f t="shared" si="15"/>
        <v>1</v>
      </c>
      <c r="H177" s="175">
        <f t="shared" si="15"/>
        <v>3</v>
      </c>
      <c r="I177" s="175">
        <f t="shared" si="15"/>
        <v>1</v>
      </c>
      <c r="J177" s="175">
        <f t="shared" si="15"/>
        <v>5</v>
      </c>
      <c r="K177" s="175">
        <f t="shared" si="15"/>
        <v>3</v>
      </c>
      <c r="L177" s="175" t="str">
        <f t="shared" si="15"/>
        <v/>
      </c>
      <c r="M177" s="175" t="str">
        <f t="shared" si="15"/>
        <v/>
      </c>
      <c r="N177" s="175" t="str">
        <f t="shared" si="15"/>
        <v/>
      </c>
      <c r="O177" s="175" t="str">
        <f t="shared" si="15"/>
        <v/>
      </c>
      <c r="P177" s="170" t="s">
        <v>40</v>
      </c>
      <c r="Q177" s="171">
        <f>IF(SUM(F178:O178)=0,"",SUM(F178:O178))
</f>
        <v>445</v>
      </c>
    </row>
    <row r="178">
      <c r="E178" s="173" t="s">
        <v>124</v>
      </c>
      <c r="F178" s="174">
        <f t="shared" ref="F178:O178" si="16">IF(
  F$174="",
  "",
  SUMIFS($M$92:$M$172,$B$92:$B$172,"*ONLINE*",$M$92:$M$172,F$174)
)
</f>
        <v>0</v>
      </c>
      <c r="G178" s="174">
        <f t="shared" si="16"/>
        <v>30</v>
      </c>
      <c r="H178" s="174">
        <f t="shared" si="16"/>
        <v>96</v>
      </c>
      <c r="I178" s="174">
        <f t="shared" si="16"/>
        <v>33</v>
      </c>
      <c r="J178" s="174">
        <f t="shared" si="16"/>
        <v>175</v>
      </c>
      <c r="K178" s="174">
        <f t="shared" si="16"/>
        <v>111</v>
      </c>
      <c r="L178" s="174" t="str">
        <f t="shared" si="16"/>
        <v/>
      </c>
      <c r="M178" s="174" t="str">
        <f t="shared" si="16"/>
        <v/>
      </c>
      <c r="N178" s="174" t="str">
        <f t="shared" si="16"/>
        <v/>
      </c>
      <c r="O178" s="174" t="str">
        <f t="shared" si="16"/>
        <v/>
      </c>
    </row>
    <row r="179" ht="26.25" customHeight="1">
      <c r="A179" s="250"/>
      <c r="B179" s="250"/>
      <c r="C179" s="235" t="s">
        <v>450</v>
      </c>
      <c r="N179" s="236" t="s">
        <v>214</v>
      </c>
      <c r="O179" s="237">
        <f>SUMPRODUCT(--$O$180:$O$216)</f>
        <v>27</v>
      </c>
      <c r="P179" s="235"/>
      <c r="Q179" s="235"/>
      <c r="R179" s="235"/>
      <c r="S179" s="235"/>
      <c r="T179" s="235"/>
    </row>
    <row r="180" outlineLevel="1">
      <c r="A180" s="116" t="s">
        <v>73</v>
      </c>
      <c r="B180" s="116" t="s">
        <v>74</v>
      </c>
      <c r="C180" s="129">
        <v>46063.0</v>
      </c>
      <c r="D180" s="116" t="s">
        <v>215</v>
      </c>
      <c r="E180" s="116" t="s">
        <v>216</v>
      </c>
      <c r="F180" s="251" t="s">
        <v>217</v>
      </c>
      <c r="G180" s="116">
        <v>3.396859611E9</v>
      </c>
      <c r="H180" s="116" t="s">
        <v>218</v>
      </c>
      <c r="I180" s="116" t="s">
        <v>219</v>
      </c>
      <c r="J180" s="134">
        <v>46063.0</v>
      </c>
      <c r="K180" s="177">
        <v>0.0</v>
      </c>
      <c r="L180" s="116"/>
      <c r="M180" s="178">
        <f>IFERROR(__xludf.DUMMYFUNCTION("IF(
  K180="""",
  """",
  ROUND(
    IF(
      L180="""",
      K180,
      IF(
        ISERROR(FIND(""-"",L180)),
        K180 - VALUE(REGEXEXTRACT(L180,""(\d+)"")),
        K180 * (1 - VALUE(REGEXEXTRACT(L180,""(\d+)""))/100)
      )
    ),
    2
  )
)"&amp;"
"),0.0)</f>
        <v>0</v>
      </c>
      <c r="N180" s="116" t="s">
        <v>100</v>
      </c>
      <c r="O180" s="118" t="b">
        <v>1</v>
      </c>
      <c r="P180" s="252"/>
      <c r="Q180" s="120" t="s">
        <v>81</v>
      </c>
      <c r="R180" s="121" t="b">
        <v>0</v>
      </c>
      <c r="S180" s="121" t="b">
        <v>0</v>
      </c>
      <c r="T180" s="122" t="b">
        <v>0</v>
      </c>
    </row>
    <row r="181" outlineLevel="1">
      <c r="A181" s="116" t="s">
        <v>73</v>
      </c>
      <c r="B181" s="116" t="s">
        <v>74</v>
      </c>
      <c r="C181" s="129">
        <v>46063.0</v>
      </c>
      <c r="D181" s="116" t="s">
        <v>220</v>
      </c>
      <c r="E181" s="116" t="s">
        <v>221</v>
      </c>
      <c r="F181" s="116" t="s">
        <v>222</v>
      </c>
      <c r="G181" s="116">
        <v>3.34605149E9</v>
      </c>
      <c r="H181" s="116" t="s">
        <v>223</v>
      </c>
      <c r="I181" s="116" t="s">
        <v>224</v>
      </c>
      <c r="J181" s="134">
        <v>46063.0</v>
      </c>
      <c r="K181" s="177">
        <v>0.0</v>
      </c>
      <c r="L181" s="116"/>
      <c r="M181" s="178">
        <f>IFERROR(__xludf.DUMMYFUNCTION("IF(
  K181="""",
  """",
  ROUND(
    IF(
      L181="""",
      K181,
      IF(
        ISERROR(FIND(""-"",L181)),
        K181 - VALUE(REGEXEXTRACT(L181,""(\d+)"")),
        K181 * (1 - VALUE(REGEXEXTRACT(L181,""(\d+)""))/100)
      )
    ),
    2
  )
)"&amp;"
"),0.0)</f>
        <v>0</v>
      </c>
      <c r="N181" s="116" t="s">
        <v>100</v>
      </c>
      <c r="O181" s="118" t="b">
        <v>1</v>
      </c>
      <c r="P181" s="179"/>
      <c r="Q181" s="120" t="s">
        <v>81</v>
      </c>
      <c r="R181" s="121" t="b">
        <v>0</v>
      </c>
      <c r="S181" s="121" t="b">
        <v>0</v>
      </c>
      <c r="T181" s="122" t="b">
        <v>0</v>
      </c>
    </row>
    <row r="182" outlineLevel="1">
      <c r="A182" s="116" t="s">
        <v>73</v>
      </c>
      <c r="B182" s="116" t="s">
        <v>74</v>
      </c>
      <c r="C182" s="112">
        <v>46063.0</v>
      </c>
      <c r="D182" s="111" t="s">
        <v>225</v>
      </c>
      <c r="E182" s="111" t="s">
        <v>226</v>
      </c>
      <c r="F182" s="111" t="s">
        <v>227</v>
      </c>
      <c r="G182" s="111">
        <v>3.355278963E9</v>
      </c>
      <c r="H182" s="111" t="s">
        <v>228</v>
      </c>
      <c r="I182" s="111" t="s">
        <v>229</v>
      </c>
      <c r="J182" s="239">
        <v>46063.0</v>
      </c>
      <c r="K182" s="177">
        <v>0.0</v>
      </c>
      <c r="L182" s="116"/>
      <c r="M182" s="178">
        <f>IFERROR(__xludf.DUMMYFUNCTION("IF(
  K182="""",
  """",
  ROUND(
    IF(
      L182="""",
      K182,
      IF(
        ISERROR(FIND(""-"",L182)),
        K182 - VALUE(REGEXEXTRACT(L182,""(\d+)"")),
        K182 * (1 - VALUE(REGEXEXTRACT(L182,""(\d+)""))/100)
      )
    ),
    2
  )
)"&amp;"
"),0.0)</f>
        <v>0</v>
      </c>
      <c r="N182" s="116" t="s">
        <v>100</v>
      </c>
      <c r="O182" s="118" t="b">
        <v>1</v>
      </c>
      <c r="P182" s="179"/>
      <c r="Q182" s="120" t="s">
        <v>81</v>
      </c>
      <c r="R182" s="121" t="b">
        <v>0</v>
      </c>
      <c r="S182" s="121" t="b">
        <v>0</v>
      </c>
      <c r="T182" s="122" t="b">
        <v>0</v>
      </c>
    </row>
    <row r="183" outlineLevel="1">
      <c r="A183" s="116" t="s">
        <v>73</v>
      </c>
      <c r="B183" s="116" t="s">
        <v>74</v>
      </c>
      <c r="C183" s="112">
        <v>46063.0</v>
      </c>
      <c r="D183" s="111" t="s">
        <v>230</v>
      </c>
      <c r="E183" s="111" t="s">
        <v>164</v>
      </c>
      <c r="F183" s="111" t="s">
        <v>231</v>
      </c>
      <c r="G183" s="111">
        <v>3.381642215E9</v>
      </c>
      <c r="H183" s="111" t="s">
        <v>232</v>
      </c>
      <c r="I183" s="111" t="s">
        <v>233</v>
      </c>
      <c r="J183" s="126">
        <v>46063.0</v>
      </c>
      <c r="K183" s="177">
        <v>0.0</v>
      </c>
      <c r="L183" s="116"/>
      <c r="M183" s="178">
        <f>IFERROR(__xludf.DUMMYFUNCTION("IF(
  K183="""",
  """",
  ROUND(
    IF(
      L183="""",
      K183,
      IF(
        ISERROR(FIND(""-"",L183)),
        K183 - VALUE(REGEXEXTRACT(L183,""(\d+)"")),
        K183 * (1 - VALUE(REGEXEXTRACT(L183,""(\d+)""))/100)
      )
    ),
    2
  )
)"&amp;"
"),0.0)</f>
        <v>0</v>
      </c>
      <c r="N183" s="116" t="s">
        <v>100</v>
      </c>
      <c r="O183" s="118" t="b">
        <v>1</v>
      </c>
      <c r="P183" s="179"/>
      <c r="Q183" s="120" t="s">
        <v>81</v>
      </c>
      <c r="R183" s="121" t="b">
        <v>0</v>
      </c>
      <c r="S183" s="121" t="b">
        <v>0</v>
      </c>
      <c r="T183" s="122" t="b">
        <v>0</v>
      </c>
    </row>
    <row r="184" outlineLevel="1">
      <c r="A184" s="116" t="s">
        <v>73</v>
      </c>
      <c r="B184" s="116" t="s">
        <v>74</v>
      </c>
      <c r="C184" s="112">
        <v>46064.0</v>
      </c>
      <c r="D184" s="111" t="s">
        <v>234</v>
      </c>
      <c r="E184" s="111" t="s">
        <v>235</v>
      </c>
      <c r="F184" s="111" t="s">
        <v>236</v>
      </c>
      <c r="G184" s="111">
        <v>3.496579417E9</v>
      </c>
      <c r="H184" s="111" t="s">
        <v>237</v>
      </c>
      <c r="I184" s="111" t="s">
        <v>238</v>
      </c>
      <c r="J184" s="126">
        <v>46064.0</v>
      </c>
      <c r="K184" s="115">
        <v>0.0</v>
      </c>
      <c r="L184" s="116"/>
      <c r="M184" s="178">
        <f>IFERROR(__xludf.DUMMYFUNCTION("IF(
  K184="""",
  """",
  ROUND(
    IF(
      L184="""",
      K184,
      IF(
        ISERROR(FIND(""-"",L184)),
        K184 - VALUE(REGEXEXTRACT(L184,""(\d+)"")),
        K184 * (1 - VALUE(REGEXEXTRACT(L184,""(\d+)""))/100)
      )
    ),
    2
  )
)"&amp;"
"),0.0)</f>
        <v>0</v>
      </c>
      <c r="N184" s="116" t="s">
        <v>100</v>
      </c>
      <c r="O184" s="118" t="b">
        <v>1</v>
      </c>
      <c r="P184" s="179"/>
      <c r="Q184" s="120" t="s">
        <v>81</v>
      </c>
      <c r="R184" s="121" t="b">
        <v>0</v>
      </c>
      <c r="S184" s="121" t="b">
        <v>0</v>
      </c>
      <c r="T184" s="122" t="b">
        <v>0</v>
      </c>
    </row>
    <row r="185" outlineLevel="1">
      <c r="A185" s="116" t="s">
        <v>73</v>
      </c>
      <c r="B185" s="116" t="s">
        <v>74</v>
      </c>
      <c r="C185" s="112">
        <v>46065.0</v>
      </c>
      <c r="D185" s="111"/>
      <c r="E185" s="111" t="s">
        <v>75</v>
      </c>
      <c r="F185" s="111" t="s">
        <v>76</v>
      </c>
      <c r="G185" s="111">
        <v>3.770848139E9</v>
      </c>
      <c r="H185" s="111" t="s">
        <v>451</v>
      </c>
      <c r="I185" s="111" t="s">
        <v>78</v>
      </c>
      <c r="J185" s="112">
        <v>46065.0</v>
      </c>
      <c r="K185" s="177">
        <v>0.0</v>
      </c>
      <c r="L185" s="116"/>
      <c r="M185" s="178">
        <f>IFERROR(__xludf.DUMMYFUNCTION("IF(
  K185="""",
  """",
  ROUND(
    IF(
      L185="""",
      K185,
      IF(
        ISERROR(FIND(""-"",L185)),
        K185 - VALUE(REGEXEXTRACT(L185,""(\d+)"")),
        K185 * (1 - VALUE(REGEXEXTRACT(L185,""(\d+)""))/100)
      )
    ),
    2
  )
)"&amp;"
"),0.0)</f>
        <v>0</v>
      </c>
      <c r="N185" s="116" t="s">
        <v>80</v>
      </c>
      <c r="O185" s="118" t="b">
        <v>0</v>
      </c>
      <c r="P185" s="179"/>
      <c r="Q185" s="120"/>
      <c r="R185" s="121" t="b">
        <v>0</v>
      </c>
      <c r="S185" s="121" t="b">
        <v>0</v>
      </c>
      <c r="T185" s="122" t="b">
        <v>0</v>
      </c>
    </row>
    <row r="186" outlineLevel="1">
      <c r="A186" s="116" t="s">
        <v>239</v>
      </c>
      <c r="B186" s="116"/>
      <c r="C186" s="112">
        <v>46065.0</v>
      </c>
      <c r="D186" s="157"/>
      <c r="E186" s="157" t="s">
        <v>241</v>
      </c>
      <c r="F186" s="111" t="s">
        <v>242</v>
      </c>
      <c r="G186" s="111">
        <v>3.938905093E9</v>
      </c>
      <c r="H186" s="111" t="s">
        <v>243</v>
      </c>
      <c r="I186" s="111" t="s">
        <v>244</v>
      </c>
      <c r="J186" s="126">
        <v>46065.0</v>
      </c>
      <c r="K186" s="253">
        <v>0.0</v>
      </c>
      <c r="L186" s="116"/>
      <c r="M186" s="178">
        <v>0.0</v>
      </c>
      <c r="N186" s="116" t="s">
        <v>162</v>
      </c>
      <c r="O186" s="118" t="b">
        <v>1</v>
      </c>
      <c r="P186" s="179"/>
      <c r="Q186" s="120" t="s">
        <v>81</v>
      </c>
      <c r="R186" s="121" t="b">
        <v>1</v>
      </c>
      <c r="S186" s="121" t="b">
        <v>0</v>
      </c>
      <c r="T186" s="122" t="b">
        <v>0</v>
      </c>
    </row>
    <row r="187" outlineLevel="1">
      <c r="A187" s="116" t="s">
        <v>73</v>
      </c>
      <c r="B187" s="116" t="s">
        <v>74</v>
      </c>
      <c r="C187" s="112">
        <v>46065.0</v>
      </c>
      <c r="D187" s="111"/>
      <c r="E187" s="111" t="s">
        <v>246</v>
      </c>
      <c r="F187" s="111" t="s">
        <v>247</v>
      </c>
      <c r="G187" s="111">
        <v>3.202477786E9</v>
      </c>
      <c r="H187" s="111" t="s">
        <v>248</v>
      </c>
      <c r="I187" s="111" t="s">
        <v>249</v>
      </c>
      <c r="J187" s="126">
        <v>46065.0</v>
      </c>
      <c r="K187" s="177">
        <v>0.0</v>
      </c>
      <c r="L187" s="116"/>
      <c r="M187" s="178">
        <f>IFERROR(__xludf.DUMMYFUNCTION("IF(
  K187="""",
  """",
  ROUND(
    IF(
      L187="""",
      K187,
      IF(
        ISERROR(FIND(""-"",L187)),
        K187 - VALUE(REGEXEXTRACT(L187,""(\d+)"")),
        K187 * (1 - VALUE(REGEXEXTRACT(L187,""(\d+)""))/100)
      )
    ),
    2
  )
)"&amp;"
"),0.0)</f>
        <v>0</v>
      </c>
      <c r="N187" s="116" t="s">
        <v>100</v>
      </c>
      <c r="O187" s="118" t="b">
        <v>1</v>
      </c>
      <c r="P187" s="179"/>
      <c r="Q187" s="120" t="s">
        <v>81</v>
      </c>
      <c r="R187" s="121" t="b">
        <v>0</v>
      </c>
      <c r="S187" s="121" t="b">
        <v>0</v>
      </c>
      <c r="T187" s="122" t="b">
        <v>0</v>
      </c>
    </row>
    <row r="188" outlineLevel="1">
      <c r="A188" s="116" t="s">
        <v>73</v>
      </c>
      <c r="B188" s="116" t="s">
        <v>74</v>
      </c>
      <c r="C188" s="112">
        <v>46066.0</v>
      </c>
      <c r="D188" s="111" t="s">
        <v>254</v>
      </c>
      <c r="E188" s="111" t="s">
        <v>255</v>
      </c>
      <c r="F188" s="111" t="s">
        <v>256</v>
      </c>
      <c r="G188" s="189">
        <v>3.420984354E9</v>
      </c>
      <c r="H188" s="111" t="s">
        <v>257</v>
      </c>
      <c r="I188" s="111" t="s">
        <v>258</v>
      </c>
      <c r="J188" s="126">
        <v>46066.0</v>
      </c>
      <c r="K188" s="177">
        <v>0.0</v>
      </c>
      <c r="L188" s="116"/>
      <c r="M188" s="178">
        <f>IFERROR(__xludf.DUMMYFUNCTION("IF(
  K188="""",
  """",
  ROUND(
    IF(
      L188="""",
      K188,
      IF(
        ISERROR(FIND(""-"",L188)),
        K188 - VALUE(REGEXEXTRACT(L188,""(\d+)"")),
        K188 * (1 - VALUE(REGEXEXTRACT(L188,""(\d+)""))/100)
      )
    ),
    2
  )
)"&amp;"
"),0.0)</f>
        <v>0</v>
      </c>
      <c r="N188" s="116" t="s">
        <v>100</v>
      </c>
      <c r="O188" s="118" t="b">
        <v>1</v>
      </c>
      <c r="P188" s="179"/>
      <c r="Q188" s="120" t="s">
        <v>81</v>
      </c>
      <c r="R188" s="121" t="b">
        <v>0</v>
      </c>
      <c r="S188" s="121" t="b">
        <v>0</v>
      </c>
      <c r="T188" s="122" t="b">
        <v>0</v>
      </c>
    </row>
    <row r="189" outlineLevel="1">
      <c r="A189" s="116" t="s">
        <v>73</v>
      </c>
      <c r="B189" s="116" t="s">
        <v>74</v>
      </c>
      <c r="C189" s="129">
        <v>46067.0</v>
      </c>
      <c r="D189" s="111" t="s">
        <v>259</v>
      </c>
      <c r="E189" s="111" t="s">
        <v>260</v>
      </c>
      <c r="F189" s="116" t="s">
        <v>261</v>
      </c>
      <c r="G189" s="116">
        <v>3.346013249E9</v>
      </c>
      <c r="H189" s="116" t="s">
        <v>262</v>
      </c>
      <c r="I189" s="116" t="s">
        <v>263</v>
      </c>
      <c r="J189" s="135">
        <v>46067.0</v>
      </c>
      <c r="K189" s="177">
        <v>0.0</v>
      </c>
      <c r="L189" s="116"/>
      <c r="M189" s="178">
        <f>IFERROR(__xludf.DUMMYFUNCTION("IF(
  K189="""",
  """",
  ROUND(
    IF(
      L189="""",
      K189,
      IF(
        ISERROR(FIND(""-"",L189)),
        K189 - VALUE(REGEXEXTRACT(L189,""(\d+)"")),
        K189 * (1 - VALUE(REGEXEXTRACT(L189,""(\d+)""))/100)
      )
    ),
    2
  )
)"&amp;"
"),0.0)</f>
        <v>0</v>
      </c>
      <c r="N189" s="116" t="s">
        <v>100</v>
      </c>
      <c r="O189" s="118" t="b">
        <v>1</v>
      </c>
      <c r="P189" s="179"/>
      <c r="Q189" s="120" t="s">
        <v>81</v>
      </c>
      <c r="R189" s="121" t="b">
        <v>0</v>
      </c>
      <c r="S189" s="121" t="b">
        <v>0</v>
      </c>
      <c r="T189" s="122" t="b">
        <v>0</v>
      </c>
    </row>
    <row r="190" outlineLevel="1">
      <c r="A190" s="116" t="s">
        <v>73</v>
      </c>
      <c r="B190" s="116"/>
      <c r="C190" s="129">
        <v>46069.0</v>
      </c>
      <c r="D190" s="111" t="s">
        <v>264</v>
      </c>
      <c r="E190" s="111" t="s">
        <v>265</v>
      </c>
      <c r="F190" s="116" t="s">
        <v>266</v>
      </c>
      <c r="G190" s="116">
        <v>3.896980899E9</v>
      </c>
      <c r="H190" s="116" t="s">
        <v>267</v>
      </c>
      <c r="I190" s="116" t="s">
        <v>268</v>
      </c>
      <c r="J190" s="132">
        <v>46069.0</v>
      </c>
      <c r="K190" s="177">
        <v>0.0</v>
      </c>
      <c r="L190" s="116"/>
      <c r="M190" s="178">
        <f>IFERROR(__xludf.DUMMYFUNCTION("IF(
  K190="""",
  """",
  ROUND(
    IF(
      L190="""",
      K190,
      IF(
        ISERROR(FIND(""-"",L190)),
        K190 - VALUE(REGEXEXTRACT(L190,""(\d+)"")),
        K190 * (1 - VALUE(REGEXEXTRACT(L190,""(\d+)""))/100)
      )
    ),
    2
  )
)"&amp;"
"),0.0)</f>
        <v>0</v>
      </c>
      <c r="N190" s="116" t="s">
        <v>162</v>
      </c>
      <c r="O190" s="118" t="b">
        <v>0</v>
      </c>
      <c r="P190" s="179"/>
      <c r="Q190" s="120" t="s">
        <v>81</v>
      </c>
      <c r="R190" s="121" t="b">
        <v>1</v>
      </c>
      <c r="S190" s="121" t="b">
        <v>0</v>
      </c>
      <c r="T190" s="122" t="b">
        <v>0</v>
      </c>
    </row>
    <row r="191" outlineLevel="1">
      <c r="A191" s="116" t="s">
        <v>73</v>
      </c>
      <c r="B191" s="116" t="s">
        <v>74</v>
      </c>
      <c r="C191" s="129">
        <v>46067.0</v>
      </c>
      <c r="D191" s="111" t="s">
        <v>269</v>
      </c>
      <c r="E191" s="111" t="s">
        <v>270</v>
      </c>
      <c r="F191" s="111" t="s">
        <v>271</v>
      </c>
      <c r="G191" s="111">
        <v>3.807877826E9</v>
      </c>
      <c r="H191" s="111" t="s">
        <v>272</v>
      </c>
      <c r="I191" s="111" t="s">
        <v>273</v>
      </c>
      <c r="J191" s="132">
        <v>46067.0</v>
      </c>
      <c r="K191" s="177">
        <v>0.0</v>
      </c>
      <c r="L191" s="116"/>
      <c r="M191" s="178">
        <f>IFERROR(__xludf.DUMMYFUNCTION("IF(
  K191="""",
  """",
  ROUND(
    IF(
      L191="""",
      K191,
      IF(
        ISERROR(FIND(""-"",L191)),
        K191 - VALUE(REGEXEXTRACT(L191,""(\d+)"")),
        K191 * (1 - VALUE(REGEXEXTRACT(L191,""(\d+)""))/100)
      )
    ),
    2
  )
)"&amp;"
"),0.0)</f>
        <v>0</v>
      </c>
      <c r="N191" s="116" t="s">
        <v>100</v>
      </c>
      <c r="O191" s="118" t="b">
        <v>1</v>
      </c>
      <c r="P191" s="179"/>
      <c r="Q191" s="120" t="s">
        <v>81</v>
      </c>
      <c r="R191" s="121" t="b">
        <v>1</v>
      </c>
      <c r="S191" s="121" t="b">
        <v>0</v>
      </c>
      <c r="T191" s="122" t="b">
        <v>0</v>
      </c>
    </row>
    <row r="192" outlineLevel="1">
      <c r="A192" s="116" t="s">
        <v>73</v>
      </c>
      <c r="B192" s="116" t="s">
        <v>74</v>
      </c>
      <c r="C192" s="129">
        <v>46067.0</v>
      </c>
      <c r="D192" s="111" t="s">
        <v>274</v>
      </c>
      <c r="E192" s="111" t="s">
        <v>275</v>
      </c>
      <c r="F192" s="111" t="s">
        <v>165</v>
      </c>
      <c r="G192" s="111">
        <v>3.486480889E9</v>
      </c>
      <c r="H192" s="111" t="s">
        <v>276</v>
      </c>
      <c r="I192" s="111" t="s">
        <v>277</v>
      </c>
      <c r="J192" s="132">
        <v>46067.0</v>
      </c>
      <c r="K192" s="177">
        <v>0.0</v>
      </c>
      <c r="L192" s="116"/>
      <c r="M192" s="178">
        <f>IFERROR(__xludf.DUMMYFUNCTION("IF(
  K192="""",
  """",
  ROUND(
    IF(
      L192="""",
      K192,
      IF(
        ISERROR(FIND(""-"",L192)),
        K192 - VALUE(REGEXEXTRACT(L192,""(\d+)"")),
        K192 * (1 - VALUE(REGEXEXTRACT(L192,""(\d+)""))/100)
      )
    ),
    2
  )
)"&amp;"
"),0.0)</f>
        <v>0</v>
      </c>
      <c r="N192" s="116" t="s">
        <v>100</v>
      </c>
      <c r="O192" s="118" t="b">
        <v>1</v>
      </c>
      <c r="P192" s="179"/>
      <c r="Q192" s="120" t="s">
        <v>81</v>
      </c>
      <c r="R192" s="121" t="b">
        <v>1</v>
      </c>
      <c r="S192" s="121" t="b">
        <v>0</v>
      </c>
      <c r="T192" s="122" t="b">
        <v>0</v>
      </c>
    </row>
    <row r="193" outlineLevel="1">
      <c r="A193" s="116" t="s">
        <v>73</v>
      </c>
      <c r="B193" s="116" t="s">
        <v>74</v>
      </c>
      <c r="C193" s="129">
        <v>46069.0</v>
      </c>
      <c r="D193" s="111" t="s">
        <v>278</v>
      </c>
      <c r="E193" s="111" t="s">
        <v>279</v>
      </c>
      <c r="F193" s="116" t="s">
        <v>146</v>
      </c>
      <c r="G193" s="116">
        <v>3.923922667E9</v>
      </c>
      <c r="H193" s="116" t="s">
        <v>280</v>
      </c>
      <c r="I193" s="116" t="s">
        <v>281</v>
      </c>
      <c r="J193" s="135">
        <v>46069.0</v>
      </c>
      <c r="K193" s="177">
        <v>0.0</v>
      </c>
      <c r="L193" s="116"/>
      <c r="M193" s="178">
        <f>IFERROR(__xludf.DUMMYFUNCTION("IF(
  K193="""",
  """",
  ROUND(
    IF(
      L193="""",
      K193,
      IF(
        ISERROR(FIND(""-"",L193)),
        K193 - VALUE(REGEXEXTRACT(L193,""(\d+)"")),
        K193 * (1 - VALUE(REGEXEXTRACT(L193,""(\d+)""))/100)
      )
    ),
    2
  )
)"&amp;"
"),0.0)</f>
        <v>0</v>
      </c>
      <c r="N193" s="116" t="s">
        <v>100</v>
      </c>
      <c r="O193" s="118" t="b">
        <v>1</v>
      </c>
      <c r="P193" s="179"/>
      <c r="Q193" s="120" t="s">
        <v>81</v>
      </c>
      <c r="R193" s="121" t="b">
        <v>1</v>
      </c>
      <c r="S193" s="121" t="b">
        <v>0</v>
      </c>
      <c r="T193" s="122" t="b">
        <v>0</v>
      </c>
    </row>
    <row r="194" outlineLevel="1">
      <c r="A194" s="116" t="s">
        <v>73</v>
      </c>
      <c r="B194" s="116" t="s">
        <v>74</v>
      </c>
      <c r="C194" s="129">
        <v>46070.0</v>
      </c>
      <c r="D194" s="111" t="s">
        <v>283</v>
      </c>
      <c r="E194" s="111" t="s">
        <v>284</v>
      </c>
      <c r="F194" s="116" t="s">
        <v>285</v>
      </c>
      <c r="G194" s="116">
        <v>3.478840176E9</v>
      </c>
      <c r="H194" s="116" t="s">
        <v>286</v>
      </c>
      <c r="I194" s="116" t="s">
        <v>287</v>
      </c>
      <c r="J194" s="132">
        <v>46070.0</v>
      </c>
      <c r="K194" s="177">
        <v>0.0</v>
      </c>
      <c r="L194" s="116"/>
      <c r="M194" s="178">
        <f>IFERROR(__xludf.DUMMYFUNCTION("IF(
  K194="""",
  """",
  ROUND(
    IF(
      L194="""",
      K194,
      IF(
        ISERROR(FIND(""-"",L194)),
        K194 - VALUE(REGEXEXTRACT(L194,""(\d+)"")),
        K194 * (1 - VALUE(REGEXEXTRACT(L194,""(\d+)""))/100)
      )
    ),
    2
  )
)"&amp;"
"),0.0)</f>
        <v>0</v>
      </c>
      <c r="N194" s="116" t="s">
        <v>100</v>
      </c>
      <c r="O194" s="118" t="b">
        <v>1</v>
      </c>
      <c r="P194" s="179"/>
      <c r="Q194" s="120" t="s">
        <v>81</v>
      </c>
      <c r="R194" s="121" t="b">
        <v>1</v>
      </c>
      <c r="S194" s="121" t="b">
        <v>0</v>
      </c>
      <c r="T194" s="122" t="b">
        <v>0</v>
      </c>
    </row>
    <row r="195" outlineLevel="1">
      <c r="A195" s="116" t="s">
        <v>73</v>
      </c>
      <c r="B195" s="116" t="s">
        <v>74</v>
      </c>
      <c r="C195" s="112">
        <v>46070.0</v>
      </c>
      <c r="D195" s="157" t="s">
        <v>288</v>
      </c>
      <c r="E195" s="157" t="s">
        <v>289</v>
      </c>
      <c r="F195" s="111" t="s">
        <v>146</v>
      </c>
      <c r="G195" s="111">
        <v>3.49892317E9</v>
      </c>
      <c r="H195" s="111" t="s">
        <v>290</v>
      </c>
      <c r="I195" s="111" t="s">
        <v>291</v>
      </c>
      <c r="J195" s="114">
        <v>46070.0</v>
      </c>
      <c r="K195" s="177">
        <v>0.0</v>
      </c>
      <c r="L195" s="116"/>
      <c r="M195" s="178">
        <f>IFERROR(__xludf.DUMMYFUNCTION("IF(
  K195="""",
  """",
  ROUND(
    IF(
      L195="""",
      K195,
      IF(
        ISERROR(FIND(""-"",L195)),
        K195 - VALUE(REGEXEXTRACT(L195,""(\d+)"")),
        K195 * (1 - VALUE(REGEXEXTRACT(L195,""(\d+)""))/100)
      )
    ),
    2
  )
)"&amp;"
"),0.0)</f>
        <v>0</v>
      </c>
      <c r="N195" s="116" t="s">
        <v>100</v>
      </c>
      <c r="O195" s="118" t="b">
        <v>0</v>
      </c>
      <c r="P195" s="179"/>
      <c r="Q195" s="120" t="s">
        <v>81</v>
      </c>
      <c r="R195" s="121" t="b">
        <v>1</v>
      </c>
      <c r="S195" s="121" t="b">
        <v>0</v>
      </c>
      <c r="T195" s="122" t="b">
        <v>0</v>
      </c>
    </row>
    <row r="196" outlineLevel="1">
      <c r="A196" s="116" t="s">
        <v>73</v>
      </c>
      <c r="B196" s="116" t="s">
        <v>74</v>
      </c>
      <c r="C196" s="129">
        <v>46074.0</v>
      </c>
      <c r="D196" s="111" t="s">
        <v>292</v>
      </c>
      <c r="E196" s="111" t="s">
        <v>293</v>
      </c>
      <c r="F196" s="116" t="s">
        <v>294</v>
      </c>
      <c r="G196" s="116">
        <v>3.286790381E9</v>
      </c>
      <c r="H196" s="116" t="s">
        <v>295</v>
      </c>
      <c r="I196" s="116" t="s">
        <v>296</v>
      </c>
      <c r="J196" s="135">
        <v>46074.0</v>
      </c>
      <c r="K196" s="177">
        <v>0.0</v>
      </c>
      <c r="L196" s="131"/>
      <c r="M196" s="178">
        <f>IFERROR(__xludf.DUMMYFUNCTION("IF(
  K196="""",
  """",
  ROUND(
    IF(
      L196="""",
      K196,
      IF(
        ISERROR(FIND(""-"",L196)),
        K196 - VALUE(REGEXEXTRACT(L196,""(\d+)"")),
        K196 * (1 - VALUE(REGEXEXTRACT(L196,""(\d+)""))/100)
      )
    ),
    2
  )
)"&amp;"
"),0.0)</f>
        <v>0</v>
      </c>
      <c r="N196" s="116" t="s">
        <v>100</v>
      </c>
      <c r="O196" s="118" t="b">
        <v>1</v>
      </c>
      <c r="P196" s="179"/>
      <c r="Q196" s="120" t="s">
        <v>81</v>
      </c>
      <c r="R196" s="121" t="b">
        <v>1</v>
      </c>
      <c r="S196" s="121" t="b">
        <v>0</v>
      </c>
      <c r="T196" s="122" t="b">
        <v>0</v>
      </c>
    </row>
    <row r="197" outlineLevel="1">
      <c r="A197" s="116" t="s">
        <v>73</v>
      </c>
      <c r="B197" s="116" t="s">
        <v>74</v>
      </c>
      <c r="C197" s="129">
        <v>46074.0</v>
      </c>
      <c r="D197" s="111"/>
      <c r="E197" s="111" t="s">
        <v>297</v>
      </c>
      <c r="F197" s="111" t="s">
        <v>298</v>
      </c>
      <c r="G197" s="111">
        <v>3.497103252E9</v>
      </c>
      <c r="H197" s="240" t="s">
        <v>299</v>
      </c>
      <c r="I197" s="240" t="s">
        <v>300</v>
      </c>
      <c r="J197" s="126">
        <v>46074.0</v>
      </c>
      <c r="K197" s="177">
        <v>0.0</v>
      </c>
      <c r="L197" s="116"/>
      <c r="M197" s="178">
        <f>IFERROR(__xludf.DUMMYFUNCTION("IF(
  K197="""",
  """",
  ROUND(
    IF(
      L197="""",
      K197,
      IF(
        ISERROR(FIND(""-"",L197)),
        K197 - VALUE(REGEXEXTRACT(L197,""(\d+)"")),
        K197 * (1 - VALUE(REGEXEXTRACT(L197,""(\d+)""))/100)
      )
    ),
    2
  )
)"&amp;"
"),0.0)</f>
        <v>0</v>
      </c>
      <c r="N197" s="116" t="s">
        <v>80</v>
      </c>
      <c r="O197" s="118" t="b">
        <v>1</v>
      </c>
      <c r="P197" s="254" t="s">
        <v>301</v>
      </c>
      <c r="Q197" s="120" t="s">
        <v>81</v>
      </c>
      <c r="R197" s="121" t="b">
        <v>0</v>
      </c>
      <c r="S197" s="121" t="b">
        <v>0</v>
      </c>
      <c r="T197" s="122" t="b">
        <v>0</v>
      </c>
    </row>
    <row r="198" outlineLevel="1">
      <c r="A198" s="116" t="s">
        <v>73</v>
      </c>
      <c r="B198" s="116" t="s">
        <v>74</v>
      </c>
      <c r="C198" s="129">
        <v>46074.0</v>
      </c>
      <c r="D198" s="111"/>
      <c r="E198" s="111" t="s">
        <v>297</v>
      </c>
      <c r="F198" s="116" t="s">
        <v>298</v>
      </c>
      <c r="G198" s="116">
        <v>3.497103252E9</v>
      </c>
      <c r="H198" s="116" t="s">
        <v>299</v>
      </c>
      <c r="I198" s="116" t="s">
        <v>300</v>
      </c>
      <c r="J198" s="132">
        <v>46074.0</v>
      </c>
      <c r="K198" s="177">
        <v>0.0</v>
      </c>
      <c r="L198" s="116"/>
      <c r="M198" s="178">
        <f>IFERROR(__xludf.DUMMYFUNCTION("IF(
  K198="""",
  """",
  ROUND(
    IF(
      L198="""",
      K198,
      IF(
        ISERROR(FIND(""-"",L198)),
        K198 - VALUE(REGEXEXTRACT(L198,""(\d+)"")),
        K198 * (1 - VALUE(REGEXEXTRACT(L198,""(\d+)""))/100)
      )
    ),
    2
  )
)"&amp;"
"),0.0)</f>
        <v>0</v>
      </c>
      <c r="N198" s="116" t="s">
        <v>80</v>
      </c>
      <c r="O198" s="118" t="b">
        <v>1</v>
      </c>
      <c r="P198" s="179"/>
      <c r="Q198" s="120" t="s">
        <v>81</v>
      </c>
      <c r="R198" s="121" t="b">
        <v>0</v>
      </c>
      <c r="S198" s="121" t="b">
        <v>0</v>
      </c>
      <c r="T198" s="122" t="b">
        <v>0</v>
      </c>
    </row>
    <row r="199" outlineLevel="1">
      <c r="A199" s="116" t="s">
        <v>73</v>
      </c>
      <c r="B199" s="116" t="s">
        <v>74</v>
      </c>
      <c r="C199" s="112">
        <v>46075.0</v>
      </c>
      <c r="D199" s="116"/>
      <c r="E199" s="116" t="s">
        <v>302</v>
      </c>
      <c r="F199" s="111" t="s">
        <v>303</v>
      </c>
      <c r="G199" s="111">
        <v>3.272618075E9</v>
      </c>
      <c r="H199" s="111" t="s">
        <v>304</v>
      </c>
      <c r="I199" s="111" t="s">
        <v>305</v>
      </c>
      <c r="J199" s="114">
        <v>46075.0</v>
      </c>
      <c r="K199" s="177">
        <v>0.0</v>
      </c>
      <c r="L199" s="116"/>
      <c r="M199" s="178">
        <f>IFERROR(__xludf.DUMMYFUNCTION("IF(
  K199="""",
  """",
  ROUND(
    IF(
      L199="""",
      K199,
      IF(
        ISERROR(FIND(""-"",L199)),
        K199 - VALUE(REGEXEXTRACT(L199,""(\d+)"")),
        K199 * (1 - VALUE(REGEXEXTRACT(L199,""(\d+)""))/100)
      )
    ),
    2
  )
)"&amp;"
"),0.0)</f>
        <v>0</v>
      </c>
      <c r="N199" s="116" t="s">
        <v>80</v>
      </c>
      <c r="O199" s="118" t="b">
        <v>1</v>
      </c>
      <c r="P199" s="179"/>
      <c r="Q199" s="120" t="s">
        <v>81</v>
      </c>
      <c r="R199" s="121" t="b">
        <v>0</v>
      </c>
      <c r="S199" s="121" t="b">
        <v>0</v>
      </c>
      <c r="T199" s="122" t="b">
        <v>0</v>
      </c>
    </row>
    <row r="200" outlineLevel="1">
      <c r="A200" s="116" t="s">
        <v>73</v>
      </c>
      <c r="B200" s="116" t="s">
        <v>74</v>
      </c>
      <c r="C200" s="112">
        <v>46080.0</v>
      </c>
      <c r="D200" s="116" t="s">
        <v>306</v>
      </c>
      <c r="E200" s="116" t="s">
        <v>307</v>
      </c>
      <c r="F200" s="111" t="s">
        <v>308</v>
      </c>
      <c r="G200" s="111">
        <v>3.482727792E9</v>
      </c>
      <c r="H200" s="111" t="s">
        <v>309</v>
      </c>
      <c r="I200" s="111" t="s">
        <v>310</v>
      </c>
      <c r="J200" s="126">
        <v>46080.0</v>
      </c>
      <c r="K200" s="253">
        <v>0.0</v>
      </c>
      <c r="L200" s="116"/>
      <c r="M200" s="178">
        <f>IFERROR(__xludf.DUMMYFUNCTION("IF(
  K200="""",
  """",
  ROUND(
    IF(
      L200="""",
      K200,
      IF(
        ISERROR(FIND(""-"",L200)),
        K200 - VALUE(REGEXEXTRACT(L200,""(\d+)"")),
        K200 * (1 - VALUE(REGEXEXTRACT(L200,""(\d+)""))/100)
      )
    ),
    2
  )
)"&amp;"
"),0.0)</f>
        <v>0</v>
      </c>
      <c r="N200" s="116" t="s">
        <v>100</v>
      </c>
      <c r="O200" s="118" t="b">
        <v>1</v>
      </c>
      <c r="P200" s="254"/>
      <c r="Q200" s="120" t="s">
        <v>81</v>
      </c>
      <c r="R200" s="121" t="b">
        <v>1</v>
      </c>
      <c r="S200" s="121" t="b">
        <v>0</v>
      </c>
      <c r="T200" s="122" t="b">
        <v>1</v>
      </c>
    </row>
    <row r="201" outlineLevel="1">
      <c r="A201" s="116" t="s">
        <v>239</v>
      </c>
      <c r="B201" s="116"/>
      <c r="C201" s="112">
        <v>46066.0</v>
      </c>
      <c r="D201" s="157"/>
      <c r="E201" s="157" t="s">
        <v>250</v>
      </c>
      <c r="F201" s="111" t="s">
        <v>251</v>
      </c>
      <c r="G201" s="111">
        <v>3.39886405E9</v>
      </c>
      <c r="H201" s="111" t="s">
        <v>252</v>
      </c>
      <c r="I201" s="111" t="s">
        <v>253</v>
      </c>
      <c r="J201" s="126">
        <v>46066.0</v>
      </c>
      <c r="K201" s="253">
        <v>0.0</v>
      </c>
      <c r="L201" s="116"/>
      <c r="M201" s="178">
        <f>IFERROR(__xludf.DUMMYFUNCTION("IF(
  K201="""",
  """",
  ROUND(
    IF(
      L201="""",
      K201,
      IF(
        ISERROR(FIND(""-"",L201)),
        K201 - VALUE(REGEXEXTRACT(L201,""(\d+)"")),
        K201 * (1 - VALUE(REGEXEXTRACT(L201,""(\d+)""))/100)
      )
    ),
    2
  )
)"&amp;"
"),0.0)</f>
        <v>0</v>
      </c>
      <c r="N201" s="116" t="s">
        <v>162</v>
      </c>
      <c r="O201" s="118" t="b">
        <v>1</v>
      </c>
      <c r="P201" s="254"/>
      <c r="Q201" s="120" t="s">
        <v>81</v>
      </c>
      <c r="R201" s="121" t="b">
        <v>1</v>
      </c>
      <c r="S201" s="121" t="b">
        <v>0</v>
      </c>
      <c r="T201" s="122" t="b">
        <v>1</v>
      </c>
    </row>
    <row r="202" outlineLevel="1">
      <c r="A202" s="116" t="s">
        <v>73</v>
      </c>
      <c r="B202" s="116" t="s">
        <v>74</v>
      </c>
      <c r="C202" s="129">
        <v>46082.0</v>
      </c>
      <c r="D202" s="111"/>
      <c r="E202" s="111" t="s">
        <v>311</v>
      </c>
      <c r="F202" s="116" t="s">
        <v>312</v>
      </c>
      <c r="G202" s="116">
        <v>3.468106903E9</v>
      </c>
      <c r="H202" s="116" t="s">
        <v>313</v>
      </c>
      <c r="I202" s="116" t="s">
        <v>314</v>
      </c>
      <c r="J202" s="134">
        <v>46082.0</v>
      </c>
      <c r="K202" s="115"/>
      <c r="L202" s="116"/>
      <c r="M202" s="178" t="str">
        <f>IFERROR(__xludf.DUMMYFUNCTION("IF(
  K202="""",
  """",
  ROUND(
    IF(
      L202="""",
      K202,
      IF(
        ISERROR(FIND(""-"",L202)),
        K202 - VALUE(REGEXEXTRACT(L202,""(\d+)"")),
        K202 * (1 - VALUE(REGEXEXTRACT(L202,""(\d+)""))/100)
      )
    ),
    2
  )
)"&amp;"
")," ")</f>
        <v/>
      </c>
      <c r="N202" s="116" t="s">
        <v>80</v>
      </c>
      <c r="O202" s="118" t="b">
        <v>1</v>
      </c>
      <c r="P202" s="179"/>
      <c r="Q202" s="120" t="s">
        <v>81</v>
      </c>
      <c r="R202" s="121" t="b">
        <v>0</v>
      </c>
      <c r="S202" s="121" t="b">
        <v>0</v>
      </c>
      <c r="T202" s="122" t="b">
        <v>0</v>
      </c>
    </row>
    <row r="203" outlineLevel="1">
      <c r="A203" s="116" t="s">
        <v>73</v>
      </c>
      <c r="B203" s="116" t="s">
        <v>74</v>
      </c>
      <c r="C203" s="129">
        <v>46083.0</v>
      </c>
      <c r="D203" s="111"/>
      <c r="E203" s="111" t="s">
        <v>315</v>
      </c>
      <c r="F203" s="116" t="s">
        <v>316</v>
      </c>
      <c r="G203" s="116">
        <v>3.33420102E9</v>
      </c>
      <c r="H203" s="116" t="s">
        <v>317</v>
      </c>
      <c r="I203" s="116" t="s">
        <v>318</v>
      </c>
      <c r="J203" s="134">
        <v>46083.0</v>
      </c>
      <c r="K203" s="177">
        <v>0.0</v>
      </c>
      <c r="L203" s="116"/>
      <c r="M203" s="178">
        <f>IFERROR(__xludf.DUMMYFUNCTION("IF(
  K203="""",
  """",
  ROUND(
    IF(
      L203="""",
      K203,
      IF(
        ISERROR(FIND(""-"",L203)),
        K203 - VALUE(REGEXEXTRACT(L203,""(\d+)"")),
        K203 * (1 - VALUE(REGEXEXTRACT(L203,""(\d+)""))/100)
      )
    ),
    2
  )
)"&amp;"
"),0.0)</f>
        <v>0</v>
      </c>
      <c r="N203" s="116" t="s">
        <v>80</v>
      </c>
      <c r="O203" s="118" t="b">
        <v>1</v>
      </c>
      <c r="P203" s="179"/>
      <c r="Q203" s="120" t="s">
        <v>81</v>
      </c>
      <c r="R203" s="121" t="b">
        <v>0</v>
      </c>
      <c r="S203" s="121" t="b">
        <v>0</v>
      </c>
      <c r="T203" s="122" t="b">
        <v>0</v>
      </c>
    </row>
    <row r="204" outlineLevel="1">
      <c r="A204" s="116" t="s">
        <v>73</v>
      </c>
      <c r="B204" s="116" t="s">
        <v>74</v>
      </c>
      <c r="C204" s="112">
        <v>46092.0</v>
      </c>
      <c r="D204" s="111"/>
      <c r="E204" s="111" t="s">
        <v>330</v>
      </c>
      <c r="F204" s="111" t="s">
        <v>7</v>
      </c>
      <c r="G204" s="111">
        <v>3.342155647E9</v>
      </c>
      <c r="H204" s="111" t="s">
        <v>331</v>
      </c>
      <c r="I204" s="111" t="s">
        <v>332</v>
      </c>
      <c r="J204" s="126">
        <v>46092.0</v>
      </c>
      <c r="K204" s="177">
        <v>0.0</v>
      </c>
      <c r="L204" s="116"/>
      <c r="M204" s="178">
        <f>IFERROR(__xludf.DUMMYFUNCTION("IF(
  K204="""",
  """",
  ROUND(
    IF(
      L204="""",
      K204,
      IF(
        ISERROR(FIND(""-"",L204)),
        K204 - VALUE(REGEXEXTRACT(L204,""(\d+)"")),
        K204 * (1 - VALUE(REGEXEXTRACT(L204,""(\d+)""))/100)
      )
    ),
    2
  )
)"&amp;"
"),0.0)</f>
        <v>0</v>
      </c>
      <c r="N204" s="116" t="s">
        <v>80</v>
      </c>
      <c r="O204" s="118" t="b">
        <v>1</v>
      </c>
      <c r="P204" s="254"/>
      <c r="Q204" s="120" t="s">
        <v>81</v>
      </c>
      <c r="R204" s="121" t="b">
        <v>0</v>
      </c>
      <c r="S204" s="121" t="b">
        <v>0</v>
      </c>
      <c r="T204" s="122" t="b">
        <v>0</v>
      </c>
    </row>
    <row r="205" outlineLevel="1">
      <c r="A205" s="116" t="s">
        <v>73</v>
      </c>
      <c r="B205" s="116" t="s">
        <v>74</v>
      </c>
      <c r="C205" s="129">
        <v>46092.0</v>
      </c>
      <c r="D205" s="116"/>
      <c r="E205" s="116" t="s">
        <v>333</v>
      </c>
      <c r="F205" s="116" t="s">
        <v>7</v>
      </c>
      <c r="G205" s="116">
        <v>3.401295574E9</v>
      </c>
      <c r="H205" s="116" t="s">
        <v>334</v>
      </c>
      <c r="I205" s="116" t="s">
        <v>335</v>
      </c>
      <c r="J205" s="134">
        <v>46092.0</v>
      </c>
      <c r="K205" s="177">
        <v>0.0</v>
      </c>
      <c r="L205" s="116"/>
      <c r="M205" s="178">
        <f>IFERROR(__xludf.DUMMYFUNCTION("IF(
  K205="""",
  """",
  ROUND(
    IF(
      L205="""",
      K205,
      IF(
        ISERROR(FIND(""-"",L205)),
        K205 - VALUE(REGEXEXTRACT(L205,""(\d+)"")),
        K205 * (1 - VALUE(REGEXEXTRACT(L205,""(\d+)""))/100)
      )
    ),
    2
  )
)"&amp;"
"),0.0)</f>
        <v>0</v>
      </c>
      <c r="N205" s="116" t="s">
        <v>80</v>
      </c>
      <c r="O205" s="118" t="b">
        <v>1</v>
      </c>
      <c r="P205" s="179"/>
      <c r="Q205" s="120" t="s">
        <v>81</v>
      </c>
      <c r="R205" s="121" t="b">
        <v>0</v>
      </c>
      <c r="S205" s="121" t="b">
        <v>0</v>
      </c>
      <c r="T205" s="122" t="b">
        <v>0</v>
      </c>
    </row>
    <row r="206" outlineLevel="1">
      <c r="A206" s="116" t="s">
        <v>73</v>
      </c>
      <c r="B206" s="116" t="s">
        <v>74</v>
      </c>
      <c r="C206" s="129">
        <v>46093.0</v>
      </c>
      <c r="D206" s="111" t="s">
        <v>336</v>
      </c>
      <c r="E206" s="111" t="s">
        <v>337</v>
      </c>
      <c r="F206" s="116" t="s">
        <v>338</v>
      </c>
      <c r="G206" s="116">
        <v>9.178530786E9</v>
      </c>
      <c r="H206" s="116" t="s">
        <v>339</v>
      </c>
      <c r="I206" s="116" t="s">
        <v>340</v>
      </c>
      <c r="J206" s="134">
        <v>46093.0</v>
      </c>
      <c r="K206" s="177">
        <v>0.0</v>
      </c>
      <c r="L206" s="116"/>
      <c r="M206" s="178">
        <f>IFERROR(__xludf.DUMMYFUNCTION("IF(
  K206="""",
  """",
  ROUND(
    IF(
      L206="""",
      K206,
      IF(
        ISERROR(FIND(""-"",L206)),
        K206 - VALUE(REGEXEXTRACT(L206,""(\d+)"")),
        K206 * (1 - VALUE(REGEXEXTRACT(L206,""(\d+)""))/100)
      )
    ),
    2
  )
)"&amp;"
"),0.0)</f>
        <v>0</v>
      </c>
      <c r="N206" s="116" t="s">
        <v>100</v>
      </c>
      <c r="O206" s="118" t="b">
        <v>1</v>
      </c>
      <c r="P206" s="179"/>
      <c r="Q206" s="120" t="s">
        <v>81</v>
      </c>
      <c r="R206" s="121" t="b">
        <v>1</v>
      </c>
      <c r="S206" s="121" t="b">
        <v>0</v>
      </c>
      <c r="T206" s="122" t="b">
        <v>0</v>
      </c>
    </row>
    <row r="207" outlineLevel="1">
      <c r="A207" s="116" t="s">
        <v>73</v>
      </c>
      <c r="B207" s="116" t="s">
        <v>74</v>
      </c>
      <c r="C207" s="129">
        <v>46095.0</v>
      </c>
      <c r="D207" s="111" t="s">
        <v>341</v>
      </c>
      <c r="E207" s="111" t="s">
        <v>342</v>
      </c>
      <c r="F207" s="116" t="s">
        <v>343</v>
      </c>
      <c r="G207" s="116">
        <v>3.93760494267E11</v>
      </c>
      <c r="H207" s="116" t="s">
        <v>344</v>
      </c>
      <c r="I207" s="116" t="s">
        <v>345</v>
      </c>
      <c r="J207" s="132">
        <v>46095.0</v>
      </c>
      <c r="K207" s="115">
        <v>0.0</v>
      </c>
      <c r="L207" s="116"/>
      <c r="M207" s="178">
        <f>IFERROR(__xludf.DUMMYFUNCTION("IF(
  K207="""",
  """",
  ROUND(
    IF(
      L207="""",
      K207,
      IF(
        ISERROR(FIND(""-"",L207)),
        K207 - VALUE(REGEXEXTRACT(L207,""(\d+)"")),
        K207 * (1 - VALUE(REGEXEXTRACT(L207,""(\d+)""))/100)
      )
    ),
    2
  )
)"&amp;"
"),0.0)</f>
        <v>0</v>
      </c>
      <c r="N207" s="116" t="s">
        <v>100</v>
      </c>
      <c r="O207" s="118" t="b">
        <v>1</v>
      </c>
      <c r="P207" s="179"/>
      <c r="Q207" s="120" t="s">
        <v>81</v>
      </c>
      <c r="R207" s="121" t="b">
        <v>1</v>
      </c>
      <c r="S207" s="121" t="b">
        <v>0</v>
      </c>
      <c r="T207" s="122" t="b">
        <v>0</v>
      </c>
    </row>
    <row r="208" outlineLevel="1">
      <c r="A208" s="116" t="s">
        <v>73</v>
      </c>
      <c r="B208" s="116" t="s">
        <v>74</v>
      </c>
      <c r="C208" s="129">
        <v>46095.0</v>
      </c>
      <c r="D208" s="116"/>
      <c r="E208" s="111" t="s">
        <v>346</v>
      </c>
      <c r="F208" s="116" t="s">
        <v>347</v>
      </c>
      <c r="G208" s="116">
        <v>3.460892521E9</v>
      </c>
      <c r="H208" s="116" t="s">
        <v>348</v>
      </c>
      <c r="I208" s="116" t="s">
        <v>349</v>
      </c>
      <c r="J208" s="132">
        <v>46095.0</v>
      </c>
      <c r="K208" s="177">
        <v>0.0</v>
      </c>
      <c r="L208" s="116"/>
      <c r="M208" s="178">
        <f>IFERROR(__xludf.DUMMYFUNCTION("IF(
  K208="""",
  """",
  ROUND(
    IF(
      L208="""",
      K208,
      IF(
        ISERROR(FIND(""-"",L208)),
        K208 - VALUE(REGEXEXTRACT(L208,""(\d+)"")),
        K208 * (1 - VALUE(REGEXEXTRACT(L208,""(\d+)""))/100)
      )
    ),
    2
  )
)"&amp;"
"),0.0)</f>
        <v>0</v>
      </c>
      <c r="N208" s="116" t="s">
        <v>80</v>
      </c>
      <c r="O208" s="118" t="b">
        <v>1</v>
      </c>
      <c r="P208" s="179"/>
      <c r="Q208" s="120" t="s">
        <v>81</v>
      </c>
      <c r="R208" s="121" t="b">
        <v>0</v>
      </c>
      <c r="S208" s="121" t="b">
        <v>0</v>
      </c>
      <c r="T208" s="122" t="b">
        <v>0</v>
      </c>
    </row>
    <row r="209" outlineLevel="1">
      <c r="A209" s="116" t="s">
        <v>73</v>
      </c>
      <c r="B209" s="116" t="s">
        <v>74</v>
      </c>
      <c r="C209" s="129">
        <v>46095.0</v>
      </c>
      <c r="D209" s="111"/>
      <c r="E209" s="111" t="s">
        <v>350</v>
      </c>
      <c r="F209" s="116" t="s">
        <v>351</v>
      </c>
      <c r="G209" s="116">
        <v>3.476833177E9</v>
      </c>
      <c r="H209" s="116" t="s">
        <v>352</v>
      </c>
      <c r="I209" s="116" t="s">
        <v>353</v>
      </c>
      <c r="J209" s="132">
        <v>46095.0</v>
      </c>
      <c r="K209" s="115">
        <v>0.0</v>
      </c>
      <c r="L209" s="116"/>
      <c r="M209" s="178">
        <f>IFERROR(__xludf.DUMMYFUNCTION("IF(
  K209="""",
  """",
  ROUND(
    IF(
      L209="""",
      K209,
      IF(
        ISERROR(FIND(""-"",L209)),
        K209 - VALUE(REGEXEXTRACT(L209,""(\d+)"")),
        K209 * (1 - VALUE(REGEXEXTRACT(L209,""(\d+)""))/100)
      )
    ),
    2
  )
)"&amp;"
"),0.0)</f>
        <v>0</v>
      </c>
      <c r="N209" s="116" t="s">
        <v>80</v>
      </c>
      <c r="O209" s="118" t="b">
        <v>1</v>
      </c>
      <c r="P209" s="179"/>
      <c r="Q209" s="120" t="s">
        <v>81</v>
      </c>
      <c r="R209" s="121" t="b">
        <v>0</v>
      </c>
      <c r="S209" s="121" t="b">
        <v>0</v>
      </c>
      <c r="T209" s="122" t="b">
        <v>0</v>
      </c>
    </row>
    <row r="210" outlineLevel="1">
      <c r="A210" s="116"/>
      <c r="B210" s="116"/>
      <c r="C210" s="129"/>
      <c r="D210" s="157"/>
      <c r="E210" s="157"/>
      <c r="F210" s="116"/>
      <c r="G210" s="116"/>
      <c r="H210" s="116"/>
      <c r="I210" s="116"/>
      <c r="J210" s="129"/>
      <c r="K210" s="177"/>
      <c r="L210" s="116"/>
      <c r="M210" s="178" t="str">
        <f>IFERROR(__xludf.DUMMYFUNCTION("IF(
  K210="""",
  """",
  ROUND(
    IF(
      L210="""",
      K210,
      IF(
        ISERROR(FIND(""-"",L210)),
        K210 - VALUE(REGEXEXTRACT(L210,""(\d+)"")),
        K210 * (1 - VALUE(REGEXEXTRACT(L210,""(\d+)""))/100)
      )
    ),
    2
  )
)"&amp;"
")," ")</f>
        <v/>
      </c>
      <c r="N210" s="116"/>
      <c r="O210" s="118" t="b">
        <v>0</v>
      </c>
      <c r="P210" s="179"/>
      <c r="Q210" s="120"/>
      <c r="R210" s="121" t="b">
        <v>0</v>
      </c>
      <c r="S210" s="121" t="b">
        <v>0</v>
      </c>
      <c r="T210" s="122" t="b">
        <v>0</v>
      </c>
    </row>
    <row r="211" outlineLevel="1">
      <c r="A211" s="116"/>
      <c r="B211" s="116"/>
      <c r="C211" s="133"/>
      <c r="D211" s="116"/>
      <c r="E211" s="116"/>
      <c r="F211" s="116"/>
      <c r="G211" s="116"/>
      <c r="H211" s="116"/>
      <c r="I211" s="116"/>
      <c r="J211" s="134"/>
      <c r="K211" s="177"/>
      <c r="L211" s="116"/>
      <c r="M211" s="178" t="str">
        <f>IFERROR(__xludf.DUMMYFUNCTION("IF(
  K211="""",
  """",
  ROUND(
    IF(
      L211="""",
      K211,
      IF(
        ISERROR(FIND(""-"",L211)),
        K211 - VALUE(REGEXEXTRACT(L211,""(\d+)"")),
        K211 * (1 - VALUE(REGEXEXTRACT(L211,""(\d+)""))/100)
      )
    ),
    2
  )
)"&amp;"
")," ")</f>
        <v/>
      </c>
      <c r="N211" s="116"/>
      <c r="O211" s="118" t="b">
        <v>0</v>
      </c>
      <c r="P211" s="179"/>
      <c r="Q211" s="120"/>
      <c r="R211" s="121" t="b">
        <v>0</v>
      </c>
      <c r="S211" s="121" t="b">
        <v>0</v>
      </c>
      <c r="T211" s="122" t="b">
        <v>0</v>
      </c>
    </row>
    <row r="212" outlineLevel="1">
      <c r="A212" s="116"/>
      <c r="B212" s="116"/>
      <c r="C212" s="129"/>
      <c r="D212" s="116"/>
      <c r="E212" s="116"/>
      <c r="F212" s="116"/>
      <c r="G212" s="116"/>
      <c r="H212" s="181"/>
      <c r="I212" s="116"/>
      <c r="J212" s="129"/>
      <c r="K212" s="177"/>
      <c r="L212" s="116"/>
      <c r="M212" s="178" t="str">
        <f>IFERROR(__xludf.DUMMYFUNCTION("IF(
  K212="""",
  """",
  ROUND(
    IF(
      L212="""",
      K212,
      IF(
        ISERROR(FIND(""-"",L212)),
        K212 - VALUE(REGEXEXTRACT(L212,""(\d+)"")),
        K212 * (1 - VALUE(REGEXEXTRACT(L212,""(\d+)""))/100)
      )
    ),
    2
  )
)"&amp;"
")," ")</f>
        <v/>
      </c>
      <c r="N212" s="116"/>
      <c r="O212" s="118" t="b">
        <v>0</v>
      </c>
      <c r="P212" s="179"/>
      <c r="Q212" s="120"/>
      <c r="R212" s="121" t="b">
        <v>0</v>
      </c>
      <c r="S212" s="121" t="b">
        <v>0</v>
      </c>
      <c r="T212" s="122" t="b">
        <v>0</v>
      </c>
    </row>
    <row r="213" outlineLevel="1">
      <c r="A213" s="116"/>
      <c r="B213" s="116"/>
      <c r="C213" s="129"/>
      <c r="D213" s="157"/>
      <c r="E213" s="157"/>
      <c r="F213" s="116"/>
      <c r="G213" s="116"/>
      <c r="H213" s="116"/>
      <c r="I213" s="116"/>
      <c r="J213" s="129"/>
      <c r="K213" s="177"/>
      <c r="L213" s="116"/>
      <c r="M213" s="178" t="str">
        <f>IFERROR(__xludf.DUMMYFUNCTION("IF(
  K213="""",
  """",
  ROUND(
    IF(
      L213="""",
      K213,
      IF(
        ISERROR(FIND(""-"",L213)),
        K213 - VALUE(REGEXEXTRACT(L213,""(\d+)"")),
        K213 * (1 - VALUE(REGEXEXTRACT(L213,""(\d+)""))/100)
      )
    ),
    2
  )
)"&amp;"
")," ")</f>
        <v/>
      </c>
      <c r="N213" s="116"/>
      <c r="O213" s="118" t="b">
        <v>0</v>
      </c>
      <c r="P213" s="179"/>
      <c r="Q213" s="120"/>
      <c r="R213" s="121" t="b">
        <v>0</v>
      </c>
      <c r="S213" s="121" t="b">
        <v>0</v>
      </c>
      <c r="T213" s="122" t="b">
        <v>0</v>
      </c>
    </row>
    <row r="214" outlineLevel="1">
      <c r="A214" s="131"/>
      <c r="B214" s="131"/>
      <c r="C214" s="182"/>
      <c r="D214" s="116"/>
      <c r="E214" s="116"/>
      <c r="F214" s="131"/>
      <c r="G214" s="131"/>
      <c r="H214" s="131"/>
      <c r="I214" s="131"/>
      <c r="J214" s="148"/>
      <c r="K214" s="180"/>
      <c r="L214" s="131"/>
      <c r="M214" s="178" t="str">
        <f>IFERROR(__xludf.DUMMYFUNCTION("IF(
  K214="""",
  """",
  ROUND(
    IF(
      L214="""",
      K214,
      IF(
        ISERROR(FIND(""-"",L214)),
        K214 - VALUE(REGEXEXTRACT(L214,""(\d+)"")),
        K214 * (1 - VALUE(REGEXEXTRACT(L214,""(\d+)""))/100)
      )
    ),
    2
  )
)"&amp;"
")," ")</f>
        <v/>
      </c>
      <c r="N214" s="131"/>
      <c r="O214" s="118" t="b">
        <v>0</v>
      </c>
      <c r="P214" s="179"/>
      <c r="Q214" s="149"/>
      <c r="R214" s="121" t="b">
        <v>0</v>
      </c>
      <c r="S214" s="121" t="b">
        <v>0</v>
      </c>
      <c r="T214" s="122" t="b">
        <v>0</v>
      </c>
    </row>
    <row r="215" outlineLevel="1">
      <c r="A215" s="131"/>
      <c r="B215" s="131"/>
      <c r="C215" s="182"/>
      <c r="D215" s="116"/>
      <c r="E215" s="116"/>
      <c r="F215" s="131"/>
      <c r="G215" s="116"/>
      <c r="H215" s="116"/>
      <c r="I215" s="116"/>
      <c r="J215" s="134"/>
      <c r="K215" s="177"/>
      <c r="L215" s="131"/>
      <c r="M215" s="178" t="str">
        <f>IFERROR(__xludf.DUMMYFUNCTION("IF(
  K215="""",
  """",
  ROUND(
    IF(
      L215="""",
      K215,
      IF(
        ISERROR(FIND(""-"",L215)),
        K215 - VALUE(REGEXEXTRACT(L215,""(\d+)"")),
        K215 * (1 - VALUE(REGEXEXTRACT(L215,""(\d+)""))/100)
      )
    ),
    2
  )
)"&amp;"
")," ")</f>
        <v/>
      </c>
      <c r="N215" s="116"/>
      <c r="O215" s="118" t="b">
        <v>0</v>
      </c>
      <c r="P215" s="179"/>
      <c r="Q215" s="120"/>
      <c r="R215" s="121" t="b">
        <v>0</v>
      </c>
      <c r="S215" s="121" t="b">
        <v>0</v>
      </c>
      <c r="T215" s="122" t="b">
        <v>0</v>
      </c>
    </row>
    <row r="216" outlineLevel="1">
      <c r="A216" s="131"/>
      <c r="B216" s="131"/>
      <c r="C216" s="153"/>
      <c r="D216" s="157"/>
      <c r="E216" s="157"/>
      <c r="F216" s="131"/>
      <c r="G216" s="131"/>
      <c r="H216" s="131"/>
      <c r="I216" s="183"/>
      <c r="J216" s="148"/>
      <c r="K216" s="180"/>
      <c r="L216" s="131"/>
      <c r="M216" s="178" t="str">
        <f>IFERROR(__xludf.DUMMYFUNCTION("IF(
  K216="""",
  """",
  ROUND(
    IF(
      L216="""",
      K216,
      IF(
        ISERROR(FIND(""-"",L216)),
        K216 - VALUE(REGEXEXTRACT(L216,""(\d+)"")),
        K216 * (1 - VALUE(REGEXEXTRACT(L216,""(\d+)""))/100)
      )
    ),
    2
  )
)"&amp;"
")," ")</f>
        <v/>
      </c>
      <c r="N216" s="131"/>
      <c r="O216" s="118" t="b">
        <v>0</v>
      </c>
      <c r="P216" s="179"/>
      <c r="Q216" s="149"/>
      <c r="R216" s="121" t="b">
        <v>0</v>
      </c>
      <c r="S216" s="121" t="b">
        <v>0</v>
      </c>
      <c r="T216" s="122" t="b">
        <v>0</v>
      </c>
    </row>
    <row r="217">
      <c r="A217" s="255"/>
      <c r="C217" s="242" t="s">
        <v>452</v>
      </c>
      <c r="N217" s="243" t="s">
        <v>355</v>
      </c>
      <c r="O217" s="244">
        <f>SUMPRODUCT(--$O$218:$O$260)</f>
        <v>15</v>
      </c>
      <c r="P217" s="242"/>
      <c r="Q217" s="242"/>
      <c r="R217" s="242"/>
      <c r="S217" s="242"/>
      <c r="T217" s="242"/>
    </row>
    <row r="218" outlineLevel="1">
      <c r="A218" s="116" t="s">
        <v>239</v>
      </c>
      <c r="B218" s="116"/>
      <c r="C218" s="133">
        <v>46065.0</v>
      </c>
      <c r="D218" s="116"/>
      <c r="E218" s="116" t="s">
        <v>359</v>
      </c>
      <c r="F218" s="116" t="s">
        <v>360</v>
      </c>
      <c r="G218" s="116">
        <v>3.9215623E9</v>
      </c>
      <c r="H218" s="116" t="s">
        <v>361</v>
      </c>
      <c r="I218" s="116" t="s">
        <v>453</v>
      </c>
      <c r="J218" s="134">
        <v>46065.0</v>
      </c>
      <c r="K218" s="253">
        <v>0.0</v>
      </c>
      <c r="L218" s="116"/>
      <c r="M218" s="178">
        <v>0.0</v>
      </c>
      <c r="N218" s="116"/>
      <c r="O218" s="118" t="b">
        <v>1</v>
      </c>
      <c r="P218" s="179"/>
      <c r="Q218" s="120" t="s">
        <v>81</v>
      </c>
      <c r="R218" s="121" t="b">
        <v>1</v>
      </c>
      <c r="S218" s="121" t="b">
        <v>0</v>
      </c>
      <c r="T218" s="122" t="b">
        <v>0</v>
      </c>
    </row>
    <row r="219" outlineLevel="1">
      <c r="A219" s="116" t="s">
        <v>73</v>
      </c>
      <c r="B219" s="116" t="s">
        <v>74</v>
      </c>
      <c r="C219" s="129">
        <v>46066.0</v>
      </c>
      <c r="D219" s="111" t="s">
        <v>363</v>
      </c>
      <c r="E219" s="111" t="s">
        <v>364</v>
      </c>
      <c r="F219" s="116" t="s">
        <v>365</v>
      </c>
      <c r="G219" s="116">
        <v>3.518042662E9</v>
      </c>
      <c r="H219" s="128" t="s">
        <v>366</v>
      </c>
      <c r="I219" s="116" t="s">
        <v>367</v>
      </c>
      <c r="J219" s="134">
        <v>46066.0</v>
      </c>
      <c r="K219" s="177">
        <v>0.0</v>
      </c>
      <c r="L219" s="116"/>
      <c r="M219" s="178">
        <f>IFERROR(__xludf.DUMMYFUNCTION("IF(
  K219="""",
  """",
  ROUND(
    IF(
      L219="""",
      K219,
      IF(
        ISERROR(FIND(""-"",L219)),
        K219 - VALUE(REGEXEXTRACT(L219,""(\d+)"")),
        K219 * (1 - VALUE(REGEXEXTRACT(L219,""(\d+)""))/100)
      )
    ),
    2
  )
)"&amp;"
"),0.0)</f>
        <v>0</v>
      </c>
      <c r="N219" s="116"/>
      <c r="O219" s="118" t="b">
        <v>1</v>
      </c>
      <c r="P219" s="179"/>
      <c r="Q219" s="120" t="s">
        <v>81</v>
      </c>
      <c r="R219" s="121" t="b">
        <v>1</v>
      </c>
      <c r="S219" s="121" t="b">
        <v>0</v>
      </c>
      <c r="T219" s="122" t="b">
        <v>0</v>
      </c>
    </row>
    <row r="220" outlineLevel="1">
      <c r="A220" s="116" t="s">
        <v>368</v>
      </c>
      <c r="B220" s="116"/>
      <c r="C220" s="129">
        <v>46063.0</v>
      </c>
      <c r="D220" s="157" t="s">
        <v>370</v>
      </c>
      <c r="E220" s="157" t="s">
        <v>371</v>
      </c>
      <c r="F220" s="116" t="s">
        <v>372</v>
      </c>
      <c r="G220" s="256" t="s">
        <v>373</v>
      </c>
      <c r="H220" s="116" t="s">
        <v>374</v>
      </c>
      <c r="I220" s="116" t="s">
        <v>375</v>
      </c>
      <c r="J220" s="134">
        <v>46063.0</v>
      </c>
      <c r="K220" s="177">
        <v>0.0</v>
      </c>
      <c r="L220" s="116"/>
      <c r="M220" s="178">
        <f>IFERROR(__xludf.DUMMYFUNCTION("IF(
  K220="""",
  """",
  ROUND(
    IF(
      L220="""",
      K220,
      IF(
        ISERROR(FIND(""-"",L220)),
        K220 - VALUE(REGEXEXTRACT(L220,""(\d+)"")),
        K220 * (1 - VALUE(REGEXEXTRACT(L220,""(\d+)""))/100)
      )
    ),
    2
  )
)"&amp;"
"),0.0)</f>
        <v>0</v>
      </c>
      <c r="N220" s="116"/>
      <c r="O220" s="118" t="b">
        <v>1</v>
      </c>
      <c r="P220" s="179"/>
      <c r="Q220" s="120"/>
      <c r="R220" s="121" t="b">
        <v>0</v>
      </c>
      <c r="S220" s="121" t="b">
        <v>0</v>
      </c>
      <c r="T220" s="122" t="b">
        <v>0</v>
      </c>
    </row>
    <row r="221" outlineLevel="1">
      <c r="A221" s="116" t="s">
        <v>73</v>
      </c>
      <c r="B221" s="116" t="s">
        <v>74</v>
      </c>
      <c r="C221" s="129">
        <v>46067.0</v>
      </c>
      <c r="D221" s="111" t="s">
        <v>376</v>
      </c>
      <c r="E221" s="111" t="s">
        <v>377</v>
      </c>
      <c r="F221" s="116" t="s">
        <v>378</v>
      </c>
      <c r="G221" s="116">
        <v>3.273653268E9</v>
      </c>
      <c r="H221" s="144" t="s">
        <v>379</v>
      </c>
      <c r="I221" s="116" t="s">
        <v>380</v>
      </c>
      <c r="J221" s="132">
        <v>46067.0</v>
      </c>
      <c r="K221" s="177">
        <v>0.0</v>
      </c>
      <c r="L221" s="116"/>
      <c r="M221" s="178">
        <f>IFERROR(__xludf.DUMMYFUNCTION("IF(
  K221="""",
  """",
  ROUND(
    IF(
      L221="""",
      K221,
      IF(
        ISERROR(FIND(""-"",L221)),
        K221 - VALUE(REGEXEXTRACT(L221,""(\d+)"")),
        K221 * (1 - VALUE(REGEXEXTRACT(L221,""(\d+)""))/100)
      )
    ),
    2
  )
)"&amp;"
"),0.0)</f>
        <v>0</v>
      </c>
      <c r="N221" s="116" t="s">
        <v>100</v>
      </c>
      <c r="O221" s="118" t="b">
        <v>1</v>
      </c>
      <c r="P221" s="179"/>
      <c r="Q221" s="120" t="s">
        <v>81</v>
      </c>
      <c r="R221" s="121" t="b">
        <v>1</v>
      </c>
      <c r="S221" s="121" t="b">
        <v>0</v>
      </c>
      <c r="T221" s="122" t="b">
        <v>0</v>
      </c>
    </row>
    <row r="222" outlineLevel="1">
      <c r="A222" s="116" t="s">
        <v>73</v>
      </c>
      <c r="B222" s="116" t="s">
        <v>74</v>
      </c>
      <c r="C222" s="129">
        <v>46067.0</v>
      </c>
      <c r="D222" s="111"/>
      <c r="E222" s="111" t="s">
        <v>381</v>
      </c>
      <c r="F222" s="116" t="s">
        <v>382</v>
      </c>
      <c r="G222" s="116">
        <v>3.398667133E9</v>
      </c>
      <c r="H222" s="116" t="s">
        <v>383</v>
      </c>
      <c r="I222" s="116" t="s">
        <v>384</v>
      </c>
      <c r="J222" s="132">
        <v>46067.0</v>
      </c>
      <c r="K222" s="177">
        <v>0.0</v>
      </c>
      <c r="L222" s="131"/>
      <c r="M222" s="178">
        <f>IFERROR(__xludf.DUMMYFUNCTION("IF(
  K222="""",
  """",
  ROUND(
    IF(
      L222="""",
      K222,
      IF(
        ISERROR(FIND(""-"",L222)),
        K222 - VALUE(REGEXEXTRACT(L222,""(\d+)"")),
        K222 * (1 - VALUE(REGEXEXTRACT(L222,""(\d+)""))/100)
      )
    ),
    2
  )
)"&amp;"
"),0.0)</f>
        <v>0</v>
      </c>
      <c r="N222" s="116" t="s">
        <v>80</v>
      </c>
      <c r="O222" s="118" t="b">
        <v>1</v>
      </c>
      <c r="P222" s="179"/>
      <c r="Q222" s="120" t="s">
        <v>81</v>
      </c>
      <c r="R222" s="121" t="b">
        <v>0</v>
      </c>
      <c r="S222" s="121" t="b">
        <v>0</v>
      </c>
      <c r="T222" s="122" t="b">
        <v>0</v>
      </c>
    </row>
    <row r="223" outlineLevel="1">
      <c r="A223" s="116" t="s">
        <v>73</v>
      </c>
      <c r="B223" s="116" t="s">
        <v>74</v>
      </c>
      <c r="C223" s="129">
        <v>46069.0</v>
      </c>
      <c r="D223" s="111"/>
      <c r="E223" s="111" t="s">
        <v>385</v>
      </c>
      <c r="F223" s="116" t="s">
        <v>386</v>
      </c>
      <c r="G223" s="116">
        <v>3.358200964E9</v>
      </c>
      <c r="H223" s="116" t="s">
        <v>387</v>
      </c>
      <c r="I223" s="116" t="s">
        <v>388</v>
      </c>
      <c r="J223" s="132">
        <v>46069.0</v>
      </c>
      <c r="K223" s="177">
        <v>0.0</v>
      </c>
      <c r="L223" s="116"/>
      <c r="M223" s="178">
        <f>IFERROR(__xludf.DUMMYFUNCTION("IF(
  K223="""",
  """",
  ROUND(
    IF(
      L223="""",
      K223,
      IF(
        ISERROR(FIND(""-"",L223)),
        K223 - VALUE(REGEXEXTRACT(L223,""(\d+)"")),
        K223 * (1 - VALUE(REGEXEXTRACT(L223,""(\d+)""))/100)
      )
    ),
    2
  )
)"&amp;"
"),0.0)</f>
        <v>0</v>
      </c>
      <c r="N223" s="116" t="s">
        <v>100</v>
      </c>
      <c r="O223" s="118" t="b">
        <v>1</v>
      </c>
      <c r="P223" s="179"/>
      <c r="Q223" s="120" t="s">
        <v>81</v>
      </c>
      <c r="R223" s="121" t="b">
        <v>1</v>
      </c>
      <c r="S223" s="121" t="b">
        <v>0</v>
      </c>
      <c r="T223" s="122" t="b">
        <v>0</v>
      </c>
    </row>
    <row r="224" outlineLevel="1">
      <c r="A224" s="116" t="s">
        <v>73</v>
      </c>
      <c r="B224" s="116" t="s">
        <v>74</v>
      </c>
      <c r="C224" s="129">
        <v>46072.0</v>
      </c>
      <c r="D224" s="111" t="s">
        <v>389</v>
      </c>
      <c r="E224" s="111" t="s">
        <v>390</v>
      </c>
      <c r="F224" s="116" t="s">
        <v>391</v>
      </c>
      <c r="G224" s="116">
        <v>3.357446092E9</v>
      </c>
      <c r="H224" s="116" t="s">
        <v>392</v>
      </c>
      <c r="I224" s="116" t="s">
        <v>393</v>
      </c>
      <c r="J224" s="132">
        <v>46072.0</v>
      </c>
      <c r="K224" s="177">
        <v>0.0</v>
      </c>
      <c r="L224" s="131"/>
      <c r="M224" s="178">
        <f>IFERROR(__xludf.DUMMYFUNCTION("IF(
  K224="""",
  """",
  ROUND(
    IF(
      L224="""",
      K224,
      IF(
        ISERROR(FIND(""-"",L224)),
        K224 - VALUE(REGEXEXTRACT(L224,""(\d+)"")),
        K224 * (1 - VALUE(REGEXEXTRACT(L224,""(\d+)""))/100)
      )
    ),
    2
  )
)"&amp;"
"),0.0)</f>
        <v>0</v>
      </c>
      <c r="N224" s="116" t="s">
        <v>100</v>
      </c>
      <c r="O224" s="118" t="b">
        <v>1</v>
      </c>
      <c r="P224" s="179"/>
      <c r="Q224" s="120" t="s">
        <v>81</v>
      </c>
      <c r="R224" s="121" t="b">
        <v>1</v>
      </c>
      <c r="S224" s="121" t="b">
        <v>0</v>
      </c>
      <c r="T224" s="122" t="b">
        <v>0</v>
      </c>
    </row>
    <row r="225" outlineLevel="1">
      <c r="A225" s="116" t="s">
        <v>73</v>
      </c>
      <c r="B225" s="116" t="s">
        <v>74</v>
      </c>
      <c r="C225" s="129">
        <v>46074.0</v>
      </c>
      <c r="D225" s="116" t="s">
        <v>395</v>
      </c>
      <c r="E225" s="116" t="s">
        <v>396</v>
      </c>
      <c r="F225" s="116" t="s">
        <v>397</v>
      </c>
      <c r="G225" s="116">
        <v>3.661951513E9</v>
      </c>
      <c r="H225" s="116" t="s">
        <v>398</v>
      </c>
      <c r="I225" s="116" t="s">
        <v>399</v>
      </c>
      <c r="J225" s="134">
        <v>46074.0</v>
      </c>
      <c r="K225" s="177">
        <v>0.0</v>
      </c>
      <c r="L225" s="131"/>
      <c r="M225" s="178">
        <f>IFERROR(__xludf.DUMMYFUNCTION("IF(
  K225="""",
  """",
  ROUND(
    IF(
      L225="""",
      K225,
      IF(
        ISERROR(FIND(""-"",L225)),
        K225 - VALUE(REGEXEXTRACT(L225,""(\d+)"")),
        K225 * (1 - VALUE(REGEXEXTRACT(L225,""(\d+)""))/100)
      )
    ),
    2
  )
)"&amp;"
"),0.0)</f>
        <v>0</v>
      </c>
      <c r="N225" s="116" t="s">
        <v>100</v>
      </c>
      <c r="O225" s="118" t="b">
        <v>1</v>
      </c>
      <c r="P225" s="179"/>
      <c r="Q225" s="120" t="s">
        <v>81</v>
      </c>
      <c r="R225" s="121" t="b">
        <v>1</v>
      </c>
      <c r="S225" s="121" t="b">
        <v>0</v>
      </c>
      <c r="T225" s="122" t="b">
        <v>0</v>
      </c>
    </row>
    <row r="226" outlineLevel="1">
      <c r="A226" s="116" t="s">
        <v>73</v>
      </c>
      <c r="B226" s="116" t="s">
        <v>74</v>
      </c>
      <c r="C226" s="145">
        <v>46082.0</v>
      </c>
      <c r="D226" s="111" t="s">
        <v>400</v>
      </c>
      <c r="E226" s="111" t="s">
        <v>401</v>
      </c>
      <c r="F226" s="116" t="s">
        <v>402</v>
      </c>
      <c r="G226" s="116">
        <v>3.3829622E9</v>
      </c>
      <c r="H226" s="116" t="s">
        <v>403</v>
      </c>
      <c r="I226" s="116" t="s">
        <v>404</v>
      </c>
      <c r="J226" s="126">
        <v>46082.0</v>
      </c>
      <c r="K226" s="177">
        <v>0.0</v>
      </c>
      <c r="L226" s="116"/>
      <c r="M226" s="178">
        <f>IFERROR(__xludf.DUMMYFUNCTION("IF(
  K226="""",
  """",
  ROUND(
    IF(
      L226="""",
      K226,
      IF(
        ISERROR(FIND(""-"",L226)),
        K226 - VALUE(REGEXEXTRACT(L226,""(\d+)"")),
        K226 * (1 - VALUE(REGEXEXTRACT(L226,""(\d+)""))/100)
      )
    ),
    2
  )
)"&amp;"
"),0.0)</f>
        <v>0</v>
      </c>
      <c r="N226" s="116" t="s">
        <v>100</v>
      </c>
      <c r="O226" s="118" t="b">
        <v>0</v>
      </c>
      <c r="P226" s="179"/>
      <c r="Q226" s="120" t="s">
        <v>81</v>
      </c>
      <c r="R226" s="121" t="b">
        <v>1</v>
      </c>
      <c r="S226" s="121" t="b">
        <v>0</v>
      </c>
      <c r="T226" s="122" t="b">
        <v>0</v>
      </c>
    </row>
    <row r="227" outlineLevel="1">
      <c r="A227" s="116" t="s">
        <v>73</v>
      </c>
      <c r="B227" s="116"/>
      <c r="C227" s="145">
        <v>46090.0</v>
      </c>
      <c r="D227" s="111" t="s">
        <v>405</v>
      </c>
      <c r="E227" s="111" t="s">
        <v>406</v>
      </c>
      <c r="F227" s="116" t="s">
        <v>407</v>
      </c>
      <c r="G227" s="116">
        <v>3.922808058E9</v>
      </c>
      <c r="H227" s="116" t="s">
        <v>408</v>
      </c>
      <c r="I227" s="116" t="s">
        <v>409</v>
      </c>
      <c r="J227" s="126">
        <v>46090.0</v>
      </c>
      <c r="K227" s="115">
        <v>0.0</v>
      </c>
      <c r="L227" s="116"/>
      <c r="M227" s="178">
        <f>IFERROR(__xludf.DUMMYFUNCTION("IF(
  K227="""",
  """",
  ROUND(
    IF(
      L227="""",
      K227,
      IF(
        ISERROR(FIND(""-"",L227)),
        K227 - VALUE(REGEXEXTRACT(L227,""(\d+)"")),
        K227 * (1 - VALUE(REGEXEXTRACT(L227,""(\d+)""))/100)
      )
    ),
    2
  )
)"&amp;"
"),0.0)</f>
        <v>0</v>
      </c>
      <c r="N227" s="116" t="s">
        <v>162</v>
      </c>
      <c r="O227" s="118" t="b">
        <v>1</v>
      </c>
      <c r="P227" s="179"/>
      <c r="Q227" s="120" t="s">
        <v>81</v>
      </c>
      <c r="R227" s="121" t="b">
        <v>1</v>
      </c>
      <c r="S227" s="121" t="b">
        <v>0</v>
      </c>
      <c r="T227" s="122" t="b">
        <v>0</v>
      </c>
    </row>
    <row r="228" outlineLevel="1">
      <c r="A228" s="116" t="s">
        <v>73</v>
      </c>
      <c r="B228" s="116" t="s">
        <v>74</v>
      </c>
      <c r="C228" s="146">
        <v>46091.0</v>
      </c>
      <c r="D228" s="111" t="s">
        <v>410</v>
      </c>
      <c r="E228" s="111" t="s">
        <v>411</v>
      </c>
      <c r="F228" s="111" t="s">
        <v>412</v>
      </c>
      <c r="G228" s="111">
        <v>3.514012826E9</v>
      </c>
      <c r="H228" s="111" t="s">
        <v>413</v>
      </c>
      <c r="I228" s="111" t="s">
        <v>414</v>
      </c>
      <c r="J228" s="126">
        <v>46091.0</v>
      </c>
      <c r="K228" s="177">
        <v>0.0</v>
      </c>
      <c r="L228" s="116"/>
      <c r="M228" s="178">
        <f>IFERROR(__xludf.DUMMYFUNCTION("IF(
  K228="""",
  """",
  ROUND(
    IF(
      L228="""",
      K228,
      IF(
        ISERROR(FIND(""-"",L228)),
        K228 - VALUE(REGEXEXTRACT(L228,""(\d+)"")),
        K228 * (1 - VALUE(REGEXEXTRACT(L228,""(\d+)""))/100)
      )
    ),
    2
  )
)"&amp;"
"),0.0)</f>
        <v>0</v>
      </c>
      <c r="N228" s="116" t="s">
        <v>100</v>
      </c>
      <c r="O228" s="118" t="b">
        <v>1</v>
      </c>
      <c r="P228" s="179"/>
      <c r="Q228" s="120" t="s">
        <v>81</v>
      </c>
      <c r="R228" s="121" t="b">
        <v>1</v>
      </c>
      <c r="S228" s="121" t="b">
        <v>0</v>
      </c>
      <c r="T228" s="122" t="b">
        <v>0</v>
      </c>
    </row>
    <row r="229" outlineLevel="1">
      <c r="A229" s="116" t="s">
        <v>73</v>
      </c>
      <c r="B229" s="116" t="s">
        <v>74</v>
      </c>
      <c r="C229" s="248">
        <v>46092.0</v>
      </c>
      <c r="D229" s="249" t="s">
        <v>415</v>
      </c>
      <c r="E229" s="111" t="s">
        <v>416</v>
      </c>
      <c r="F229" s="116" t="s">
        <v>417</v>
      </c>
      <c r="G229" s="116">
        <v>3.246663527E9</v>
      </c>
      <c r="H229" s="116" t="s">
        <v>418</v>
      </c>
      <c r="I229" s="116" t="s">
        <v>419</v>
      </c>
      <c r="J229" s="134">
        <v>46092.0</v>
      </c>
      <c r="K229" s="177">
        <v>0.0</v>
      </c>
      <c r="L229" s="116"/>
      <c r="M229" s="178">
        <f>IFERROR(__xludf.DUMMYFUNCTION("IF(
  K229="""",
  """",
  ROUND(
    IF(
      L229="""",
      K229,
      IF(
        ISERROR(FIND(""-"",L229)),
        K229 - VALUE(REGEXEXTRACT(L229,""(\d+)"")),
        K229 * (1 - VALUE(REGEXEXTRACT(L229,""(\d+)""))/100)
      )
    ),
    2
  )
)"&amp;"
"),0.0)</f>
        <v>0</v>
      </c>
      <c r="N229" s="116" t="s">
        <v>80</v>
      </c>
      <c r="O229" s="118" t="b">
        <v>1</v>
      </c>
      <c r="P229" s="179"/>
      <c r="Q229" s="120" t="s">
        <v>81</v>
      </c>
      <c r="R229" s="121" t="b">
        <v>0</v>
      </c>
      <c r="S229" s="121" t="b">
        <v>0</v>
      </c>
      <c r="T229" s="122" t="b">
        <v>0</v>
      </c>
    </row>
    <row r="230" outlineLevel="1">
      <c r="A230" s="116" t="s">
        <v>73</v>
      </c>
      <c r="B230" s="116" t="s">
        <v>74</v>
      </c>
      <c r="C230" s="145">
        <v>46095.0</v>
      </c>
      <c r="D230" s="111" t="s">
        <v>425</v>
      </c>
      <c r="E230" s="111" t="s">
        <v>426</v>
      </c>
      <c r="F230" s="116" t="s">
        <v>427</v>
      </c>
      <c r="G230" s="116">
        <v>3.465001112E9</v>
      </c>
      <c r="H230" s="116" t="s">
        <v>428</v>
      </c>
      <c r="I230" s="116" t="s">
        <v>429</v>
      </c>
      <c r="J230" s="126">
        <v>46095.0</v>
      </c>
      <c r="K230" s="177">
        <v>0.0</v>
      </c>
      <c r="L230" s="116"/>
      <c r="M230" s="178">
        <f>IFERROR(__xludf.DUMMYFUNCTION("IF(
  K230="""",
  """",
  ROUND(
    IF(
      L230="""",
      K230,
      IF(
        ISERROR(FIND(""-"",L230)),
        K230 - VALUE(REGEXEXTRACT(L230,""(\d+)"")),
        K230 * (1 - VALUE(REGEXEXTRACT(L230,""(\d+)""))/100)
      )
    ),
    2
  )
)"&amp;"
"),0.0)</f>
        <v>0</v>
      </c>
      <c r="N230" s="116" t="s">
        <v>100</v>
      </c>
      <c r="O230" s="118" t="b">
        <v>1</v>
      </c>
      <c r="P230" s="179"/>
      <c r="Q230" s="120" t="s">
        <v>81</v>
      </c>
      <c r="R230" s="121" t="b">
        <v>1</v>
      </c>
      <c r="S230" s="121" t="b">
        <v>0</v>
      </c>
      <c r="T230" s="122" t="b">
        <v>0</v>
      </c>
    </row>
    <row r="231" outlineLevel="1">
      <c r="A231" s="116" t="s">
        <v>73</v>
      </c>
      <c r="B231" s="116" t="s">
        <v>74</v>
      </c>
      <c r="C231" s="145">
        <v>46095.0</v>
      </c>
      <c r="D231" s="111"/>
      <c r="E231" s="111" t="s">
        <v>430</v>
      </c>
      <c r="F231" s="116" t="s">
        <v>431</v>
      </c>
      <c r="G231" s="116">
        <v>3.476833177E9</v>
      </c>
      <c r="H231" s="151" t="s">
        <v>432</v>
      </c>
      <c r="I231" s="116" t="s">
        <v>353</v>
      </c>
      <c r="J231" s="126">
        <v>46095.0</v>
      </c>
      <c r="K231" s="177">
        <v>0.0</v>
      </c>
      <c r="L231" s="116"/>
      <c r="M231" s="178">
        <f>IFERROR(__xludf.DUMMYFUNCTION("IF(
  K231="""",
  """",
  ROUND(
    IF(
      L231="""",
      K231,
      IF(
        ISERROR(FIND(""-"",L231)),
        K231 - VALUE(REGEXEXTRACT(L231,""(\d+)"")),
        K231 * (1 - VALUE(REGEXEXTRACT(L231,""(\d+)""))/100)
      )
    ),
    2
  )
)"&amp;"
"),0.0)</f>
        <v>0</v>
      </c>
      <c r="N231" s="116" t="s">
        <v>80</v>
      </c>
      <c r="O231" s="118" t="b">
        <v>1</v>
      </c>
      <c r="P231" s="179"/>
      <c r="Q231" s="120" t="s">
        <v>81</v>
      </c>
      <c r="R231" s="121" t="b">
        <v>0</v>
      </c>
      <c r="S231" s="121" t="b">
        <v>0</v>
      </c>
      <c r="T231" s="122" t="b">
        <v>0</v>
      </c>
    </row>
    <row r="232" outlineLevel="1">
      <c r="A232" s="116" t="s">
        <v>73</v>
      </c>
      <c r="B232" s="116" t="s">
        <v>74</v>
      </c>
      <c r="C232" s="129">
        <v>46095.0</v>
      </c>
      <c r="D232" s="111"/>
      <c r="E232" s="111" t="s">
        <v>433</v>
      </c>
      <c r="F232" s="116" t="s">
        <v>434</v>
      </c>
      <c r="G232" s="116">
        <v>3.663107821E9</v>
      </c>
      <c r="H232" s="151" t="s">
        <v>435</v>
      </c>
      <c r="I232" s="116" t="s">
        <v>436</v>
      </c>
      <c r="J232" s="132">
        <v>46095.0</v>
      </c>
      <c r="K232" s="115">
        <v>0.0</v>
      </c>
      <c r="L232" s="116"/>
      <c r="M232" s="178">
        <f>IFERROR(__xludf.DUMMYFUNCTION("IF(
  K232="""",
  """",
  ROUND(
    IF(
      L232="""",
      K232,
      IF(
        ISERROR(FIND(""-"",L232)),
        K232 - VALUE(REGEXEXTRACT(L232,""(\d+)"")),
        K232 * (1 - VALUE(REGEXEXTRACT(L232,""(\d+)""))/100)
      )
    ),
    2
  )
)"&amp;"
"),0.0)</f>
        <v>0</v>
      </c>
      <c r="N232" s="116" t="s">
        <v>80</v>
      </c>
      <c r="O232" s="118" t="b">
        <v>1</v>
      </c>
      <c r="P232" s="179"/>
      <c r="Q232" s="120" t="s">
        <v>81</v>
      </c>
      <c r="R232" s="121" t="b">
        <v>0</v>
      </c>
      <c r="S232" s="121" t="b">
        <v>0</v>
      </c>
      <c r="T232" s="122" t="b">
        <v>0</v>
      </c>
    </row>
    <row r="233" outlineLevel="1">
      <c r="A233" s="116" t="s">
        <v>73</v>
      </c>
      <c r="B233" s="116" t="s">
        <v>74</v>
      </c>
      <c r="C233" s="129">
        <v>46096.0</v>
      </c>
      <c r="D233" s="111"/>
      <c r="E233" s="111" t="s">
        <v>437</v>
      </c>
      <c r="F233" s="116" t="s">
        <v>171</v>
      </c>
      <c r="G233" s="116">
        <v>3.401866792E9</v>
      </c>
      <c r="H233" s="151" t="s">
        <v>438</v>
      </c>
      <c r="I233" s="116" t="s">
        <v>439</v>
      </c>
      <c r="J233" s="132">
        <v>46096.0</v>
      </c>
      <c r="K233" s="177">
        <v>0.0</v>
      </c>
      <c r="L233" s="116"/>
      <c r="M233" s="178">
        <f>IFERROR(__xludf.DUMMYFUNCTION("IF(
  K233="""",
  """",
  ROUND(
    IF(
      L233="""",
      K233,
      IF(
        ISERROR(FIND(""-"",L233)),
        K233 - VALUE(REGEXEXTRACT(L233,""(\d+)"")),
        K233 * (1 - VALUE(REGEXEXTRACT(L233,""(\d+)""))/100)
      )
    ),
    2
  )
)"&amp;"
"),0.0)</f>
        <v>0</v>
      </c>
      <c r="N233" s="116" t="s">
        <v>100</v>
      </c>
      <c r="O233" s="118" t="b">
        <v>1</v>
      </c>
      <c r="P233" s="179"/>
      <c r="Q233" s="120" t="s">
        <v>81</v>
      </c>
      <c r="R233" s="121" t="b">
        <v>0</v>
      </c>
      <c r="S233" s="121" t="b">
        <v>0</v>
      </c>
      <c r="T233" s="122" t="b">
        <v>0</v>
      </c>
    </row>
    <row r="234" outlineLevel="1">
      <c r="A234" s="116"/>
      <c r="B234" s="116"/>
      <c r="C234" s="129"/>
      <c r="D234" s="116"/>
      <c r="E234" s="116"/>
      <c r="F234" s="116"/>
      <c r="G234" s="116"/>
      <c r="H234" s="116"/>
      <c r="I234" s="116"/>
      <c r="J234" s="134"/>
      <c r="K234" s="177"/>
      <c r="L234" s="116"/>
      <c r="M234" s="178" t="str">
        <f>IFERROR(__xludf.DUMMYFUNCTION("IF(
  K234="""",
  """",
  ROUND(
    IF(
      L234="""",
      K234,
      IF(
        ISERROR(FIND(""-"",L234)),
        K234 - VALUE(REGEXEXTRACT(L234,""(\d+)"")),
        K234 * (1 - VALUE(REGEXEXTRACT(L234,""(\d+)""))/100)
      )
    ),
    2
  )
)"&amp;"
")," ")</f>
        <v/>
      </c>
      <c r="N234" s="116"/>
      <c r="O234" s="118" t="b">
        <v>0</v>
      </c>
      <c r="P234" s="179"/>
      <c r="Q234" s="120"/>
      <c r="R234" s="121" t="b">
        <v>0</v>
      </c>
      <c r="S234" s="121" t="b">
        <v>0</v>
      </c>
      <c r="T234" s="122" t="b">
        <v>0</v>
      </c>
    </row>
    <row r="235" outlineLevel="1">
      <c r="A235" s="116"/>
      <c r="B235" s="116"/>
      <c r="C235" s="129"/>
      <c r="D235" s="157"/>
      <c r="E235" s="157"/>
      <c r="F235" s="116"/>
      <c r="G235" s="116"/>
      <c r="H235" s="116"/>
      <c r="I235" s="116"/>
      <c r="J235" s="134"/>
      <c r="K235" s="177"/>
      <c r="L235" s="116"/>
      <c r="M235" s="178" t="str">
        <f>IFERROR(__xludf.DUMMYFUNCTION("IF(
  K235="""",
  """",
  ROUND(
    IF(
      L235="""",
      K235,
      IF(
        ISERROR(FIND(""-"",L235)),
        K235 - VALUE(REGEXEXTRACT(L235,""(\d+)"")),
        K235 * (1 - VALUE(REGEXEXTRACT(L235,""(\d+)""))/100)
      )
    ),
    2
  )
)"&amp;"
")," ")</f>
        <v/>
      </c>
      <c r="N235" s="116"/>
      <c r="O235" s="118" t="b">
        <v>0</v>
      </c>
      <c r="P235" s="179"/>
      <c r="Q235" s="120"/>
      <c r="R235" s="121" t="b">
        <v>0</v>
      </c>
      <c r="S235" s="121" t="b">
        <v>0</v>
      </c>
      <c r="T235" s="122" t="b">
        <v>0</v>
      </c>
    </row>
    <row r="236" outlineLevel="1">
      <c r="A236" s="116"/>
      <c r="B236" s="116"/>
      <c r="C236" s="185"/>
      <c r="D236" s="116"/>
      <c r="E236" s="116"/>
      <c r="F236" s="116"/>
      <c r="G236" s="116"/>
      <c r="H236" s="116"/>
      <c r="I236" s="116"/>
      <c r="J236" s="134"/>
      <c r="K236" s="177"/>
      <c r="L236" s="116"/>
      <c r="M236" s="178" t="str">
        <f>IFERROR(__xludf.DUMMYFUNCTION("IF(
  K236="""",
  """",
  ROUND(
    IF(
      L236="""",
      K236,
      IF(
        ISERROR(FIND(""-"",L236)),
        K236 - VALUE(REGEXEXTRACT(L236,""(\d+)"")),
        K236 * (1 - VALUE(REGEXEXTRACT(L236,""(\d+)""))/100)
      )
    ),
    2
  )
)"&amp;"
")," ")</f>
        <v/>
      </c>
      <c r="N236" s="116"/>
      <c r="O236" s="118" t="b">
        <v>0</v>
      </c>
      <c r="P236" s="179"/>
      <c r="Q236" s="120"/>
      <c r="R236" s="121" t="b">
        <v>0</v>
      </c>
      <c r="S236" s="121" t="b">
        <v>0</v>
      </c>
      <c r="T236" s="122" t="b">
        <v>0</v>
      </c>
    </row>
    <row r="237" outlineLevel="1">
      <c r="A237" s="116"/>
      <c r="B237" s="116"/>
      <c r="C237" s="185"/>
      <c r="D237" s="116"/>
      <c r="E237" s="116"/>
      <c r="F237" s="116"/>
      <c r="G237" s="116"/>
      <c r="H237" s="116"/>
      <c r="I237" s="116"/>
      <c r="J237" s="134"/>
      <c r="K237" s="177"/>
      <c r="L237" s="116"/>
      <c r="M237" s="178" t="str">
        <f>IFERROR(__xludf.DUMMYFUNCTION("IF(
  K237="""",
  """",
  ROUND(
    IF(
      L237="""",
      K237,
      IF(
        ISERROR(FIND(""-"",L237)),
        K237 - VALUE(REGEXEXTRACT(L237,""(\d+)"")),
        K237 * (1 - VALUE(REGEXEXTRACT(L237,""(\d+)""))/100)
      )
    ),
    2
  )
)"&amp;"
")," ")</f>
        <v/>
      </c>
      <c r="N237" s="116"/>
      <c r="O237" s="118" t="b">
        <v>0</v>
      </c>
      <c r="P237" s="179"/>
      <c r="Q237" s="120"/>
      <c r="R237" s="121" t="b">
        <v>0</v>
      </c>
      <c r="S237" s="121" t="b">
        <v>0</v>
      </c>
      <c r="T237" s="122" t="b">
        <v>0</v>
      </c>
    </row>
    <row r="238" outlineLevel="1">
      <c r="A238" s="116"/>
      <c r="B238" s="116"/>
      <c r="C238" s="185"/>
      <c r="D238" s="157"/>
      <c r="E238" s="157"/>
      <c r="F238" s="116"/>
      <c r="G238" s="116"/>
      <c r="H238" s="116"/>
      <c r="I238" s="116"/>
      <c r="J238" s="134"/>
      <c r="K238" s="177"/>
      <c r="L238" s="116"/>
      <c r="M238" s="178" t="str">
        <f>IFERROR(__xludf.DUMMYFUNCTION("IF(
  K238="""",
  """",
  ROUND(
    IF(
      L238="""",
      K238,
      IF(
        ISERROR(FIND(""-"",L238)),
        K238 - VALUE(REGEXEXTRACT(L238,""(\d+)"")),
        K238 * (1 - VALUE(REGEXEXTRACT(L238,""(\d+)""))/100)
      )
    ),
    2
  )
)"&amp;"
")," ")</f>
        <v/>
      </c>
      <c r="N238" s="116"/>
      <c r="O238" s="118" t="b">
        <v>0</v>
      </c>
      <c r="P238" s="179"/>
      <c r="Q238" s="120"/>
      <c r="R238" s="121" t="b">
        <v>0</v>
      </c>
      <c r="S238" s="121" t="b">
        <v>0</v>
      </c>
      <c r="T238" s="122" t="b">
        <v>0</v>
      </c>
    </row>
    <row r="239" outlineLevel="1">
      <c r="A239" s="116"/>
      <c r="B239" s="116"/>
      <c r="C239" s="185"/>
      <c r="D239" s="116"/>
      <c r="E239" s="116"/>
      <c r="F239" s="116"/>
      <c r="G239" s="116"/>
      <c r="H239" s="116"/>
      <c r="I239" s="116"/>
      <c r="J239" s="134"/>
      <c r="K239" s="177"/>
      <c r="L239" s="116"/>
      <c r="M239" s="178" t="str">
        <f>IFERROR(__xludf.DUMMYFUNCTION("IF(
  K239="""",
  """",
  ROUND(
    IF(
      L239="""",
      K239,
      IF(
        ISERROR(FIND(""-"",L239)),
        K239 - VALUE(REGEXEXTRACT(L239,""(\d+)"")),
        K239 * (1 - VALUE(REGEXEXTRACT(L239,""(\d+)""))/100)
      )
    ),
    2
  )
)"&amp;"
")," ")</f>
        <v/>
      </c>
      <c r="N239" s="116"/>
      <c r="O239" s="118" t="b">
        <v>0</v>
      </c>
      <c r="P239" s="179"/>
      <c r="Q239" s="120"/>
      <c r="R239" s="121" t="b">
        <v>0</v>
      </c>
      <c r="S239" s="121" t="b">
        <v>0</v>
      </c>
      <c r="T239" s="122" t="b">
        <v>0</v>
      </c>
    </row>
    <row r="240" outlineLevel="1">
      <c r="A240" s="116"/>
      <c r="B240" s="116"/>
      <c r="C240" s="185"/>
      <c r="D240" s="116"/>
      <c r="E240" s="116"/>
      <c r="F240" s="116"/>
      <c r="G240" s="116"/>
      <c r="H240" s="116"/>
      <c r="I240" s="116"/>
      <c r="J240" s="134"/>
      <c r="K240" s="177"/>
      <c r="L240" s="116"/>
      <c r="M240" s="178" t="str">
        <f>IFERROR(__xludf.DUMMYFUNCTION("IF(
  K240="""",
  """",
  ROUND(
    IF(
      L240="""",
      K240,
      IF(
        ISERROR(FIND(""-"",L240)),
        K240 - VALUE(REGEXEXTRACT(L240,""(\d+)"")),
        K240 * (1 - VALUE(REGEXEXTRACT(L240,""(\d+)""))/100)
      )
    ),
    2
  )
)"&amp;"
")," ")</f>
        <v/>
      </c>
      <c r="N240" s="116"/>
      <c r="O240" s="118" t="b">
        <v>0</v>
      </c>
      <c r="P240" s="179"/>
      <c r="Q240" s="120"/>
      <c r="R240" s="121" t="b">
        <v>0</v>
      </c>
      <c r="S240" s="121" t="b">
        <v>0</v>
      </c>
      <c r="T240" s="122" t="b">
        <v>0</v>
      </c>
    </row>
    <row r="241" outlineLevel="1">
      <c r="A241" s="116"/>
      <c r="B241" s="116"/>
      <c r="C241" s="185"/>
      <c r="D241" s="157"/>
      <c r="E241" s="157"/>
      <c r="F241" s="116"/>
      <c r="G241" s="116"/>
      <c r="H241" s="116"/>
      <c r="I241" s="116"/>
      <c r="J241" s="134"/>
      <c r="K241" s="177"/>
      <c r="L241" s="116"/>
      <c r="M241" s="178" t="str">
        <f>IFERROR(__xludf.DUMMYFUNCTION("IF(
  K241="""",
  """",
  ROUND(
    IF(
      L241="""",
      K241,
      IF(
        ISERROR(FIND(""-"",L241)),
        K241 - VALUE(REGEXEXTRACT(L241,""(\d+)"")),
        K241 * (1 - VALUE(REGEXEXTRACT(L241,""(\d+)""))/100)
      )
    ),
    2
  )
)"&amp;"
")," ")</f>
        <v/>
      </c>
      <c r="N241" s="116"/>
      <c r="O241" s="118" t="b">
        <v>0</v>
      </c>
      <c r="P241" s="179"/>
      <c r="Q241" s="120"/>
      <c r="R241" s="121" t="b">
        <v>0</v>
      </c>
      <c r="S241" s="121" t="b">
        <v>0</v>
      </c>
      <c r="T241" s="122" t="b">
        <v>0</v>
      </c>
    </row>
    <row r="242" outlineLevel="1">
      <c r="A242" s="116"/>
      <c r="B242" s="116"/>
      <c r="C242" s="185"/>
      <c r="D242" s="116"/>
      <c r="E242" s="116"/>
      <c r="F242" s="116"/>
      <c r="G242" s="116"/>
      <c r="H242" s="116"/>
      <c r="I242" s="116"/>
      <c r="J242" s="134"/>
      <c r="K242" s="180"/>
      <c r="L242" s="116"/>
      <c r="M242" s="178" t="str">
        <f>IFERROR(__xludf.DUMMYFUNCTION("IF(
  K242="""",
  """",
  ROUND(
    IF(
      L242="""",
      K242,
      IF(
        ISERROR(FIND(""-"",L242)),
        K242 - VALUE(REGEXEXTRACT(L242,""(\d+)"")),
        K242 * (1 - VALUE(REGEXEXTRACT(L242,""(\d+)""))/100)
      )
    ),
    2
  )
)"&amp;"
")," ")</f>
        <v/>
      </c>
      <c r="N242" s="116"/>
      <c r="O242" s="118" t="b">
        <v>0</v>
      </c>
      <c r="P242" s="179"/>
      <c r="Q242" s="120"/>
      <c r="R242" s="121" t="b">
        <v>0</v>
      </c>
      <c r="S242" s="121" t="b">
        <v>0</v>
      </c>
      <c r="T242" s="122" t="b">
        <v>0</v>
      </c>
    </row>
    <row r="243" outlineLevel="1">
      <c r="A243" s="116"/>
      <c r="B243" s="116"/>
      <c r="C243" s="185"/>
      <c r="D243" s="116"/>
      <c r="E243" s="116"/>
      <c r="F243" s="116"/>
      <c r="G243" s="116"/>
      <c r="H243" s="116"/>
      <c r="I243" s="116"/>
      <c r="J243" s="134"/>
      <c r="K243" s="180"/>
      <c r="L243" s="116"/>
      <c r="M243" s="178" t="str">
        <f>IFERROR(__xludf.DUMMYFUNCTION("IF(
  K243="""",
  """",
  ROUND(
    IF(
      L243="""",
      K243,
      IF(
        ISERROR(FIND(""-"",L243)),
        K243 - VALUE(REGEXEXTRACT(L243,""(\d+)"")),
        K243 * (1 - VALUE(REGEXEXTRACT(L243,""(\d+)""))/100)
      )
    ),
    2
  )
)"&amp;"
")," ")</f>
        <v/>
      </c>
      <c r="N243" s="116"/>
      <c r="O243" s="118" t="b">
        <v>0</v>
      </c>
      <c r="P243" s="179"/>
      <c r="Q243" s="120"/>
      <c r="R243" s="121" t="b">
        <v>0</v>
      </c>
      <c r="S243" s="121" t="b">
        <v>0</v>
      </c>
      <c r="T243" s="122" t="b">
        <v>0</v>
      </c>
    </row>
    <row r="244" outlineLevel="1">
      <c r="A244" s="116"/>
      <c r="B244" s="116"/>
      <c r="C244" s="185"/>
      <c r="D244" s="157"/>
      <c r="E244" s="157"/>
      <c r="F244" s="116"/>
      <c r="G244" s="116"/>
      <c r="H244" s="116"/>
      <c r="I244" s="116"/>
      <c r="J244" s="134"/>
      <c r="K244" s="177"/>
      <c r="L244" s="116"/>
      <c r="M244" s="178" t="str">
        <f>IFERROR(__xludf.DUMMYFUNCTION("IF(
  K244="""",
  """",
  ROUND(
    IF(
      L244="""",
      K244,
      IF(
        ISERROR(FIND(""-"",L244)),
        K244 - VALUE(REGEXEXTRACT(L244,""(\d+)"")),
        K244 * (1 - VALUE(REGEXEXTRACT(L244,""(\d+)""))/100)
      )
    ),
    2
  )
)"&amp;"
")," ")</f>
        <v/>
      </c>
      <c r="N244" s="116"/>
      <c r="O244" s="118" t="b">
        <v>0</v>
      </c>
      <c r="P244" s="179"/>
      <c r="Q244" s="120"/>
      <c r="R244" s="121" t="b">
        <v>0</v>
      </c>
      <c r="S244" s="121" t="b">
        <v>0</v>
      </c>
      <c r="T244" s="122" t="b">
        <v>0</v>
      </c>
    </row>
    <row r="245" outlineLevel="1">
      <c r="A245" s="116"/>
      <c r="B245" s="116"/>
      <c r="C245" s="185"/>
      <c r="D245" s="116"/>
      <c r="E245" s="116"/>
      <c r="F245" s="116"/>
      <c r="G245" s="116"/>
      <c r="H245" s="116"/>
      <c r="I245" s="116"/>
      <c r="J245" s="134"/>
      <c r="K245" s="177"/>
      <c r="L245" s="116"/>
      <c r="M245" s="178" t="str">
        <f>IFERROR(__xludf.DUMMYFUNCTION("IF(
  K245="""",
  """",
  ROUND(
    IF(
      L245="""",
      K245,
      IF(
        ISERROR(FIND(""-"",L245)),
        K245 - VALUE(REGEXEXTRACT(L245,""(\d+)"")),
        K245 * (1 - VALUE(REGEXEXTRACT(L245,""(\d+)""))/100)
      )
    ),
    2
  )
)"&amp;"
")," ")</f>
        <v/>
      </c>
      <c r="N245" s="116"/>
      <c r="O245" s="118" t="b">
        <v>0</v>
      </c>
      <c r="P245" s="179"/>
      <c r="Q245" s="120"/>
      <c r="R245" s="121" t="b">
        <v>0</v>
      </c>
      <c r="S245" s="121" t="b">
        <v>0</v>
      </c>
      <c r="T245" s="122" t="b">
        <v>0</v>
      </c>
    </row>
    <row r="246" outlineLevel="1">
      <c r="A246" s="116"/>
      <c r="B246" s="116"/>
      <c r="C246" s="186"/>
      <c r="D246" s="116"/>
      <c r="E246" s="116"/>
      <c r="F246" s="156"/>
      <c r="G246" s="157"/>
      <c r="H246" s="116"/>
      <c r="I246" s="116"/>
      <c r="J246" s="134"/>
      <c r="K246" s="177"/>
      <c r="L246" s="116"/>
      <c r="M246" s="178" t="str">
        <f>IFERROR(__xludf.DUMMYFUNCTION("IF(
  K246="""",
  """",
  ROUND(
    IF(
      L246="""",
      K246,
      IF(
        ISERROR(FIND(""-"",L246)),
        K246 - VALUE(REGEXEXTRACT(L246,""(\d+)"")),
        K246 * (1 - VALUE(REGEXEXTRACT(L246,""(\d+)""))/100)
      )
    ),
    2
  )
)"&amp;"
")," ")</f>
        <v/>
      </c>
      <c r="N246" s="116"/>
      <c r="O246" s="118" t="b">
        <v>0</v>
      </c>
      <c r="P246" s="179"/>
      <c r="Q246" s="120"/>
      <c r="R246" s="121" t="b">
        <v>0</v>
      </c>
      <c r="S246" s="121" t="b">
        <v>0</v>
      </c>
      <c r="T246" s="122" t="b">
        <v>0</v>
      </c>
    </row>
    <row r="247" outlineLevel="1">
      <c r="A247" s="116"/>
      <c r="B247" s="116"/>
      <c r="C247" s="186"/>
      <c r="D247" s="157"/>
      <c r="E247" s="157"/>
      <c r="F247" s="187"/>
      <c r="G247" s="188"/>
      <c r="H247" s="116"/>
      <c r="I247" s="116"/>
      <c r="J247" s="134"/>
      <c r="K247" s="177"/>
      <c r="L247" s="116"/>
      <c r="M247" s="178" t="str">
        <f>IFERROR(__xludf.DUMMYFUNCTION("IF(
  K247="""",
  """",
  ROUND(
    IF(
      L247="""",
      K247,
      IF(
        ISERROR(FIND(""-"",L247)),
        K247 - VALUE(REGEXEXTRACT(L247,""(\d+)"")),
        K247 * (1 - VALUE(REGEXEXTRACT(L247,""(\d+)""))/100)
      )
    ),
    2
  )
)"&amp;"
")," ")</f>
        <v/>
      </c>
      <c r="N247" s="116"/>
      <c r="O247" s="118" t="b">
        <v>0</v>
      </c>
      <c r="P247" s="179"/>
      <c r="Q247" s="120"/>
      <c r="R247" s="121" t="b">
        <v>0</v>
      </c>
      <c r="S247" s="121" t="b">
        <v>0</v>
      </c>
      <c r="T247" s="122" t="b">
        <v>0</v>
      </c>
    </row>
    <row r="248" outlineLevel="1">
      <c r="A248" s="131"/>
      <c r="B248" s="131"/>
      <c r="C248" s="130"/>
      <c r="D248" s="116"/>
      <c r="E248" s="116"/>
      <c r="F248" s="131"/>
      <c r="G248" s="131"/>
      <c r="H248" s="131"/>
      <c r="I248" s="183"/>
      <c r="J248" s="148"/>
      <c r="K248" s="177"/>
      <c r="L248" s="116"/>
      <c r="M248" s="178" t="str">
        <f>IFERROR(__xludf.DUMMYFUNCTION("IF(
  K248="""",
  """",
  ROUND(
    IF(
      L248="""",
      K248,
      IF(
        ISERROR(FIND(""-"",L248)),
        K248 - VALUE(REGEXEXTRACT(L248,""(\d+)"")),
        K248 * (1 - VALUE(REGEXEXTRACT(L248,""(\d+)""))/100)
      )
    ),
    2
  )
)"&amp;"
")," ")</f>
        <v/>
      </c>
      <c r="N248" s="131"/>
      <c r="O248" s="118" t="b">
        <v>0</v>
      </c>
      <c r="P248" s="179"/>
      <c r="Q248" s="120"/>
      <c r="R248" s="121" t="b">
        <v>0</v>
      </c>
      <c r="S248" s="121" t="b">
        <v>0</v>
      </c>
      <c r="T248" s="122" t="b">
        <v>0</v>
      </c>
    </row>
    <row r="249" outlineLevel="1">
      <c r="A249" s="131"/>
      <c r="B249" s="131"/>
      <c r="C249" s="130"/>
      <c r="D249" s="116"/>
      <c r="E249" s="116"/>
      <c r="F249" s="131"/>
      <c r="G249" s="131"/>
      <c r="H249" s="131"/>
      <c r="I249" s="183"/>
      <c r="J249" s="148"/>
      <c r="K249" s="177"/>
      <c r="L249" s="116"/>
      <c r="M249" s="178" t="str">
        <f>IFERROR(__xludf.DUMMYFUNCTION("IF(
  K249="""",
  """",
  ROUND(
    IF(
      L249="""",
      K249,
      IF(
        ISERROR(FIND(""-"",L249)),
        K249 - VALUE(REGEXEXTRACT(L249,""(\d+)"")),
        K249 * (1 - VALUE(REGEXEXTRACT(L249,""(\d+)""))/100)
      )
    ),
    2
  )
)"&amp;"
")," ")</f>
        <v/>
      </c>
      <c r="N249" s="131"/>
      <c r="O249" s="118" t="b">
        <v>0</v>
      </c>
      <c r="P249" s="179"/>
      <c r="Q249" s="120"/>
      <c r="R249" s="121" t="b">
        <v>0</v>
      </c>
      <c r="S249" s="121" t="b">
        <v>0</v>
      </c>
      <c r="T249" s="122" t="b">
        <v>0</v>
      </c>
    </row>
    <row r="250" outlineLevel="1">
      <c r="A250" s="131"/>
      <c r="B250" s="116"/>
      <c r="C250" s="130"/>
      <c r="D250" s="157"/>
      <c r="E250" s="157"/>
      <c r="F250" s="131"/>
      <c r="G250" s="131"/>
      <c r="H250" s="131"/>
      <c r="I250" s="183"/>
      <c r="J250" s="148"/>
      <c r="K250" s="177"/>
      <c r="L250" s="116"/>
      <c r="M250" s="178" t="str">
        <f>IFERROR(__xludf.DUMMYFUNCTION("IF(
  K250="""",
  """",
  ROUND(
    IF(
      L250="""",
      K250,
      IF(
        ISERROR(FIND(""-"",L250)),
        K250 - VALUE(REGEXEXTRACT(L250,""(\d+)"")),
        K250 * (1 - VALUE(REGEXEXTRACT(L250,""(\d+)""))/100)
      )
    ),
    2
  )
)"&amp;"
")," ")</f>
        <v/>
      </c>
      <c r="N250" s="131"/>
      <c r="O250" s="118" t="b">
        <v>0</v>
      </c>
      <c r="P250" s="179"/>
      <c r="Q250" s="120"/>
      <c r="R250" s="121" t="b">
        <v>0</v>
      </c>
      <c r="S250" s="121" t="b">
        <v>0</v>
      </c>
      <c r="T250" s="122" t="b">
        <v>0</v>
      </c>
    </row>
    <row r="251" outlineLevel="1">
      <c r="A251" s="131"/>
      <c r="B251" s="116"/>
      <c r="C251" s="130"/>
      <c r="D251" s="116"/>
      <c r="E251" s="116"/>
      <c r="F251" s="131"/>
      <c r="G251" s="131"/>
      <c r="H251" s="131"/>
      <c r="I251" s="183"/>
      <c r="J251" s="148"/>
      <c r="K251" s="177"/>
      <c r="L251" s="116"/>
      <c r="M251" s="178" t="str">
        <f>IFERROR(__xludf.DUMMYFUNCTION("IF(
  K251="""",
  """",
  ROUND(
    IF(
      L251="""",
      K251,
      IF(
        ISERROR(FIND(""-"",L251)),
        K251 - VALUE(REGEXEXTRACT(L251,""(\d+)"")),
        K251 * (1 - VALUE(REGEXEXTRACT(L251,""(\d+)""))/100)
      )
    ),
    2
  )
)"&amp;"
")," ")</f>
        <v/>
      </c>
      <c r="N251" s="131"/>
      <c r="O251" s="118" t="b">
        <v>0</v>
      </c>
      <c r="P251" s="179"/>
      <c r="Q251" s="120"/>
      <c r="R251" s="121" t="b">
        <v>0</v>
      </c>
      <c r="S251" s="121" t="b">
        <v>0</v>
      </c>
      <c r="T251" s="122" t="b">
        <v>0</v>
      </c>
    </row>
    <row r="252" outlineLevel="1">
      <c r="A252" s="131"/>
      <c r="B252" s="116"/>
      <c r="C252" s="130"/>
      <c r="D252" s="116"/>
      <c r="E252" s="116"/>
      <c r="F252" s="131"/>
      <c r="G252" s="131"/>
      <c r="H252" s="131"/>
      <c r="I252" s="183"/>
      <c r="J252" s="148"/>
      <c r="K252" s="177"/>
      <c r="L252" s="116"/>
      <c r="M252" s="178" t="str">
        <f>IFERROR(__xludf.DUMMYFUNCTION("IF(
  K252="""",
  """",
  ROUND(
    IF(
      L252="""",
      K252,
      IF(
        ISERROR(FIND(""-"",L252)),
        K252 - VALUE(REGEXEXTRACT(L252,""(\d+)"")),
        K252 * (1 - VALUE(REGEXEXTRACT(L252,""(\d+)""))/100)
      )
    ),
    2
  )
)"&amp;"
")," ")</f>
        <v/>
      </c>
      <c r="N252" s="131"/>
      <c r="O252" s="118" t="b">
        <v>0</v>
      </c>
      <c r="P252" s="179"/>
      <c r="Q252" s="120"/>
      <c r="R252" s="121" t="b">
        <v>0</v>
      </c>
      <c r="S252" s="121" t="b">
        <v>0</v>
      </c>
      <c r="T252" s="122" t="b">
        <v>0</v>
      </c>
    </row>
    <row r="253" outlineLevel="1">
      <c r="A253" s="131"/>
      <c r="B253" s="116"/>
      <c r="C253" s="130"/>
      <c r="D253" s="157"/>
      <c r="E253" s="157"/>
      <c r="F253" s="131"/>
      <c r="G253" s="131"/>
      <c r="H253" s="131"/>
      <c r="I253" s="183"/>
      <c r="J253" s="148"/>
      <c r="K253" s="177"/>
      <c r="L253" s="116"/>
      <c r="M253" s="178" t="str">
        <f>IFERROR(__xludf.DUMMYFUNCTION("IF(
  K253="""",
  """",
  ROUND(
    IF(
      L253="""",
      K253,
      IF(
        ISERROR(FIND(""-"",L253)),
        K253 - VALUE(REGEXEXTRACT(L253,""(\d+)"")),
        K253 * (1 - VALUE(REGEXEXTRACT(L253,""(\d+)""))/100)
      )
    ),
    2
  )
)"&amp;"
")," ")</f>
        <v/>
      </c>
      <c r="N253" s="131"/>
      <c r="O253" s="118" t="b">
        <v>0</v>
      </c>
      <c r="P253" s="179"/>
      <c r="Q253" s="120"/>
      <c r="R253" s="121" t="b">
        <v>0</v>
      </c>
      <c r="S253" s="121" t="b">
        <v>0</v>
      </c>
      <c r="T253" s="122" t="b">
        <v>0</v>
      </c>
    </row>
    <row r="254" outlineLevel="1">
      <c r="A254" s="131"/>
      <c r="B254" s="116"/>
      <c r="C254" s="130"/>
      <c r="D254" s="116"/>
      <c r="E254" s="116"/>
      <c r="F254" s="131"/>
      <c r="G254" s="131"/>
      <c r="H254" s="131"/>
      <c r="I254" s="183"/>
      <c r="J254" s="148"/>
      <c r="K254" s="177"/>
      <c r="L254" s="116"/>
      <c r="M254" s="178" t="str">
        <f>IFERROR(__xludf.DUMMYFUNCTION("IF(
  K254="""",
  """",
  ROUND(
    IF(
      L254="""",
      K254,
      IF(
        ISERROR(FIND(""-"",L254)),
        K254 - VALUE(REGEXEXTRACT(L254,""(\d+)"")),
        K254 * (1 - VALUE(REGEXEXTRACT(L254,""(\d+)""))/100)
      )
    ),
    2
  )
)"&amp;"
")," ")</f>
        <v/>
      </c>
      <c r="N254" s="131"/>
      <c r="O254" s="118" t="b">
        <v>0</v>
      </c>
      <c r="P254" s="179"/>
      <c r="Q254" s="120"/>
      <c r="R254" s="121" t="b">
        <v>0</v>
      </c>
      <c r="S254" s="121" t="b">
        <v>0</v>
      </c>
      <c r="T254" s="122" t="b">
        <v>0</v>
      </c>
    </row>
    <row r="255" outlineLevel="1">
      <c r="A255" s="131"/>
      <c r="B255" s="116"/>
      <c r="C255" s="130"/>
      <c r="D255" s="116"/>
      <c r="E255" s="116"/>
      <c r="F255" s="131"/>
      <c r="G255" s="131"/>
      <c r="H255" s="131"/>
      <c r="I255" s="183"/>
      <c r="J255" s="148"/>
      <c r="K255" s="177"/>
      <c r="L255" s="116"/>
      <c r="M255" s="178" t="str">
        <f>IFERROR(__xludf.DUMMYFUNCTION("IF(
  K255="""",
  """",
  ROUND(
    IF(
      L255="""",
      K255,
      IF(
        ISERROR(FIND(""-"",L255)),
        K255 - VALUE(REGEXEXTRACT(L255,""(\d+)"")),
        K255 * (1 - VALUE(REGEXEXTRACT(L255,""(\d+)""))/100)
      )
    ),
    2
  )
)"&amp;"
")," ")</f>
        <v/>
      </c>
      <c r="N255" s="131"/>
      <c r="O255" s="118" t="b">
        <v>0</v>
      </c>
      <c r="P255" s="179"/>
      <c r="Q255" s="120"/>
      <c r="R255" s="121" t="b">
        <v>0</v>
      </c>
      <c r="S255" s="121" t="b">
        <v>0</v>
      </c>
      <c r="T255" s="122" t="b">
        <v>0</v>
      </c>
    </row>
    <row r="256" outlineLevel="1">
      <c r="A256" s="131"/>
      <c r="B256" s="116"/>
      <c r="C256" s="130"/>
      <c r="D256" s="157"/>
      <c r="E256" s="157"/>
      <c r="F256" s="131"/>
      <c r="G256" s="131"/>
      <c r="H256" s="131"/>
      <c r="I256" s="183"/>
      <c r="J256" s="148"/>
      <c r="K256" s="177"/>
      <c r="L256" s="116"/>
      <c r="M256" s="178" t="str">
        <f>IFERROR(__xludf.DUMMYFUNCTION("IF(
  K256="""",
  """",
  ROUND(
    IF(
      L256="""",
      K256,
      IF(
        ISERROR(FIND(""-"",L256)),
        K256 - VALUE(REGEXEXTRACT(L256,""(\d+)"")),
        K256 * (1 - VALUE(REGEXEXTRACT(L256,""(\d+)""))/100)
      )
    ),
    2
  )
)"&amp;"
")," ")</f>
        <v/>
      </c>
      <c r="N256" s="131"/>
      <c r="O256" s="118" t="b">
        <v>0</v>
      </c>
      <c r="P256" s="179"/>
      <c r="Q256" s="120"/>
      <c r="R256" s="121" t="b">
        <v>0</v>
      </c>
      <c r="S256" s="121" t="b">
        <v>0</v>
      </c>
      <c r="T256" s="122" t="b">
        <v>0</v>
      </c>
    </row>
    <row r="257" outlineLevel="1">
      <c r="A257" s="131"/>
      <c r="B257" s="116"/>
      <c r="C257" s="130"/>
      <c r="D257" s="116"/>
      <c r="E257" s="116"/>
      <c r="F257" s="131"/>
      <c r="G257" s="131"/>
      <c r="H257" s="131"/>
      <c r="I257" s="183"/>
      <c r="J257" s="148"/>
      <c r="K257" s="177"/>
      <c r="L257" s="116"/>
      <c r="M257" s="178" t="str">
        <f>IFERROR(__xludf.DUMMYFUNCTION("IF(
  K257="""",
  """",
  ROUND(
    IF(
      L257="""",
      K257,
      IF(
        ISERROR(FIND(""-"",L257)),
        K257 - VALUE(REGEXEXTRACT(L257,""(\d+)"")),
        K257 * (1 - VALUE(REGEXEXTRACT(L257,""(\d+)""))/100)
      )
    ),
    2
  )
)"&amp;"
")," ")</f>
        <v/>
      </c>
      <c r="N257" s="131"/>
      <c r="O257" s="118" t="b">
        <v>0</v>
      </c>
      <c r="P257" s="179"/>
      <c r="Q257" s="120"/>
      <c r="R257" s="121" t="b">
        <v>0</v>
      </c>
      <c r="S257" s="121" t="b">
        <v>0</v>
      </c>
      <c r="T257" s="122" t="b">
        <v>0</v>
      </c>
    </row>
    <row r="258" outlineLevel="1">
      <c r="A258" s="116"/>
      <c r="B258" s="116"/>
      <c r="C258" s="129"/>
      <c r="D258" s="116"/>
      <c r="E258" s="116"/>
      <c r="F258" s="116"/>
      <c r="G258" s="116"/>
      <c r="H258" s="116"/>
      <c r="I258" s="116"/>
      <c r="J258" s="134"/>
      <c r="K258" s="177"/>
      <c r="L258" s="116"/>
      <c r="M258" s="178" t="str">
        <f>IFERROR(__xludf.DUMMYFUNCTION("IF(
  K258="""",
  """",
  ROUND(
    IF(
      L258="""",
      K258,
      IF(
        ISERROR(FIND(""-"",L258)),
        K258 - VALUE(REGEXEXTRACT(L258,""(\d+)"")),
        K258 * (1 - VALUE(REGEXEXTRACT(L258,""(\d+)""))/100)
      )
    ),
    2
  )
)"&amp;"
")," ")</f>
        <v/>
      </c>
      <c r="N258" s="116"/>
      <c r="O258" s="118" t="b">
        <v>0</v>
      </c>
      <c r="P258" s="179"/>
      <c r="Q258" s="120"/>
      <c r="R258" s="121" t="b">
        <v>0</v>
      </c>
      <c r="S258" s="121" t="b">
        <v>0</v>
      </c>
      <c r="T258" s="122" t="b">
        <v>0</v>
      </c>
    </row>
    <row r="259" outlineLevel="1">
      <c r="A259" s="116"/>
      <c r="B259" s="116"/>
      <c r="C259" s="185"/>
      <c r="D259" s="157"/>
      <c r="E259" s="157"/>
      <c r="F259" s="116"/>
      <c r="G259" s="116"/>
      <c r="H259" s="116"/>
      <c r="I259" s="116"/>
      <c r="J259" s="134"/>
      <c r="K259" s="177"/>
      <c r="L259" s="116"/>
      <c r="M259" s="178" t="str">
        <f>IFERROR(__xludf.DUMMYFUNCTION("IF(
  K259="""",
  """",
  ROUND(
    IF(
      L259="""",
      K259,
      IF(
        ISERROR(FIND(""-"",L259)),
        K259 - VALUE(REGEXEXTRACT(L259,""(\d+)"")),
        K259 * (1 - VALUE(REGEXEXTRACT(L259,""(\d+)""))/100)
      )
    ),
    2
  )
)"&amp;"
")," ")</f>
        <v/>
      </c>
      <c r="N259" s="116"/>
      <c r="O259" s="118" t="b">
        <v>0</v>
      </c>
      <c r="P259" s="179"/>
      <c r="Q259" s="120"/>
      <c r="R259" s="121" t="b">
        <v>0</v>
      </c>
      <c r="S259" s="121" t="b">
        <v>0</v>
      </c>
      <c r="T259" s="122" t="b">
        <v>0</v>
      </c>
    </row>
    <row r="260" outlineLevel="1">
      <c r="A260" s="116"/>
      <c r="B260" s="116"/>
      <c r="C260" s="129"/>
      <c r="D260" s="116"/>
      <c r="E260" s="116"/>
      <c r="F260" s="116"/>
      <c r="G260" s="189"/>
      <c r="H260" s="116"/>
      <c r="I260" s="116"/>
      <c r="J260" s="134"/>
      <c r="K260" s="177"/>
      <c r="L260" s="116"/>
      <c r="M260" s="178" t="str">
        <f>IFERROR(__xludf.DUMMYFUNCTION("IF(
  K260="""",
  """",
  ROUND(
    IF(
      L260="""",
      K260,
      IF(
        ISERROR(FIND(""-"",L260)),
        K260 - VALUE(REGEXEXTRACT(L260,""(\d+)"")),
        K260 * (1 - VALUE(REGEXEXTRACT(L260,""(\d+)""))/100)
      )
    ),
    2
  )
)"&amp;"
")," ")</f>
        <v/>
      </c>
      <c r="N260" s="116"/>
      <c r="O260" s="118" t="b">
        <v>0</v>
      </c>
      <c r="P260" s="179"/>
      <c r="Q260" s="159"/>
      <c r="R260" s="121" t="b">
        <v>0</v>
      </c>
      <c r="S260" s="121" t="b">
        <v>0</v>
      </c>
      <c r="T260" s="122" t="b">
        <v>0</v>
      </c>
    </row>
    <row r="261">
      <c r="A261" s="160" t="s">
        <v>116</v>
      </c>
      <c r="B261" s="161">
        <f>COUNTIF(B180:B260,"ONLINE")+COUNTIF(B180:B260,"SEDE*")</f>
        <v>40</v>
      </c>
      <c r="C261" s="160" t="s">
        <v>116</v>
      </c>
      <c r="D261" s="161">
        <f t="shared" ref="D261:F261" si="17">COUNTIF(D180:D260, "*")</f>
        <v>27</v>
      </c>
      <c r="E261" s="161">
        <f t="shared" si="17"/>
        <v>46</v>
      </c>
      <c r="F261" s="161">
        <f t="shared" si="17"/>
        <v>46</v>
      </c>
      <c r="G261" s="162">
        <f>COUNTA(G180:G260)</f>
        <v>46</v>
      </c>
      <c r="H261" s="161">
        <f t="shared" ref="H261:I261" si="18">COUNTIF(H180:H260, "*")</f>
        <v>46</v>
      </c>
      <c r="I261" s="161">
        <f t="shared" si="18"/>
        <v>46</v>
      </c>
      <c r="J261" s="160" t="s">
        <v>116</v>
      </c>
      <c r="K261" s="190">
        <f>SUM(K180:K260)</f>
        <v>0</v>
      </c>
      <c r="L261" s="161">
        <f>COUNTIF(L180:L260, "*")</f>
        <v>0</v>
      </c>
      <c r="M261" s="163">
        <f>SUM(M180:M260)</f>
        <v>0</v>
      </c>
      <c r="N261" s="161">
        <f>COUNTIF(N180:N216, "*")+COUNTIF(N218:N260, "*")</f>
        <v>43</v>
      </c>
      <c r="O261" s="161">
        <f>SUMPRODUCT(--O180:O260)</f>
        <v>57</v>
      </c>
      <c r="P261" s="161">
        <f t="shared" ref="P261:Q261" si="19">COUNTIF(P180:P260, "*")</f>
        <v>1</v>
      </c>
      <c r="Q261" s="161">
        <f t="shared" si="19"/>
        <v>44</v>
      </c>
      <c r="R261" s="161">
        <f t="shared" ref="R261:T261" si="20">SUMPRODUCT(--R180:R260)</f>
        <v>22</v>
      </c>
      <c r="S261" s="161">
        <f t="shared" si="20"/>
        <v>0</v>
      </c>
      <c r="T261" s="161">
        <f t="shared" si="20"/>
        <v>2</v>
      </c>
    </row>
    <row r="262">
      <c r="A262" s="164" t="s">
        <v>117</v>
      </c>
      <c r="B262" s="165">
        <f>COUNTIF(B180:B260, "SEDE*")</f>
        <v>0</v>
      </c>
      <c r="C262" s="142"/>
      <c r="D262" s="166" t="s">
        <v>454</v>
      </c>
      <c r="E262" s="167" t="s">
        <v>119</v>
      </c>
      <c r="F262" s="168">
        <f>IFERROR(__xludf.DUMMYFUNCTION("IFERROR(TRANSPOSE(SORT(UNIQUE(FILTER($M$180:$M$260,$M$180:$M$260&lt;&gt;"""")))),"""")"),0.0)</f>
        <v>0</v>
      </c>
      <c r="G262" s="150"/>
      <c r="H262" s="117"/>
      <c r="I262" s="168"/>
      <c r="J262" s="150"/>
      <c r="K262" s="117"/>
      <c r="L262" s="117"/>
      <c r="M262" s="191"/>
      <c r="N262" s="191"/>
      <c r="O262" s="191"/>
      <c r="P262" s="174" t="s">
        <v>40</v>
      </c>
      <c r="Q262" s="171" t="str">
        <f>IF(SUM(F264:O264)=0,"",SUM(F264:O264))
</f>
        <v/>
      </c>
      <c r="R262" s="164" t="s">
        <v>120</v>
      </c>
      <c r="S262" s="165" t="str">
        <f>IF(SUM(M261) = SUM(Q262:Q266), "OK", "ERRORE")</f>
        <v>OK</v>
      </c>
    </row>
    <row r="263">
      <c r="A263" s="164" t="s">
        <v>74</v>
      </c>
      <c r="B263" s="165">
        <f>COUNTIF(B180:B260, "ONLINE")</f>
        <v>40</v>
      </c>
      <c r="E263" s="172" t="s">
        <v>121</v>
      </c>
      <c r="F263" s="172">
        <f t="shared" ref="F263:O263" si="21">IF(
  F$262="",
  "",
  COUNTIFS($B$180:$B$260,"*SEDE*",$M$180:$M$260,F$262)
)
</f>
        <v>0</v>
      </c>
      <c r="G263" s="172" t="str">
        <f t="shared" si="21"/>
        <v/>
      </c>
      <c r="H263" s="172" t="str">
        <f t="shared" si="21"/>
        <v/>
      </c>
      <c r="I263" s="172" t="str">
        <f t="shared" si="21"/>
        <v/>
      </c>
      <c r="J263" s="172" t="str">
        <f t="shared" si="21"/>
        <v/>
      </c>
      <c r="K263" s="172" t="str">
        <f t="shared" si="21"/>
        <v/>
      </c>
      <c r="L263" s="172" t="str">
        <f t="shared" si="21"/>
        <v/>
      </c>
      <c r="M263" s="172" t="str">
        <f t="shared" si="21"/>
        <v/>
      </c>
      <c r="N263" s="172" t="str">
        <f t="shared" si="21"/>
        <v/>
      </c>
      <c r="O263" s="172" t="str">
        <f t="shared" si="21"/>
        <v/>
      </c>
    </row>
    <row r="264">
      <c r="A264" s="245" t="s">
        <v>356</v>
      </c>
      <c r="B264" s="246">
        <f>COUNTIF(E180:E216, "*")</f>
        <v>30</v>
      </c>
      <c r="E264" s="192" t="s">
        <v>122</v>
      </c>
      <c r="F264" s="193">
        <f t="shared" ref="F264:O264" si="22">IF(
  F$262="",
  "",
  SUMIFS($M$180:$M$260,$B$180:$B$260,"*SEDE*",$M$180:$M$260,F$262)
)
</f>
        <v>0</v>
      </c>
      <c r="G264" s="193" t="str">
        <f t="shared" si="22"/>
        <v/>
      </c>
      <c r="H264" s="193" t="str">
        <f t="shared" si="22"/>
        <v/>
      </c>
      <c r="I264" s="193" t="str">
        <f t="shared" si="22"/>
        <v/>
      </c>
      <c r="J264" s="193" t="str">
        <f t="shared" si="22"/>
        <v/>
      </c>
      <c r="K264" s="193" t="str">
        <f t="shared" si="22"/>
        <v/>
      </c>
      <c r="L264" s="193" t="str">
        <f t="shared" si="22"/>
        <v/>
      </c>
      <c r="M264" s="193" t="str">
        <f t="shared" si="22"/>
        <v/>
      </c>
      <c r="N264" s="193" t="str">
        <f t="shared" si="22"/>
        <v/>
      </c>
      <c r="O264" s="193" t="str">
        <f t="shared" si="22"/>
        <v/>
      </c>
    </row>
    <row r="265">
      <c r="A265" s="245" t="s">
        <v>357</v>
      </c>
      <c r="B265" s="246">
        <f>COUNTIF(E218:E260, "*")</f>
        <v>16</v>
      </c>
      <c r="E265" s="172" t="s">
        <v>123</v>
      </c>
      <c r="F265" s="175">
        <f t="shared" ref="F265:O265" si="23">IF(
  F$262="",
  "",
  COUNTIFS($B$180:$B$260,"*ONLINE*",$M$180:$M$260,F$262)
)
</f>
        <v>39</v>
      </c>
      <c r="G265" s="175" t="str">
        <f t="shared" si="23"/>
        <v/>
      </c>
      <c r="H265" s="175" t="str">
        <f t="shared" si="23"/>
        <v/>
      </c>
      <c r="I265" s="175" t="str">
        <f t="shared" si="23"/>
        <v/>
      </c>
      <c r="J265" s="175" t="str">
        <f t="shared" si="23"/>
        <v/>
      </c>
      <c r="K265" s="175" t="str">
        <f t="shared" si="23"/>
        <v/>
      </c>
      <c r="L265" s="175" t="str">
        <f t="shared" si="23"/>
        <v/>
      </c>
      <c r="M265" s="175" t="str">
        <f t="shared" si="23"/>
        <v/>
      </c>
      <c r="N265" s="175" t="str">
        <f t="shared" si="23"/>
        <v/>
      </c>
      <c r="O265" s="175" t="str">
        <f t="shared" si="23"/>
        <v/>
      </c>
      <c r="P265" s="170" t="s">
        <v>40</v>
      </c>
      <c r="Q265" s="171" t="str">
        <f>IF(SUM(F266:O266)=0,"",SUM(F266:O266))
</f>
        <v/>
      </c>
    </row>
    <row r="266">
      <c r="A266" s="142"/>
      <c r="B266" s="142"/>
      <c r="E266" s="194" t="s">
        <v>124</v>
      </c>
      <c r="F266" s="195">
        <f t="shared" ref="F266:O266" si="24">IF(
  F$262="",
  "",
  SUMIFS($M$180:$M$260,$B$180:$B$260,"*ONLINE*",$M$180:$M$260,F$262)
)
</f>
        <v>0</v>
      </c>
      <c r="G266" s="195" t="str">
        <f t="shared" si="24"/>
        <v/>
      </c>
      <c r="H266" s="195" t="str">
        <f t="shared" si="24"/>
        <v/>
      </c>
      <c r="I266" s="195" t="str">
        <f t="shared" si="24"/>
        <v/>
      </c>
      <c r="J266" s="195" t="str">
        <f t="shared" si="24"/>
        <v/>
      </c>
      <c r="K266" s="195" t="str">
        <f t="shared" si="24"/>
        <v/>
      </c>
      <c r="L266" s="195" t="str">
        <f t="shared" si="24"/>
        <v/>
      </c>
      <c r="M266" s="195" t="str">
        <f t="shared" si="24"/>
        <v/>
      </c>
      <c r="N266" s="195" t="str">
        <f t="shared" si="24"/>
        <v/>
      </c>
      <c r="O266" s="195" t="str">
        <f t="shared" si="24"/>
        <v/>
      </c>
      <c r="P266" s="196"/>
    </row>
    <row r="267">
      <c r="A267" s="197"/>
      <c r="B267" s="198"/>
      <c r="D267" s="199" t="s">
        <v>455</v>
      </c>
      <c r="E267" s="200" t="s">
        <v>129</v>
      </c>
      <c r="F267" s="201">
        <f>IFERROR(__xludf.DUMMYFUNCTION("IFERROR(
  TRANSPOSE(
    SORT(
      UNIQUE(
        FILTER(
          {$M$4:$M$84;$M$92:$M$172;$M$180:$M$260},
          {$M$4:$M$84;$M$92:$M$172;$M$180:$M$260}&lt;&gt;""""
        )
      )
    )
  ),
  """"
)
"),0.0)</f>
        <v>0</v>
      </c>
      <c r="G267" s="201">
        <f>IFERROR(__xludf.DUMMYFUNCTION("""COMPUTED_VALUE"""),30.0)</f>
        <v>30</v>
      </c>
      <c r="H267" s="201">
        <f>IFERROR(__xludf.DUMMYFUNCTION("""COMPUTED_VALUE"""),32.0)</f>
        <v>32</v>
      </c>
      <c r="I267" s="201">
        <f>IFERROR(__xludf.DUMMYFUNCTION("""COMPUTED_VALUE"""),33.0)</f>
        <v>33</v>
      </c>
      <c r="J267" s="201">
        <f>IFERROR(__xludf.DUMMYFUNCTION("""COMPUTED_VALUE"""),35.0)</f>
        <v>35</v>
      </c>
      <c r="K267" s="201">
        <f>IFERROR(__xludf.DUMMYFUNCTION("""COMPUTED_VALUE"""),37.0)</f>
        <v>37</v>
      </c>
      <c r="L267" s="202"/>
      <c r="M267" s="201"/>
      <c r="N267" s="201"/>
      <c r="O267" s="201"/>
      <c r="P267" s="203" t="s">
        <v>127</v>
      </c>
      <c r="Q267" s="204">
        <f>IF(SUM(F269:O269)=0,"",SUM(F269:O269))
</f>
        <v>332</v>
      </c>
      <c r="R267" s="205" t="s">
        <v>130</v>
      </c>
      <c r="S267" s="206">
        <f>IF(SUM(Q267,Q270)=0,"",SUM(Q267,Q270))
</f>
        <v>1700</v>
      </c>
      <c r="T267" s="207"/>
    </row>
    <row r="268">
      <c r="A268" s="208"/>
      <c r="B268" s="209"/>
      <c r="D268" s="210"/>
      <c r="E268" s="211" t="s">
        <v>132</v>
      </c>
      <c r="F268" s="212" t="str">
        <f t="shared" ref="F268:O268" si="25">IF(
  F$267="",
  "",
  COUNTIFS($B$4:$B$260,"*SEDE*",$M$4:$M$260,F$267) &amp; " da €" &amp; F$267
)
</f>
        <v>1 da €0</v>
      </c>
      <c r="G268" s="212" t="str">
        <f t="shared" si="25"/>
        <v>4 da €30</v>
      </c>
      <c r="H268" s="212" t="str">
        <f t="shared" si="25"/>
        <v>0 da €32</v>
      </c>
      <c r="I268" s="212" t="str">
        <f t="shared" si="25"/>
        <v>0 da €33</v>
      </c>
      <c r="J268" s="212" t="str">
        <f t="shared" si="25"/>
        <v>5 da €35</v>
      </c>
      <c r="K268" s="212" t="str">
        <f t="shared" si="25"/>
        <v>1 da €37</v>
      </c>
      <c r="L268" s="212" t="str">
        <f t="shared" si="25"/>
        <v/>
      </c>
      <c r="M268" s="212" t="str">
        <f t="shared" si="25"/>
        <v/>
      </c>
      <c r="N268" s="212" t="str">
        <f t="shared" si="25"/>
        <v/>
      </c>
      <c r="O268" s="212" t="str">
        <f t="shared" si="25"/>
        <v/>
      </c>
    </row>
    <row r="269">
      <c r="A269" s="213"/>
      <c r="B269" s="214"/>
      <c r="D269" s="210"/>
      <c r="E269" s="215" t="s">
        <v>122</v>
      </c>
      <c r="F269" s="216">
        <f t="shared" ref="F269:O269" si="26">IF(
  F$267="",
  "",
  SUMIFS($M$4:$M$260,$B$4:$B$260,"*SEDE*",$M$4:$M$260,F$267)
)
</f>
        <v>0</v>
      </c>
      <c r="G269" s="216">
        <f t="shared" si="26"/>
        <v>120</v>
      </c>
      <c r="H269" s="216">
        <f t="shared" si="26"/>
        <v>0</v>
      </c>
      <c r="I269" s="216">
        <f t="shared" si="26"/>
        <v>0</v>
      </c>
      <c r="J269" s="216">
        <f t="shared" si="26"/>
        <v>175</v>
      </c>
      <c r="K269" s="216">
        <f t="shared" si="26"/>
        <v>37</v>
      </c>
      <c r="L269" s="216" t="str">
        <f t="shared" si="26"/>
        <v/>
      </c>
      <c r="M269" s="216" t="str">
        <f t="shared" si="26"/>
        <v/>
      </c>
      <c r="N269" s="216" t="str">
        <f t="shared" si="26"/>
        <v/>
      </c>
      <c r="O269" s="216" t="str">
        <f t="shared" si="26"/>
        <v/>
      </c>
    </row>
    <row r="270">
      <c r="A270" s="217"/>
      <c r="B270" s="209"/>
      <c r="D270" s="210"/>
      <c r="E270" s="211" t="s">
        <v>135</v>
      </c>
      <c r="F270" s="211" t="str">
        <f t="shared" ref="F270:O270" si="27">IF(
  F$267="",
  "",
  COUNTIFS($B$4:$B$260,"*ONLINE*",$M$4:$M$260,F$267) &amp; " da €" &amp; F$267
)
</f>
        <v>39 da €0</v>
      </c>
      <c r="G270" s="211" t="str">
        <f t="shared" si="27"/>
        <v>5 da €30</v>
      </c>
      <c r="H270" s="211" t="str">
        <f t="shared" si="27"/>
        <v>11 da €32</v>
      </c>
      <c r="I270" s="211" t="str">
        <f t="shared" si="27"/>
        <v>1 da €33</v>
      </c>
      <c r="J270" s="211" t="str">
        <f t="shared" si="27"/>
        <v>9 da €35</v>
      </c>
      <c r="K270" s="211" t="str">
        <f t="shared" si="27"/>
        <v>14 da €37</v>
      </c>
      <c r="L270" s="211" t="str">
        <f t="shared" si="27"/>
        <v/>
      </c>
      <c r="M270" s="211" t="str">
        <f t="shared" si="27"/>
        <v/>
      </c>
      <c r="N270" s="211" t="str">
        <f t="shared" si="27"/>
        <v/>
      </c>
      <c r="O270" s="211" t="str">
        <f t="shared" si="27"/>
        <v/>
      </c>
      <c r="P270" s="203" t="s">
        <v>131</v>
      </c>
      <c r="Q270" s="218">
        <f>IF(SUM(F271:O271)=0,"",SUM(F271:O271))
</f>
        <v>1368</v>
      </c>
    </row>
    <row r="271">
      <c r="A271" s="219"/>
      <c r="B271" s="220"/>
      <c r="D271" s="221"/>
      <c r="E271" s="222" t="s">
        <v>124</v>
      </c>
      <c r="F271" s="223">
        <f t="shared" ref="F271:O271" si="28">IF(
  F$267="",
  "",
  SUMIFS($M$4:$M$260,$B$4:$B$260,"*ONLINE*",$M$4:$M$260,F$267)
)
</f>
        <v>0</v>
      </c>
      <c r="G271" s="223">
        <f t="shared" si="28"/>
        <v>150</v>
      </c>
      <c r="H271" s="223">
        <f t="shared" si="28"/>
        <v>352</v>
      </c>
      <c r="I271" s="223">
        <f t="shared" si="28"/>
        <v>33</v>
      </c>
      <c r="J271" s="223">
        <f t="shared" si="28"/>
        <v>315</v>
      </c>
      <c r="K271" s="223">
        <f t="shared" si="28"/>
        <v>518</v>
      </c>
      <c r="L271" s="223" t="str">
        <f t="shared" si="28"/>
        <v/>
      </c>
      <c r="M271" s="223" t="str">
        <f t="shared" si="28"/>
        <v/>
      </c>
      <c r="N271" s="223" t="str">
        <f t="shared" si="28"/>
        <v/>
      </c>
      <c r="O271" s="223" t="str">
        <f t="shared" si="28"/>
        <v/>
      </c>
      <c r="P271" s="196"/>
      <c r="Q271" s="196"/>
      <c r="R271" s="196"/>
      <c r="S271" s="196"/>
      <c r="T271" s="196"/>
    </row>
  </sheetData>
  <mergeCells count="43">
    <mergeCell ref="Q267:Q269"/>
    <mergeCell ref="P270:P271"/>
    <mergeCell ref="Q270:Q271"/>
    <mergeCell ref="C174:C178"/>
    <mergeCell ref="A217:B217"/>
    <mergeCell ref="C217:M217"/>
    <mergeCell ref="C262:C271"/>
    <mergeCell ref="D262:D266"/>
    <mergeCell ref="Q262:Q264"/>
    <mergeCell ref="D267:D271"/>
    <mergeCell ref="Q86:Q88"/>
    <mergeCell ref="R86:R90"/>
    <mergeCell ref="Q89:Q90"/>
    <mergeCell ref="C1:T1"/>
    <mergeCell ref="C3:M3"/>
    <mergeCell ref="P3:T3"/>
    <mergeCell ref="A44:B44"/>
    <mergeCell ref="C44:M44"/>
    <mergeCell ref="P44:T44"/>
    <mergeCell ref="C86:C90"/>
    <mergeCell ref="S86:T90"/>
    <mergeCell ref="D174:D178"/>
    <mergeCell ref="P174:P176"/>
    <mergeCell ref="Q174:Q176"/>
    <mergeCell ref="R174:R178"/>
    <mergeCell ref="S174:T178"/>
    <mergeCell ref="P177:P178"/>
    <mergeCell ref="Q177:Q178"/>
    <mergeCell ref="D86:D90"/>
    <mergeCell ref="P86:P88"/>
    <mergeCell ref="P89:P90"/>
    <mergeCell ref="C91:M91"/>
    <mergeCell ref="A131:B131"/>
    <mergeCell ref="C131:M131"/>
    <mergeCell ref="C179:M179"/>
    <mergeCell ref="R262:R266"/>
    <mergeCell ref="S262:T266"/>
    <mergeCell ref="R267:R271"/>
    <mergeCell ref="S267:T271"/>
    <mergeCell ref="P265:P266"/>
    <mergeCell ref="Q265:Q266"/>
    <mergeCell ref="P262:P264"/>
    <mergeCell ref="P267:P269"/>
  </mergeCells>
  <conditionalFormatting sqref="A4:T43 A45:T84 A92:T130 A132:T172 A180:T216 A218:T260">
    <cfRule type="expression" dxfId="0" priority="1">
      <formula>$T4</formula>
    </cfRule>
  </conditionalFormatting>
  <conditionalFormatting sqref="S4:S43 S45:S84 S92:S130 S132:S172 S180:S216 S218:S260">
    <cfRule type="expression" dxfId="1" priority="2">
      <formula>$S4</formula>
    </cfRule>
  </conditionalFormatting>
  <conditionalFormatting sqref="S4:S43 S45:S84 S92:S130 S132:S172 S180:S216 S218:S260">
    <cfRule type="expression" dxfId="2" priority="3">
      <formula>$N4="DIGIT - TESSERATO"</formula>
    </cfRule>
  </conditionalFormatting>
  <conditionalFormatting sqref="R4:R43 R45:R84 R92:R130 R132:R172 R180:R216 R218:R260">
    <cfRule type="expression" dxfId="3" priority="4">
      <formula>$R4</formula>
    </cfRule>
  </conditionalFormatting>
  <conditionalFormatting sqref="R4:R43 R45:R84 R92:R130 R132:R172 R180:R216 R218:R260">
    <cfRule type="expression" dxfId="4" priority="5">
      <formula>$N4="CASH - TESSERATO"</formula>
    </cfRule>
  </conditionalFormatting>
  <conditionalFormatting sqref="R4:R43 R45:R84 R92:R130 R132:R172 R180:R216 R218:R260">
    <cfRule type="expression" dxfId="4" priority="6">
      <formula>$N4="CASH - NON TESSERATO"</formula>
    </cfRule>
  </conditionalFormatting>
  <conditionalFormatting sqref="S4:S43 S45:S84 S92:S130 S132:S172 S180:S216 S218:S260">
    <cfRule type="expression" dxfId="2" priority="7">
      <formula>$N4="DIGIT - NON TESSERATO"</formula>
    </cfRule>
  </conditionalFormatting>
  <conditionalFormatting sqref="Q4:Q43 Q45:Q84 Q92:Q130 Q132:Q172 Q180:Q216 Q218:Q260">
    <cfRule type="expression" dxfId="0" priority="8">
      <formula>ISBLANK($Q4)=FALSE</formula>
    </cfRule>
  </conditionalFormatting>
  <conditionalFormatting sqref="A4:P43 A45:P84 A92:P130 A132:P172 A180:P216 A218:P260">
    <cfRule type="expression" dxfId="5" priority="9">
      <formula>$O4</formula>
    </cfRule>
  </conditionalFormatting>
  <conditionalFormatting sqref="S86:T90 S92:T130 S132:T178 S262:T266">
    <cfRule type="containsText" dxfId="2" priority="10" operator="containsText" text="ERRORE">
      <formula>NOT(ISERROR(SEARCH(("ERRORE"),(S86))))</formula>
    </cfRule>
  </conditionalFormatting>
  <conditionalFormatting sqref="S86:T90 S92:T130 S132:T178 S262:T266">
    <cfRule type="containsText" dxfId="0" priority="11" operator="containsText" text="OK">
      <formula>NOT(ISERROR(SEARCH(("OK"),(S86))))</formula>
    </cfRule>
  </conditionalFormatting>
  <dataValidations>
    <dataValidation type="list" allowBlank="1" showInputMessage="1" prompt="Fai clic e immetti un valore dall'elenco di elementi" sqref="N4:N43 N45:N84 N92:N130 N132:N172 N180:N216 N218:N260">
      <formula1>"CASH - TESSERATO,CASH - NON TESSERATO,DIGIT - TESSERATO,DIGIT - NON TESSERATO"</formula1>
    </dataValidation>
    <dataValidation type="custom" allowBlank="1" showDropDown="1" showInputMessage="1" showErrorMessage="1" prompt="Immetti un valore che soddisfi la formula: =REGEXMATCH(TO_TEXT(J3); &quot;^[^@\s]+@[^@\s]+\.[^@\s]+$&quot;)" sqref="I149">
      <formula1>REGEXMATCH(TO_TEXT(I149), "^[^@\s]+@[^@\s]+\.[^@\s]+$")</formula1>
    </dataValidation>
    <dataValidation type="list" allowBlank="1" showErrorMessage="1" sqref="B4:B43 B45:B84 B92:B130 B132:B172 B180:B216 B218:B260">
      <formula1>"ONLINE,SEDE Estefany,SEDE Giuditta,SEDE Alexandra,SEDE Nura,SEDE Joel"</formula1>
    </dataValidation>
    <dataValidation type="list" allowBlank="1" showErrorMessage="1" sqref="L4:L43 L45:L84 L92:L130 L132:L172 L180:L216 L218:L260">
      <formula1>"NURA02WS,GIUDITTA02WS,ALEXANDRA02WS,ESTEFANY02WS,JOEL02WS,MASSI02WS,SANTO02WS,SARA02WS,OMAGGIO-100WS,UNDIAENCUBA05,STFEANO02UNDIAENCUBA"</formula1>
    </dataValidation>
    <dataValidation type="list" allowBlank="1" showInputMessage="1" showErrorMessage="1" prompt="Fai clic e immetti un valore dall'intervallo" sqref="A4:A43 A45:A84 A92:A130 A132:A172 A180:A216 A218:A260">
      <formula1>elenchi!$M$2:$M$100</formula1>
    </dataValidation>
    <dataValidation type="list" allowBlank="1" sqref="Q4:Q43 Q45:Q84 Q92:Q130 Q132:Q172 Q180:Q216 Q218:Q260">
      <formula1>"INSERITO,CELL,EMAIL,COD FISCALE,INDIRIZZO"</formula1>
    </dataValidation>
    <dataValidation type="custom" allowBlank="1" showDropDown="1" showInputMessage="1" showErrorMessage="1" prompt="&quot;Inserire un numero di cellulare (es. 3471234567 o +393471234567) o fisso (es. 02xxxxxxx) valido&quot;" sqref="G134">
      <formula1>REGEXMATCH(TO_TEXT(G134), "^(?:\+39)?(3\d{8,9}|0\d{5,})$")</formula1>
    </dataValidation>
    <dataValidation type="custom" allowBlank="1" showDropDown="1" showInputMessage="1" prompt="Immetti una data valida" sqref="J4:J5 C4:C43 J7:J43 A44 C45:C84 J45:J84 J92:J93 C92:C130 J95:J130 A131 C132:C172 J132:J172 J180:J181 C180:C216 J183:J216 A217 C218:C260 J218:J260">
      <formula1>OR(NOT(ISERROR(DATEVALUE(A4))), AND(ISNUMBER(A4), LEFT(CELL("format", A4))="D"))</formula1>
    </dataValidation>
    <dataValidation type="list" allowBlank="1" showErrorMessage="1" sqref="D92">
      <formula1>"Opzione 1,Opzione 2"</formula1>
    </dataValidation>
  </dataValidations>
  <hyperlinks>
    <hyperlink r:id="rId4" location="gid=1831136091" ref="C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1" t="s">
        <v>456</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 r="A3" s="110"/>
      <c r="B3" s="110"/>
      <c r="C3" s="110" t="s">
        <v>457</v>
      </c>
    </row>
    <row r="4" outlineLevel="1">
      <c r="A4" s="111" t="s">
        <v>73</v>
      </c>
      <c r="B4" s="111" t="s">
        <v>74</v>
      </c>
      <c r="C4" s="112">
        <v>46057.0</v>
      </c>
      <c r="D4" s="111" t="s">
        <v>458</v>
      </c>
      <c r="E4" s="111" t="s">
        <v>459</v>
      </c>
      <c r="F4" s="111" t="s">
        <v>460</v>
      </c>
      <c r="G4" s="111">
        <v>3.299590445E9</v>
      </c>
      <c r="H4" s="113" t="s">
        <v>461</v>
      </c>
      <c r="I4" s="111" t="s">
        <v>462</v>
      </c>
      <c r="J4" s="224">
        <v>46057.0</v>
      </c>
      <c r="K4" s="115">
        <v>22.0</v>
      </c>
      <c r="L4" s="116"/>
      <c r="M4" s="117">
        <f>IFERROR(__xludf.DUMMYFUNCTION("IF(
  K4="""",
  """",
  ROUND(
    IF(
      L4="""",
      K4,
      IF(
        ISERROR(FIND(""-"",L4)),
        K4 - VALUE(REGEXEXTRACT(L4,""(\d+)"")),
        K4 * (1 - VALUE(REGEXEXTRACT(L4,""(\d+)""))/100)
      )
    ),
    2
  )
)
"),22.0)</f>
        <v>22</v>
      </c>
      <c r="N4" s="111" t="s">
        <v>100</v>
      </c>
      <c r="O4" s="118" t="b">
        <v>1</v>
      </c>
      <c r="P4" s="119"/>
      <c r="Q4" s="120" t="s">
        <v>81</v>
      </c>
      <c r="R4" s="121" t="b">
        <v>1</v>
      </c>
      <c r="S4" s="121" t="b">
        <v>0</v>
      </c>
      <c r="T4" s="122" t="b">
        <v>1</v>
      </c>
    </row>
    <row r="5" outlineLevel="1">
      <c r="A5" s="111" t="s">
        <v>73</v>
      </c>
      <c r="B5" s="111" t="s">
        <v>74</v>
      </c>
      <c r="C5" s="112">
        <v>46057.0</v>
      </c>
      <c r="D5" s="111"/>
      <c r="E5" s="111" t="s">
        <v>463</v>
      </c>
      <c r="F5" s="111" t="s">
        <v>464</v>
      </c>
      <c r="G5" s="111">
        <v>3.920234147E9</v>
      </c>
      <c r="H5" s="111" t="s">
        <v>465</v>
      </c>
      <c r="I5" s="111" t="s">
        <v>466</v>
      </c>
      <c r="J5" s="126">
        <v>46057.0</v>
      </c>
      <c r="K5" s="115">
        <v>22.0</v>
      </c>
      <c r="L5" s="116" t="s">
        <v>99</v>
      </c>
      <c r="M5" s="117">
        <f>IFERROR(__xludf.DUMMYFUNCTION("IF(
  K5="""",
  """",
  ROUND(
    IF(
      L5="""",
      K5,
      IF(
        ISERROR(FIND(""-"",L5)),
        K5 - VALUE(REGEXEXTRACT(L5,""(\d+)"")),
        K5 * (1 - VALUE(REGEXEXTRACT(L5,""(\d+)""))/100)
      )
    ),
    2
  )
)
"),20.0)</f>
        <v>20</v>
      </c>
      <c r="N5" s="111" t="s">
        <v>80</v>
      </c>
      <c r="O5" s="118" t="b">
        <v>0</v>
      </c>
      <c r="P5" s="119"/>
      <c r="Q5" s="120" t="s">
        <v>81</v>
      </c>
      <c r="R5" s="121" t="b">
        <v>0</v>
      </c>
      <c r="S5" s="121" t="b">
        <v>1</v>
      </c>
      <c r="T5" s="122" t="b">
        <v>1</v>
      </c>
    </row>
    <row r="6" outlineLevel="1">
      <c r="A6" s="111" t="s">
        <v>73</v>
      </c>
      <c r="B6" s="111" t="s">
        <v>74</v>
      </c>
      <c r="C6" s="112">
        <v>46059.0</v>
      </c>
      <c r="D6" s="111"/>
      <c r="E6" s="111" t="s">
        <v>467</v>
      </c>
      <c r="F6" s="111" t="s">
        <v>468</v>
      </c>
      <c r="G6" s="111">
        <v>3.468298086E9</v>
      </c>
      <c r="H6" s="111" t="s">
        <v>469</v>
      </c>
      <c r="I6" s="111" t="s">
        <v>470</v>
      </c>
      <c r="J6" s="126">
        <v>46059.0</v>
      </c>
      <c r="K6" s="115">
        <v>22.0</v>
      </c>
      <c r="L6" s="116" t="s">
        <v>79</v>
      </c>
      <c r="M6" s="117">
        <f>IFERROR(__xludf.DUMMYFUNCTION("IF(
  K6="""",
  """",
  ROUND(
    IF(
      L6="""",
      K6,
      IF(
        ISERROR(FIND(""-"",L6)),
        K6 - VALUE(REGEXEXTRACT(L6,""(\d+)"")),
        K6 * (1 - VALUE(REGEXEXTRACT(L6,""(\d+)""))/100)
      )
    ),
    2
  )
)
"),20.0)</f>
        <v>20</v>
      </c>
      <c r="N6" s="111" t="s">
        <v>80</v>
      </c>
      <c r="O6" s="118" t="b">
        <v>1</v>
      </c>
      <c r="P6" s="119"/>
      <c r="Q6" s="120" t="s">
        <v>81</v>
      </c>
      <c r="R6" s="121" t="b">
        <v>0</v>
      </c>
      <c r="S6" s="121" t="b">
        <v>1</v>
      </c>
      <c r="T6" s="122" t="b">
        <v>1</v>
      </c>
    </row>
    <row r="7" outlineLevel="1">
      <c r="A7" s="111" t="s">
        <v>73</v>
      </c>
      <c r="B7" s="111" t="s">
        <v>74</v>
      </c>
      <c r="C7" s="112">
        <v>46059.0</v>
      </c>
      <c r="D7" s="111"/>
      <c r="E7" s="111" t="s">
        <v>471</v>
      </c>
      <c r="F7" s="111" t="s">
        <v>472</v>
      </c>
      <c r="G7" s="111">
        <v>3.338369306E9</v>
      </c>
      <c r="H7" s="111" t="s">
        <v>473</v>
      </c>
      <c r="I7" s="111" t="s">
        <v>474</v>
      </c>
      <c r="J7" s="126">
        <v>46059.0</v>
      </c>
      <c r="K7" s="115">
        <v>22.0</v>
      </c>
      <c r="L7" s="116" t="s">
        <v>79</v>
      </c>
      <c r="M7" s="117">
        <f>IFERROR(__xludf.DUMMYFUNCTION("IF(
  K7="""",
  """",
  ROUND(
    IF(
      L7="""",
      K7,
      IF(
        ISERROR(FIND(""-"",L7)),
        K7 - VALUE(REGEXEXTRACT(L7,""(\d+)"")),
        K7 * (1 - VALUE(REGEXEXTRACT(L7,""(\d+)""))/100)
      )
    ),
    2
  )
)
"),20.0)</f>
        <v>20</v>
      </c>
      <c r="N7" s="111" t="s">
        <v>80</v>
      </c>
      <c r="O7" s="118" t="b">
        <v>1</v>
      </c>
      <c r="P7" s="119"/>
      <c r="Q7" s="120" t="s">
        <v>81</v>
      </c>
      <c r="R7" s="121" t="b">
        <v>0</v>
      </c>
      <c r="S7" s="121" t="b">
        <v>1</v>
      </c>
      <c r="T7" s="122" t="b">
        <v>1</v>
      </c>
    </row>
    <row r="8" outlineLevel="1">
      <c r="A8" s="111" t="s">
        <v>73</v>
      </c>
      <c r="B8" s="111" t="s">
        <v>74</v>
      </c>
      <c r="C8" s="112">
        <v>46059.0</v>
      </c>
      <c r="D8" s="111" t="s">
        <v>475</v>
      </c>
      <c r="E8" s="111" t="s">
        <v>476</v>
      </c>
      <c r="F8" s="111" t="s">
        <v>180</v>
      </c>
      <c r="G8" s="111">
        <v>3.423550544E9</v>
      </c>
      <c r="H8" s="111" t="s">
        <v>477</v>
      </c>
      <c r="I8" s="225" t="s">
        <v>478</v>
      </c>
      <c r="J8" s="126">
        <v>46059.0</v>
      </c>
      <c r="K8" s="115">
        <v>22.0</v>
      </c>
      <c r="L8" s="116"/>
      <c r="M8" s="117">
        <f>IFERROR(__xludf.DUMMYFUNCTION("IF(
  K8="""",
  """",
  ROUND(
    IF(
      L8="""",
      K8,
      IF(
        ISERROR(FIND(""-"",L8)),
        K8 - VALUE(REGEXEXTRACT(L8,""(\d+)"")),
        K8 * (1 - VALUE(REGEXEXTRACT(L8,""(\d+)""))/100)
      )
    ),
    2
  )
)
"),22.0)</f>
        <v>22</v>
      </c>
      <c r="N8" s="111" t="s">
        <v>100</v>
      </c>
      <c r="O8" s="118" t="b">
        <v>1</v>
      </c>
      <c r="P8" s="119"/>
      <c r="Q8" s="120" t="s">
        <v>81</v>
      </c>
      <c r="R8" s="121" t="b">
        <v>1</v>
      </c>
      <c r="S8" s="121" t="b">
        <v>0</v>
      </c>
      <c r="T8" s="122" t="b">
        <v>1</v>
      </c>
    </row>
    <row r="9" outlineLevel="1">
      <c r="A9" s="111" t="s">
        <v>73</v>
      </c>
      <c r="B9" s="111" t="s">
        <v>74</v>
      </c>
      <c r="C9" s="112">
        <v>46059.0</v>
      </c>
      <c r="D9" s="111" t="s">
        <v>479</v>
      </c>
      <c r="E9" s="111" t="s">
        <v>480</v>
      </c>
      <c r="F9" s="111" t="s">
        <v>481</v>
      </c>
      <c r="G9" s="111">
        <v>3.345811794E9</v>
      </c>
      <c r="H9" s="111" t="s">
        <v>482</v>
      </c>
      <c r="I9" s="111" t="s">
        <v>483</v>
      </c>
      <c r="J9" s="112">
        <v>46059.0</v>
      </c>
      <c r="K9" s="115">
        <v>22.0</v>
      </c>
      <c r="L9" s="116" t="s">
        <v>79</v>
      </c>
      <c r="M9" s="117">
        <f>IFERROR(__xludf.DUMMYFUNCTION("IF(
  K9="""",
  """",
  ROUND(
    IF(
      L9="""",
      K9,
      IF(
        ISERROR(FIND(""-"",L9)),
        K9 - VALUE(REGEXEXTRACT(L9,""(\d+)"")),
        K9 * (1 - VALUE(REGEXEXTRACT(L9,""(\d+)""))/100)
      )
    ),
    2
  )
)
"),20.0)</f>
        <v>20</v>
      </c>
      <c r="N9" s="111" t="s">
        <v>100</v>
      </c>
      <c r="O9" s="118" t="b">
        <v>1</v>
      </c>
      <c r="P9" s="119"/>
      <c r="Q9" s="120" t="s">
        <v>81</v>
      </c>
      <c r="R9" s="121" t="b">
        <v>1</v>
      </c>
      <c r="S9" s="121" t="b">
        <v>0</v>
      </c>
      <c r="T9" s="122" t="b">
        <v>1</v>
      </c>
    </row>
    <row r="10" outlineLevel="1">
      <c r="A10" s="111" t="s">
        <v>73</v>
      </c>
      <c r="B10" s="111" t="s">
        <v>74</v>
      </c>
      <c r="C10" s="112">
        <v>46059.0</v>
      </c>
      <c r="D10" s="111" t="s">
        <v>484</v>
      </c>
      <c r="E10" s="111" t="s">
        <v>485</v>
      </c>
      <c r="F10" s="111" t="s">
        <v>7</v>
      </c>
      <c r="G10" s="111">
        <v>3.485835439E9</v>
      </c>
      <c r="H10" s="128" t="s">
        <v>486</v>
      </c>
      <c r="I10" s="111" t="s">
        <v>487</v>
      </c>
      <c r="J10" s="126">
        <v>46059.0</v>
      </c>
      <c r="K10" s="115">
        <v>22.0</v>
      </c>
      <c r="L10" s="116" t="s">
        <v>99</v>
      </c>
      <c r="M10" s="117">
        <f>IFERROR(__xludf.DUMMYFUNCTION("IF(
  K10="""",
  """",
  ROUND(
    IF(
      L10="""",
      K10,
      IF(
        ISERROR(FIND(""-"",L10)),
        K10 - VALUE(REGEXEXTRACT(L10,""(\d+)"")),
        K10 * (1 - VALUE(REGEXEXTRACT(L10,""(\d+)""))/100)
      )
    ),
    2
  )
)
"),20.0)</f>
        <v>20</v>
      </c>
      <c r="N10" s="111" t="s">
        <v>100</v>
      </c>
      <c r="O10" s="118" t="b">
        <v>1</v>
      </c>
      <c r="P10" s="119"/>
      <c r="Q10" s="120" t="s">
        <v>81</v>
      </c>
      <c r="R10" s="121" t="b">
        <v>1</v>
      </c>
      <c r="S10" s="121" t="b">
        <v>0</v>
      </c>
      <c r="T10" s="122" t="b">
        <v>1</v>
      </c>
    </row>
    <row r="11" outlineLevel="1">
      <c r="A11" s="111" t="s">
        <v>73</v>
      </c>
      <c r="B11" s="111" t="s">
        <v>74</v>
      </c>
      <c r="C11" s="112">
        <v>46059.0</v>
      </c>
      <c r="D11" s="111"/>
      <c r="E11" s="111" t="s">
        <v>488</v>
      </c>
      <c r="F11" s="111" t="s">
        <v>165</v>
      </c>
      <c r="G11" s="111">
        <v>3.313332724E9</v>
      </c>
      <c r="H11" s="111" t="s">
        <v>489</v>
      </c>
      <c r="I11" s="111" t="s">
        <v>490</v>
      </c>
      <c r="J11" s="126">
        <v>46059.0</v>
      </c>
      <c r="K11" s="115">
        <v>22.0</v>
      </c>
      <c r="L11" s="116"/>
      <c r="M11" s="117">
        <f>IFERROR(__xludf.DUMMYFUNCTION("IF(
  K11="""",
  """",
  ROUND(
    IF(
      L11="""",
      K11,
      IF(
        ISERROR(FIND(""-"",L11)),
        K11 - VALUE(REGEXEXTRACT(L11,""(\d+)"")),
        K11 * (1 - VALUE(REGEXEXTRACT(L11,""(\d+)""))/100)
      )
    ),
    2
  )
)
"),22.0)</f>
        <v>22</v>
      </c>
      <c r="N11" s="111" t="s">
        <v>80</v>
      </c>
      <c r="O11" s="118" t="b">
        <v>1</v>
      </c>
      <c r="P11" s="119"/>
      <c r="Q11" s="120" t="s">
        <v>81</v>
      </c>
      <c r="R11" s="121" t="b">
        <v>0</v>
      </c>
      <c r="S11" s="121" t="b">
        <v>1</v>
      </c>
      <c r="T11" s="122" t="b">
        <v>1</v>
      </c>
    </row>
    <row r="12" outlineLevel="1">
      <c r="A12" s="111" t="s">
        <v>73</v>
      </c>
      <c r="B12" s="111" t="s">
        <v>74</v>
      </c>
      <c r="C12" s="112">
        <v>46060.0</v>
      </c>
      <c r="D12" s="111"/>
      <c r="E12" s="111" t="s">
        <v>491</v>
      </c>
      <c r="F12" s="111" t="s">
        <v>492</v>
      </c>
      <c r="G12" s="111">
        <v>3.463595862E9</v>
      </c>
      <c r="H12" s="111" t="s">
        <v>493</v>
      </c>
      <c r="I12" s="111" t="s">
        <v>494</v>
      </c>
      <c r="J12" s="114">
        <v>46060.0</v>
      </c>
      <c r="K12" s="115">
        <v>22.0</v>
      </c>
      <c r="L12" s="116"/>
      <c r="M12" s="117">
        <f>IFERROR(__xludf.DUMMYFUNCTION("IF(
  K12="""",
  """",
  ROUND(
    IF(
      L12="""",
      K12,
      IF(
        ISERROR(FIND(""-"",L12)),
        K12 - VALUE(REGEXEXTRACT(L12,""(\d+)"")),
        K12 * (1 - VALUE(REGEXEXTRACT(L12,""(\d+)""))/100)
      )
    ),
    2
  )
)
"),22.0)</f>
        <v>22</v>
      </c>
      <c r="N12" s="111" t="s">
        <v>80</v>
      </c>
      <c r="O12" s="118" t="b">
        <v>1</v>
      </c>
      <c r="P12" s="119"/>
      <c r="Q12" s="120" t="s">
        <v>81</v>
      </c>
      <c r="R12" s="121" t="b">
        <v>0</v>
      </c>
      <c r="S12" s="121" t="b">
        <v>1</v>
      </c>
      <c r="T12" s="122" t="b">
        <v>1</v>
      </c>
    </row>
    <row r="13" outlineLevel="1">
      <c r="A13" s="111" t="s">
        <v>73</v>
      </c>
      <c r="B13" s="111" t="s">
        <v>74</v>
      </c>
      <c r="C13" s="112">
        <v>46060.0</v>
      </c>
      <c r="D13" s="111"/>
      <c r="E13" s="111" t="s">
        <v>495</v>
      </c>
      <c r="F13" s="111" t="s">
        <v>496</v>
      </c>
      <c r="G13" s="111">
        <v>3.423729995E9</v>
      </c>
      <c r="H13" s="111" t="s">
        <v>497</v>
      </c>
      <c r="I13" s="111" t="s">
        <v>498</v>
      </c>
      <c r="J13" s="126">
        <v>46060.0</v>
      </c>
      <c r="K13" s="115">
        <v>22.0</v>
      </c>
      <c r="L13" s="116" t="s">
        <v>99</v>
      </c>
      <c r="M13" s="117">
        <f>IFERROR(__xludf.DUMMYFUNCTION("IF(
  K13="""",
  """",
  ROUND(
    IF(
      L13="""",
      K13,
      IF(
        ISERROR(FIND(""-"",L13)),
        K13 - VALUE(REGEXEXTRACT(L13,""(\d+)"")),
        K13 * (1 - VALUE(REGEXEXTRACT(L13,""(\d+)""))/100)
      )
    ),
    2
  )
)
"),20.0)</f>
        <v>20</v>
      </c>
      <c r="N13" s="111" t="s">
        <v>80</v>
      </c>
      <c r="O13" s="118" t="b">
        <v>1</v>
      </c>
      <c r="P13" s="119"/>
      <c r="Q13" s="120" t="s">
        <v>81</v>
      </c>
      <c r="R13" s="121" t="b">
        <v>0</v>
      </c>
      <c r="S13" s="121" t="b">
        <v>1</v>
      </c>
      <c r="T13" s="122" t="b">
        <v>1</v>
      </c>
    </row>
    <row r="14" outlineLevel="1">
      <c r="A14" s="116" t="s">
        <v>73</v>
      </c>
      <c r="B14" s="116" t="s">
        <v>74</v>
      </c>
      <c r="C14" s="129">
        <v>46061.0</v>
      </c>
      <c r="D14" s="111" t="s">
        <v>499</v>
      </c>
      <c r="E14" s="111" t="s">
        <v>500</v>
      </c>
      <c r="F14" s="111" t="s">
        <v>294</v>
      </c>
      <c r="G14" s="111">
        <v>3.519350411E9</v>
      </c>
      <c r="H14" s="111" t="s">
        <v>501</v>
      </c>
      <c r="I14" s="111" t="s">
        <v>502</v>
      </c>
      <c r="J14" s="126">
        <v>46061.0</v>
      </c>
      <c r="K14" s="115">
        <v>22.0</v>
      </c>
      <c r="L14" s="116"/>
      <c r="M14" s="117">
        <f>IFERROR(__xludf.DUMMYFUNCTION("IF(
  K14="""",
  """",
  ROUND(
    IF(
      L14="""",
      K14,
      IF(
        ISERROR(FIND(""-"",L14)),
        K14 - VALUE(REGEXEXTRACT(L14,""(\d+)"")),
        K14 * (1 - VALUE(REGEXEXTRACT(L14,""(\d+)""))/100)
      )
    ),
    2
  )
)
"),22.0)</f>
        <v>22</v>
      </c>
      <c r="N14" s="111" t="s">
        <v>100</v>
      </c>
      <c r="O14" s="118" t="b">
        <v>1</v>
      </c>
      <c r="P14" s="119"/>
      <c r="Q14" s="120" t="s">
        <v>81</v>
      </c>
      <c r="R14" s="121" t="b">
        <v>1</v>
      </c>
      <c r="S14" s="121" t="b">
        <v>0</v>
      </c>
      <c r="T14" s="122" t="b">
        <v>1</v>
      </c>
    </row>
    <row r="15" outlineLevel="1">
      <c r="A15" s="116" t="s">
        <v>73</v>
      </c>
      <c r="B15" s="116" t="s">
        <v>74</v>
      </c>
      <c r="C15" s="130">
        <v>46061.0</v>
      </c>
      <c r="D15" s="111" t="s">
        <v>269</v>
      </c>
      <c r="E15" s="124" t="s">
        <v>270</v>
      </c>
      <c r="F15" s="131" t="s">
        <v>271</v>
      </c>
      <c r="G15" s="124">
        <v>3.807877826E9</v>
      </c>
      <c r="H15" s="131" t="s">
        <v>272</v>
      </c>
      <c r="I15" s="124" t="s">
        <v>273</v>
      </c>
      <c r="J15" s="132">
        <v>46061.0</v>
      </c>
      <c r="K15" s="115">
        <v>22.0</v>
      </c>
      <c r="L15" s="116" t="s">
        <v>106</v>
      </c>
      <c r="M15" s="117">
        <f>IFERROR(__xludf.DUMMYFUNCTION("IF(
  K15="""",
  """",
  ROUND(
    IF(
      L15="""",
      K15,
      IF(
        ISERROR(FIND(""-"",L15)),
        K15 - VALUE(REGEXEXTRACT(L15,""(\d+)"")),
        K15 * (1 - VALUE(REGEXEXTRACT(L15,""(\d+)""))/100)
      )
    ),
    2
  )
)
"),20.0)</f>
        <v>20</v>
      </c>
      <c r="N15" s="111" t="s">
        <v>100</v>
      </c>
      <c r="O15" s="118" t="b">
        <v>1</v>
      </c>
      <c r="P15" s="119"/>
      <c r="Q15" s="120" t="s">
        <v>81</v>
      </c>
      <c r="R15" s="121" t="b">
        <v>1</v>
      </c>
      <c r="S15" s="121" t="b">
        <v>0</v>
      </c>
      <c r="T15" s="122" t="b">
        <v>1</v>
      </c>
    </row>
    <row r="16" outlineLevel="1">
      <c r="A16" s="111" t="s">
        <v>73</v>
      </c>
      <c r="B16" s="111" t="s">
        <v>74</v>
      </c>
      <c r="C16" s="129">
        <v>46061.0</v>
      </c>
      <c r="D16" s="111"/>
      <c r="E16" s="111" t="s">
        <v>503</v>
      </c>
      <c r="F16" s="111" t="s">
        <v>496</v>
      </c>
      <c r="G16" s="111">
        <v>3.924515558E9</v>
      </c>
      <c r="H16" s="111" t="s">
        <v>504</v>
      </c>
      <c r="I16" s="111" t="s">
        <v>505</v>
      </c>
      <c r="J16" s="132">
        <v>46061.0</v>
      </c>
      <c r="K16" s="115">
        <v>22.0</v>
      </c>
      <c r="L16" s="116"/>
      <c r="M16" s="117">
        <f>IFERROR(__xludf.DUMMYFUNCTION("IF(
  K16="""",
  """",
  ROUND(
    IF(
      L16="""",
      K16,
      IF(
        ISERROR(FIND(""-"",L16)),
        K16 - VALUE(REGEXEXTRACT(L16,""(\d+)"")),
        K16 * (1 - VALUE(REGEXEXTRACT(L16,""(\d+)""))/100)
      )
    ),
    2
  )
)
"),22.0)</f>
        <v>22</v>
      </c>
      <c r="N16" s="111" t="s">
        <v>80</v>
      </c>
      <c r="O16" s="118" t="b">
        <v>1</v>
      </c>
      <c r="P16" s="119"/>
      <c r="Q16" s="120" t="s">
        <v>81</v>
      </c>
      <c r="R16" s="121" t="b">
        <v>0</v>
      </c>
      <c r="S16" s="121" t="b">
        <v>1</v>
      </c>
      <c r="T16" s="122" t="b">
        <v>1</v>
      </c>
    </row>
    <row r="17" outlineLevel="1">
      <c r="A17" s="111" t="s">
        <v>73</v>
      </c>
      <c r="B17" s="111" t="s">
        <v>74</v>
      </c>
      <c r="C17" s="133">
        <v>46061.0</v>
      </c>
      <c r="D17" s="111"/>
      <c r="E17" s="111" t="s">
        <v>506</v>
      </c>
      <c r="F17" s="111" t="s">
        <v>7</v>
      </c>
      <c r="G17" s="111">
        <v>3.803794681E9</v>
      </c>
      <c r="H17" s="111" t="s">
        <v>507</v>
      </c>
      <c r="I17" s="111" t="s">
        <v>508</v>
      </c>
      <c r="J17" s="134">
        <v>46061.0</v>
      </c>
      <c r="K17" s="115">
        <v>22.0</v>
      </c>
      <c r="L17" s="116"/>
      <c r="M17" s="117">
        <f>IFERROR(__xludf.DUMMYFUNCTION("IF(
  K17="""",
  """",
  ROUND(
    IF(
      L17="""",
      K17,
      IF(
        ISERROR(FIND(""-"",L17)),
        K17 - VALUE(REGEXEXTRACT(L17,""(\d+)"")),
        K17 * (1 - VALUE(REGEXEXTRACT(L17,""(\d+)""))/100)
      )
    ),
    2
  )
)
"),22.0)</f>
        <v>22</v>
      </c>
      <c r="N17" s="111" t="s">
        <v>80</v>
      </c>
      <c r="O17" s="118" t="b">
        <v>1</v>
      </c>
      <c r="P17" s="119"/>
      <c r="Q17" s="120" t="s">
        <v>81</v>
      </c>
      <c r="R17" s="121" t="b">
        <v>0</v>
      </c>
      <c r="S17" s="121" t="b">
        <v>1</v>
      </c>
      <c r="T17" s="122" t="b">
        <v>1</v>
      </c>
    </row>
    <row r="18" outlineLevel="1">
      <c r="A18" s="116" t="s">
        <v>73</v>
      </c>
      <c r="B18" s="116" t="s">
        <v>74</v>
      </c>
      <c r="C18" s="129">
        <v>46062.0</v>
      </c>
      <c r="D18" s="111"/>
      <c r="E18" s="111" t="s">
        <v>509</v>
      </c>
      <c r="F18" s="116" t="s">
        <v>510</v>
      </c>
      <c r="G18" s="116">
        <v>3.347340944E9</v>
      </c>
      <c r="H18" s="116" t="s">
        <v>511</v>
      </c>
      <c r="I18" s="116" t="s">
        <v>512</v>
      </c>
      <c r="J18" s="135">
        <v>46062.0</v>
      </c>
      <c r="K18" s="115">
        <v>22.0</v>
      </c>
      <c r="L18" s="116"/>
      <c r="M18" s="117">
        <f>IFERROR(__xludf.DUMMYFUNCTION("IF(
  K18="""",
  """",
  ROUND(
    IF(
      L18="""",
      K18,
      IF(
        ISERROR(FIND(""-"",L18)),
        K18 - VALUE(REGEXEXTRACT(L18,""(\d+)"")),
        K18 * (1 - VALUE(REGEXEXTRACT(L18,""(\d+)""))/100)
      )
    ),
    2
  )
)
"),22.0)</f>
        <v>22</v>
      </c>
      <c r="N18" s="111" t="s">
        <v>100</v>
      </c>
      <c r="O18" s="118" t="b">
        <v>1</v>
      </c>
      <c r="P18" s="119"/>
      <c r="Q18" s="120" t="s">
        <v>81</v>
      </c>
      <c r="R18" s="121" t="b">
        <v>1</v>
      </c>
      <c r="S18" s="121" t="b">
        <v>0</v>
      </c>
      <c r="T18" s="122" t="b">
        <v>1</v>
      </c>
    </row>
    <row r="19" outlineLevel="1">
      <c r="A19" s="116" t="s">
        <v>101</v>
      </c>
      <c r="B19" s="116" t="s">
        <v>102</v>
      </c>
      <c r="C19" s="129">
        <v>46065.0</v>
      </c>
      <c r="D19" s="111"/>
      <c r="E19" s="111" t="s">
        <v>513</v>
      </c>
      <c r="F19" s="116" t="s">
        <v>492</v>
      </c>
      <c r="G19" s="116">
        <v>3.668777487E9</v>
      </c>
      <c r="H19" s="116" t="s">
        <v>514</v>
      </c>
      <c r="I19" s="116" t="s">
        <v>515</v>
      </c>
      <c r="J19" s="132">
        <v>46058.0</v>
      </c>
      <c r="K19" s="115">
        <v>22.0</v>
      </c>
      <c r="L19" s="116" t="s">
        <v>106</v>
      </c>
      <c r="M19" s="117">
        <f>IFERROR(__xludf.DUMMYFUNCTION("IF(
  K19="""",
  """",
  ROUND(
    IF(
      L19="""",
      K19,
      IF(
        ISERROR(FIND(""-"",L19)),
        K19 - VALUE(REGEXEXTRACT(L19,""(\d+)"")),
        K19 * (1 - VALUE(REGEXEXTRACT(L19,""(\d+)""))/100)
      )
    ),
    2
  )
)
"),20.0)</f>
        <v>20</v>
      </c>
      <c r="N19" s="111" t="s">
        <v>80</v>
      </c>
      <c r="O19" s="118" t="b">
        <v>0</v>
      </c>
      <c r="P19" s="119"/>
      <c r="Q19" s="120" t="s">
        <v>81</v>
      </c>
      <c r="R19" s="121" t="b">
        <v>0</v>
      </c>
      <c r="S19" s="121" t="b">
        <v>1</v>
      </c>
      <c r="T19" s="122" t="b">
        <v>1</v>
      </c>
    </row>
    <row r="20" outlineLevel="1">
      <c r="A20" s="116" t="s">
        <v>73</v>
      </c>
      <c r="B20" s="116" t="s">
        <v>74</v>
      </c>
      <c r="C20" s="129">
        <v>46063.0</v>
      </c>
      <c r="D20" s="111" t="s">
        <v>516</v>
      </c>
      <c r="E20" s="111" t="s">
        <v>517</v>
      </c>
      <c r="F20" s="116" t="s">
        <v>165</v>
      </c>
      <c r="G20" s="116">
        <v>3.343323763E9</v>
      </c>
      <c r="H20" s="116" t="s">
        <v>518</v>
      </c>
      <c r="I20" s="116" t="s">
        <v>519</v>
      </c>
      <c r="J20" s="132">
        <v>46063.0</v>
      </c>
      <c r="K20" s="115">
        <v>22.0</v>
      </c>
      <c r="L20" s="116"/>
      <c r="M20" s="117">
        <f>IFERROR(__xludf.DUMMYFUNCTION("IF(
  K20="""",
  """",
  ROUND(
    IF(
      L20="""",
      K20,
      IF(
        ISERROR(FIND(""-"",L20)),
        K20 - VALUE(REGEXEXTRACT(L20,""(\d+)"")),
        K20 * (1 - VALUE(REGEXEXTRACT(L20,""(\d+)""))/100)
      )
    ),
    2
  )
)
"),22.0)</f>
        <v>22</v>
      </c>
      <c r="N20" s="116" t="s">
        <v>100</v>
      </c>
      <c r="O20" s="118" t="b">
        <v>1</v>
      </c>
      <c r="P20" s="119"/>
      <c r="Q20" s="120" t="s">
        <v>81</v>
      </c>
      <c r="R20" s="121" t="b">
        <v>1</v>
      </c>
      <c r="S20" s="121" t="b">
        <v>0</v>
      </c>
      <c r="T20" s="122" t="b">
        <v>1</v>
      </c>
    </row>
    <row r="21" outlineLevel="1">
      <c r="A21" s="116" t="s">
        <v>73</v>
      </c>
      <c r="B21" s="116" t="s">
        <v>74</v>
      </c>
      <c r="C21" s="129">
        <v>46063.0</v>
      </c>
      <c r="D21" s="111"/>
      <c r="E21" s="111" t="s">
        <v>520</v>
      </c>
      <c r="F21" s="116" t="s">
        <v>521</v>
      </c>
      <c r="G21" s="116">
        <v>3.665482253E9</v>
      </c>
      <c r="H21" s="116" t="s">
        <v>522</v>
      </c>
      <c r="I21" s="116" t="s">
        <v>523</v>
      </c>
      <c r="J21" s="135">
        <v>46063.0</v>
      </c>
      <c r="K21" s="115">
        <v>22.0</v>
      </c>
      <c r="L21" s="116" t="s">
        <v>99</v>
      </c>
      <c r="M21" s="117">
        <f>IFERROR(__xludf.DUMMYFUNCTION("IF(
  K21="""",
  """",
  ROUND(
    IF(
      L21="""",
      K21,
      IF(
        ISERROR(FIND(""-"",L21)),
        K21 - VALUE(REGEXEXTRACT(L21,""(\d+)"")),
        K21 * (1 - VALUE(REGEXEXTRACT(L21,""(\d+)""))/100)
      )
    ),
    2
  )
)
"),20.0)</f>
        <v>20</v>
      </c>
      <c r="N21" s="111" t="s">
        <v>80</v>
      </c>
      <c r="O21" s="118" t="b">
        <v>0</v>
      </c>
      <c r="P21" s="119"/>
      <c r="Q21" s="120" t="s">
        <v>81</v>
      </c>
      <c r="R21" s="121" t="b">
        <v>0</v>
      </c>
      <c r="S21" s="121" t="b">
        <v>1</v>
      </c>
      <c r="T21" s="122" t="b">
        <v>1</v>
      </c>
    </row>
    <row r="22" outlineLevel="1">
      <c r="A22" s="111" t="s">
        <v>73</v>
      </c>
      <c r="B22" s="111" t="s">
        <v>74</v>
      </c>
      <c r="C22" s="136">
        <v>46064.0</v>
      </c>
      <c r="D22" s="137"/>
      <c r="E22" s="138" t="s">
        <v>524</v>
      </c>
      <c r="F22" s="138" t="s">
        <v>525</v>
      </c>
      <c r="G22" s="139">
        <v>3.913836441E9</v>
      </c>
      <c r="H22" s="140" t="s">
        <v>526</v>
      </c>
      <c r="I22" s="140" t="s">
        <v>527</v>
      </c>
      <c r="J22" s="136">
        <v>46064.0</v>
      </c>
      <c r="K22" s="141">
        <v>22.0</v>
      </c>
      <c r="L22" s="116" t="s">
        <v>79</v>
      </c>
      <c r="M22" s="117">
        <f>IFERROR(__xludf.DUMMYFUNCTION("IF(
  K22="""",
  """",
  ROUND(
    IF(
      L22="""",
      K22,
      IF(
        ISERROR(FIND(""-"",L22)),
        K22 - VALUE(REGEXEXTRACT(L22,""(\d+)"")),
        K22 * (1 - VALUE(REGEXEXTRACT(L22,""(\d+)""))/100)
      )
    ),
    2
  )
)
"),20.0)</f>
        <v>20</v>
      </c>
      <c r="N22" s="111" t="s">
        <v>80</v>
      </c>
      <c r="O22" s="118" t="b">
        <v>1</v>
      </c>
      <c r="P22" s="119"/>
      <c r="Q22" s="120" t="s">
        <v>81</v>
      </c>
      <c r="R22" s="121" t="b">
        <v>0</v>
      </c>
      <c r="S22" s="121" t="b">
        <v>1</v>
      </c>
      <c r="T22" s="122" t="b">
        <v>1</v>
      </c>
    </row>
    <row r="23" outlineLevel="1">
      <c r="A23" s="116" t="s">
        <v>73</v>
      </c>
      <c r="B23" s="116" t="s">
        <v>74</v>
      </c>
      <c r="C23" s="129">
        <v>46064.0</v>
      </c>
      <c r="D23" s="111"/>
      <c r="E23" s="111" t="s">
        <v>528</v>
      </c>
      <c r="F23" s="116" t="s">
        <v>529</v>
      </c>
      <c r="G23" s="116">
        <v>3.883027426E9</v>
      </c>
      <c r="H23" s="116" t="s">
        <v>530</v>
      </c>
      <c r="I23" s="116" t="s">
        <v>531</v>
      </c>
      <c r="J23" s="132">
        <v>46064.0</v>
      </c>
      <c r="K23" s="115">
        <v>22.0</v>
      </c>
      <c r="L23" s="116" t="s">
        <v>106</v>
      </c>
      <c r="M23" s="117">
        <f>IFERROR(__xludf.DUMMYFUNCTION("IF(
  K23="""",
  """",
  ROUND(
    IF(
      L23="""",
      K23,
      IF(
        ISERROR(FIND(""-"",L23)),
        K23 - VALUE(REGEXEXTRACT(L23,""(\d+)"")),
        K23 * (1 - VALUE(REGEXEXTRACT(L23,""(\d+)""))/100)
      )
    ),
    2
  )
)
"),20.0)</f>
        <v>20</v>
      </c>
      <c r="N23" s="111" t="s">
        <v>100</v>
      </c>
      <c r="O23" s="118" t="b">
        <v>1</v>
      </c>
      <c r="P23" s="119"/>
      <c r="Q23" s="120" t="s">
        <v>81</v>
      </c>
      <c r="R23" s="121" t="b">
        <v>1</v>
      </c>
      <c r="S23" s="121" t="b">
        <v>0</v>
      </c>
      <c r="T23" s="122" t="b">
        <v>1</v>
      </c>
    </row>
    <row r="24" outlineLevel="1">
      <c r="A24" s="116" t="s">
        <v>73</v>
      </c>
      <c r="B24" s="116" t="s">
        <v>74</v>
      </c>
      <c r="C24" s="129">
        <v>46065.0</v>
      </c>
      <c r="D24" s="111" t="s">
        <v>532</v>
      </c>
      <c r="E24" s="111" t="s">
        <v>533</v>
      </c>
      <c r="F24" s="116" t="s">
        <v>534</v>
      </c>
      <c r="G24" s="116">
        <v>3.420354305E9</v>
      </c>
      <c r="H24" s="116" t="s">
        <v>535</v>
      </c>
      <c r="I24" s="116" t="s">
        <v>536</v>
      </c>
      <c r="J24" s="134">
        <v>46065.0</v>
      </c>
      <c r="K24" s="115">
        <v>22.0</v>
      </c>
      <c r="L24" s="116" t="s">
        <v>106</v>
      </c>
      <c r="M24" s="117">
        <f>IFERROR(__xludf.DUMMYFUNCTION("IF(
  K24="""",
  """",
  ROUND(
    IF(
      L24="""",
      K24,
      IF(
        ISERROR(FIND(""-"",L24)),
        K24 - VALUE(REGEXEXTRACT(L24,""(\d+)"")),
        K24 * (1 - VALUE(REGEXEXTRACT(L24,""(\d+)""))/100)
      )
    ),
    2
  )
)
"),20.0)</f>
        <v>20</v>
      </c>
      <c r="N24" s="111" t="s">
        <v>100</v>
      </c>
      <c r="O24" s="118" t="b">
        <v>1</v>
      </c>
      <c r="P24" s="119"/>
      <c r="Q24" s="120" t="s">
        <v>81</v>
      </c>
      <c r="R24" s="121" t="b">
        <v>1</v>
      </c>
      <c r="S24" s="121" t="b">
        <v>0</v>
      </c>
      <c r="T24" s="122" t="b">
        <v>1</v>
      </c>
    </row>
    <row r="25" outlineLevel="1">
      <c r="A25" s="116" t="s">
        <v>73</v>
      </c>
      <c r="B25" s="116" t="s">
        <v>74</v>
      </c>
      <c r="C25" s="129">
        <v>46065.0</v>
      </c>
      <c r="D25" s="111"/>
      <c r="E25" s="111" t="s">
        <v>537</v>
      </c>
      <c r="F25" s="116" t="s">
        <v>538</v>
      </c>
      <c r="G25" s="116">
        <v>3.384362858E9</v>
      </c>
      <c r="H25" s="116" t="s">
        <v>539</v>
      </c>
      <c r="I25" s="116" t="s">
        <v>540</v>
      </c>
      <c r="J25" s="134">
        <v>46063.0</v>
      </c>
      <c r="K25" s="115">
        <v>22.0</v>
      </c>
      <c r="L25" s="116" t="s">
        <v>106</v>
      </c>
      <c r="M25" s="117">
        <f>IFERROR(__xludf.DUMMYFUNCTION("IF(
  K25="""",
  """",
  ROUND(
    IF(
      L25="""",
      K25,
      IF(
        ISERROR(FIND(""-"",L25)),
        K25 - VALUE(REGEXEXTRACT(L25,""(\d+)"")),
        K25 * (1 - VALUE(REGEXEXTRACT(L25,""(\d+)""))/100)
      )
    ),
    2
  )
)
"),20.0)</f>
        <v>20</v>
      </c>
      <c r="N25" s="111" t="s">
        <v>80</v>
      </c>
      <c r="O25" s="118" t="b">
        <v>1</v>
      </c>
      <c r="P25" s="119"/>
      <c r="Q25" s="120" t="s">
        <v>81</v>
      </c>
      <c r="R25" s="121" t="b">
        <v>0</v>
      </c>
      <c r="S25" s="121" t="b">
        <v>1</v>
      </c>
      <c r="T25" s="122" t="b">
        <v>1</v>
      </c>
    </row>
    <row r="26" outlineLevel="1">
      <c r="A26" s="116" t="s">
        <v>239</v>
      </c>
      <c r="B26" s="116" t="s">
        <v>240</v>
      </c>
      <c r="C26" s="129">
        <v>46066.0</v>
      </c>
      <c r="D26" s="111"/>
      <c r="E26" s="111" t="s">
        <v>541</v>
      </c>
      <c r="F26" s="116" t="s">
        <v>542</v>
      </c>
      <c r="G26" s="116">
        <v>3.271246216E9</v>
      </c>
      <c r="H26" s="116" t="s">
        <v>543</v>
      </c>
      <c r="I26" s="116" t="s">
        <v>544</v>
      </c>
      <c r="J26" s="134">
        <v>46066.0</v>
      </c>
      <c r="K26" s="115">
        <v>22.0</v>
      </c>
      <c r="L26" s="116" t="s">
        <v>245</v>
      </c>
      <c r="M26" s="117">
        <f>IFERROR(__xludf.DUMMYFUNCTION("IF(
  K26="""",
  """",
  ROUND(
    IF(
      L26="""",
      K26,
      IF(
        ISERROR(FIND(""-"",L26)),
        K26 - VALUE(REGEXEXTRACT(L26,""(\d+)"")),
        K26 * (1 - VALUE(REGEXEXTRACT(L26,""(\d+)""))/100)
      )
    ),
    2
  )
)
"),20.0)</f>
        <v>20</v>
      </c>
      <c r="N26" s="111" t="s">
        <v>162</v>
      </c>
      <c r="O26" s="118" t="b">
        <v>1</v>
      </c>
      <c r="P26" s="119"/>
      <c r="Q26" s="120" t="s">
        <v>81</v>
      </c>
      <c r="R26" s="121" t="b">
        <v>1</v>
      </c>
      <c r="S26" s="121" t="b">
        <v>0</v>
      </c>
      <c r="T26" s="122" t="b">
        <v>1</v>
      </c>
    </row>
    <row r="27" outlineLevel="1">
      <c r="A27" s="116" t="s">
        <v>73</v>
      </c>
      <c r="B27" s="116" t="s">
        <v>74</v>
      </c>
      <c r="C27" s="129">
        <v>46066.0</v>
      </c>
      <c r="D27" s="111" t="s">
        <v>545</v>
      </c>
      <c r="E27" s="111" t="s">
        <v>546</v>
      </c>
      <c r="F27" s="116" t="s">
        <v>547</v>
      </c>
      <c r="G27" s="116">
        <v>3.342947286E9</v>
      </c>
      <c r="H27" s="116" t="s">
        <v>548</v>
      </c>
      <c r="I27" s="116" t="s">
        <v>549</v>
      </c>
      <c r="J27" s="134">
        <v>46066.0</v>
      </c>
      <c r="K27" s="115">
        <v>22.0</v>
      </c>
      <c r="L27" s="116" t="s">
        <v>106</v>
      </c>
      <c r="M27" s="117">
        <f>IFERROR(__xludf.DUMMYFUNCTION("IF(
  K27="""",
  """",
  ROUND(
    IF(
      L27="""",
      K27,
      IF(
        ISERROR(FIND(""-"",L27)),
        K27 - VALUE(REGEXEXTRACT(L27,""(\d+)"")),
        K27 * (1 - VALUE(REGEXEXTRACT(L27,""(\d+)""))/100)
      )
    ),
    2
  )
)
"),20.0)</f>
        <v>20</v>
      </c>
      <c r="N27" s="111" t="s">
        <v>100</v>
      </c>
      <c r="O27" s="118" t="b">
        <v>1</v>
      </c>
      <c r="P27" s="119"/>
      <c r="Q27" s="120" t="s">
        <v>81</v>
      </c>
      <c r="R27" s="121" t="b">
        <v>1</v>
      </c>
      <c r="S27" s="121" t="b">
        <v>0</v>
      </c>
      <c r="T27" s="122" t="b">
        <v>1</v>
      </c>
    </row>
    <row r="28" outlineLevel="1">
      <c r="A28" s="116" t="s">
        <v>73</v>
      </c>
      <c r="B28" s="116" t="s">
        <v>74</v>
      </c>
      <c r="C28" s="129">
        <v>46066.0</v>
      </c>
      <c r="D28" s="111"/>
      <c r="E28" s="111" t="s">
        <v>550</v>
      </c>
      <c r="F28" s="116" t="s">
        <v>551</v>
      </c>
      <c r="G28" s="116">
        <v>3.466219763E9</v>
      </c>
      <c r="H28" s="113" t="s">
        <v>552</v>
      </c>
      <c r="I28" s="113" t="s">
        <v>553</v>
      </c>
      <c r="J28" s="134">
        <v>46067.0</v>
      </c>
      <c r="K28" s="115">
        <v>22.0</v>
      </c>
      <c r="L28" s="116" t="s">
        <v>106</v>
      </c>
      <c r="M28" s="117">
        <f>IFERROR(__xludf.DUMMYFUNCTION("IF(
  K28="""",
  """",
  ROUND(
    IF(
      L28="""",
      K28,
      IF(
        ISERROR(FIND(""-"",L28)),
        K28 - VALUE(REGEXEXTRACT(L28,""(\d+)"")),
        K28 * (1 - VALUE(REGEXEXTRACT(L28,""(\d+)""))/100)
      )
    ),
    2
  )
)
"),20.0)</f>
        <v>20</v>
      </c>
      <c r="N28" s="111" t="s">
        <v>80</v>
      </c>
      <c r="O28" s="118" t="b">
        <v>1</v>
      </c>
      <c r="P28" s="119"/>
      <c r="Q28" s="120" t="s">
        <v>81</v>
      </c>
      <c r="R28" s="121" t="b">
        <v>0</v>
      </c>
      <c r="S28" s="121" t="b">
        <v>1</v>
      </c>
      <c r="T28" s="122" t="b">
        <v>1</v>
      </c>
    </row>
    <row r="29" outlineLevel="1">
      <c r="A29" s="116" t="s">
        <v>73</v>
      </c>
      <c r="B29" s="116" t="s">
        <v>74</v>
      </c>
      <c r="C29" s="129">
        <v>46067.0</v>
      </c>
      <c r="D29" s="111" t="s">
        <v>554</v>
      </c>
      <c r="E29" s="111" t="s">
        <v>555</v>
      </c>
      <c r="F29" s="116" t="s">
        <v>556</v>
      </c>
      <c r="G29" s="116">
        <v>3.317286206E9</v>
      </c>
      <c r="H29" s="116" t="s">
        <v>557</v>
      </c>
      <c r="I29" s="116" t="s">
        <v>558</v>
      </c>
      <c r="J29" s="134">
        <v>46067.0</v>
      </c>
      <c r="K29" s="115">
        <v>22.0</v>
      </c>
      <c r="L29" s="116"/>
      <c r="M29" s="117">
        <f>IFERROR(__xludf.DUMMYFUNCTION("IF(
  K29="""",
  """",
  ROUND(
    IF(
      L29="""",
      K29,
      IF(
        ISERROR(FIND(""-"",L29)),
        K29 - VALUE(REGEXEXTRACT(L29,""(\d+)"")),
        K29 * (1 - VALUE(REGEXEXTRACT(L29,""(\d+)""))/100)
      )
    ),
    2
  )
)
"),22.0)</f>
        <v>22</v>
      </c>
      <c r="N29" s="111" t="s">
        <v>100</v>
      </c>
      <c r="O29" s="118" t="b">
        <v>1</v>
      </c>
      <c r="P29" s="119"/>
      <c r="Q29" s="120" t="s">
        <v>81</v>
      </c>
      <c r="R29" s="121" t="b">
        <v>1</v>
      </c>
      <c r="S29" s="121" t="b">
        <v>0</v>
      </c>
      <c r="T29" s="122" t="b">
        <v>1</v>
      </c>
    </row>
    <row r="30" outlineLevel="1">
      <c r="A30" s="116" t="s">
        <v>73</v>
      </c>
      <c r="B30" s="116" t="s">
        <v>74</v>
      </c>
      <c r="C30" s="129">
        <v>46067.0</v>
      </c>
      <c r="D30" s="111"/>
      <c r="E30" s="111" t="s">
        <v>559</v>
      </c>
      <c r="F30" s="116" t="s">
        <v>560</v>
      </c>
      <c r="G30" s="228">
        <v>3.926253328E9</v>
      </c>
      <c r="H30" s="116" t="s">
        <v>561</v>
      </c>
      <c r="I30" s="257" t="s">
        <v>562</v>
      </c>
      <c r="J30" s="134">
        <v>46067.0</v>
      </c>
      <c r="K30" s="115">
        <v>22.0</v>
      </c>
      <c r="L30" s="116" t="s">
        <v>79</v>
      </c>
      <c r="M30" s="117">
        <f>IFERROR(__xludf.DUMMYFUNCTION("IF(
  K30="""",
  """",
  ROUND(
    IF(
      L30="""",
      K30,
      IF(
        ISERROR(FIND(""-"",L30)),
        K30 - VALUE(REGEXEXTRACT(L30,""(\d+)"")),
        K30 * (1 - VALUE(REGEXEXTRACT(L30,""(\d+)""))/100)
      )
    ),
    2
  )
)
"),20.0)</f>
        <v>20</v>
      </c>
      <c r="N30" s="111" t="s">
        <v>100</v>
      </c>
      <c r="O30" s="118" t="b">
        <v>1</v>
      </c>
      <c r="P30" s="119"/>
      <c r="Q30" s="120" t="s">
        <v>81</v>
      </c>
      <c r="R30" s="121" t="b">
        <v>1</v>
      </c>
      <c r="S30" s="121" t="b">
        <v>0</v>
      </c>
      <c r="T30" s="122" t="b">
        <v>1</v>
      </c>
    </row>
    <row r="31" outlineLevel="1">
      <c r="A31" s="111" t="s">
        <v>73</v>
      </c>
      <c r="B31" s="111" t="s">
        <v>74</v>
      </c>
      <c r="C31" s="112">
        <v>46067.0</v>
      </c>
      <c r="D31" s="111"/>
      <c r="E31" s="111" t="s">
        <v>563</v>
      </c>
      <c r="F31" s="111" t="s">
        <v>7</v>
      </c>
      <c r="G31" s="111">
        <v>3.291631986E9</v>
      </c>
      <c r="H31" s="111" t="s">
        <v>564</v>
      </c>
      <c r="I31" s="111" t="s">
        <v>565</v>
      </c>
      <c r="J31" s="126">
        <v>46067.0</v>
      </c>
      <c r="K31" s="115">
        <v>22.0</v>
      </c>
      <c r="L31" s="116" t="s">
        <v>99</v>
      </c>
      <c r="M31" s="117">
        <f>IFERROR(__xludf.DUMMYFUNCTION("IF(
  K31="""",
  """",
  ROUND(
    IF(
      L31="""",
      K31,
      IF(
        ISERROR(FIND(""-"",L31)),
        K31 - VALUE(REGEXEXTRACT(L31,""(\d+)"")),
        K31 * (1 - VALUE(REGEXEXTRACT(L31,""(\d+)""))/100)
      )
    ),
    2
  )
)
"),20.0)</f>
        <v>20</v>
      </c>
      <c r="N31" s="111" t="s">
        <v>80</v>
      </c>
      <c r="O31" s="118" t="b">
        <v>1</v>
      </c>
      <c r="P31" s="119"/>
      <c r="Q31" s="120" t="s">
        <v>81</v>
      </c>
      <c r="R31" s="121" t="b">
        <v>0</v>
      </c>
      <c r="S31" s="121" t="b">
        <v>1</v>
      </c>
      <c r="T31" s="122" t="b">
        <v>1</v>
      </c>
    </row>
    <row r="32" outlineLevel="1">
      <c r="A32" s="116" t="s">
        <v>73</v>
      </c>
      <c r="B32" s="116" t="s">
        <v>74</v>
      </c>
      <c r="C32" s="129">
        <v>46067.0</v>
      </c>
      <c r="D32" s="111" t="s">
        <v>566</v>
      </c>
      <c r="E32" s="111" t="s">
        <v>559</v>
      </c>
      <c r="F32" s="116" t="s">
        <v>567</v>
      </c>
      <c r="G32" s="116">
        <v>3.31741254E9</v>
      </c>
      <c r="H32" s="116" t="s">
        <v>568</v>
      </c>
      <c r="I32" s="116" t="s">
        <v>569</v>
      </c>
      <c r="J32" s="134">
        <v>46067.0</v>
      </c>
      <c r="K32" s="115">
        <v>22.0</v>
      </c>
      <c r="L32" s="116" t="s">
        <v>79</v>
      </c>
      <c r="M32" s="117">
        <f>IFERROR(__xludf.DUMMYFUNCTION("IF(
  K32="""",
  """",
  ROUND(
    IF(
      L32="""",
      K32,
      IF(
        ISERROR(FIND(""-"",L32)),
        K32 - VALUE(REGEXEXTRACT(L32,""(\d+)"")),
        K32 * (1 - VALUE(REGEXEXTRACT(L32,""(\d+)""))/100)
      )
    ),
    2
  )
)
"),20.0)</f>
        <v>20</v>
      </c>
      <c r="N32" s="111" t="s">
        <v>100</v>
      </c>
      <c r="O32" s="118" t="b">
        <v>1</v>
      </c>
      <c r="P32" s="119"/>
      <c r="Q32" s="120" t="s">
        <v>81</v>
      </c>
      <c r="R32" s="121" t="b">
        <v>1</v>
      </c>
      <c r="S32" s="121" t="b">
        <v>0</v>
      </c>
      <c r="T32" s="122" t="b">
        <v>1</v>
      </c>
    </row>
    <row r="33" outlineLevel="1">
      <c r="A33" s="116" t="s">
        <v>73</v>
      </c>
      <c r="B33" s="116" t="s">
        <v>74</v>
      </c>
      <c r="C33" s="129">
        <v>46067.0</v>
      </c>
      <c r="D33" s="111" t="s">
        <v>570</v>
      </c>
      <c r="E33" s="111" t="s">
        <v>571</v>
      </c>
      <c r="F33" s="116" t="s">
        <v>572</v>
      </c>
      <c r="G33" s="116">
        <v>3.496735854E9</v>
      </c>
      <c r="H33" s="116" t="s">
        <v>573</v>
      </c>
      <c r="I33" s="116" t="s">
        <v>574</v>
      </c>
      <c r="J33" s="134">
        <v>46067.0</v>
      </c>
      <c r="K33" s="115">
        <v>22.0</v>
      </c>
      <c r="L33" s="116"/>
      <c r="M33" s="117">
        <f>IFERROR(__xludf.DUMMYFUNCTION("IF(
  K33="""",
  """",
  ROUND(
    IF(
      L33="""",
      K33,
      IF(
        ISERROR(FIND(""-"",L33)),
        K33 - VALUE(REGEXEXTRACT(L33,""(\d+)"")),
        K33 * (1 - VALUE(REGEXEXTRACT(L33,""(\d+)""))/100)
      )
    ),
    2
  )
)
"),22.0)</f>
        <v>22</v>
      </c>
      <c r="N33" s="111" t="s">
        <v>100</v>
      </c>
      <c r="O33" s="118" t="b">
        <v>1</v>
      </c>
      <c r="P33" s="119"/>
      <c r="Q33" s="120" t="s">
        <v>81</v>
      </c>
      <c r="R33" s="121" t="b">
        <v>1</v>
      </c>
      <c r="S33" s="121" t="b">
        <v>0</v>
      </c>
      <c r="T33" s="122" t="b">
        <v>1</v>
      </c>
    </row>
    <row r="34" outlineLevel="1">
      <c r="A34" s="116" t="s">
        <v>73</v>
      </c>
      <c r="B34" s="116" t="s">
        <v>74</v>
      </c>
      <c r="C34" s="129">
        <v>46067.0</v>
      </c>
      <c r="D34" s="111" t="s">
        <v>575</v>
      </c>
      <c r="E34" s="111" t="s">
        <v>576</v>
      </c>
      <c r="F34" s="116" t="s">
        <v>165</v>
      </c>
      <c r="G34" s="116">
        <v>3.337184341E9</v>
      </c>
      <c r="H34" s="116" t="s">
        <v>577</v>
      </c>
      <c r="I34" s="116" t="s">
        <v>578</v>
      </c>
      <c r="J34" s="132">
        <v>46067.0</v>
      </c>
      <c r="K34" s="115">
        <v>22.0</v>
      </c>
      <c r="L34" s="116" t="s">
        <v>106</v>
      </c>
      <c r="M34" s="117">
        <f>IFERROR(__xludf.DUMMYFUNCTION("IF(
  K34="""",
  """",
  ROUND(
    IF(
      L34="""",
      K34,
      IF(
        ISERROR(FIND(""-"",L34)),
        K34 - VALUE(REGEXEXTRACT(L34,""(\d+)"")),
        K34 * (1 - VALUE(REGEXEXTRACT(L34,""(\d+)""))/100)
      )
    ),
    2
  )
)
"),20.0)</f>
        <v>20</v>
      </c>
      <c r="N34" s="111" t="s">
        <v>100</v>
      </c>
      <c r="O34" s="118" t="b">
        <v>1</v>
      </c>
      <c r="P34" s="119"/>
      <c r="Q34" s="120" t="s">
        <v>81</v>
      </c>
      <c r="R34" s="121" t="b">
        <v>1</v>
      </c>
      <c r="S34" s="121" t="b">
        <v>0</v>
      </c>
      <c r="T34" s="122" t="b">
        <v>1</v>
      </c>
    </row>
    <row r="35" outlineLevel="1">
      <c r="A35" s="116" t="s">
        <v>73</v>
      </c>
      <c r="B35" s="116" t="s">
        <v>74</v>
      </c>
      <c r="C35" s="129">
        <v>46068.0</v>
      </c>
      <c r="D35" s="111"/>
      <c r="E35" s="111" t="s">
        <v>579</v>
      </c>
      <c r="F35" s="116" t="s">
        <v>580</v>
      </c>
      <c r="G35" s="116">
        <v>3.485751038E9</v>
      </c>
      <c r="H35" s="116" t="s">
        <v>581</v>
      </c>
      <c r="I35" s="116" t="s">
        <v>582</v>
      </c>
      <c r="J35" s="132">
        <v>46068.0</v>
      </c>
      <c r="K35" s="115">
        <v>22.0</v>
      </c>
      <c r="L35" s="116"/>
      <c r="M35" s="117">
        <f>IFERROR(__xludf.DUMMYFUNCTION("IF(
  K35="""",
  """",
  ROUND(
    IF(
      L35="""",
      K35,
      IF(
        ISERROR(FIND(""-"",L35)),
        K35 - VALUE(REGEXEXTRACT(L35,""(\d+)"")),
        K35 * (1 - VALUE(REGEXEXTRACT(L35,""(\d+)""))/100)
      )
    ),
    2
  )
)
"),22.0)</f>
        <v>22</v>
      </c>
      <c r="N35" s="111" t="s">
        <v>80</v>
      </c>
      <c r="O35" s="118" t="b">
        <v>1</v>
      </c>
      <c r="P35" s="119"/>
      <c r="Q35" s="120" t="s">
        <v>81</v>
      </c>
      <c r="R35" s="121" t="b">
        <v>0</v>
      </c>
      <c r="S35" s="121" t="b">
        <v>1</v>
      </c>
      <c r="T35" s="122" t="b">
        <v>1</v>
      </c>
    </row>
    <row r="36" outlineLevel="1">
      <c r="A36" s="116" t="s">
        <v>73</v>
      </c>
      <c r="B36" s="116" t="s">
        <v>74</v>
      </c>
      <c r="C36" s="129">
        <v>46068.0</v>
      </c>
      <c r="D36" s="111" t="s">
        <v>583</v>
      </c>
      <c r="E36" s="111" t="s">
        <v>584</v>
      </c>
      <c r="F36" s="116" t="s">
        <v>585</v>
      </c>
      <c r="G36" s="116">
        <v>3.887207103E9</v>
      </c>
      <c r="H36" s="116" t="s">
        <v>586</v>
      </c>
      <c r="I36" s="116" t="s">
        <v>587</v>
      </c>
      <c r="J36" s="132">
        <v>46068.0</v>
      </c>
      <c r="K36" s="115">
        <v>22.0</v>
      </c>
      <c r="L36" s="116" t="s">
        <v>106</v>
      </c>
      <c r="M36" s="117">
        <f>IFERROR(__xludf.DUMMYFUNCTION("IF(
  K36="""",
  """",
  ROUND(
    IF(
      L36="""",
      K36,
      IF(
        ISERROR(FIND(""-"",L36)),
        K36 - VALUE(REGEXEXTRACT(L36,""(\d+)"")),
        K36 * (1 - VALUE(REGEXEXTRACT(L36,""(\d+)""))/100)
      )
    ),
    2
  )
)
"),20.0)</f>
        <v>20</v>
      </c>
      <c r="N36" s="111" t="s">
        <v>100</v>
      </c>
      <c r="O36" s="118" t="b">
        <v>1</v>
      </c>
      <c r="P36" s="119"/>
      <c r="Q36" s="120" t="s">
        <v>81</v>
      </c>
      <c r="R36" s="121" t="b">
        <v>1</v>
      </c>
      <c r="S36" s="121" t="b">
        <v>0</v>
      </c>
      <c r="T36" s="122" t="b">
        <v>1</v>
      </c>
    </row>
    <row r="37" outlineLevel="1">
      <c r="A37" s="116" t="s">
        <v>73</v>
      </c>
      <c r="B37" s="116" t="s">
        <v>74</v>
      </c>
      <c r="C37" s="129">
        <v>46076.0</v>
      </c>
      <c r="D37" s="111"/>
      <c r="E37" s="111" t="s">
        <v>588</v>
      </c>
      <c r="F37" s="116" t="s">
        <v>589</v>
      </c>
      <c r="G37" s="116">
        <v>3.204460419E9</v>
      </c>
      <c r="H37" s="116" t="s">
        <v>590</v>
      </c>
      <c r="I37" s="116" t="s">
        <v>591</v>
      </c>
      <c r="J37" s="134">
        <v>46076.0</v>
      </c>
      <c r="K37" s="115">
        <v>27.0</v>
      </c>
      <c r="L37" s="116" t="s">
        <v>99</v>
      </c>
      <c r="M37" s="117">
        <f>IFERROR(__xludf.DUMMYFUNCTION("IF(
  K37="""",
  """",
  ROUND(
    IF(
      L37="""",
      K37,
      IF(
        ISERROR(FIND(""-"",L37)),
        K37 - VALUE(REGEXEXTRACT(L37,""(\d+)"")),
        K37 * (1 - VALUE(REGEXEXTRACT(L37,""(\d+)""))/100)
      )
    ),
    2
  )
)
"),25.0)</f>
        <v>25</v>
      </c>
      <c r="N37" s="111" t="s">
        <v>80</v>
      </c>
      <c r="O37" s="118" t="b">
        <v>1</v>
      </c>
      <c r="P37" s="119"/>
      <c r="Q37" s="120" t="s">
        <v>81</v>
      </c>
      <c r="R37" s="121" t="b">
        <v>0</v>
      </c>
      <c r="S37" s="121" t="b">
        <v>1</v>
      </c>
      <c r="T37" s="122" t="b">
        <v>1</v>
      </c>
    </row>
    <row r="38" outlineLevel="1">
      <c r="A38" s="116" t="s">
        <v>73</v>
      </c>
      <c r="B38" s="116" t="s">
        <v>74</v>
      </c>
      <c r="C38" s="129">
        <v>46076.0</v>
      </c>
      <c r="D38" s="111"/>
      <c r="E38" s="111" t="s">
        <v>592</v>
      </c>
      <c r="F38" s="116" t="s">
        <v>593</v>
      </c>
      <c r="G38" s="116">
        <v>3.474184467E9</v>
      </c>
      <c r="H38" s="116" t="s">
        <v>594</v>
      </c>
      <c r="I38" s="116" t="s">
        <v>595</v>
      </c>
      <c r="J38" s="132">
        <v>46076.0</v>
      </c>
      <c r="K38" s="115">
        <v>27.0</v>
      </c>
      <c r="L38" s="116"/>
      <c r="M38" s="117">
        <f>IFERROR(__xludf.DUMMYFUNCTION("IF(
  K38="""",
  """",
  ROUND(
    IF(
      L38="""",
      K38,
      IF(
        ISERROR(FIND(""-"",L38)),
        K38 - VALUE(REGEXEXTRACT(L38,""(\d+)"")),
        K38 * (1 - VALUE(REGEXEXTRACT(L38,""(\d+)""))/100)
      )
    ),
    2
  )
)
"),27.0)</f>
        <v>27</v>
      </c>
      <c r="N38" s="111" t="s">
        <v>80</v>
      </c>
      <c r="O38" s="118" t="b">
        <v>1</v>
      </c>
      <c r="P38" s="119"/>
      <c r="Q38" s="120" t="s">
        <v>81</v>
      </c>
      <c r="R38" s="121" t="b">
        <v>0</v>
      </c>
      <c r="S38" s="121" t="b">
        <v>1</v>
      </c>
      <c r="T38" s="122" t="b">
        <v>1</v>
      </c>
    </row>
    <row r="39" outlineLevel="1">
      <c r="A39" s="116" t="s">
        <v>73</v>
      </c>
      <c r="B39" s="116" t="s">
        <v>74</v>
      </c>
      <c r="C39" s="129">
        <v>46076.0</v>
      </c>
      <c r="D39" s="111"/>
      <c r="E39" s="111" t="s">
        <v>596</v>
      </c>
      <c r="F39" s="116" t="s">
        <v>597</v>
      </c>
      <c r="G39" s="258">
        <v>3.899691211E9</v>
      </c>
      <c r="H39" s="116" t="s">
        <v>598</v>
      </c>
      <c r="I39" s="116" t="s">
        <v>599</v>
      </c>
      <c r="J39" s="134">
        <v>46076.0</v>
      </c>
      <c r="K39" s="115">
        <v>27.0</v>
      </c>
      <c r="L39" s="116"/>
      <c r="M39" s="117">
        <f>IFERROR(__xludf.DUMMYFUNCTION("IF(
  K39="""",
  """",
  ROUND(
    IF(
      L39="""",
      K39,
      IF(
        ISERROR(FIND(""-"",L39)),
        K39 - VALUE(REGEXEXTRACT(L39,""(\d+)"")),
        K39 * (1 - VALUE(REGEXEXTRACT(L39,""(\d+)""))/100)
      )
    ),
    2
  )
)
"),27.0)</f>
        <v>27</v>
      </c>
      <c r="N39" s="111" t="s">
        <v>80</v>
      </c>
      <c r="O39" s="118" t="b">
        <v>1</v>
      </c>
      <c r="P39" s="119"/>
      <c r="Q39" s="120" t="s">
        <v>81</v>
      </c>
      <c r="R39" s="121" t="b">
        <v>0</v>
      </c>
      <c r="S39" s="121" t="b">
        <v>1</v>
      </c>
      <c r="T39" s="122" t="b">
        <v>1</v>
      </c>
    </row>
    <row r="40" outlineLevel="1">
      <c r="A40" s="116" t="s">
        <v>73</v>
      </c>
      <c r="B40" s="116" t="s">
        <v>74</v>
      </c>
      <c r="C40" s="129">
        <v>46077.0</v>
      </c>
      <c r="D40" s="111"/>
      <c r="E40" s="111" t="s">
        <v>600</v>
      </c>
      <c r="F40" s="116" t="s">
        <v>601</v>
      </c>
      <c r="G40" s="116">
        <v>3.299173345E9</v>
      </c>
      <c r="H40" s="116" t="s">
        <v>602</v>
      </c>
      <c r="I40" s="116" t="s">
        <v>603</v>
      </c>
      <c r="J40" s="134">
        <v>46077.0</v>
      </c>
      <c r="K40" s="115">
        <v>27.0</v>
      </c>
      <c r="L40" s="116"/>
      <c r="M40" s="117">
        <f>IFERROR(__xludf.DUMMYFUNCTION("IF(
  K40="""",
  """",
  ROUND(
    IF(
      L40="""",
      K40,
      IF(
        ISERROR(FIND(""-"",L40)),
        K40 - VALUE(REGEXEXTRACT(L40,""(\d+)"")),
        K40 * (1 - VALUE(REGEXEXTRACT(L40,""(\d+)""))/100)
      )
    ),
    2
  )
)
"),27.0)</f>
        <v>27</v>
      </c>
      <c r="N40" s="111" t="s">
        <v>80</v>
      </c>
      <c r="O40" s="118" t="b">
        <v>1</v>
      </c>
      <c r="P40" s="119"/>
      <c r="Q40" s="120" t="s">
        <v>81</v>
      </c>
      <c r="R40" s="121" t="b">
        <v>0</v>
      </c>
      <c r="S40" s="121" t="b">
        <v>1</v>
      </c>
      <c r="T40" s="122" t="b">
        <v>1</v>
      </c>
    </row>
    <row r="41" outlineLevel="1">
      <c r="A41" s="116" t="s">
        <v>73</v>
      </c>
      <c r="B41" s="116" t="s">
        <v>74</v>
      </c>
      <c r="C41" s="129">
        <v>46079.0</v>
      </c>
      <c r="D41" s="111"/>
      <c r="E41" s="111" t="s">
        <v>592</v>
      </c>
      <c r="F41" s="116" t="s">
        <v>604</v>
      </c>
      <c r="G41" s="116">
        <v>3.496466509E9</v>
      </c>
      <c r="H41" s="116" t="s">
        <v>605</v>
      </c>
      <c r="I41" s="116" t="s">
        <v>606</v>
      </c>
      <c r="J41" s="134">
        <v>46079.0</v>
      </c>
      <c r="K41" s="115">
        <v>27.0</v>
      </c>
      <c r="L41" s="116"/>
      <c r="M41" s="117">
        <f>IFERROR(__xludf.DUMMYFUNCTION("IF(
  K41="""",
  """",
  ROUND(
    IF(
      L41="""",
      K41,
      IF(
        ISERROR(FIND(""-"",L41)),
        K41 - VALUE(REGEXEXTRACT(L41,""(\d+)"")),
        K41 * (1 - VALUE(REGEXEXTRACT(L41,""(\d+)""))/100)
      )
    ),
    2
  )
)
"),27.0)</f>
        <v>27</v>
      </c>
      <c r="N41" s="116" t="s">
        <v>80</v>
      </c>
      <c r="O41" s="118" t="b">
        <v>1</v>
      </c>
      <c r="P41" s="119"/>
      <c r="Q41" s="120" t="s">
        <v>81</v>
      </c>
      <c r="R41" s="121" t="b">
        <v>0</v>
      </c>
      <c r="S41" s="121" t="b">
        <v>1</v>
      </c>
      <c r="T41" s="122" t="b">
        <v>1</v>
      </c>
    </row>
    <row r="42" outlineLevel="1">
      <c r="A42" s="116" t="s">
        <v>73</v>
      </c>
      <c r="B42" s="116" t="s">
        <v>74</v>
      </c>
      <c r="C42" s="129">
        <v>46081.0</v>
      </c>
      <c r="D42" s="111"/>
      <c r="E42" s="111" t="s">
        <v>607</v>
      </c>
      <c r="F42" s="116" t="s">
        <v>608</v>
      </c>
      <c r="G42" s="116">
        <v>3.389976851E9</v>
      </c>
      <c r="H42" s="116" t="s">
        <v>609</v>
      </c>
      <c r="I42" s="116" t="s">
        <v>610</v>
      </c>
      <c r="J42" s="134">
        <v>46081.0</v>
      </c>
      <c r="K42" s="115">
        <v>27.0</v>
      </c>
      <c r="L42" s="116" t="s">
        <v>99</v>
      </c>
      <c r="M42" s="117">
        <f>IFERROR(__xludf.DUMMYFUNCTION("IF(
  K42="""",
  """",
  ROUND(
    IF(
      L42="""",
      K42,
      IF(
        ISERROR(FIND(""-"",L42)),
        K42 - VALUE(REGEXEXTRACT(L42,""(\d+)"")),
        K42 * (1 - VALUE(REGEXEXTRACT(L42,""(\d+)""))/100)
      )
    ),
    2
  )
)
"),25.0)</f>
        <v>25</v>
      </c>
      <c r="N42" s="116" t="s">
        <v>80</v>
      </c>
      <c r="O42" s="118" t="b">
        <v>1</v>
      </c>
      <c r="P42" s="119"/>
      <c r="Q42" s="120" t="s">
        <v>81</v>
      </c>
      <c r="R42" s="121" t="b">
        <v>0</v>
      </c>
      <c r="S42" s="121" t="b">
        <v>1</v>
      </c>
      <c r="T42" s="122" t="b">
        <v>1</v>
      </c>
    </row>
    <row r="43" outlineLevel="1">
      <c r="A43" s="116" t="s">
        <v>611</v>
      </c>
      <c r="B43" s="116" t="s">
        <v>612</v>
      </c>
      <c r="C43" s="129">
        <v>46082.0</v>
      </c>
      <c r="D43" s="111" t="s">
        <v>613</v>
      </c>
      <c r="E43" s="111" t="s">
        <v>614</v>
      </c>
      <c r="F43" s="116" t="s">
        <v>492</v>
      </c>
      <c r="G43" s="116">
        <v>3.478337785E9</v>
      </c>
      <c r="H43" s="116" t="s">
        <v>615</v>
      </c>
      <c r="I43" s="116" t="s">
        <v>616</v>
      </c>
      <c r="J43" s="134">
        <v>46082.0</v>
      </c>
      <c r="K43" s="115">
        <v>27.0</v>
      </c>
      <c r="L43" s="116"/>
      <c r="M43" s="117">
        <f>IFERROR(__xludf.DUMMYFUNCTION("IF(
  K43="""",
  """",
  ROUND(
    IF(
      L43="""",
      K43,
      IF(
        ISERROR(FIND(""-"",L43)),
        K43 - VALUE(REGEXEXTRACT(L43,""(\d+)"")),
        K43 * (1 - VALUE(REGEXEXTRACT(L43,""(\d+)""))/100)
      )
    ),
    2
  )
)
"),27.0)</f>
        <v>27</v>
      </c>
      <c r="N43" s="111" t="s">
        <v>162</v>
      </c>
      <c r="O43" s="118" t="b">
        <v>1</v>
      </c>
      <c r="P43" s="119"/>
      <c r="Q43" s="120" t="s">
        <v>81</v>
      </c>
      <c r="R43" s="121" t="b">
        <v>1</v>
      </c>
      <c r="S43" s="121" t="b">
        <v>0</v>
      </c>
      <c r="T43" s="122" t="b">
        <v>1</v>
      </c>
    </row>
    <row r="44" outlineLevel="1">
      <c r="A44" s="116" t="s">
        <v>611</v>
      </c>
      <c r="B44" s="116" t="s">
        <v>74</v>
      </c>
      <c r="C44" s="129">
        <v>46081.0</v>
      </c>
      <c r="D44" s="111" t="s">
        <v>617</v>
      </c>
      <c r="E44" s="111" t="s">
        <v>618</v>
      </c>
      <c r="F44" s="116" t="s">
        <v>619</v>
      </c>
      <c r="G44" s="116">
        <v>3.274578882E9</v>
      </c>
      <c r="H44" s="116" t="s">
        <v>620</v>
      </c>
      <c r="I44" s="116" t="s">
        <v>621</v>
      </c>
      <c r="J44" s="134">
        <v>46081.0</v>
      </c>
      <c r="K44" s="115">
        <v>27.0</v>
      </c>
      <c r="L44" s="131"/>
      <c r="M44" s="117">
        <f>IFERROR(__xludf.DUMMYFUNCTION("IF(
  K44="""",
  """",
  ROUND(
    IF(
      L44="""",
      K44,
      IF(
        ISERROR(FIND(""-"",L44)),
        K44 - VALUE(REGEXEXTRACT(L44,""(\d+)"")),
        K44 * (1 - VALUE(REGEXEXTRACT(L44,""(\d+)""))/100)
      )
    ),
    2
  )
)
"),27.0)</f>
        <v>27</v>
      </c>
      <c r="N44" s="116" t="s">
        <v>100</v>
      </c>
      <c r="O44" s="118" t="b">
        <v>1</v>
      </c>
      <c r="P44" s="119"/>
      <c r="Q44" s="120" t="s">
        <v>81</v>
      </c>
      <c r="R44" s="121" t="b">
        <v>1</v>
      </c>
      <c r="S44" s="121" t="b">
        <v>0</v>
      </c>
      <c r="T44" s="122" t="b">
        <v>1</v>
      </c>
    </row>
    <row r="45"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41</v>
      </c>
      <c r="C84" s="160" t="s">
        <v>116</v>
      </c>
      <c r="D84" s="161">
        <f t="shared" ref="D84:F84" si="1">COUNTIF(D4:D83, "*")</f>
        <v>16</v>
      </c>
      <c r="E84" s="161">
        <f t="shared" si="1"/>
        <v>41</v>
      </c>
      <c r="F84" s="161">
        <f t="shared" si="1"/>
        <v>41</v>
      </c>
      <c r="G84" s="162">
        <f>COUNTA(G4:G83)</f>
        <v>41</v>
      </c>
      <c r="H84" s="161">
        <f t="shared" ref="H84:I84" si="2">COUNTIF(H4:H83, "*")</f>
        <v>41</v>
      </c>
      <c r="I84" s="161">
        <f t="shared" si="2"/>
        <v>41</v>
      </c>
      <c r="J84" s="160" t="s">
        <v>116</v>
      </c>
      <c r="K84" s="163">
        <f>SUM(K4:K83)</f>
        <v>942</v>
      </c>
      <c r="L84" s="161">
        <f>COUNTIF(L4:L83, "*")</f>
        <v>23</v>
      </c>
      <c r="M84" s="163">
        <f>SUM(M4:M83)</f>
        <v>896</v>
      </c>
      <c r="N84" s="161">
        <f>COUNTIF(N4:N83, "*")</f>
        <v>41</v>
      </c>
      <c r="O84" s="161">
        <f>SUMPRODUCT(--O4:O83)</f>
        <v>38</v>
      </c>
      <c r="P84" s="161">
        <f t="shared" ref="P84:Q84" si="3">COUNTIF(P4:P83, "*")</f>
        <v>0</v>
      </c>
      <c r="Q84" s="161">
        <f t="shared" si="3"/>
        <v>41</v>
      </c>
      <c r="R84" s="161">
        <f t="shared" ref="R84:T84" si="4">SUMPRODUCT(--R4:R83)</f>
        <v>20</v>
      </c>
      <c r="S84" s="161">
        <f t="shared" si="4"/>
        <v>21</v>
      </c>
      <c r="T84" s="161">
        <f t="shared" si="4"/>
        <v>41</v>
      </c>
    </row>
    <row r="85">
      <c r="A85" s="164" t="s">
        <v>117</v>
      </c>
      <c r="B85" s="165">
        <f>COUNTIF(B4:B83, "SEDE*")</f>
        <v>3</v>
      </c>
      <c r="C85" s="142"/>
      <c r="D85" s="166" t="s">
        <v>118</v>
      </c>
      <c r="E85" s="167" t="s">
        <v>119</v>
      </c>
      <c r="F85" s="168">
        <f>IFERROR(__xludf.DUMMYFUNCTION("IFERROR(TRANSPOSE(SORT(UNIQUE(FILTER($M$4:$M$83,$M$4:$M$83&lt;&gt;"""")))),"""")"),20.0)</f>
        <v>20</v>
      </c>
      <c r="G85" s="168">
        <f>IFERROR(__xludf.DUMMYFUNCTION("""COMPUTED_VALUE"""),22.0)</f>
        <v>22</v>
      </c>
      <c r="H85" s="168">
        <f>IFERROR(__xludf.DUMMYFUNCTION("""COMPUTED_VALUE"""),25.0)</f>
        <v>25</v>
      </c>
      <c r="I85" s="168">
        <f>IFERROR(__xludf.DUMMYFUNCTION("""COMPUTED_VALUE"""),27.0)</f>
        <v>27</v>
      </c>
      <c r="J85" s="168"/>
      <c r="K85" s="169"/>
      <c r="L85" s="169"/>
      <c r="M85" s="169"/>
      <c r="N85" s="169"/>
      <c r="O85" s="168"/>
      <c r="P85" s="170" t="s">
        <v>40</v>
      </c>
      <c r="Q85" s="171">
        <f>IF(SUM(F87:O87)=0,"",SUM(F87:O87))
</f>
        <v>67</v>
      </c>
      <c r="R85" s="164" t="s">
        <v>120</v>
      </c>
      <c r="S85" s="165" t="str">
        <f>IF(SUM(M84) = SUM(Q85:Q89), "OK", "ERRORE")</f>
        <v>OK</v>
      </c>
    </row>
    <row r="86">
      <c r="A86" s="164" t="s">
        <v>74</v>
      </c>
      <c r="B86" s="165">
        <f>COUNTIF(B4:B83, "ONLINE")</f>
        <v>38</v>
      </c>
      <c r="E86" s="172" t="s">
        <v>121</v>
      </c>
      <c r="F86" s="172">
        <f t="shared" ref="F86:O86" si="5">IF(
  F$85="",
  "",
  COUNTIFS($B$4:$B$83,"*SEDE*",$M$4:$M$83,F$85)
)
</f>
        <v>2</v>
      </c>
      <c r="G86" s="172">
        <f t="shared" si="5"/>
        <v>0</v>
      </c>
      <c r="H86" s="172">
        <f t="shared" si="5"/>
        <v>0</v>
      </c>
      <c r="I86" s="172">
        <f t="shared" si="5"/>
        <v>1</v>
      </c>
      <c r="J86" s="172" t="str">
        <f t="shared" si="5"/>
        <v/>
      </c>
      <c r="K86" s="172" t="str">
        <f t="shared" si="5"/>
        <v/>
      </c>
      <c r="L86" s="172" t="str">
        <f t="shared" si="5"/>
        <v/>
      </c>
      <c r="M86" s="172" t="str">
        <f t="shared" si="5"/>
        <v/>
      </c>
      <c r="N86" s="172" t="str">
        <f t="shared" si="5"/>
        <v/>
      </c>
      <c r="O86" s="172" t="str">
        <f t="shared" si="5"/>
        <v/>
      </c>
    </row>
    <row r="87">
      <c r="E87" s="173" t="s">
        <v>122</v>
      </c>
      <c r="F87" s="174">
        <f t="shared" ref="F87:O87" si="6">IF(
  F$85="",
  "",
  SUMIFS($M$4:$M$83,$B$4:$B$83,"*SEDE*",$M$4:$M$83,F$85)
)
</f>
        <v>40</v>
      </c>
      <c r="G87" s="174">
        <f t="shared" si="6"/>
        <v>0</v>
      </c>
      <c r="H87" s="174">
        <f t="shared" si="6"/>
        <v>0</v>
      </c>
      <c r="I87" s="174">
        <f t="shared" si="6"/>
        <v>27</v>
      </c>
      <c r="J87" s="174" t="str">
        <f t="shared" si="6"/>
        <v/>
      </c>
      <c r="K87" s="174" t="str">
        <f t="shared" si="6"/>
        <v/>
      </c>
      <c r="L87" s="174" t="str">
        <f t="shared" si="6"/>
        <v/>
      </c>
      <c r="M87" s="174" t="str">
        <f t="shared" si="6"/>
        <v/>
      </c>
      <c r="N87" s="174" t="str">
        <f t="shared" si="6"/>
        <v/>
      </c>
      <c r="O87" s="174" t="str">
        <f t="shared" si="6"/>
        <v/>
      </c>
    </row>
    <row r="88">
      <c r="E88" s="172" t="s">
        <v>123</v>
      </c>
      <c r="F88" s="175">
        <f t="shared" ref="F88:O88" si="7">IF(
  F$85="",
  "",
  COUNTIFS($B$4:$B$83,"*ONLINE*",$M$4:$M$83,F$85)
)
</f>
        <v>19</v>
      </c>
      <c r="G88" s="175">
        <f t="shared" si="7"/>
        <v>12</v>
      </c>
      <c r="H88" s="175">
        <f t="shared" si="7"/>
        <v>2</v>
      </c>
      <c r="I88" s="175">
        <f t="shared" si="7"/>
        <v>5</v>
      </c>
      <c r="J88" s="175" t="str">
        <f t="shared" si="7"/>
        <v/>
      </c>
      <c r="K88" s="175" t="str">
        <f t="shared" si="7"/>
        <v/>
      </c>
      <c r="L88" s="175" t="str">
        <f t="shared" si="7"/>
        <v/>
      </c>
      <c r="M88" s="175" t="str">
        <f t="shared" si="7"/>
        <v/>
      </c>
      <c r="N88" s="175" t="str">
        <f t="shared" si="7"/>
        <v/>
      </c>
      <c r="O88" s="175" t="str">
        <f t="shared" si="7"/>
        <v/>
      </c>
      <c r="P88" s="170" t="s">
        <v>40</v>
      </c>
      <c r="Q88" s="171">
        <f>IF(SUM(F89:O89)=0,"",SUM(F89:O89))
</f>
        <v>829</v>
      </c>
    </row>
    <row r="89">
      <c r="E89" s="173" t="s">
        <v>124</v>
      </c>
      <c r="F89" s="174">
        <f t="shared" ref="F89:O89" si="8">IF(
  F$85="",
  "",
  SUMIFS($M$4:$M$83,$B$4:$B$83,"*ONLINE*",$M$4:$M$83,F$85)
)
</f>
        <v>380</v>
      </c>
      <c r="G89" s="174">
        <f t="shared" si="8"/>
        <v>264</v>
      </c>
      <c r="H89" s="174">
        <f t="shared" si="8"/>
        <v>50</v>
      </c>
      <c r="I89" s="174">
        <f t="shared" si="8"/>
        <v>135</v>
      </c>
      <c r="J89" s="174" t="str">
        <f t="shared" si="8"/>
        <v/>
      </c>
      <c r="K89" s="174" t="str">
        <f t="shared" si="8"/>
        <v/>
      </c>
      <c r="L89" s="174" t="str">
        <f t="shared" si="8"/>
        <v/>
      </c>
      <c r="M89" s="174" t="str">
        <f t="shared" si="8"/>
        <v/>
      </c>
      <c r="N89" s="174" t="str">
        <f t="shared" si="8"/>
        <v/>
      </c>
      <c r="O89" s="174" t="str">
        <f t="shared" si="8"/>
        <v/>
      </c>
    </row>
    <row r="90" ht="26.25" customHeight="1">
      <c r="A90" s="176"/>
      <c r="B90" s="176"/>
      <c r="C90" s="176" t="s">
        <v>125</v>
      </c>
    </row>
    <row r="91" outlineLevel="1">
      <c r="A91" s="116"/>
      <c r="B91" s="116"/>
      <c r="C91" s="129"/>
      <c r="D91" s="157"/>
      <c r="E91" s="157"/>
      <c r="F91" s="156"/>
      <c r="G91" s="157"/>
      <c r="H91" s="116"/>
      <c r="I91" s="116"/>
      <c r="J91" s="134"/>
      <c r="K91" s="177"/>
      <c r="L91" s="116"/>
      <c r="M91" s="178" t="str">
        <f>IFERROR(__xludf.DUMMYFUNCTION("IF(
  K91="""",
  """",
  ROUND(
    IF(
      L91="""",
      K91,
      IF(
        ISERROR(FIND(""-"",L91)),
        K91 - VALUE(REGEXEXTRACT(L91,""(\d+)"")),
        K91 * (1 - VALUE(REGEXEXTRACT(L91,""(\d+)""))/100)
      )
    ),
    2
  )
)
")," ")</f>
        <v/>
      </c>
      <c r="N91" s="116"/>
      <c r="O91" s="118" t="b">
        <v>0</v>
      </c>
      <c r="P91" s="179"/>
      <c r="Q91" s="120"/>
      <c r="R91" s="121" t="b">
        <v>0</v>
      </c>
      <c r="S91" s="121" t="b">
        <v>0</v>
      </c>
      <c r="T91" s="122" t="b">
        <v>0</v>
      </c>
    </row>
    <row r="92" outlineLevel="1">
      <c r="A92" s="116"/>
      <c r="B92" s="116"/>
      <c r="C92" s="129"/>
      <c r="D92" s="116"/>
      <c r="E92" s="116"/>
      <c r="F92" s="116"/>
      <c r="G92" s="116"/>
      <c r="H92" s="116"/>
      <c r="I92" s="116"/>
      <c r="J92" s="134"/>
      <c r="K92" s="177"/>
      <c r="L92" s="116"/>
      <c r="M92" s="178" t="str">
        <f>IFERROR(__xludf.DUMMYFUNCTION("IF(
  K92="""",
  """",
  ROUND(
    IF(
      L92="""",
      K92,
      IF(
        ISERROR(FIND(""-"",L92)),
        K92 - VALUE(REGEXEXTRACT(L92,""(\d+)"")),
        K92 * (1 - VALUE(REGEXEXTRACT(L92,""(\d+)""))/100)
      )
    ),
    2
  )
)
")," ")</f>
        <v/>
      </c>
      <c r="N92" s="116"/>
      <c r="O92" s="118" t="b">
        <v>0</v>
      </c>
      <c r="P92" s="179"/>
      <c r="Q92" s="120"/>
      <c r="R92" s="121" t="b">
        <v>0</v>
      </c>
      <c r="S92" s="121" t="b">
        <v>0</v>
      </c>
      <c r="T92" s="122" t="b">
        <v>0</v>
      </c>
    </row>
    <row r="93" outlineLevel="1">
      <c r="A93" s="116"/>
      <c r="B93" s="116"/>
      <c r="C93" s="129"/>
      <c r="D93" s="116"/>
      <c r="E93" s="116"/>
      <c r="F93" s="116"/>
      <c r="G93" s="116"/>
      <c r="H93" s="111"/>
      <c r="I93" s="111"/>
      <c r="J93" s="126"/>
      <c r="K93" s="180"/>
      <c r="L93" s="116"/>
      <c r="M93" s="178" t="str">
        <f>IFERROR(__xludf.DUMMYFUNCTION("IF(
  K93="""",
  """",
  ROUND(
    IF(
      L93="""",
      K93,
      IF(
        ISERROR(FIND(""-"",L93)),
        K93 - VALUE(REGEXEXTRACT(L93,""(\d+)"")),
        K93 * (1 - VALUE(REGEXEXTRACT(L93,""(\d+)""))/100)
      )
    ),
    2
  )
)
")," ")</f>
        <v/>
      </c>
      <c r="N93" s="116"/>
      <c r="O93" s="118" t="b">
        <v>0</v>
      </c>
      <c r="P93" s="179"/>
      <c r="Q93" s="120"/>
      <c r="R93" s="121" t="b">
        <v>0</v>
      </c>
      <c r="S93" s="121" t="b">
        <v>0</v>
      </c>
      <c r="T93" s="122" t="b">
        <v>0</v>
      </c>
    </row>
    <row r="94" outlineLevel="1">
      <c r="A94" s="116"/>
      <c r="B94" s="116"/>
      <c r="C94" s="129"/>
      <c r="D94" s="157"/>
      <c r="E94" s="157"/>
      <c r="F94" s="116"/>
      <c r="G94" s="116"/>
      <c r="H94" s="116"/>
      <c r="I94" s="116"/>
      <c r="J94" s="134"/>
      <c r="K94" s="177"/>
      <c r="L94" s="116"/>
      <c r="M94" s="178" t="str">
        <f>IFERROR(__xludf.DUMMYFUNCTION("IF(
  K94="""",
  """",
  ROUND(
    IF(
      L94="""",
      K94,
      IF(
        ISERROR(FIND(""-"",L94)),
        K94 - VALUE(REGEXEXTRACT(L94,""(\d+)"")),
        K94 * (1 - VALUE(REGEXEXTRACT(L94,""(\d+)""))/100)
      )
    ),
    2
  )
)
")," ")</f>
        <v/>
      </c>
      <c r="N94" s="116"/>
      <c r="O94" s="118" t="b">
        <v>0</v>
      </c>
      <c r="P94" s="179"/>
      <c r="Q94" s="120"/>
      <c r="R94" s="121" t="b">
        <v>0</v>
      </c>
      <c r="S94" s="121" t="b">
        <v>0</v>
      </c>
      <c r="T94" s="122" t="b">
        <v>0</v>
      </c>
    </row>
    <row r="95" outlineLevel="1">
      <c r="A95" s="116"/>
      <c r="B95" s="116"/>
      <c r="C95" s="129"/>
      <c r="D95" s="116"/>
      <c r="E95" s="116"/>
      <c r="F95" s="116"/>
      <c r="G95" s="116"/>
      <c r="H95" s="116"/>
      <c r="I95" s="116"/>
      <c r="J95" s="134"/>
      <c r="K95" s="177"/>
      <c r="L95" s="116"/>
      <c r="M95" s="178" t="str">
        <f>IFERROR(__xludf.DUMMYFUNCTION("IF(
  K95="""",
  """",
  ROUND(
    IF(
      L95="""",
      K95,
      IF(
        ISERROR(FIND(""-"",L95)),
        K95 - VALUE(REGEXEXTRACT(L95,""(\d+)"")),
        K95 * (1 - VALUE(REGEXEXTRACT(L95,""(\d+)""))/100)
      )
    ),
    2
  )
)
")," ")</f>
        <v/>
      </c>
      <c r="N95" s="116"/>
      <c r="O95" s="118" t="b">
        <v>0</v>
      </c>
      <c r="P95" s="179"/>
      <c r="Q95" s="120"/>
      <c r="R95" s="121" t="b">
        <v>0</v>
      </c>
      <c r="S95" s="121" t="b">
        <v>0</v>
      </c>
      <c r="T95" s="122" t="b">
        <v>0</v>
      </c>
    </row>
    <row r="96" outlineLevel="1">
      <c r="A96" s="116"/>
      <c r="B96" s="116"/>
      <c r="C96" s="112"/>
      <c r="D96" s="116"/>
      <c r="E96" s="116"/>
      <c r="F96" s="111"/>
      <c r="G96" s="111"/>
      <c r="H96" s="111"/>
      <c r="I96" s="111"/>
      <c r="J96" s="134"/>
      <c r="K96" s="177"/>
      <c r="L96" s="116"/>
      <c r="M96" s="178" t="str">
        <f>IFERROR(__xludf.DUMMYFUNCTION("IF(
  K96="""",
  """",
  ROUND(
    IF(
      L96="""",
      K96,
      IF(
        ISERROR(FIND(""-"",L96)),
        K96 - VALUE(REGEXEXTRACT(L96,""(\d+)"")),
        K96 * (1 - VALUE(REGEXEXTRACT(L96,""(\d+)""))/100)
      )
    ),
    2
  )
)
")," ")</f>
        <v/>
      </c>
      <c r="N96" s="116"/>
      <c r="O96" s="118" t="b">
        <v>0</v>
      </c>
      <c r="P96" s="179"/>
      <c r="Q96" s="120"/>
      <c r="R96" s="121" t="b">
        <v>0</v>
      </c>
      <c r="S96" s="121" t="b">
        <v>0</v>
      </c>
      <c r="T96" s="122" t="b">
        <v>0</v>
      </c>
    </row>
    <row r="97" outlineLevel="1">
      <c r="A97" s="116"/>
      <c r="B97" s="116"/>
      <c r="C97" s="112"/>
      <c r="D97" s="157"/>
      <c r="E97" s="157"/>
      <c r="F97" s="111"/>
      <c r="G97" s="111"/>
      <c r="H97" s="111"/>
      <c r="I97" s="111"/>
      <c r="J97" s="114"/>
      <c r="K97" s="177"/>
      <c r="L97" s="116"/>
      <c r="M97" s="178" t="str">
        <f>IFERROR(__xludf.DUMMYFUNCTION("IF(
  K97="""",
  """",
  ROUND(
    IF(
      L97="""",
      K97,
      IF(
        ISERROR(FIND(""-"",L97)),
        K97 - VALUE(REGEXEXTRACT(L97,""(\d+)"")),
        K97 * (1 - VALUE(REGEXEXTRACT(L97,""(\d+)""))/100)
      )
    ),
    2
  )
)
")," ")</f>
        <v/>
      </c>
      <c r="N97" s="116"/>
      <c r="O97" s="118" t="b">
        <v>0</v>
      </c>
      <c r="P97" s="179"/>
      <c r="Q97" s="120"/>
      <c r="R97" s="121" t="b">
        <v>0</v>
      </c>
      <c r="S97" s="121" t="b">
        <v>0</v>
      </c>
      <c r="T97" s="122" t="b">
        <v>0</v>
      </c>
    </row>
    <row r="98" outlineLevel="1">
      <c r="A98" s="116"/>
      <c r="B98" s="116"/>
      <c r="C98" s="112"/>
      <c r="D98" s="116"/>
      <c r="E98" s="116"/>
      <c r="F98" s="111"/>
      <c r="G98" s="111"/>
      <c r="H98" s="111"/>
      <c r="I98" s="111"/>
      <c r="J98" s="126"/>
      <c r="K98" s="180"/>
      <c r="L98" s="116"/>
      <c r="M98" s="178" t="str">
        <f>IFERROR(__xludf.DUMMYFUNCTION("IF(
  K98="""",
  """",
  ROUND(
    IF(
      L98="""",
      K98,
      IF(
        ISERROR(FIND(""-"",L98)),
        K98 - VALUE(REGEXEXTRACT(L98,""(\d+)"")),
        K98 * (1 - VALUE(REGEXEXTRACT(L98,""(\d+)""))/100)
      )
    ),
    2
  )
)
")," ")</f>
        <v/>
      </c>
      <c r="N98" s="116"/>
      <c r="O98" s="118" t="b">
        <v>0</v>
      </c>
      <c r="P98" s="179"/>
      <c r="Q98" s="120"/>
      <c r="R98" s="121" t="b">
        <v>0</v>
      </c>
      <c r="S98" s="121" t="b">
        <v>0</v>
      </c>
      <c r="T98" s="122" t="b">
        <v>0</v>
      </c>
    </row>
    <row r="99" outlineLevel="1">
      <c r="A99" s="116"/>
      <c r="B99" s="116"/>
      <c r="C99" s="112"/>
      <c r="D99" s="116"/>
      <c r="E99" s="116"/>
      <c r="F99" s="111"/>
      <c r="G99" s="111"/>
      <c r="H99" s="111"/>
      <c r="I99" s="111"/>
      <c r="J99" s="126"/>
      <c r="K99" s="177"/>
      <c r="L99" s="116"/>
      <c r="M99" s="178" t="str">
        <f>IFERROR(__xludf.DUMMYFUNCTION("IF(
  K99="""",
  """",
  ROUND(
    IF(
      L99="""",
      K99,
      IF(
        ISERROR(FIND(""-"",L99)),
        K99 - VALUE(REGEXEXTRACT(L99,""(\d+)"")),
        K99 * (1 - VALUE(REGEXEXTRACT(L99,""(\d+)""))/100)
      )
    ),
    2
  )
)
")," ")</f>
        <v/>
      </c>
      <c r="N99" s="116"/>
      <c r="O99" s="118" t="b">
        <v>0</v>
      </c>
      <c r="P99" s="179"/>
      <c r="Q99" s="120"/>
      <c r="R99" s="121" t="b">
        <v>0</v>
      </c>
      <c r="S99" s="121" t="b">
        <v>0</v>
      </c>
      <c r="T99" s="122" t="b">
        <v>0</v>
      </c>
    </row>
    <row r="100" outlineLevel="1">
      <c r="A100" s="116"/>
      <c r="B100" s="116"/>
      <c r="C100" s="112"/>
      <c r="D100" s="157"/>
      <c r="E100" s="157"/>
      <c r="F100" s="111"/>
      <c r="G100" s="111"/>
      <c r="H100" s="111"/>
      <c r="I100" s="111"/>
      <c r="J100" s="114"/>
      <c r="K100" s="177"/>
      <c r="L100" s="116"/>
      <c r="M100" s="178" t="str">
        <f>IFERROR(__xludf.DUMMYFUNCTION("IF(
  K100="""",
  """",
  ROUND(
    IF(
      L100="""",
      K100,
      IF(
        ISERROR(FIND(""-"",L100)),
        K100 - VALUE(REGEXEXTRACT(L100,""(\d+)"")),
        K100 * (1 - VALUE(REGEXEXTRACT(L100,""(\d+)""))/100)
      )
    ),
    2
  )
)"&amp;"
")," ")</f>
        <v/>
      </c>
      <c r="N100" s="116"/>
      <c r="O100" s="118" t="b">
        <v>0</v>
      </c>
      <c r="P100" s="179"/>
      <c r="Q100" s="120"/>
      <c r="R100" s="121" t="b">
        <v>0</v>
      </c>
      <c r="S100" s="121" t="b">
        <v>0</v>
      </c>
      <c r="T100" s="122" t="b">
        <v>0</v>
      </c>
    </row>
    <row r="101" outlineLevel="1">
      <c r="A101" s="116"/>
      <c r="B101" s="116"/>
      <c r="C101" s="112"/>
      <c r="D101" s="116"/>
      <c r="E101" s="116"/>
      <c r="F101" s="111"/>
      <c r="G101" s="111"/>
      <c r="H101" s="111"/>
      <c r="I101" s="111"/>
      <c r="J101" s="126"/>
      <c r="K101" s="177"/>
      <c r="L101" s="116"/>
      <c r="M101" s="178" t="str">
        <f>IFERROR(__xludf.DUMMYFUNCTION("IF(
  K101="""",
  """",
  ROUND(
    IF(
      L101="""",
      K101,
      IF(
        ISERROR(FIND(""-"",L101)),
        K101 - VALUE(REGEXEXTRACT(L101,""(\d+)"")),
        K101 * (1 - VALUE(REGEXEXTRACT(L101,""(\d+)""))/100)
      )
    ),
    2
  )
)"&amp;"
")," ")</f>
        <v/>
      </c>
      <c r="N101" s="116"/>
      <c r="O101" s="118" t="b">
        <v>0</v>
      </c>
      <c r="P101" s="179"/>
      <c r="Q101" s="120"/>
      <c r="R101" s="121" t="b">
        <v>0</v>
      </c>
      <c r="S101" s="121" t="b">
        <v>0</v>
      </c>
      <c r="T101" s="122" t="b">
        <v>0</v>
      </c>
    </row>
    <row r="102" outlineLevel="1">
      <c r="A102" s="116"/>
      <c r="B102" s="116"/>
      <c r="C102" s="112"/>
      <c r="D102" s="116"/>
      <c r="E102" s="116"/>
      <c r="F102" s="111"/>
      <c r="G102" s="111"/>
      <c r="H102" s="111"/>
      <c r="I102" s="111"/>
      <c r="J102" s="126"/>
      <c r="K102" s="177"/>
      <c r="L102" s="116"/>
      <c r="M102" s="178" t="str">
        <f>IFERROR(__xludf.DUMMYFUNCTION("IF(
  K102="""",
  """",
  ROUND(
    IF(
      L102="""",
      K102,
      IF(
        ISERROR(FIND(""-"",L102)),
        K102 - VALUE(REGEXEXTRACT(L102,""(\d+)"")),
        K102 * (1 - VALUE(REGEXEXTRACT(L102,""(\d+)""))/100)
      )
    ),
    2
  )
)"&amp;"
")," ")</f>
        <v/>
      </c>
      <c r="N102" s="116"/>
      <c r="O102" s="118" t="b">
        <v>0</v>
      </c>
      <c r="P102" s="179"/>
      <c r="Q102" s="120"/>
      <c r="R102" s="121" t="b">
        <v>0</v>
      </c>
      <c r="S102" s="121" t="b">
        <v>0</v>
      </c>
      <c r="T102" s="122" t="b">
        <v>0</v>
      </c>
    </row>
    <row r="103" outlineLevel="1">
      <c r="A103" s="116"/>
      <c r="B103" s="116"/>
      <c r="C103" s="112"/>
      <c r="D103" s="157"/>
      <c r="E103" s="157"/>
      <c r="F103" s="111"/>
      <c r="G103" s="111"/>
      <c r="H103" s="111"/>
      <c r="I103" s="111"/>
      <c r="J103" s="126"/>
      <c r="K103" s="177"/>
      <c r="L103" s="116"/>
      <c r="M103" s="178" t="str">
        <f>IFERROR(__xludf.DUMMYFUNCTION("IF(
  K103="""",
  """",
  ROUND(
    IF(
      L103="""",
      K103,
      IF(
        ISERROR(FIND(""-"",L103)),
        K103 - VALUE(REGEXEXTRACT(L103,""(\d+)"")),
        K103 * (1 - VALUE(REGEXEXTRACT(L103,""(\d+)""))/100)
      )
    ),
    2
  )
)"&amp;"
")," ")</f>
        <v/>
      </c>
      <c r="N103" s="116"/>
      <c r="O103" s="118" t="b">
        <v>0</v>
      </c>
      <c r="P103" s="179"/>
      <c r="Q103" s="120"/>
      <c r="R103" s="121" t="b">
        <v>0</v>
      </c>
      <c r="S103" s="121" t="b">
        <v>0</v>
      </c>
      <c r="T103" s="122" t="b">
        <v>0</v>
      </c>
    </row>
    <row r="104" outlineLevel="1">
      <c r="A104" s="116"/>
      <c r="B104" s="116"/>
      <c r="C104" s="112"/>
      <c r="D104" s="116"/>
      <c r="E104" s="116"/>
      <c r="F104" s="111"/>
      <c r="G104" s="111"/>
      <c r="H104" s="111"/>
      <c r="I104" s="111"/>
      <c r="J104" s="126"/>
      <c r="K104" s="177"/>
      <c r="L104" s="116"/>
      <c r="M104" s="178" t="str">
        <f>IFERROR(__xludf.DUMMYFUNCTION("IF(
  K104="""",
  """",
  ROUND(
    IF(
      L104="""",
      K104,
      IF(
        ISERROR(FIND(""-"",L104)),
        K104 - VALUE(REGEXEXTRACT(L104,""(\d+)"")),
        K104 * (1 - VALUE(REGEXEXTRACT(L104,""(\d+)""))/100)
      )
    ),
    2
  )
)"&amp;"
")," ")</f>
        <v/>
      </c>
      <c r="N104" s="116"/>
      <c r="O104" s="118" t="b">
        <v>0</v>
      </c>
      <c r="P104" s="179"/>
      <c r="Q104" s="120"/>
      <c r="R104" s="121" t="b">
        <v>0</v>
      </c>
      <c r="S104" s="121" t="b">
        <v>0</v>
      </c>
      <c r="T104" s="122" t="b">
        <v>0</v>
      </c>
    </row>
    <row r="105" outlineLevel="1">
      <c r="A105" s="116"/>
      <c r="B105" s="116"/>
      <c r="C105" s="112"/>
      <c r="D105" s="116"/>
      <c r="E105" s="116"/>
      <c r="F105" s="111"/>
      <c r="G105" s="111"/>
      <c r="H105" s="111"/>
      <c r="I105" s="111"/>
      <c r="J105" s="126"/>
      <c r="K105" s="177"/>
      <c r="L105" s="116"/>
      <c r="M105" s="178" t="str">
        <f>IFERROR(__xludf.DUMMYFUNCTION("IF(
  K105="""",
  """",
  ROUND(
    IF(
      L105="""",
      K105,
      IF(
        ISERROR(FIND(""-"",L105)),
        K105 - VALUE(REGEXEXTRACT(L105,""(\d+)"")),
        K105 * (1 - VALUE(REGEXEXTRACT(L105,""(\d+)""))/100)
      )
    ),
    2
  )
)"&amp;"
")," ")</f>
        <v/>
      </c>
      <c r="N105" s="116"/>
      <c r="O105" s="118" t="b">
        <v>0</v>
      </c>
      <c r="P105" s="179"/>
      <c r="Q105" s="120"/>
      <c r="R105" s="121" t="b">
        <v>0</v>
      </c>
      <c r="S105" s="121" t="b">
        <v>0</v>
      </c>
      <c r="T105" s="122" t="b">
        <v>0</v>
      </c>
    </row>
    <row r="106" outlineLevel="1">
      <c r="A106" s="116"/>
      <c r="B106" s="116"/>
      <c r="C106" s="112"/>
      <c r="D106" s="157"/>
      <c r="E106" s="157"/>
      <c r="F106" s="111"/>
      <c r="G106" s="111"/>
      <c r="H106" s="111"/>
      <c r="I106" s="111"/>
      <c r="J106" s="126"/>
      <c r="K106" s="177"/>
      <c r="L106" s="116"/>
      <c r="M106" s="178" t="str">
        <f>IFERROR(__xludf.DUMMYFUNCTION("IF(
  K106="""",
  """",
  ROUND(
    IF(
      L106="""",
      K106,
      IF(
        ISERROR(FIND(""-"",L106)),
        K106 - VALUE(REGEXEXTRACT(L106,""(\d+)"")),
        K106 * (1 - VALUE(REGEXEXTRACT(L106,""(\d+)""))/100)
      )
    ),
    2
  )
)"&amp;"
")," ")</f>
        <v/>
      </c>
      <c r="N106" s="116"/>
      <c r="O106" s="118" t="b">
        <v>0</v>
      </c>
      <c r="P106" s="179"/>
      <c r="Q106" s="120"/>
      <c r="R106" s="121" t="b">
        <v>0</v>
      </c>
      <c r="S106" s="121" t="b">
        <v>0</v>
      </c>
      <c r="T106" s="122" t="b">
        <v>0</v>
      </c>
    </row>
    <row r="107" outlineLevel="1">
      <c r="A107" s="131"/>
      <c r="B107" s="131"/>
      <c r="C107" s="123"/>
      <c r="D107" s="116"/>
      <c r="E107" s="116"/>
      <c r="F107" s="124"/>
      <c r="G107" s="124"/>
      <c r="H107" s="124"/>
      <c r="I107" s="124"/>
      <c r="J107" s="125"/>
      <c r="K107" s="180"/>
      <c r="L107" s="131"/>
      <c r="M107" s="178" t="str">
        <f>IFERROR(__xludf.DUMMYFUNCTION("IF(
  K107="""",
  """",
  ROUND(
    IF(
      L107="""",
      K107,
      IF(
        ISERROR(FIND(""-"",L107)),
        K107 - VALUE(REGEXEXTRACT(L107,""(\d+)"")),
        K107 * (1 - VALUE(REGEXEXTRACT(L107,""(\d+)""))/100)
      )
    ),
    2
  )
)"&amp;"
")," ")</f>
        <v/>
      </c>
      <c r="N107" s="131"/>
      <c r="O107" s="118" t="b">
        <v>0</v>
      </c>
      <c r="P107" s="179"/>
      <c r="Q107" s="149"/>
      <c r="R107" s="121" t="b">
        <v>0</v>
      </c>
      <c r="S107" s="121" t="b">
        <v>0</v>
      </c>
      <c r="T107" s="122" t="b">
        <v>0</v>
      </c>
    </row>
    <row r="108" outlineLevel="1">
      <c r="A108" s="116"/>
      <c r="B108" s="116"/>
      <c r="C108" s="112"/>
      <c r="D108" s="116"/>
      <c r="E108" s="116"/>
      <c r="F108" s="111"/>
      <c r="G108" s="111"/>
      <c r="H108" s="111"/>
      <c r="I108" s="111"/>
      <c r="J108" s="126"/>
      <c r="K108" s="177"/>
      <c r="L108" s="116"/>
      <c r="M108" s="178" t="str">
        <f>IFERROR(__xludf.DUMMYFUNCTION("IF(
  K108="""",
  """",
  ROUND(
    IF(
      L108="""",
      K108,
      IF(
        ISERROR(FIND(""-"",L108)),
        K108 - VALUE(REGEXEXTRACT(L108,""(\d+)"")),
        K108 * (1 - VALUE(REGEXEXTRACT(L108,""(\d+)""))/100)
      )
    ),
    2
  )
)"&amp;"
")," ")</f>
        <v/>
      </c>
      <c r="N108" s="116"/>
      <c r="O108" s="118" t="b">
        <v>0</v>
      </c>
      <c r="P108" s="179"/>
      <c r="Q108" s="120"/>
      <c r="R108" s="121" t="b">
        <v>0</v>
      </c>
      <c r="S108" s="121" t="b">
        <v>0</v>
      </c>
      <c r="T108" s="122" t="b">
        <v>0</v>
      </c>
    </row>
    <row r="109" outlineLevel="1">
      <c r="A109" s="116"/>
      <c r="B109" s="116"/>
      <c r="C109" s="112"/>
      <c r="D109" s="157"/>
      <c r="E109" s="157"/>
      <c r="F109" s="111"/>
      <c r="G109" s="111"/>
      <c r="H109" s="111"/>
      <c r="I109" s="111"/>
      <c r="J109" s="126"/>
      <c r="K109" s="177"/>
      <c r="L109" s="116"/>
      <c r="M109" s="178" t="str">
        <f>IFERROR(__xludf.DUMMYFUNCTION("IF(
  K109="""",
  """",
  ROUND(
    IF(
      L109="""",
      K109,
      IF(
        ISERROR(FIND(""-"",L109)),
        K109 - VALUE(REGEXEXTRACT(L109,""(\d+)"")),
        K109 * (1 - VALUE(REGEXEXTRACT(L109,""(\d+)""))/100)
      )
    ),
    2
  )
)"&amp;"
")," ")</f>
        <v/>
      </c>
      <c r="N109" s="116"/>
      <c r="O109" s="118" t="b">
        <v>0</v>
      </c>
      <c r="P109" s="179"/>
      <c r="Q109" s="120"/>
      <c r="R109" s="121" t="b">
        <v>0</v>
      </c>
      <c r="S109" s="121" t="b">
        <v>0</v>
      </c>
      <c r="T109" s="122" t="b">
        <v>0</v>
      </c>
    </row>
    <row r="110" outlineLevel="1">
      <c r="A110" s="116"/>
      <c r="B110" s="116"/>
      <c r="C110" s="112"/>
      <c r="D110" s="116"/>
      <c r="E110" s="116"/>
      <c r="F110" s="111"/>
      <c r="G110" s="111"/>
      <c r="H110" s="111"/>
      <c r="I110" s="111"/>
      <c r="J110" s="114"/>
      <c r="K110" s="177"/>
      <c r="L110" s="116"/>
      <c r="M110" s="178" t="str">
        <f>IFERROR(__xludf.DUMMYFUNCTION("IF(
  K110="""",
  """",
  ROUND(
    IF(
      L110="""",
      K110,
      IF(
        ISERROR(FIND(""-"",L110)),
        K110 - VALUE(REGEXEXTRACT(L110,""(\d+)"")),
        K110 * (1 - VALUE(REGEXEXTRACT(L110,""(\d+)""))/100)
      )
    ),
    2
  )
)"&amp;"
")," ")</f>
        <v/>
      </c>
      <c r="N110" s="116"/>
      <c r="O110" s="118" t="b">
        <v>0</v>
      </c>
      <c r="P110" s="179"/>
      <c r="Q110" s="120"/>
      <c r="R110" s="121" t="b">
        <v>0</v>
      </c>
      <c r="S110" s="121" t="b">
        <v>0</v>
      </c>
      <c r="T110" s="122" t="b">
        <v>0</v>
      </c>
    </row>
    <row r="111" outlineLevel="1">
      <c r="A111" s="116"/>
      <c r="B111" s="116"/>
      <c r="C111" s="112"/>
      <c r="D111" s="116"/>
      <c r="E111" s="116"/>
      <c r="F111" s="111"/>
      <c r="G111" s="111"/>
      <c r="H111" s="111"/>
      <c r="I111" s="111"/>
      <c r="J111" s="114"/>
      <c r="K111" s="177"/>
      <c r="L111" s="116"/>
      <c r="M111" s="178" t="str">
        <f>IFERROR(__xludf.DUMMYFUNCTION("IF(
  K111="""",
  """",
  ROUND(
    IF(
      L111="""",
      K111,
      IF(
        ISERROR(FIND(""-"",L111)),
        K111 - VALUE(REGEXEXTRACT(L111,""(\d+)"")),
        K111 * (1 - VALUE(REGEXEXTRACT(L111,""(\d+)""))/100)
      )
    ),
    2
  )
)"&amp;"
")," ")</f>
        <v/>
      </c>
      <c r="N111" s="116"/>
      <c r="O111" s="118" t="b">
        <v>0</v>
      </c>
      <c r="P111" s="179"/>
      <c r="Q111" s="120"/>
      <c r="R111" s="121" t="b">
        <v>0</v>
      </c>
      <c r="S111" s="121" t="b">
        <v>0</v>
      </c>
      <c r="T111" s="122" t="b">
        <v>0</v>
      </c>
    </row>
    <row r="112" outlineLevel="1">
      <c r="A112" s="116"/>
      <c r="B112" s="116"/>
      <c r="C112" s="112"/>
      <c r="D112" s="157"/>
      <c r="E112" s="157"/>
      <c r="F112" s="111"/>
      <c r="G112" s="111"/>
      <c r="H112" s="111"/>
      <c r="I112" s="111"/>
      <c r="J112" s="114"/>
      <c r="K112" s="177"/>
      <c r="L112" s="116"/>
      <c r="M112" s="178" t="str">
        <f>IFERROR(__xludf.DUMMYFUNCTION("IF(
  K112="""",
  """",
  ROUND(
    IF(
      L112="""",
      K112,
      IF(
        ISERROR(FIND(""-"",L112)),
        K112 - VALUE(REGEXEXTRACT(L112,""(\d+)"")),
        K112 * (1 - VALUE(REGEXEXTRACT(L112,""(\d+)""))/100)
      )
    ),
    2
  )
)"&amp;"
")," ")</f>
        <v/>
      </c>
      <c r="N112" s="116"/>
      <c r="O112" s="118" t="b">
        <v>0</v>
      </c>
      <c r="P112" s="179"/>
      <c r="Q112" s="120"/>
      <c r="R112" s="121" t="b">
        <v>0</v>
      </c>
      <c r="S112" s="121" t="b">
        <v>0</v>
      </c>
      <c r="T112" s="122" t="b">
        <v>0</v>
      </c>
    </row>
    <row r="113"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outlineLevel="1">
      <c r="A145" s="116"/>
      <c r="B145" s="116"/>
      <c r="C145" s="129"/>
      <c r="D145" s="157"/>
      <c r="E145" s="157"/>
      <c r="F145" s="116"/>
      <c r="G145" s="116"/>
      <c r="H145" s="116"/>
      <c r="I145" s="116"/>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outlineLevel="1">
      <c r="A146" s="116"/>
      <c r="B146" s="116"/>
      <c r="C146" s="185"/>
      <c r="D146" s="116"/>
      <c r="E146" s="116"/>
      <c r="F146" s="116"/>
      <c r="G146" s="116"/>
      <c r="H146" s="116"/>
      <c r="I146" s="116"/>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outlineLevel="1">
      <c r="A147" s="116"/>
      <c r="B147" s="116"/>
      <c r="C147" s="185"/>
      <c r="D147" s="116"/>
      <c r="E147" s="116"/>
      <c r="F147" s="116"/>
      <c r="G147" s="116"/>
      <c r="H147" s="116"/>
      <c r="I147" s="116"/>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outlineLevel="1">
      <c r="A148" s="116"/>
      <c r="B148" s="116"/>
      <c r="C148" s="185"/>
      <c r="D148" s="157"/>
      <c r="E148" s="157"/>
      <c r="F148" s="116"/>
      <c r="G148" s="116"/>
      <c r="H148" s="116"/>
      <c r="I148" s="116"/>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outlineLevel="1">
      <c r="A149" s="116"/>
      <c r="B149" s="116"/>
      <c r="C149" s="185"/>
      <c r="D149" s="116"/>
      <c r="E149" s="116"/>
      <c r="F149" s="116"/>
      <c r="G149" s="116"/>
      <c r="H149" s="116"/>
      <c r="I149" s="116"/>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outlineLevel="1">
      <c r="A150" s="116"/>
      <c r="B150" s="116"/>
      <c r="C150" s="185"/>
      <c r="D150" s="116"/>
      <c r="E150" s="116"/>
      <c r="F150" s="116"/>
      <c r="G150" s="116"/>
      <c r="H150" s="116"/>
      <c r="I150" s="116"/>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outlineLevel="1">
      <c r="A151" s="116"/>
      <c r="B151" s="116"/>
      <c r="C151" s="185"/>
      <c r="D151" s="157"/>
      <c r="E151" s="157"/>
      <c r="F151" s="116"/>
      <c r="G151" s="116"/>
      <c r="H151" s="116"/>
      <c r="I151" s="116"/>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outlineLevel="1">
      <c r="A152" s="116"/>
      <c r="B152" s="116"/>
      <c r="C152" s="185"/>
      <c r="D152" s="116"/>
      <c r="E152" s="116"/>
      <c r="F152" s="116"/>
      <c r="G152" s="116"/>
      <c r="H152" s="116"/>
      <c r="I152" s="116"/>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outlineLevel="1">
      <c r="A153" s="116"/>
      <c r="B153" s="116"/>
      <c r="C153" s="185"/>
      <c r="D153" s="116"/>
      <c r="E153" s="116"/>
      <c r="F153" s="116"/>
      <c r="G153" s="116"/>
      <c r="H153" s="116"/>
      <c r="I153" s="116"/>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outlineLevel="1">
      <c r="A154" s="116"/>
      <c r="B154" s="116"/>
      <c r="C154" s="185"/>
      <c r="D154" s="157"/>
      <c r="E154" s="157"/>
      <c r="F154" s="116"/>
      <c r="G154" s="116"/>
      <c r="H154" s="116"/>
      <c r="I154" s="116"/>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outlineLevel="1">
      <c r="A155" s="116"/>
      <c r="B155" s="116"/>
      <c r="C155" s="185"/>
      <c r="D155" s="116"/>
      <c r="E155" s="116"/>
      <c r="F155" s="116"/>
      <c r="G155" s="116"/>
      <c r="H155" s="116"/>
      <c r="I155" s="116"/>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outlineLevel="1">
      <c r="A156" s="116"/>
      <c r="B156" s="116"/>
      <c r="C156" s="186"/>
      <c r="D156" s="116"/>
      <c r="E156" s="116"/>
      <c r="F156" s="156"/>
      <c r="G156" s="157"/>
      <c r="H156" s="116"/>
      <c r="I156" s="116"/>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outlineLevel="1">
      <c r="A157" s="116"/>
      <c r="B157" s="116"/>
      <c r="C157" s="186"/>
      <c r="D157" s="157"/>
      <c r="E157" s="157"/>
      <c r="F157" s="187"/>
      <c r="G157" s="188"/>
      <c r="H157" s="116"/>
      <c r="I157" s="116"/>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outlineLevel="1">
      <c r="A158" s="131"/>
      <c r="B158" s="131"/>
      <c r="C158" s="130"/>
      <c r="D158" s="116"/>
      <c r="E158" s="116"/>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outlineLevel="1">
      <c r="A159" s="131"/>
      <c r="B159" s="131"/>
      <c r="C159" s="130"/>
      <c r="D159" s="116"/>
      <c r="E159" s="116"/>
      <c r="F159" s="131"/>
      <c r="G159" s="131"/>
      <c r="H159" s="131"/>
      <c r="I159" s="183"/>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outlineLevel="1">
      <c r="A160" s="131"/>
      <c r="B160" s="116"/>
      <c r="C160" s="130"/>
      <c r="D160" s="157"/>
      <c r="E160" s="157"/>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90">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50"/>
      <c r="H172" s="117"/>
      <c r="I172" s="168"/>
      <c r="J172" s="150"/>
      <c r="K172" s="117"/>
      <c r="L172" s="117"/>
      <c r="M172" s="191"/>
      <c r="N172" s="191"/>
      <c r="O172" s="191"/>
      <c r="P172" s="174"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t="str">
        <f t="shared" ref="F174:O174" si="14">IF(
  F$172="",
  "",
  SUMIFS($M$91:$M$170,$B$91:$B$170,"*SEDE*",$M$91:$M$170,F$172)
)
</f>
        <v/>
      </c>
      <c r="G174" s="193" t="str">
        <f t="shared" si="14"/>
        <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94" t="s">
        <v>124</v>
      </c>
      <c r="F176" s="195" t="str">
        <f t="shared" ref="F176:O176" si="16">IF(
  F$172="",
  "",
  SUMIFS($M$91:$M$170,$B$91:$B$170,"*ONLINE*",$M$91:$M$170,F$172)
)
</f>
        <v/>
      </c>
      <c r="G176" s="195" t="str">
        <f t="shared" si="16"/>
        <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3</v>
      </c>
      <c r="D177" s="199" t="s">
        <v>128</v>
      </c>
      <c r="E177" s="200" t="s">
        <v>129</v>
      </c>
      <c r="F177" s="201">
        <f>IFERROR(__xludf.DUMMYFUNCTION("IFERROR(
  TRANSPOSE(
    SORT(
      UNIQUE(
        FILTER(
          {$M$4:$M$83;$M$91:$M$170},
          {$M$4:$M$83;$M$91:$M$170}&lt;&gt;""""
        )
      )
    )
  ),
  """"
)
"),20.0)</f>
        <v>20</v>
      </c>
      <c r="G177" s="201">
        <f>IFERROR(__xludf.DUMMYFUNCTION("""COMPUTED_VALUE"""),22.0)</f>
        <v>22</v>
      </c>
      <c r="H177" s="201">
        <f>IFERROR(__xludf.DUMMYFUNCTION("""COMPUTED_VALUE"""),25.0)</f>
        <v>25</v>
      </c>
      <c r="I177" s="201">
        <f>IFERROR(__xludf.DUMMYFUNCTION("""COMPUTED_VALUE"""),27.0)</f>
        <v>27</v>
      </c>
      <c r="J177" s="201"/>
      <c r="K177" s="201"/>
      <c r="L177" s="202"/>
      <c r="M177" s="201"/>
      <c r="N177" s="201"/>
      <c r="O177" s="201"/>
      <c r="P177" s="203" t="s">
        <v>127</v>
      </c>
      <c r="Q177" s="204">
        <f>IF(SUM(F179:O179)=0,"",SUM(F179:O179))
</f>
        <v>67</v>
      </c>
      <c r="R177" s="205" t="s">
        <v>130</v>
      </c>
      <c r="S177" s="206">
        <f>IF(SUM(Q177,Q180)=0,"",SUM(Q177,Q180))
</f>
        <v>896</v>
      </c>
      <c r="T177" s="207"/>
    </row>
    <row r="178">
      <c r="A178" s="208" t="s">
        <v>131</v>
      </c>
      <c r="B178" s="209">
        <f t="shared" si="17"/>
        <v>38</v>
      </c>
      <c r="D178" s="210"/>
      <c r="E178" s="211" t="s">
        <v>132</v>
      </c>
      <c r="F178" s="212" t="str">
        <f t="shared" ref="F178:O178" si="18">IF(
  F$177="",
  "",
  COUNTIFS($B$4:$B$170,"*SEDE*",$M$4:$M$170,F$177) &amp; " da €" &amp; F$177
)
</f>
        <v>2 da €20</v>
      </c>
      <c r="G178" s="212" t="str">
        <f t="shared" si="18"/>
        <v>0 da €22</v>
      </c>
      <c r="H178" s="212" t="str">
        <f t="shared" si="18"/>
        <v>0 da €25</v>
      </c>
      <c r="I178" s="212" t="str">
        <f t="shared" si="18"/>
        <v>1 da €27</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41</v>
      </c>
      <c r="D179" s="210"/>
      <c r="E179" s="215" t="s">
        <v>122</v>
      </c>
      <c r="F179" s="216">
        <f t="shared" ref="F179:O179" si="19">IF(
  F$177="",
  "",
  SUMIFS($M$4:$M$170,$B$4:$B$170,"*SEDE*",$M$4:$M$170,F$177)
)
</f>
        <v>40</v>
      </c>
      <c r="G179" s="216">
        <f t="shared" si="19"/>
        <v>0</v>
      </c>
      <c r="H179" s="216">
        <f t="shared" si="19"/>
        <v>0</v>
      </c>
      <c r="I179" s="216">
        <f t="shared" si="19"/>
        <v>27</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21</v>
      </c>
      <c r="D180" s="210"/>
      <c r="E180" s="211" t="s">
        <v>135</v>
      </c>
      <c r="F180" s="211" t="str">
        <f t="shared" ref="F180:O180" si="20">IF(
  F$177="",
  "",
  COUNTIFS($B$4:$B$170,"*ONLINE*",$M$4:$M$170,F$177) &amp; " da €" &amp; F$177
)
</f>
        <v>19 da €20</v>
      </c>
      <c r="G180" s="211" t="str">
        <f t="shared" si="20"/>
        <v>12 da €22</v>
      </c>
      <c r="H180" s="211" t="str">
        <f t="shared" si="20"/>
        <v>2 da €25</v>
      </c>
      <c r="I180" s="211" t="str">
        <f t="shared" si="20"/>
        <v>5 da €27</v>
      </c>
      <c r="J180" s="211" t="str">
        <f t="shared" si="20"/>
        <v/>
      </c>
      <c r="K180" s="211" t="str">
        <f t="shared" si="20"/>
        <v/>
      </c>
      <c r="L180" s="211" t="str">
        <f t="shared" si="20"/>
        <v/>
      </c>
      <c r="M180" s="211" t="str">
        <f t="shared" si="20"/>
        <v/>
      </c>
      <c r="N180" s="211" t="str">
        <f t="shared" si="20"/>
        <v/>
      </c>
      <c r="O180" s="211" t="str">
        <f t="shared" si="20"/>
        <v/>
      </c>
      <c r="P180" s="203" t="s">
        <v>131</v>
      </c>
      <c r="Q180" s="218">
        <f>IF(SUM(F181:O181)=0,"",SUM(F181:O181))
</f>
        <v>829</v>
      </c>
    </row>
    <row r="181">
      <c r="A181" s="219" t="s">
        <v>136</v>
      </c>
      <c r="B181" s="220">
        <f>COUNTIF(N4:N170,"*TESSERATO*")-COUNTIF(N4:N170,"*NON TESSERATO*")</f>
        <v>20</v>
      </c>
      <c r="D181" s="221"/>
      <c r="E181" s="222" t="s">
        <v>124</v>
      </c>
      <c r="F181" s="223">
        <f t="shared" ref="F181:O181" si="21">IF(
  F$177="",
  "",
  SUMIFS($M$4:$M$170,$B$4:$B$170,"*ONLINE*",$M$4:$M$170,F$177)
)
</f>
        <v>380</v>
      </c>
      <c r="G181" s="223">
        <f t="shared" si="21"/>
        <v>264</v>
      </c>
      <c r="H181" s="223">
        <f t="shared" si="21"/>
        <v>50</v>
      </c>
      <c r="I181" s="223">
        <f t="shared" si="21"/>
        <v>135</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formula1>"CASH - TESSERATO,CASH - NON TESSERATO,DIGIT - TESSERATO,DIGIT - NON TESSERATO"</formula1>
    </dataValidation>
    <dataValidation type="custom" allowBlank="1" showDropDown="1" showInputMessage="1" showErrorMessage="1" prompt="Immetti un valore che soddisfi la formula: =REGEXMATCH(TO_TEXT(J3); &quot;^[^@\s]+@[^@\s]+\.[^@\s]+$&quot;)" sqref="I8">
      <formula1>REGEXMATCH(TO_TEXT(I8), "^[^@\s]+@[^@\s]+\.[^@\s]+$")</formula1>
    </dataValidation>
    <dataValidation type="list" allowBlank="1" showErrorMessage="1" sqref="L4:L83 L91:L170">
      <formula1>"NURA02WS,GIUDITTA02WS,ALEXANDRA02WS,ESTEFANY02WS,JOEL02WS,MASSI02WS,SANTO02WS,SARA02WS,OMAGGIO-100WS"</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70">
      <formula1>elenchi!$M$2:$M$100</formula1>
    </dataValidation>
    <dataValidation type="list" allowBlank="1" sqref="Q4:Q83 Q91:Q170">
      <formula1>"INSERITO,CELL,EMAIL,COD FISCALE,INDIRIZZO"</formula1>
    </dataValidation>
    <dataValidation type="custom" allowBlank="1" showDropDown="1" showInputMessage="1" prompt="Immetti una data valida" sqref="C4:C83 J4:J83 C91:C170 J91:J170">
      <formula1>OR(NOT(ISERROR(DATEVALUE(C4))), AND(ISNUMBER(C4), LEFT(CELL("format", C4))="D"))</formula1>
    </dataValidation>
  </dataValidations>
  <hyperlinks>
    <hyperlink r:id="rId2" location="gid=555335760" ref="C1"/>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1" t="s">
        <v>622</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 r="A3" s="110"/>
      <c r="B3" s="110"/>
      <c r="C3" s="110" t="s">
        <v>623</v>
      </c>
    </row>
    <row r="4" outlineLevel="1">
      <c r="A4" s="111" t="s">
        <v>611</v>
      </c>
      <c r="B4" s="111" t="s">
        <v>74</v>
      </c>
      <c r="C4" s="112">
        <v>46006.0</v>
      </c>
      <c r="D4" s="111" t="s">
        <v>554</v>
      </c>
      <c r="E4" s="111" t="s">
        <v>555</v>
      </c>
      <c r="F4" s="111" t="s">
        <v>556</v>
      </c>
      <c r="G4" s="111">
        <v>3.317286206E9</v>
      </c>
      <c r="H4" s="111" t="s">
        <v>557</v>
      </c>
      <c r="I4" s="111" t="s">
        <v>558</v>
      </c>
      <c r="J4" s="224">
        <v>46006.0</v>
      </c>
      <c r="K4" s="115">
        <v>45.0</v>
      </c>
      <c r="L4" s="116"/>
      <c r="M4" s="117">
        <f>IFERROR(__xludf.DUMMYFUNCTION("IF(
  K4="""",
  """",
  ROUND(
    IF(
      L4="""",
      K4,
      IF(
        ISERROR(FIND(""-"",L4)),
        K4 - VALUE(REGEXEXTRACT(L4,""(\d+)"")),
        K4 * (1 - VALUE(REGEXEXTRACT(L4,""(\d+)""))/100)
      )
    ),
    2
  )
)
"),45.0)</f>
        <v>45</v>
      </c>
      <c r="N4" s="111" t="s">
        <v>100</v>
      </c>
      <c r="O4" s="118" t="b">
        <v>1</v>
      </c>
      <c r="P4" s="119"/>
      <c r="Q4" s="120" t="s">
        <v>81</v>
      </c>
      <c r="R4" s="121" t="b">
        <v>1</v>
      </c>
      <c r="S4" s="121" t="b">
        <v>0</v>
      </c>
      <c r="T4" s="122" t="b">
        <v>1</v>
      </c>
    </row>
    <row r="5" outlineLevel="1">
      <c r="A5" s="111" t="s">
        <v>611</v>
      </c>
      <c r="B5" s="111" t="s">
        <v>74</v>
      </c>
      <c r="C5" s="112">
        <v>46007.0</v>
      </c>
      <c r="D5" s="111"/>
      <c r="E5" s="111" t="s">
        <v>624</v>
      </c>
      <c r="F5" s="111" t="s">
        <v>76</v>
      </c>
      <c r="G5" s="111">
        <v>3.49729414E9</v>
      </c>
      <c r="H5" s="111" t="s">
        <v>625</v>
      </c>
      <c r="I5" s="111" t="s">
        <v>626</v>
      </c>
      <c r="J5" s="126">
        <v>46007.0</v>
      </c>
      <c r="K5" s="115">
        <v>45.0</v>
      </c>
      <c r="L5" s="116"/>
      <c r="M5" s="117">
        <f>IFERROR(__xludf.DUMMYFUNCTION("IF(
  K5="""",
  """",
  ROUND(
    IF(
      L5="""",
      K5,
      IF(
        ISERROR(FIND(""-"",L5)),
        K5 - VALUE(REGEXEXTRACT(L5,""(\d+)"")),
        K5 * (1 - VALUE(REGEXEXTRACT(L5,""(\d+)""))/100)
      )
    ),
    2
  )
)
"),45.0)</f>
        <v>45</v>
      </c>
      <c r="N5" s="111" t="s">
        <v>80</v>
      </c>
      <c r="O5" s="118" t="b">
        <v>1</v>
      </c>
      <c r="P5" s="119"/>
      <c r="Q5" s="120" t="s">
        <v>81</v>
      </c>
      <c r="R5" s="121" t="b">
        <v>0</v>
      </c>
      <c r="S5" s="121" t="b">
        <v>1</v>
      </c>
      <c r="T5" s="122" t="b">
        <v>1</v>
      </c>
    </row>
    <row r="6" outlineLevel="1">
      <c r="A6" s="111" t="s">
        <v>611</v>
      </c>
      <c r="B6" s="111" t="s">
        <v>74</v>
      </c>
      <c r="C6" s="112">
        <v>46007.0</v>
      </c>
      <c r="D6" s="111" t="s">
        <v>627</v>
      </c>
      <c r="E6" s="111" t="s">
        <v>208</v>
      </c>
      <c r="F6" s="111" t="s">
        <v>628</v>
      </c>
      <c r="G6" s="111">
        <v>3.801039339E9</v>
      </c>
      <c r="H6" s="111" t="s">
        <v>210</v>
      </c>
      <c r="I6" s="111" t="s">
        <v>211</v>
      </c>
      <c r="J6" s="126">
        <v>46007.0</v>
      </c>
      <c r="K6" s="115">
        <v>45.0</v>
      </c>
      <c r="L6" s="116" t="s">
        <v>106</v>
      </c>
      <c r="M6" s="117">
        <f>IFERROR(__xludf.DUMMYFUNCTION("IF(
  K6="""",
  """",
  ROUND(
    IF(
      L6="""",
      K6,
      IF(
        ISERROR(FIND(""-"",L6)),
        K6 - VALUE(REGEXEXTRACT(L6,""(\d+)"")),
        K6 * (1 - VALUE(REGEXEXTRACT(L6,""(\d+)""))/100)
      )
    ),
    2
  )
)
"),43.0)</f>
        <v>43</v>
      </c>
      <c r="N6" s="111" t="s">
        <v>100</v>
      </c>
      <c r="O6" s="118" t="b">
        <v>1</v>
      </c>
      <c r="P6" s="119"/>
      <c r="Q6" s="120" t="s">
        <v>81</v>
      </c>
      <c r="R6" s="121" t="b">
        <v>1</v>
      </c>
      <c r="S6" s="121" t="b">
        <v>0</v>
      </c>
      <c r="T6" s="122" t="b">
        <v>1</v>
      </c>
    </row>
    <row r="7" outlineLevel="1">
      <c r="A7" s="111" t="s">
        <v>611</v>
      </c>
      <c r="B7" s="111" t="s">
        <v>74</v>
      </c>
      <c r="C7" s="112">
        <v>46008.0</v>
      </c>
      <c r="D7" s="111" t="s">
        <v>629</v>
      </c>
      <c r="E7" s="111" t="s">
        <v>95</v>
      </c>
      <c r="F7" s="111" t="s">
        <v>96</v>
      </c>
      <c r="G7" s="111">
        <v>3.517240804E9</v>
      </c>
      <c r="H7" s="111" t="s">
        <v>97</v>
      </c>
      <c r="I7" s="111" t="s">
        <v>98</v>
      </c>
      <c r="J7" s="126">
        <v>46008.0</v>
      </c>
      <c r="K7" s="115">
        <v>45.0</v>
      </c>
      <c r="L7" s="116" t="s">
        <v>394</v>
      </c>
      <c r="M7" s="117">
        <f>IFERROR(__xludf.DUMMYFUNCTION("IF(
  K7="""",
  """",
  ROUND(
    IF(
      L7="""",
      K7,
      IF(
        ISERROR(FIND(""-"",L7)),
        K7 - VALUE(REGEXEXTRACT(L7,""(\d+)"")),
        K7 * (1 - VALUE(REGEXEXTRACT(L7,""(\d+)""))/100)
      )
    ),
    2
  )
)
"),43.0)</f>
        <v>43</v>
      </c>
      <c r="N7" s="111" t="s">
        <v>100</v>
      </c>
      <c r="O7" s="118" t="b">
        <v>1</v>
      </c>
      <c r="P7" s="119"/>
      <c r="Q7" s="120" t="s">
        <v>81</v>
      </c>
      <c r="R7" s="121" t="b">
        <v>1</v>
      </c>
      <c r="S7" s="121" t="b">
        <v>0</v>
      </c>
      <c r="T7" s="122" t="b">
        <v>1</v>
      </c>
    </row>
    <row r="8" outlineLevel="1">
      <c r="A8" s="111" t="s">
        <v>611</v>
      </c>
      <c r="B8" s="111" t="s">
        <v>74</v>
      </c>
      <c r="C8" s="112">
        <v>46008.0</v>
      </c>
      <c r="D8" s="111"/>
      <c r="E8" s="111" t="s">
        <v>630</v>
      </c>
      <c r="F8" s="111" t="s">
        <v>236</v>
      </c>
      <c r="G8" s="111">
        <v>3.498232734E9</v>
      </c>
      <c r="H8" s="111" t="s">
        <v>631</v>
      </c>
      <c r="I8" s="111" t="s">
        <v>632</v>
      </c>
      <c r="J8" s="126">
        <v>46008.0</v>
      </c>
      <c r="K8" s="115">
        <v>45.0</v>
      </c>
      <c r="L8" s="116" t="s">
        <v>106</v>
      </c>
      <c r="M8" s="117">
        <f>IFERROR(__xludf.DUMMYFUNCTION("IF(
  K8="""",
  """",
  ROUND(
    IF(
      L8="""",
      K8,
      IF(
        ISERROR(FIND(""-"",L8)),
        K8 - VALUE(REGEXEXTRACT(L8,""(\d+)"")),
        K8 * (1 - VALUE(REGEXEXTRACT(L8,""(\d+)""))/100)
      )
    ),
    2
  )
)
"),43.0)</f>
        <v>43</v>
      </c>
      <c r="N8" s="111" t="s">
        <v>80</v>
      </c>
      <c r="O8" s="118" t="b">
        <v>1</v>
      </c>
      <c r="P8" s="119"/>
      <c r="Q8" s="120" t="s">
        <v>81</v>
      </c>
      <c r="R8" s="121" t="b">
        <v>0</v>
      </c>
      <c r="S8" s="121" t="b">
        <v>1</v>
      </c>
      <c r="T8" s="122" t="b">
        <v>1</v>
      </c>
    </row>
    <row r="9" outlineLevel="1">
      <c r="A9" s="111" t="s">
        <v>101</v>
      </c>
      <c r="B9" s="111" t="s">
        <v>102</v>
      </c>
      <c r="C9" s="112">
        <v>46006.0</v>
      </c>
      <c r="D9" s="111" t="s">
        <v>633</v>
      </c>
      <c r="E9" s="111" t="s">
        <v>634</v>
      </c>
      <c r="F9" s="111" t="s">
        <v>635</v>
      </c>
      <c r="G9" s="111">
        <v>3.738832549E9</v>
      </c>
      <c r="H9" s="111" t="s">
        <v>636</v>
      </c>
      <c r="I9" s="111" t="s">
        <v>637</v>
      </c>
      <c r="J9" s="112">
        <v>46006.0</v>
      </c>
      <c r="K9" s="115">
        <v>45.0</v>
      </c>
      <c r="L9" s="116" t="s">
        <v>106</v>
      </c>
      <c r="M9" s="117">
        <f>IFERROR(__xludf.DUMMYFUNCTION("IF(
  K9="""",
  """",
  ROUND(
    IF(
      L9="""",
      K9,
      IF(
        ISERROR(FIND(""-"",L9)),
        K9 - VALUE(REGEXEXTRACT(L9,""(\d+)"")),
        K9 * (1 - VALUE(REGEXEXTRACT(L9,""(\d+)""))/100)
      )
    ),
    2
  )
)
"),43.0)</f>
        <v>43</v>
      </c>
      <c r="N9" s="111" t="s">
        <v>100</v>
      </c>
      <c r="O9" s="118" t="b">
        <v>1</v>
      </c>
      <c r="P9" s="119"/>
      <c r="Q9" s="120" t="s">
        <v>81</v>
      </c>
      <c r="R9" s="121" t="b">
        <v>1</v>
      </c>
      <c r="S9" s="121" t="b">
        <v>0</v>
      </c>
      <c r="T9" s="122" t="b">
        <v>1</v>
      </c>
    </row>
    <row r="10" outlineLevel="1">
      <c r="A10" s="111" t="s">
        <v>101</v>
      </c>
      <c r="B10" s="111" t="s">
        <v>74</v>
      </c>
      <c r="C10" s="112">
        <v>46008.0</v>
      </c>
      <c r="D10" s="111"/>
      <c r="E10" s="111" t="s">
        <v>638</v>
      </c>
      <c r="F10" s="111" t="s">
        <v>87</v>
      </c>
      <c r="G10" s="111">
        <v>3.492394869E9</v>
      </c>
      <c r="H10" s="128" t="s">
        <v>639</v>
      </c>
      <c r="I10" s="111" t="s">
        <v>640</v>
      </c>
      <c r="J10" s="126">
        <v>46013.0</v>
      </c>
      <c r="K10" s="115">
        <v>45.0</v>
      </c>
      <c r="L10" s="116" t="s">
        <v>106</v>
      </c>
      <c r="M10" s="117">
        <f>IFERROR(__xludf.DUMMYFUNCTION("IF(
  K10="""",
  """",
  ROUND(
    IF(
      L10="""",
      K10,
      IF(
        ISERROR(FIND(""-"",L10)),
        K10 - VALUE(REGEXEXTRACT(L10,""(\d+)"")),
        K10 * (1 - VALUE(REGEXEXTRACT(L10,""(\d+)""))/100)
      )
    ),
    2
  )
)
"),43.0)</f>
        <v>43</v>
      </c>
      <c r="N10" s="111"/>
      <c r="O10" s="118" t="b">
        <v>1</v>
      </c>
      <c r="P10" s="119" t="s">
        <v>641</v>
      </c>
      <c r="Q10" s="120"/>
      <c r="R10" s="121" t="b">
        <v>0</v>
      </c>
      <c r="S10" s="121" t="b">
        <v>1</v>
      </c>
      <c r="T10" s="122" t="b">
        <v>1</v>
      </c>
    </row>
    <row r="11" outlineLevel="1">
      <c r="A11" s="111" t="s">
        <v>101</v>
      </c>
      <c r="B11" s="111" t="s">
        <v>74</v>
      </c>
      <c r="C11" s="112">
        <v>46008.0</v>
      </c>
      <c r="D11" s="111"/>
      <c r="E11" s="111" t="s">
        <v>642</v>
      </c>
      <c r="F11" s="111" t="s">
        <v>643</v>
      </c>
      <c r="G11" s="111">
        <v>3.492394869E9</v>
      </c>
      <c r="H11" s="111" t="s">
        <v>644</v>
      </c>
      <c r="I11" s="111" t="s">
        <v>640</v>
      </c>
      <c r="J11" s="126">
        <v>46013.0</v>
      </c>
      <c r="K11" s="115">
        <v>45.0</v>
      </c>
      <c r="L11" s="116" t="s">
        <v>106</v>
      </c>
      <c r="M11" s="117">
        <f>IFERROR(__xludf.DUMMYFUNCTION("IF(
  K11="""",
  """",
  ROUND(
    IF(
      L11="""",
      K11,
      IF(
        ISERROR(FIND(""-"",L11)),
        K11 - VALUE(REGEXEXTRACT(L11,""(\d+)"")),
        K11 * (1 - VALUE(REGEXEXTRACT(L11,""(\d+)""))/100)
      )
    ),
    2
  )
)
"),43.0)</f>
        <v>43</v>
      </c>
      <c r="N11" s="111"/>
      <c r="O11" s="118" t="b">
        <v>1</v>
      </c>
      <c r="P11" s="119" t="s">
        <v>645</v>
      </c>
      <c r="Q11" s="120"/>
      <c r="R11" s="121" t="b">
        <v>0</v>
      </c>
      <c r="S11" s="121" t="b">
        <v>1</v>
      </c>
      <c r="T11" s="122" t="b">
        <v>1</v>
      </c>
    </row>
    <row r="12" outlineLevel="1">
      <c r="A12" s="111" t="s">
        <v>101</v>
      </c>
      <c r="B12" s="111" t="s">
        <v>74</v>
      </c>
      <c r="C12" s="112">
        <v>46008.0</v>
      </c>
      <c r="D12" s="111"/>
      <c r="E12" s="111" t="s">
        <v>646</v>
      </c>
      <c r="F12" s="111" t="s">
        <v>647</v>
      </c>
      <c r="G12" s="111">
        <v>3.492394869E9</v>
      </c>
      <c r="H12" s="111" t="s">
        <v>648</v>
      </c>
      <c r="I12" s="111" t="s">
        <v>640</v>
      </c>
      <c r="J12" s="126">
        <v>46013.0</v>
      </c>
      <c r="K12" s="115">
        <v>45.0</v>
      </c>
      <c r="L12" s="116" t="s">
        <v>106</v>
      </c>
      <c r="M12" s="117">
        <f>IFERROR(__xludf.DUMMYFUNCTION("IF(
  K12="""",
  """",
  ROUND(
    IF(
      L12="""",
      K12,
      IF(
        ISERROR(FIND(""-"",L12)),
        K12 - VALUE(REGEXEXTRACT(L12,""(\d+)"")),
        K12 * (1 - VALUE(REGEXEXTRACT(L12,""(\d+)""))/100)
      )
    ),
    2
  )
)
"),43.0)</f>
        <v>43</v>
      </c>
      <c r="N12" s="111"/>
      <c r="O12" s="118" t="b">
        <v>1</v>
      </c>
      <c r="P12" s="119" t="s">
        <v>645</v>
      </c>
      <c r="Q12" s="120"/>
      <c r="R12" s="121" t="b">
        <v>0</v>
      </c>
      <c r="S12" s="121" t="b">
        <v>1</v>
      </c>
      <c r="T12" s="122" t="b">
        <v>1</v>
      </c>
    </row>
    <row r="13" outlineLevel="1">
      <c r="A13" s="111" t="s">
        <v>101</v>
      </c>
      <c r="B13" s="111" t="s">
        <v>74</v>
      </c>
      <c r="C13" s="112">
        <v>46008.0</v>
      </c>
      <c r="D13" s="111"/>
      <c r="E13" s="111" t="s">
        <v>649</v>
      </c>
      <c r="F13" s="111" t="s">
        <v>650</v>
      </c>
      <c r="G13" s="111">
        <v>3.492394869E9</v>
      </c>
      <c r="H13" s="111" t="s">
        <v>651</v>
      </c>
      <c r="I13" s="111" t="s">
        <v>640</v>
      </c>
      <c r="J13" s="126">
        <v>46013.0</v>
      </c>
      <c r="K13" s="115">
        <v>45.0</v>
      </c>
      <c r="L13" s="116" t="s">
        <v>106</v>
      </c>
      <c r="M13" s="117">
        <f>IFERROR(__xludf.DUMMYFUNCTION("IF(
  K13="""",
  """",
  ROUND(
    IF(
      L13="""",
      K13,
      IF(
        ISERROR(FIND(""-"",L13)),
        K13 - VALUE(REGEXEXTRACT(L13,""(\d+)"")),
        K13 * (1 - VALUE(REGEXEXTRACT(L13,""(\d+)""))/100)
      )
    ),
    2
  )
)
"),43.0)</f>
        <v>43</v>
      </c>
      <c r="N13" s="111"/>
      <c r="O13" s="118" t="b">
        <v>1</v>
      </c>
      <c r="P13" s="119" t="s">
        <v>645</v>
      </c>
      <c r="Q13" s="120"/>
      <c r="R13" s="121" t="b">
        <v>0</v>
      </c>
      <c r="S13" s="121" t="b">
        <v>1</v>
      </c>
      <c r="T13" s="122" t="b">
        <v>1</v>
      </c>
    </row>
    <row r="14" outlineLevel="1">
      <c r="A14" s="116" t="s">
        <v>101</v>
      </c>
      <c r="B14" s="116" t="s">
        <v>74</v>
      </c>
      <c r="C14" s="129">
        <v>46008.0</v>
      </c>
      <c r="D14" s="111"/>
      <c r="E14" s="111" t="s">
        <v>652</v>
      </c>
      <c r="F14" s="116" t="s">
        <v>653</v>
      </c>
      <c r="G14" s="111">
        <v>3.492394869E9</v>
      </c>
      <c r="H14" s="116" t="s">
        <v>654</v>
      </c>
      <c r="I14" s="111" t="s">
        <v>640</v>
      </c>
      <c r="J14" s="135">
        <v>46013.0</v>
      </c>
      <c r="K14" s="115">
        <v>45.0</v>
      </c>
      <c r="L14" s="116" t="s">
        <v>106</v>
      </c>
      <c r="M14" s="117">
        <f>IFERROR(__xludf.DUMMYFUNCTION("IF(
  K14="""",
  """",
  ROUND(
    IF(
      L14="""",
      K14,
      IF(
        ISERROR(FIND(""-"",L14)),
        K14 - VALUE(REGEXEXTRACT(L14,""(\d+)"")),
        K14 * (1 - VALUE(REGEXEXTRACT(L14,""(\d+)""))/100)
      )
    ),
    2
  )
)
"),43.0)</f>
        <v>43</v>
      </c>
      <c r="N14" s="111"/>
      <c r="O14" s="118" t="b">
        <v>1</v>
      </c>
      <c r="P14" s="119" t="s">
        <v>645</v>
      </c>
      <c r="Q14" s="120"/>
      <c r="R14" s="121" t="b">
        <v>0</v>
      </c>
      <c r="S14" s="121" t="b">
        <v>1</v>
      </c>
      <c r="T14" s="122" t="b">
        <v>1</v>
      </c>
    </row>
    <row r="15" outlineLevel="1">
      <c r="A15" s="116" t="s">
        <v>101</v>
      </c>
      <c r="B15" s="116" t="s">
        <v>74</v>
      </c>
      <c r="C15" s="129">
        <v>46008.0</v>
      </c>
      <c r="D15" s="111"/>
      <c r="E15" s="111" t="s">
        <v>655</v>
      </c>
      <c r="F15" s="116" t="s">
        <v>180</v>
      </c>
      <c r="G15" s="111">
        <v>3.492394869E9</v>
      </c>
      <c r="H15" s="116" t="s">
        <v>656</v>
      </c>
      <c r="I15" s="111" t="s">
        <v>640</v>
      </c>
      <c r="J15" s="132">
        <v>46013.0</v>
      </c>
      <c r="K15" s="115">
        <v>45.0</v>
      </c>
      <c r="L15" s="116" t="s">
        <v>106</v>
      </c>
      <c r="M15" s="117">
        <f>IFERROR(__xludf.DUMMYFUNCTION("IF(
  K15="""",
  """",
  ROUND(
    IF(
      L15="""",
      K15,
      IF(
        ISERROR(FIND(""-"",L15)),
        K15 - VALUE(REGEXEXTRACT(L15,""(\d+)"")),
        K15 * (1 - VALUE(REGEXEXTRACT(L15,""(\d+)""))/100)
      )
    ),
    2
  )
)
"),43.0)</f>
        <v>43</v>
      </c>
      <c r="N15" s="111"/>
      <c r="O15" s="118" t="b">
        <v>1</v>
      </c>
      <c r="P15" s="119" t="s">
        <v>645</v>
      </c>
      <c r="Q15" s="120"/>
      <c r="R15" s="121" t="b">
        <v>0</v>
      </c>
      <c r="S15" s="121" t="b">
        <v>1</v>
      </c>
      <c r="T15" s="122" t="b">
        <v>1</v>
      </c>
    </row>
    <row r="16" outlineLevel="1">
      <c r="A16" s="111" t="s">
        <v>101</v>
      </c>
      <c r="B16" s="111" t="s">
        <v>74</v>
      </c>
      <c r="C16" s="129">
        <v>46008.0</v>
      </c>
      <c r="D16" s="111"/>
      <c r="E16" s="111" t="s">
        <v>657</v>
      </c>
      <c r="F16" s="111" t="s">
        <v>589</v>
      </c>
      <c r="G16" s="111">
        <v>3.492394869E9</v>
      </c>
      <c r="H16" s="111" t="s">
        <v>658</v>
      </c>
      <c r="I16" s="111" t="s">
        <v>640</v>
      </c>
      <c r="J16" s="132">
        <v>46013.0</v>
      </c>
      <c r="K16" s="115">
        <v>45.0</v>
      </c>
      <c r="L16" s="116" t="s">
        <v>106</v>
      </c>
      <c r="M16" s="117">
        <f>IFERROR(__xludf.DUMMYFUNCTION("IF(
  K16="""",
  """",
  ROUND(
    IF(
      L16="""",
      K16,
      IF(
        ISERROR(FIND(""-"",L16)),
        K16 - VALUE(REGEXEXTRACT(L16,""(\d+)"")),
        K16 * (1 - VALUE(REGEXEXTRACT(L16,""(\d+)""))/100)
      )
    ),
    2
  )
)
"),43.0)</f>
        <v>43</v>
      </c>
      <c r="N16" s="111"/>
      <c r="O16" s="118" t="b">
        <v>1</v>
      </c>
      <c r="P16" s="119" t="s">
        <v>645</v>
      </c>
      <c r="Q16" s="120"/>
      <c r="R16" s="121" t="b">
        <v>0</v>
      </c>
      <c r="S16" s="121" t="b">
        <v>1</v>
      </c>
      <c r="T16" s="122" t="b">
        <v>1</v>
      </c>
    </row>
    <row r="17" outlineLevel="1">
      <c r="A17" s="111" t="s">
        <v>611</v>
      </c>
      <c r="B17" s="111" t="s">
        <v>74</v>
      </c>
      <c r="C17" s="129">
        <v>46008.0</v>
      </c>
      <c r="D17" s="111" t="s">
        <v>659</v>
      </c>
      <c r="E17" s="111" t="s">
        <v>660</v>
      </c>
      <c r="F17" s="111" t="s">
        <v>492</v>
      </c>
      <c r="G17" s="111">
        <v>3.883659924E9</v>
      </c>
      <c r="H17" s="111" t="s">
        <v>661</v>
      </c>
      <c r="I17" s="111" t="s">
        <v>662</v>
      </c>
      <c r="J17" s="132">
        <v>46008.0</v>
      </c>
      <c r="K17" s="115">
        <v>45.0</v>
      </c>
      <c r="L17" s="116" t="s">
        <v>106</v>
      </c>
      <c r="M17" s="117">
        <f>IFERROR(__xludf.DUMMYFUNCTION("IF(
  K17="""",
  """",
  ROUND(
    IF(
      L17="""",
      K17,
      IF(
        ISERROR(FIND(""-"",L17)),
        K17 - VALUE(REGEXEXTRACT(L17,""(\d+)"")),
        K17 * (1 - VALUE(REGEXEXTRACT(L17,""(\d+)""))/100)
      )
    ),
    2
  )
)
"),43.0)</f>
        <v>43</v>
      </c>
      <c r="N17" s="111" t="s">
        <v>100</v>
      </c>
      <c r="O17" s="118" t="b">
        <v>1</v>
      </c>
      <c r="P17" s="119"/>
      <c r="Q17" s="120" t="s">
        <v>81</v>
      </c>
      <c r="R17" s="121" t="b">
        <v>1</v>
      </c>
      <c r="S17" s="121" t="b">
        <v>0</v>
      </c>
      <c r="T17" s="122" t="b">
        <v>1</v>
      </c>
    </row>
    <row r="18" outlineLevel="1">
      <c r="A18" s="116" t="s">
        <v>611</v>
      </c>
      <c r="B18" s="116" t="s">
        <v>74</v>
      </c>
      <c r="C18" s="129">
        <v>46009.0</v>
      </c>
      <c r="D18" s="111" t="s">
        <v>663</v>
      </c>
      <c r="E18" s="111" t="s">
        <v>664</v>
      </c>
      <c r="F18" s="116" t="s">
        <v>665</v>
      </c>
      <c r="G18" s="116">
        <v>3.4711933E9</v>
      </c>
      <c r="H18" s="116" t="s">
        <v>666</v>
      </c>
      <c r="I18" s="116" t="s">
        <v>667</v>
      </c>
      <c r="J18" s="135">
        <v>46009.0</v>
      </c>
      <c r="K18" s="115">
        <v>45.0</v>
      </c>
      <c r="L18" s="116" t="s">
        <v>106</v>
      </c>
      <c r="M18" s="117">
        <f>IFERROR(__xludf.DUMMYFUNCTION("IF(
  K18="""",
  """",
  ROUND(
    IF(
      L18="""",
      K18,
      IF(
        ISERROR(FIND(""-"",L18)),
        K18 - VALUE(REGEXEXTRACT(L18,""(\d+)"")),
        K18 * (1 - VALUE(REGEXEXTRACT(L18,""(\d+)""))/100)
      )
    ),
    2
  )
)
"),43.0)</f>
        <v>43</v>
      </c>
      <c r="N18" s="111" t="s">
        <v>100</v>
      </c>
      <c r="O18" s="118" t="b">
        <v>1</v>
      </c>
      <c r="P18" s="119" t="s">
        <v>668</v>
      </c>
      <c r="Q18" s="120" t="s">
        <v>81</v>
      </c>
      <c r="R18" s="121" t="b">
        <v>1</v>
      </c>
      <c r="S18" s="121" t="b">
        <v>0</v>
      </c>
      <c r="T18" s="122" t="b">
        <v>1</v>
      </c>
    </row>
    <row r="19" outlineLevel="1">
      <c r="A19" s="116" t="s">
        <v>611</v>
      </c>
      <c r="B19" s="116" t="s">
        <v>74</v>
      </c>
      <c r="C19" s="129">
        <v>46012.0</v>
      </c>
      <c r="D19" s="111"/>
      <c r="E19" s="111" t="s">
        <v>669</v>
      </c>
      <c r="F19" s="116" t="s">
        <v>670</v>
      </c>
      <c r="G19" s="116">
        <v>3.890786108E9</v>
      </c>
      <c r="H19" s="116" t="s">
        <v>671</v>
      </c>
      <c r="I19" s="116" t="s">
        <v>672</v>
      </c>
      <c r="J19" s="132">
        <v>46012.0</v>
      </c>
      <c r="K19" s="115">
        <v>45.0</v>
      </c>
      <c r="L19" s="116"/>
      <c r="M19" s="117">
        <f>IFERROR(__xludf.DUMMYFUNCTION("IF(
  K19="""",
  """",
  ROUND(
    IF(
      L19="""",
      K19,
      IF(
        ISERROR(FIND(""-"",L19)),
        K19 - VALUE(REGEXEXTRACT(L19,""(\d+)"")),
        K19 * (1 - VALUE(REGEXEXTRACT(L19,""(\d+)""))/100)
      )
    ),
    2
  )
)
"),45.0)</f>
        <v>45</v>
      </c>
      <c r="N19" s="111" t="s">
        <v>80</v>
      </c>
      <c r="O19" s="118" t="b">
        <v>1</v>
      </c>
      <c r="P19" s="119" t="s">
        <v>673</v>
      </c>
      <c r="Q19" s="120" t="s">
        <v>81</v>
      </c>
      <c r="R19" s="121" t="b">
        <v>0</v>
      </c>
      <c r="S19" s="121" t="b">
        <v>1</v>
      </c>
      <c r="T19" s="122" t="b">
        <v>1</v>
      </c>
    </row>
    <row r="20" outlineLevel="1">
      <c r="A20" s="116" t="s">
        <v>611</v>
      </c>
      <c r="B20" s="116" t="s">
        <v>74</v>
      </c>
      <c r="C20" s="129">
        <v>46012.0</v>
      </c>
      <c r="D20" s="111"/>
      <c r="E20" s="111" t="s">
        <v>674</v>
      </c>
      <c r="F20" s="116" t="s">
        <v>675</v>
      </c>
      <c r="G20" s="116">
        <v>3.460474709E9</v>
      </c>
      <c r="H20" s="116" t="s">
        <v>676</v>
      </c>
      <c r="I20" s="116" t="s">
        <v>677</v>
      </c>
      <c r="J20" s="132">
        <v>46012.0</v>
      </c>
      <c r="K20" s="115">
        <v>45.0</v>
      </c>
      <c r="L20" s="116"/>
      <c r="M20" s="117">
        <f>IFERROR(__xludf.DUMMYFUNCTION("IF(
  K20="""",
  """",
  ROUND(
    IF(
      L20="""",
      K20,
      IF(
        ISERROR(FIND(""-"",L20)),
        K20 - VALUE(REGEXEXTRACT(L20,""(\d+)"")),
        K20 * (1 - VALUE(REGEXEXTRACT(L20,""(\d+)""))/100)
      )
    ),
    2
  )
)
"),45.0)</f>
        <v>45</v>
      </c>
      <c r="N20" s="116" t="s">
        <v>80</v>
      </c>
      <c r="O20" s="118" t="b">
        <v>1</v>
      </c>
      <c r="P20" s="119"/>
      <c r="Q20" s="120" t="s">
        <v>81</v>
      </c>
      <c r="R20" s="121" t="b">
        <v>0</v>
      </c>
      <c r="S20" s="121" t="b">
        <v>1</v>
      </c>
      <c r="T20" s="122" t="b">
        <v>1</v>
      </c>
    </row>
    <row r="21" outlineLevel="1">
      <c r="A21" s="116" t="s">
        <v>611</v>
      </c>
      <c r="B21" s="116" t="s">
        <v>74</v>
      </c>
      <c r="C21" s="129">
        <v>46013.0</v>
      </c>
      <c r="D21" s="111"/>
      <c r="E21" s="111" t="s">
        <v>82</v>
      </c>
      <c r="F21" s="116" t="s">
        <v>83</v>
      </c>
      <c r="G21" s="116">
        <v>3.47856998E9</v>
      </c>
      <c r="H21" s="116" t="s">
        <v>84</v>
      </c>
      <c r="I21" s="116" t="s">
        <v>85</v>
      </c>
      <c r="J21" s="135">
        <v>46013.0</v>
      </c>
      <c r="K21" s="115">
        <v>45.0</v>
      </c>
      <c r="L21" s="116"/>
      <c r="M21" s="117">
        <f>IFERROR(__xludf.DUMMYFUNCTION("IF(
  K21="""",
  """",
  ROUND(
    IF(
      L21="""",
      K21,
      IF(
        ISERROR(FIND(""-"",L21)),
        K21 - VALUE(REGEXEXTRACT(L21,""(\d+)"")),
        K21 * (1 - VALUE(REGEXEXTRACT(L21,""(\d+)""))/100)
      )
    ),
    2
  )
)
"),45.0)</f>
        <v>45</v>
      </c>
      <c r="N21" s="111" t="s">
        <v>80</v>
      </c>
      <c r="O21" s="118" t="b">
        <v>1</v>
      </c>
      <c r="P21" s="119"/>
      <c r="Q21" s="120" t="s">
        <v>81</v>
      </c>
      <c r="R21" s="121" t="b">
        <v>0</v>
      </c>
      <c r="S21" s="121" t="b">
        <v>1</v>
      </c>
      <c r="T21" s="122" t="b">
        <v>1</v>
      </c>
    </row>
    <row r="22" outlineLevel="1">
      <c r="A22" s="116" t="s">
        <v>611</v>
      </c>
      <c r="B22" s="116" t="s">
        <v>74</v>
      </c>
      <c r="C22" s="129">
        <v>46013.0</v>
      </c>
      <c r="D22" s="111"/>
      <c r="E22" s="111" t="s">
        <v>678</v>
      </c>
      <c r="F22" s="111" t="s">
        <v>338</v>
      </c>
      <c r="G22" s="111">
        <v>3.468321647E9</v>
      </c>
      <c r="H22" s="240" t="s">
        <v>679</v>
      </c>
      <c r="I22" s="240" t="s">
        <v>680</v>
      </c>
      <c r="J22" s="126">
        <v>46013.0</v>
      </c>
      <c r="K22" s="115">
        <v>45.0</v>
      </c>
      <c r="L22" s="116"/>
      <c r="M22" s="117">
        <f>IFERROR(__xludf.DUMMYFUNCTION("IF(
  K22="""",
  """",
  ROUND(
    IF(
      L22="""",
      K22,
      IF(
        ISERROR(FIND(""-"",L22)),
        K22 - VALUE(REGEXEXTRACT(L22,""(\d+)"")),
        K22 * (1 - VALUE(REGEXEXTRACT(L22,""(\d+)""))/100)
      )
    ),
    2
  )
)
"),45.0)</f>
        <v>45</v>
      </c>
      <c r="N22" s="111" t="s">
        <v>80</v>
      </c>
      <c r="O22" s="118" t="b">
        <v>1</v>
      </c>
      <c r="P22" s="119" t="s">
        <v>681</v>
      </c>
      <c r="Q22" s="120" t="s">
        <v>81</v>
      </c>
      <c r="R22" s="121" t="b">
        <v>0</v>
      </c>
      <c r="S22" s="121" t="b">
        <v>1</v>
      </c>
      <c r="T22" s="122" t="b">
        <v>1</v>
      </c>
    </row>
    <row r="23"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c r="S23" s="121" t="b">
        <v>0</v>
      </c>
      <c r="T23" s="122" t="b">
        <v>0</v>
      </c>
    </row>
    <row r="24" outlineLevel="1">
      <c r="A24" s="116" t="s">
        <v>611</v>
      </c>
      <c r="B24" s="116" t="s">
        <v>74</v>
      </c>
      <c r="C24" s="129">
        <v>46014.0</v>
      </c>
      <c r="D24" s="111"/>
      <c r="E24" s="111" t="s">
        <v>682</v>
      </c>
      <c r="F24" s="116" t="s">
        <v>683</v>
      </c>
      <c r="G24" s="116">
        <v>3.294923016E9</v>
      </c>
      <c r="H24" s="116" t="s">
        <v>684</v>
      </c>
      <c r="I24" s="116" t="s">
        <v>685</v>
      </c>
      <c r="J24" s="134">
        <v>46014.0</v>
      </c>
      <c r="K24" s="115">
        <v>45.0</v>
      </c>
      <c r="L24" s="116" t="s">
        <v>106</v>
      </c>
      <c r="M24" s="117">
        <f>IFERROR(__xludf.DUMMYFUNCTION("IF(
  K24="""",
  """",
  ROUND(
    IF(
      L24="""",
      K24,
      IF(
        ISERROR(FIND(""-"",L24)),
        K24 - VALUE(REGEXEXTRACT(L24,""(\d+)"")),
        K24 * (1 - VALUE(REGEXEXTRACT(L24,""(\d+)""))/100)
      )
    ),
    2
  )
)
"),43.0)</f>
        <v>43</v>
      </c>
      <c r="N24" s="111" t="s">
        <v>80</v>
      </c>
      <c r="O24" s="118" t="b">
        <v>1</v>
      </c>
      <c r="P24" s="119"/>
      <c r="Q24" s="120" t="s">
        <v>81</v>
      </c>
      <c r="R24" s="121" t="b">
        <v>0</v>
      </c>
      <c r="S24" s="121" t="b">
        <v>1</v>
      </c>
      <c r="T24" s="122" t="b">
        <v>1</v>
      </c>
    </row>
    <row r="25" outlineLevel="1">
      <c r="A25" s="116" t="s">
        <v>611</v>
      </c>
      <c r="B25" s="116" t="s">
        <v>74</v>
      </c>
      <c r="C25" s="129">
        <v>46015.0</v>
      </c>
      <c r="D25" s="111"/>
      <c r="E25" s="111" t="s">
        <v>686</v>
      </c>
      <c r="F25" s="116" t="s">
        <v>687</v>
      </c>
      <c r="G25" s="116">
        <v>3.469611413E9</v>
      </c>
      <c r="H25" s="116" t="s">
        <v>688</v>
      </c>
      <c r="I25" s="116" t="s">
        <v>689</v>
      </c>
      <c r="J25" s="134">
        <v>46015.0</v>
      </c>
      <c r="K25" s="115">
        <v>45.0</v>
      </c>
      <c r="L25" s="116"/>
      <c r="M25" s="117">
        <f>IFERROR(__xludf.DUMMYFUNCTION("IF(
  K25="""",
  """",
  ROUND(
    IF(
      L25="""",
      K25,
      IF(
        ISERROR(FIND(""-"",L25)),
        K25 - VALUE(REGEXEXTRACT(L25,""(\d+)"")),
        K25 * (1 - VALUE(REGEXEXTRACT(L25,""(\d+)""))/100)
      )
    ),
    2
  )
)
"),45.0)</f>
        <v>45</v>
      </c>
      <c r="N25" s="111" t="s">
        <v>80</v>
      </c>
      <c r="O25" s="118" t="b">
        <v>1</v>
      </c>
      <c r="P25" s="119"/>
      <c r="Q25" s="120" t="s">
        <v>81</v>
      </c>
      <c r="R25" s="121" t="b">
        <v>0</v>
      </c>
      <c r="S25" s="121" t="b">
        <v>1</v>
      </c>
      <c r="T25" s="122" t="b">
        <v>1</v>
      </c>
    </row>
    <row r="26" outlineLevel="1">
      <c r="A26" s="116" t="s">
        <v>611</v>
      </c>
      <c r="B26" s="116" t="s">
        <v>74</v>
      </c>
      <c r="C26" s="129">
        <v>46015.0</v>
      </c>
      <c r="D26" s="111"/>
      <c r="E26" s="111" t="s">
        <v>690</v>
      </c>
      <c r="F26" s="116" t="s">
        <v>691</v>
      </c>
      <c r="G26" s="116">
        <v>3.407521135E9</v>
      </c>
      <c r="H26" s="116" t="s">
        <v>692</v>
      </c>
      <c r="I26" s="116" t="s">
        <v>693</v>
      </c>
      <c r="J26" s="134">
        <v>46015.0</v>
      </c>
      <c r="K26" s="115">
        <v>45.0</v>
      </c>
      <c r="L26" s="116" t="s">
        <v>106</v>
      </c>
      <c r="M26" s="117">
        <f>IFERROR(__xludf.DUMMYFUNCTION("IF(
  K26="""",
  """",
  ROUND(
    IF(
      L26="""",
      K26,
      IF(
        ISERROR(FIND(""-"",L26)),
        K26 - VALUE(REGEXEXTRACT(L26,""(\d+)"")),
        K26 * (1 - VALUE(REGEXEXTRACT(L26,""(\d+)""))/100)
      )
    ),
    2
  )
)
"),43.0)</f>
        <v>43</v>
      </c>
      <c r="N26" s="111" t="s">
        <v>80</v>
      </c>
      <c r="O26" s="118" t="b">
        <v>0</v>
      </c>
      <c r="P26" s="119" t="s">
        <v>694</v>
      </c>
      <c r="Q26" s="120" t="s">
        <v>81</v>
      </c>
      <c r="R26" s="121" t="b">
        <v>0</v>
      </c>
      <c r="S26" s="121" t="b">
        <v>1</v>
      </c>
      <c r="T26" s="122" t="b">
        <v>1</v>
      </c>
    </row>
    <row r="27" outlineLevel="1">
      <c r="A27" s="116" t="s">
        <v>611</v>
      </c>
      <c r="B27" s="116" t="s">
        <v>74</v>
      </c>
      <c r="C27" s="129">
        <v>46015.0</v>
      </c>
      <c r="D27" s="111"/>
      <c r="E27" s="111" t="s">
        <v>695</v>
      </c>
      <c r="F27" s="116" t="s">
        <v>87</v>
      </c>
      <c r="G27" s="116">
        <v>3.389178026E9</v>
      </c>
      <c r="H27" s="116" t="s">
        <v>696</v>
      </c>
      <c r="I27" s="116" t="s">
        <v>697</v>
      </c>
      <c r="J27" s="134">
        <v>46015.0</v>
      </c>
      <c r="K27" s="115">
        <v>45.0</v>
      </c>
      <c r="L27" s="116"/>
      <c r="M27" s="117">
        <f>IFERROR(__xludf.DUMMYFUNCTION("IF(
  K27="""",
  """",
  ROUND(
    IF(
      L27="""",
      K27,
      IF(
        ISERROR(FIND(""-"",L27)),
        K27 - VALUE(REGEXEXTRACT(L27,""(\d+)"")),
        K27 * (1 - VALUE(REGEXEXTRACT(L27,""(\d+)""))/100)
      )
    ),
    2
  )
)
"),45.0)</f>
        <v>45</v>
      </c>
      <c r="N27" s="111" t="s">
        <v>80</v>
      </c>
      <c r="O27" s="118" t="b">
        <v>1</v>
      </c>
      <c r="P27" s="119"/>
      <c r="Q27" s="120" t="s">
        <v>81</v>
      </c>
      <c r="R27" s="121" t="b">
        <v>0</v>
      </c>
      <c r="S27" s="121" t="b">
        <v>1</v>
      </c>
      <c r="T27" s="122" t="b">
        <v>1</v>
      </c>
    </row>
    <row r="28" outlineLevel="1">
      <c r="A28" s="116" t="s">
        <v>611</v>
      </c>
      <c r="B28" s="116" t="s">
        <v>74</v>
      </c>
      <c r="C28" s="129">
        <v>46017.0</v>
      </c>
      <c r="D28" s="111"/>
      <c r="E28" s="111" t="s">
        <v>698</v>
      </c>
      <c r="F28" s="116" t="s">
        <v>699</v>
      </c>
      <c r="G28" s="116">
        <v>3.738730275E9</v>
      </c>
      <c r="H28" s="113" t="s">
        <v>700</v>
      </c>
      <c r="I28" s="113" t="s">
        <v>701</v>
      </c>
      <c r="J28" s="134">
        <v>46017.0</v>
      </c>
      <c r="K28" s="115">
        <v>45.0</v>
      </c>
      <c r="L28" s="131"/>
      <c r="M28" s="117">
        <f>IFERROR(__xludf.DUMMYFUNCTION("IF(
  K28="""",
  """",
  ROUND(
    IF(
      L28="""",
      K28,
      IF(
        ISERROR(FIND(""-"",L28)),
        K28 - VALUE(REGEXEXTRACT(L28,""(\d+)"")),
        K28 * (1 - VALUE(REGEXEXTRACT(L28,""(\d+)""))/100)
      )
    ),
    2
  )
)
"),45.0)</f>
        <v>45</v>
      </c>
      <c r="N28" s="111" t="s">
        <v>80</v>
      </c>
      <c r="O28" s="118" t="b">
        <v>1</v>
      </c>
      <c r="P28" s="119"/>
      <c r="Q28" s="120" t="s">
        <v>81</v>
      </c>
      <c r="R28" s="121" t="b">
        <v>0</v>
      </c>
      <c r="S28" s="121" t="b">
        <v>1</v>
      </c>
      <c r="T28" s="122" t="b">
        <v>1</v>
      </c>
    </row>
    <row r="29" outlineLevel="1">
      <c r="A29" s="116" t="s">
        <v>611</v>
      </c>
      <c r="B29" s="116" t="s">
        <v>74</v>
      </c>
      <c r="C29" s="129">
        <v>46017.0</v>
      </c>
      <c r="D29" s="111"/>
      <c r="E29" s="111" t="s">
        <v>702</v>
      </c>
      <c r="F29" s="116" t="s">
        <v>703</v>
      </c>
      <c r="G29" s="116">
        <v>3.47068541E9</v>
      </c>
      <c r="H29" s="116" t="s">
        <v>704</v>
      </c>
      <c r="I29" s="116" t="s">
        <v>705</v>
      </c>
      <c r="J29" s="134">
        <v>46017.0</v>
      </c>
      <c r="K29" s="115">
        <v>45.0</v>
      </c>
      <c r="L29" s="116"/>
      <c r="M29" s="117">
        <f>IFERROR(__xludf.DUMMYFUNCTION("IF(
  K29="""",
  """",
  ROUND(
    IF(
      L29="""",
      K29,
      IF(
        ISERROR(FIND(""-"",L29)),
        K29 - VALUE(REGEXEXTRACT(L29,""(\d+)"")),
        K29 * (1 - VALUE(REGEXEXTRACT(L29,""(\d+)""))/100)
      )
    ),
    2
  )
)
"),45.0)</f>
        <v>45</v>
      </c>
      <c r="N29" s="111" t="s">
        <v>80</v>
      </c>
      <c r="O29" s="118" t="b">
        <v>1</v>
      </c>
      <c r="P29" s="119"/>
      <c r="Q29" s="120" t="s">
        <v>81</v>
      </c>
      <c r="R29" s="121" t="b">
        <v>0</v>
      </c>
      <c r="S29" s="121" t="b">
        <v>1</v>
      </c>
      <c r="T29" s="122" t="b">
        <v>1</v>
      </c>
    </row>
    <row r="30" outlineLevel="1">
      <c r="A30" s="116" t="s">
        <v>611</v>
      </c>
      <c r="B30" s="116" t="s">
        <v>74</v>
      </c>
      <c r="C30" s="129">
        <v>46018.0</v>
      </c>
      <c r="D30" s="111"/>
      <c r="E30" s="111" t="s">
        <v>706</v>
      </c>
      <c r="F30" s="116" t="s">
        <v>87</v>
      </c>
      <c r="G30" s="116">
        <v>3.668728379E9</v>
      </c>
      <c r="H30" s="116" t="s">
        <v>707</v>
      </c>
      <c r="I30" s="116" t="s">
        <v>708</v>
      </c>
      <c r="J30" s="134">
        <v>46018.0</v>
      </c>
      <c r="K30" s="115">
        <v>45.0</v>
      </c>
      <c r="L30" s="116" t="s">
        <v>106</v>
      </c>
      <c r="M30" s="117">
        <f>IFERROR(__xludf.DUMMYFUNCTION("IF(
  K30="""",
  """",
  ROUND(
    IF(
      L30="""",
      K30,
      IF(
        ISERROR(FIND(""-"",L30)),
        K30 - VALUE(REGEXEXTRACT(L30,""(\d+)"")),
        K30 * (1 - VALUE(REGEXEXTRACT(L30,""(\d+)""))/100)
      )
    ),
    2
  )
)
"),43.0)</f>
        <v>43</v>
      </c>
      <c r="N30" s="111" t="s">
        <v>80</v>
      </c>
      <c r="O30" s="118" t="b">
        <v>1</v>
      </c>
      <c r="P30" s="119"/>
      <c r="Q30" s="120" t="s">
        <v>81</v>
      </c>
      <c r="R30" s="121" t="b">
        <v>0</v>
      </c>
      <c r="S30" s="121" t="b">
        <v>1</v>
      </c>
      <c r="T30" s="122" t="b">
        <v>1</v>
      </c>
    </row>
    <row r="31" outlineLevel="1">
      <c r="A31" s="111" t="s">
        <v>611</v>
      </c>
      <c r="B31" s="111" t="s">
        <v>74</v>
      </c>
      <c r="C31" s="112">
        <v>46019.0</v>
      </c>
      <c r="D31" s="111"/>
      <c r="E31" s="111" t="s">
        <v>709</v>
      </c>
      <c r="F31" s="111" t="s">
        <v>464</v>
      </c>
      <c r="G31" s="111">
        <v>3.314597068E9</v>
      </c>
      <c r="H31" s="111" t="s">
        <v>710</v>
      </c>
      <c r="I31" s="111" t="s">
        <v>711</v>
      </c>
      <c r="J31" s="126">
        <v>46019.0</v>
      </c>
      <c r="K31" s="115">
        <v>45.0</v>
      </c>
      <c r="L31" s="116"/>
      <c r="M31" s="117">
        <f>IFERROR(__xludf.DUMMYFUNCTION("IF(
  K31="""",
  """",
  ROUND(
    IF(
      L31="""",
      K31,
      IF(
        ISERROR(FIND(""-"",L31)),
        K31 - VALUE(REGEXEXTRACT(L31,""(\d+)"")),
        K31 * (1 - VALUE(REGEXEXTRACT(L31,""(\d+)""))/100)
      )
    ),
    2
  )
)
"),45.0)</f>
        <v>45</v>
      </c>
      <c r="N31" s="111" t="s">
        <v>80</v>
      </c>
      <c r="O31" s="118" t="b">
        <v>1</v>
      </c>
      <c r="P31" s="119"/>
      <c r="Q31" s="120" t="s">
        <v>81</v>
      </c>
      <c r="R31" s="121" t="b">
        <v>0</v>
      </c>
      <c r="S31" s="121" t="b">
        <v>1</v>
      </c>
      <c r="T31" s="122" t="b">
        <v>1</v>
      </c>
    </row>
    <row r="32" outlineLevel="1">
      <c r="A32" s="116" t="s">
        <v>611</v>
      </c>
      <c r="B32" s="116" t="s">
        <v>74</v>
      </c>
      <c r="C32" s="129">
        <v>46019.0</v>
      </c>
      <c r="D32" s="111"/>
      <c r="E32" s="111" t="s">
        <v>712</v>
      </c>
      <c r="F32" s="116" t="s">
        <v>713</v>
      </c>
      <c r="G32" s="116">
        <v>4.1782030722E10</v>
      </c>
      <c r="H32" s="113" t="s">
        <v>714</v>
      </c>
      <c r="I32" s="116" t="s">
        <v>715</v>
      </c>
      <c r="J32" s="134">
        <v>46019.0</v>
      </c>
      <c r="K32" s="115">
        <v>45.0</v>
      </c>
      <c r="L32" s="116"/>
      <c r="M32" s="117">
        <f>IFERROR(__xludf.DUMMYFUNCTION("IF(
  K32="""",
  """",
  ROUND(
    IF(
      L32="""",
      K32,
      IF(
        ISERROR(FIND(""-"",L32)),
        K32 - VALUE(REGEXEXTRACT(L32,""(\d+)"")),
        K32 * (1 - VALUE(REGEXEXTRACT(L32,""(\d+)""))/100)
      )
    ),
    2
  )
)
"),45.0)</f>
        <v>45</v>
      </c>
      <c r="N32" s="111" t="s">
        <v>80</v>
      </c>
      <c r="O32" s="118" t="b">
        <v>1</v>
      </c>
      <c r="P32" s="119"/>
      <c r="Q32" s="120"/>
      <c r="R32" s="121" t="b">
        <v>0</v>
      </c>
      <c r="S32" s="121" t="b">
        <v>1</v>
      </c>
      <c r="T32" s="122" t="b">
        <v>1</v>
      </c>
    </row>
    <row r="33" outlineLevel="1">
      <c r="A33" s="116" t="s">
        <v>611</v>
      </c>
      <c r="B33" s="116" t="s">
        <v>74</v>
      </c>
      <c r="C33" s="129">
        <v>46020.0</v>
      </c>
      <c r="D33" s="111"/>
      <c r="E33" s="111" t="s">
        <v>716</v>
      </c>
      <c r="F33" s="116" t="s">
        <v>717</v>
      </c>
      <c r="G33" s="116">
        <v>3.404751247E9</v>
      </c>
      <c r="H33" s="113" t="s">
        <v>718</v>
      </c>
      <c r="I33" s="116" t="s">
        <v>719</v>
      </c>
      <c r="J33" s="134">
        <v>46020.0</v>
      </c>
      <c r="K33" s="115">
        <v>45.0</v>
      </c>
      <c r="L33" s="116"/>
      <c r="M33" s="117">
        <f>IFERROR(__xludf.DUMMYFUNCTION("IF(
  K33="""",
  """",
  ROUND(
    IF(
      L33="""",
      K33,
      IF(
        ISERROR(FIND(""-"",L33)),
        K33 - VALUE(REGEXEXTRACT(L33,""(\d+)"")),
        K33 * (1 - VALUE(REGEXEXTRACT(L33,""(\d+)""))/100)
      )
    ),
    2
  )
)
"),45.0)</f>
        <v>45</v>
      </c>
      <c r="N33" s="111" t="s">
        <v>80</v>
      </c>
      <c r="O33" s="118" t="b">
        <v>1</v>
      </c>
      <c r="P33" s="119"/>
      <c r="Q33" s="120" t="s">
        <v>81</v>
      </c>
      <c r="R33" s="121" t="b">
        <v>0</v>
      </c>
      <c r="S33" s="121" t="b">
        <v>1</v>
      </c>
      <c r="T33" s="122" t="b">
        <v>1</v>
      </c>
    </row>
    <row r="34" outlineLevel="1">
      <c r="A34" s="116" t="s">
        <v>611</v>
      </c>
      <c r="B34" s="116" t="s">
        <v>74</v>
      </c>
      <c r="C34" s="129">
        <v>46020.0</v>
      </c>
      <c r="D34" s="111"/>
      <c r="E34" s="111" t="s">
        <v>720</v>
      </c>
      <c r="F34" s="116" t="s">
        <v>721</v>
      </c>
      <c r="G34" s="116">
        <v>3.779585466E9</v>
      </c>
      <c r="H34" s="113" t="s">
        <v>722</v>
      </c>
      <c r="I34" s="116" t="s">
        <v>723</v>
      </c>
      <c r="J34" s="132">
        <v>46020.0</v>
      </c>
      <c r="K34" s="115">
        <v>45.0</v>
      </c>
      <c r="L34" s="116"/>
      <c r="M34" s="117">
        <f>IFERROR(__xludf.DUMMYFUNCTION("IF(
  K34="""",
  """",
  ROUND(
    IF(
      L34="""",
      K34,
      IF(
        ISERROR(FIND(""-"",L34)),
        K34 - VALUE(REGEXEXTRACT(L34,""(\d+)"")),
        K34 * (1 - VALUE(REGEXEXTRACT(L34,""(\d+)""))/100)
      )
    ),
    2
  )
)
"),45.0)</f>
        <v>45</v>
      </c>
      <c r="N34" s="111" t="s">
        <v>80</v>
      </c>
      <c r="O34" s="118" t="b">
        <v>1</v>
      </c>
      <c r="P34" s="119" t="s">
        <v>724</v>
      </c>
      <c r="Q34" s="120" t="s">
        <v>81</v>
      </c>
      <c r="R34" s="121" t="b">
        <v>0</v>
      </c>
      <c r="S34" s="121" t="b">
        <v>1</v>
      </c>
      <c r="T34" s="122" t="b">
        <v>1</v>
      </c>
    </row>
    <row r="35" outlineLevel="1">
      <c r="A35" s="116" t="s">
        <v>73</v>
      </c>
      <c r="B35" s="116" t="s">
        <v>74</v>
      </c>
      <c r="C35" s="129">
        <v>46028.0</v>
      </c>
      <c r="D35" s="111"/>
      <c r="E35" s="111" t="s">
        <v>725</v>
      </c>
      <c r="F35" s="116" t="s">
        <v>726</v>
      </c>
      <c r="G35" s="116">
        <v>3.920434044E9</v>
      </c>
      <c r="H35" s="116" t="s">
        <v>727</v>
      </c>
      <c r="I35" s="116" t="s">
        <v>728</v>
      </c>
      <c r="J35" s="132">
        <v>46028.0</v>
      </c>
      <c r="K35" s="115">
        <v>45.0</v>
      </c>
      <c r="L35" s="116"/>
      <c r="M35" s="117">
        <f>IFERROR(__xludf.DUMMYFUNCTION("IF(
  K35="""",
  """",
  ROUND(
    IF(
      L35="""",
      K35,
      IF(
        ISERROR(FIND(""-"",L35)),
        K35 - VALUE(REGEXEXTRACT(L35,""(\d+)"")),
        K35 * (1 - VALUE(REGEXEXTRACT(L35,""(\d+)""))/100)
      )
    ),
    2
  )
)
"),45.0)</f>
        <v>45</v>
      </c>
      <c r="N35" s="111" t="s">
        <v>80</v>
      </c>
      <c r="O35" s="118" t="b">
        <v>0</v>
      </c>
      <c r="P35" s="119"/>
      <c r="Q35" s="120" t="s">
        <v>81</v>
      </c>
      <c r="R35" s="121" t="b">
        <v>0</v>
      </c>
      <c r="S35" s="121" t="b">
        <v>1</v>
      </c>
      <c r="T35" s="122" t="b">
        <v>1</v>
      </c>
    </row>
    <row r="36" outlineLevel="1">
      <c r="A36" s="116" t="s">
        <v>611</v>
      </c>
      <c r="B36" s="116" t="s">
        <v>74</v>
      </c>
      <c r="C36" s="129">
        <v>46022.0</v>
      </c>
      <c r="D36" s="111"/>
      <c r="E36" s="111" t="s">
        <v>729</v>
      </c>
      <c r="F36" s="116" t="s">
        <v>730</v>
      </c>
      <c r="G36" s="116">
        <v>3.489301939E9</v>
      </c>
      <c r="H36" s="116" t="s">
        <v>731</v>
      </c>
      <c r="I36" s="116" t="s">
        <v>732</v>
      </c>
      <c r="J36" s="132">
        <v>46022.0</v>
      </c>
      <c r="K36" s="115">
        <v>45.0</v>
      </c>
      <c r="L36" s="116" t="s">
        <v>79</v>
      </c>
      <c r="M36" s="117">
        <f>IFERROR(__xludf.DUMMYFUNCTION("IF(
  K36="""",
  """",
  ROUND(
    IF(
      L36="""",
      K36,
      IF(
        ISERROR(FIND(""-"",L36)),
        K36 - VALUE(REGEXEXTRACT(L36,""(\d+)"")),
        K36 * (1 - VALUE(REGEXEXTRACT(L36,""(\d+)""))/100)
      )
    ),
    2
  )
)
"),43.0)</f>
        <v>43</v>
      </c>
      <c r="N36" s="111" t="s">
        <v>80</v>
      </c>
      <c r="O36" s="118" t="b">
        <v>0</v>
      </c>
      <c r="P36" s="119"/>
      <c r="Q36" s="120" t="s">
        <v>81</v>
      </c>
      <c r="R36" s="121" t="b">
        <v>0</v>
      </c>
      <c r="S36" s="121" t="b">
        <v>1</v>
      </c>
      <c r="T36" s="122" t="b">
        <v>1</v>
      </c>
    </row>
    <row r="37" outlineLevel="1">
      <c r="A37" s="116" t="s">
        <v>611</v>
      </c>
      <c r="B37" s="116" t="s">
        <v>74</v>
      </c>
      <c r="C37" s="129">
        <v>46024.0</v>
      </c>
      <c r="D37" s="111"/>
      <c r="E37" s="111" t="s">
        <v>733</v>
      </c>
      <c r="F37" s="116" t="s">
        <v>351</v>
      </c>
      <c r="G37" s="116">
        <v>3.342159289E9</v>
      </c>
      <c r="H37" s="116" t="s">
        <v>734</v>
      </c>
      <c r="I37" s="116" t="s">
        <v>735</v>
      </c>
      <c r="J37" s="134">
        <v>46024.0</v>
      </c>
      <c r="K37" s="115">
        <v>45.0</v>
      </c>
      <c r="L37" s="116" t="s">
        <v>106</v>
      </c>
      <c r="M37" s="117">
        <f>IFERROR(__xludf.DUMMYFUNCTION("IF(
  K37="""",
  """",
  ROUND(
    IF(
      L37="""",
      K37,
      IF(
        ISERROR(FIND(""-"",L37)),
        K37 - VALUE(REGEXEXTRACT(L37,""(\d+)"")),
        K37 * (1 - VALUE(REGEXEXTRACT(L37,""(\d+)""))/100)
      )
    ),
    2
  )
)
"),43.0)</f>
        <v>43</v>
      </c>
      <c r="N37" s="111" t="s">
        <v>80</v>
      </c>
      <c r="O37" s="118" t="b">
        <v>1</v>
      </c>
      <c r="P37" s="119"/>
      <c r="Q37" s="120" t="s">
        <v>81</v>
      </c>
      <c r="R37" s="121" t="b">
        <v>0</v>
      </c>
      <c r="S37" s="121" t="b">
        <v>1</v>
      </c>
      <c r="T37" s="122" t="b">
        <v>1</v>
      </c>
    </row>
    <row r="38" outlineLevel="1">
      <c r="A38" s="116" t="s">
        <v>73</v>
      </c>
      <c r="B38" s="116" t="s">
        <v>74</v>
      </c>
      <c r="C38" s="129">
        <v>46028.0</v>
      </c>
      <c r="D38" s="111"/>
      <c r="E38" s="111" t="s">
        <v>736</v>
      </c>
      <c r="F38" s="116" t="s">
        <v>737</v>
      </c>
      <c r="G38" s="116">
        <v>3.394910929E9</v>
      </c>
      <c r="H38" s="116" t="s">
        <v>738</v>
      </c>
      <c r="I38" s="116" t="s">
        <v>739</v>
      </c>
      <c r="J38" s="132">
        <v>46028.0</v>
      </c>
      <c r="K38" s="115">
        <v>45.0</v>
      </c>
      <c r="L38" s="116"/>
      <c r="M38" s="117">
        <f>IFERROR(__xludf.DUMMYFUNCTION("IF(
  K38="""",
  """",
  ROUND(
    IF(
      L38="""",
      K38,
      IF(
        ISERROR(FIND(""-"",L38)),
        K38 - VALUE(REGEXEXTRACT(L38,""(\d+)"")),
        K38 * (1 - VALUE(REGEXEXTRACT(L38,""(\d+)""))/100)
      )
    ),
    2
  )
)
"),45.0)</f>
        <v>45</v>
      </c>
      <c r="N38" s="111" t="s">
        <v>80</v>
      </c>
      <c r="O38" s="118" t="b">
        <v>1</v>
      </c>
      <c r="P38" s="119" t="s">
        <v>740</v>
      </c>
      <c r="Q38" s="120" t="s">
        <v>81</v>
      </c>
      <c r="R38" s="121" t="b">
        <v>0</v>
      </c>
      <c r="S38" s="121" t="b">
        <v>1</v>
      </c>
      <c r="T38" s="122" t="b">
        <v>1</v>
      </c>
    </row>
    <row r="39" outlineLevel="1">
      <c r="A39" s="116" t="s">
        <v>73</v>
      </c>
      <c r="B39" s="116" t="s">
        <v>74</v>
      </c>
      <c r="C39" s="129">
        <v>46030.0</v>
      </c>
      <c r="D39" s="111"/>
      <c r="E39" s="111" t="s">
        <v>741</v>
      </c>
      <c r="F39" s="116" t="s">
        <v>742</v>
      </c>
      <c r="G39" s="259">
        <v>3.409817657E9</v>
      </c>
      <c r="H39" s="116" t="s">
        <v>743</v>
      </c>
      <c r="I39" s="116" t="s">
        <v>744</v>
      </c>
      <c r="J39" s="134">
        <v>46030.0</v>
      </c>
      <c r="K39" s="115">
        <v>45.0</v>
      </c>
      <c r="L39" s="116" t="s">
        <v>106</v>
      </c>
      <c r="M39" s="117">
        <f>IFERROR(__xludf.DUMMYFUNCTION("IF(
  K39="""",
  """",
  ROUND(
    IF(
      L39="""",
      K39,
      IF(
        ISERROR(FIND(""-"",L39)),
        K39 - VALUE(REGEXEXTRACT(L39,""(\d+)"")),
        K39 * (1 - VALUE(REGEXEXTRACT(L39,""(\d+)""))/100)
      )
    ),
    2
  )
)
"),43.0)</f>
        <v>43</v>
      </c>
      <c r="N39" s="111" t="s">
        <v>80</v>
      </c>
      <c r="O39" s="118" t="b">
        <v>1</v>
      </c>
      <c r="P39" s="119" t="s">
        <v>745</v>
      </c>
      <c r="Q39" s="120" t="s">
        <v>81</v>
      </c>
      <c r="R39" s="121" t="b">
        <v>0</v>
      </c>
      <c r="S39" s="121" t="b">
        <v>1</v>
      </c>
      <c r="T39" s="122" t="b">
        <v>1</v>
      </c>
    </row>
    <row r="40" outlineLevel="1">
      <c r="A40" s="116" t="s">
        <v>368</v>
      </c>
      <c r="B40" s="116" t="s">
        <v>369</v>
      </c>
      <c r="C40" s="129">
        <v>46034.0</v>
      </c>
      <c r="D40" s="111"/>
      <c r="E40" s="111" t="s">
        <v>746</v>
      </c>
      <c r="F40" s="116" t="s">
        <v>217</v>
      </c>
      <c r="G40" s="116">
        <v>3.427761531E9</v>
      </c>
      <c r="H40" s="116" t="s">
        <v>747</v>
      </c>
      <c r="I40" s="116" t="s">
        <v>748</v>
      </c>
      <c r="J40" s="134">
        <v>46034.0</v>
      </c>
      <c r="K40" s="115">
        <v>45.0</v>
      </c>
      <c r="L40" s="116" t="s">
        <v>99</v>
      </c>
      <c r="M40" s="117">
        <f>IFERROR(__xludf.DUMMYFUNCTION("IF(
  K40="""",
  """",
  ROUND(
    IF(
      L40="""",
      K40,
      IF(
        ISERROR(FIND(""-"",L40)),
        K40 - VALUE(REGEXEXTRACT(L40,""(\d+)"")),
        K40 * (1 - VALUE(REGEXEXTRACT(L40,""(\d+)""))/100)
      )
    ),
    2
  )
)
"),43.0)</f>
        <v>43</v>
      </c>
      <c r="N40" s="111" t="s">
        <v>100</v>
      </c>
      <c r="O40" s="118" t="b">
        <v>1</v>
      </c>
      <c r="P40" s="119"/>
      <c r="Q40" s="120" t="s">
        <v>81</v>
      </c>
      <c r="R40" s="121" t="b">
        <v>1</v>
      </c>
      <c r="S40" s="121" t="b">
        <v>0</v>
      </c>
      <c r="T40" s="122" t="b">
        <v>1</v>
      </c>
    </row>
    <row r="41" outlineLevel="1">
      <c r="A41" s="116" t="s">
        <v>73</v>
      </c>
      <c r="B41" s="116" t="s">
        <v>74</v>
      </c>
      <c r="C41" s="129">
        <v>46030.0</v>
      </c>
      <c r="D41" s="111"/>
      <c r="E41" s="111" t="s">
        <v>749</v>
      </c>
      <c r="F41" s="116" t="s">
        <v>750</v>
      </c>
      <c r="G41" s="116">
        <v>3.345742322E9</v>
      </c>
      <c r="H41" s="116">
        <v>9.1032530171E10</v>
      </c>
      <c r="I41" s="116" t="s">
        <v>751</v>
      </c>
      <c r="J41" s="134">
        <v>46030.0</v>
      </c>
      <c r="K41" s="115">
        <v>45.0</v>
      </c>
      <c r="L41" s="116" t="s">
        <v>79</v>
      </c>
      <c r="M41" s="117">
        <f>IFERROR(__xludf.DUMMYFUNCTION("IF(
  K41="""",
  """",
  ROUND(
    IF(
      L41="""",
      K41,
      IF(
        ISERROR(FIND(""-"",L41)),
        K41 - VALUE(REGEXEXTRACT(L41,""(\d+)"")),
        K41 * (1 - VALUE(REGEXEXTRACT(L41,""(\d+)""))/100)
      )
    ),
    2
  )
)
"),43.0)</f>
        <v>43</v>
      </c>
      <c r="N41" s="116" t="s">
        <v>80</v>
      </c>
      <c r="O41" s="118" t="b">
        <v>1</v>
      </c>
      <c r="P41" s="119"/>
      <c r="Q41" s="120" t="s">
        <v>81</v>
      </c>
      <c r="R41" s="121" t="b">
        <v>0</v>
      </c>
      <c r="S41" s="121" t="b">
        <v>0</v>
      </c>
      <c r="T41" s="122" t="b">
        <v>1</v>
      </c>
    </row>
    <row r="42" outlineLevel="1">
      <c r="A42" s="116" t="s">
        <v>73</v>
      </c>
      <c r="B42" s="116" t="s">
        <v>74</v>
      </c>
      <c r="C42" s="129">
        <v>46030.0</v>
      </c>
      <c r="D42" s="111"/>
      <c r="E42" s="111" t="s">
        <v>749</v>
      </c>
      <c r="F42" s="116" t="s">
        <v>750</v>
      </c>
      <c r="G42" s="116">
        <v>3.345742322E9</v>
      </c>
      <c r="H42" s="116">
        <v>9.1032530171E10</v>
      </c>
      <c r="I42" s="116" t="s">
        <v>751</v>
      </c>
      <c r="J42" s="134">
        <v>46030.0</v>
      </c>
      <c r="K42" s="115">
        <v>45.0</v>
      </c>
      <c r="L42" s="116" t="s">
        <v>79</v>
      </c>
      <c r="M42" s="117">
        <f>IFERROR(__xludf.DUMMYFUNCTION("IF(
  K42="""",
  """",
  ROUND(
    IF(
      L42="""",
      K42,
      IF(
        ISERROR(FIND(""-"",L42)),
        K42 - VALUE(REGEXEXTRACT(L42,""(\d+)"")),
        K42 * (1 - VALUE(REGEXEXTRACT(L42,""(\d+)""))/100)
      )
    ),
    2
  )
)
"),43.0)</f>
        <v>43</v>
      </c>
      <c r="N42" s="116" t="s">
        <v>80</v>
      </c>
      <c r="O42" s="118" t="b">
        <v>1</v>
      </c>
      <c r="P42" s="119"/>
      <c r="Q42" s="120" t="s">
        <v>81</v>
      </c>
      <c r="R42" s="121" t="b">
        <v>0</v>
      </c>
      <c r="S42" s="121" t="b">
        <v>0</v>
      </c>
      <c r="T42" s="122" t="b">
        <v>1</v>
      </c>
    </row>
    <row r="43" outlineLevel="1">
      <c r="A43" s="116" t="s">
        <v>73</v>
      </c>
      <c r="B43" s="116" t="s">
        <v>74</v>
      </c>
      <c r="C43" s="129">
        <v>46030.0</v>
      </c>
      <c r="D43" s="111"/>
      <c r="E43" s="111" t="s">
        <v>749</v>
      </c>
      <c r="F43" s="116" t="s">
        <v>750</v>
      </c>
      <c r="G43" s="116">
        <v>3.345742322E9</v>
      </c>
      <c r="H43" s="116">
        <v>9.1032530171E10</v>
      </c>
      <c r="I43" s="116" t="s">
        <v>751</v>
      </c>
      <c r="J43" s="134">
        <v>46030.0</v>
      </c>
      <c r="K43" s="115">
        <v>45.0</v>
      </c>
      <c r="L43" s="116" t="s">
        <v>79</v>
      </c>
      <c r="M43" s="117">
        <f>IFERROR(__xludf.DUMMYFUNCTION("IF(
  K43="""",
  """",
  ROUND(
    IF(
      L43="""",
      K43,
      IF(
        ISERROR(FIND(""-"",L43)),
        K43 - VALUE(REGEXEXTRACT(L43,""(\d+)"")),
        K43 * (1 - VALUE(REGEXEXTRACT(L43,""(\d+)""))/100)
      )
    ),
    2
  )
)
"),43.0)</f>
        <v>43</v>
      </c>
      <c r="N43" s="111" t="s">
        <v>80</v>
      </c>
      <c r="O43" s="118" t="b">
        <v>1</v>
      </c>
      <c r="P43" s="119"/>
      <c r="Q43" s="120" t="s">
        <v>81</v>
      </c>
      <c r="R43" s="121" t="b">
        <v>0</v>
      </c>
      <c r="S43" s="121" t="b">
        <v>0</v>
      </c>
      <c r="T43" s="122" t="b">
        <v>1</v>
      </c>
    </row>
    <row r="44" outlineLevel="1">
      <c r="A44" s="116" t="s">
        <v>73</v>
      </c>
      <c r="B44" s="116" t="s">
        <v>74</v>
      </c>
      <c r="C44" s="129">
        <v>46030.0</v>
      </c>
      <c r="D44" s="111"/>
      <c r="E44" s="111" t="s">
        <v>749</v>
      </c>
      <c r="F44" s="116" t="s">
        <v>750</v>
      </c>
      <c r="G44" s="116">
        <v>3.345742322E9</v>
      </c>
      <c r="H44" s="116">
        <v>9.1032530171E10</v>
      </c>
      <c r="I44" s="116" t="s">
        <v>751</v>
      </c>
      <c r="J44" s="134">
        <v>46030.0</v>
      </c>
      <c r="K44" s="115">
        <v>45.0</v>
      </c>
      <c r="L44" s="116" t="s">
        <v>79</v>
      </c>
      <c r="M44" s="117">
        <f>IFERROR(__xludf.DUMMYFUNCTION("IF(
  K44="""",
  """",
  ROUND(
    IF(
      L44="""",
      K44,
      IF(
        ISERROR(FIND(""-"",L44)),
        K44 - VALUE(REGEXEXTRACT(L44,""(\d+)"")),
        K44 * (1 - VALUE(REGEXEXTRACT(L44,""(\d+)""))/100)
      )
    ),
    2
  )
)
"),43.0)</f>
        <v>43</v>
      </c>
      <c r="N44" s="116" t="s">
        <v>80</v>
      </c>
      <c r="O44" s="118" t="b">
        <v>1</v>
      </c>
      <c r="P44" s="119"/>
      <c r="Q44" s="120" t="s">
        <v>81</v>
      </c>
      <c r="R44" s="121" t="b">
        <v>0</v>
      </c>
      <c r="S44" s="121" t="b">
        <v>0</v>
      </c>
      <c r="T44" s="122" t="b">
        <v>1</v>
      </c>
    </row>
    <row r="45" outlineLevel="1">
      <c r="A45" s="116" t="s">
        <v>73</v>
      </c>
      <c r="B45" s="116" t="s">
        <v>74</v>
      </c>
      <c r="C45" s="129">
        <v>46031.0</v>
      </c>
      <c r="D45" s="111"/>
      <c r="E45" s="111" t="s">
        <v>752</v>
      </c>
      <c r="F45" s="116" t="s">
        <v>580</v>
      </c>
      <c r="G45" s="116">
        <v>3.802965878E9</v>
      </c>
      <c r="H45" s="116" t="s">
        <v>753</v>
      </c>
      <c r="I45" s="116" t="s">
        <v>754</v>
      </c>
      <c r="J45" s="134">
        <v>46031.0</v>
      </c>
      <c r="K45" s="115">
        <v>45.0</v>
      </c>
      <c r="L45" s="116" t="s">
        <v>106</v>
      </c>
      <c r="M45" s="117">
        <f>IFERROR(__xludf.DUMMYFUNCTION("IF(
  K45="""",
  """",
  ROUND(
    IF(
      L45="""",
      K45,
      IF(
        ISERROR(FIND(""-"",L45)),
        K45 - VALUE(REGEXEXTRACT(L45,""(\d+)"")),
        K45 * (1 - VALUE(REGEXEXTRACT(L45,""(\d+)""))/100)
      )
    ),
    2
  )
)
"),43.0)</f>
        <v>43</v>
      </c>
      <c r="N45" s="111" t="s">
        <v>80</v>
      </c>
      <c r="O45" s="118" t="b">
        <v>1</v>
      </c>
      <c r="P45" s="119"/>
      <c r="Q45" s="120" t="s">
        <v>81</v>
      </c>
      <c r="R45" s="121" t="b">
        <v>0</v>
      </c>
      <c r="S45" s="121" t="b">
        <v>1</v>
      </c>
      <c r="T45" s="122" t="b">
        <v>1</v>
      </c>
    </row>
    <row r="46" outlineLevel="1">
      <c r="A46" s="116" t="s">
        <v>73</v>
      </c>
      <c r="B46" s="116" t="s">
        <v>74</v>
      </c>
      <c r="C46" s="129">
        <v>46033.0</v>
      </c>
      <c r="D46" s="111"/>
      <c r="E46" s="111" t="s">
        <v>755</v>
      </c>
      <c r="F46" s="116" t="s">
        <v>402</v>
      </c>
      <c r="G46" s="116">
        <v>3.665030204E9</v>
      </c>
      <c r="H46" s="144" t="s">
        <v>756</v>
      </c>
      <c r="I46" s="116" t="s">
        <v>757</v>
      </c>
      <c r="J46" s="132">
        <v>46033.0</v>
      </c>
      <c r="K46" s="115">
        <v>45.0</v>
      </c>
      <c r="L46" s="116" t="s">
        <v>106</v>
      </c>
      <c r="M46" s="117">
        <f>IFERROR(__xludf.DUMMYFUNCTION("IF(
  K46="""",
  """",
  ROUND(
    IF(
      L46="""",
      K46,
      IF(
        ISERROR(FIND(""-"",L46)),
        K46 - VALUE(REGEXEXTRACT(L46,""(\d+)"")),
        K46 * (1 - VALUE(REGEXEXTRACT(L46,""(\d+)""))/100)
      )
    ),
    2
  )
)
"),43.0)</f>
        <v>43</v>
      </c>
      <c r="N46" s="116" t="s">
        <v>100</v>
      </c>
      <c r="O46" s="118" t="b">
        <v>1</v>
      </c>
      <c r="P46" s="119"/>
      <c r="Q46" s="120" t="s">
        <v>81</v>
      </c>
      <c r="R46" s="121" t="b">
        <v>1</v>
      </c>
      <c r="S46" s="121" t="b">
        <v>0</v>
      </c>
      <c r="T46" s="122" t="b">
        <v>1</v>
      </c>
    </row>
    <row r="47" outlineLevel="1">
      <c r="A47" s="116" t="s">
        <v>73</v>
      </c>
      <c r="B47" s="116" t="s">
        <v>74</v>
      </c>
      <c r="C47" s="129">
        <v>46033.0</v>
      </c>
      <c r="D47" s="111"/>
      <c r="E47" s="111" t="s">
        <v>758</v>
      </c>
      <c r="F47" s="116" t="s">
        <v>365</v>
      </c>
      <c r="G47" s="116">
        <v>3.519095927E9</v>
      </c>
      <c r="H47" s="116" t="s">
        <v>759</v>
      </c>
      <c r="I47" s="116" t="s">
        <v>760</v>
      </c>
      <c r="J47" s="132">
        <v>46033.0</v>
      </c>
      <c r="K47" s="115">
        <v>45.0</v>
      </c>
      <c r="L47" s="116"/>
      <c r="M47" s="117">
        <f>IFERROR(__xludf.DUMMYFUNCTION("IF(
  K47="""",
  """",
  ROUND(
    IF(
      L47="""",
      K47,
      IF(
        ISERROR(FIND(""-"",L47)),
        K47 - VALUE(REGEXEXTRACT(L47,""(\d+)"")),
        K47 * (1 - VALUE(REGEXEXTRACT(L47,""(\d+)""))/100)
      )
    ),
    2
  )
)
"),45.0)</f>
        <v>45</v>
      </c>
      <c r="N47" s="116" t="s">
        <v>80</v>
      </c>
      <c r="O47" s="118" t="b">
        <v>0</v>
      </c>
      <c r="P47" s="119"/>
      <c r="Q47" s="120" t="s">
        <v>81</v>
      </c>
      <c r="R47" s="121" t="b">
        <v>0</v>
      </c>
      <c r="S47" s="121" t="b">
        <v>1</v>
      </c>
      <c r="T47" s="122" t="b">
        <v>1</v>
      </c>
    </row>
    <row r="48" outlineLevel="1">
      <c r="A48" s="116" t="s">
        <v>73</v>
      </c>
      <c r="B48" s="116" t="s">
        <v>74</v>
      </c>
      <c r="C48" s="129">
        <v>46035.0</v>
      </c>
      <c r="D48" s="111"/>
      <c r="E48" s="111" t="s">
        <v>761</v>
      </c>
      <c r="F48" s="116" t="s">
        <v>12</v>
      </c>
      <c r="G48" s="116">
        <v>3.48393623E9</v>
      </c>
      <c r="H48" s="116" t="s">
        <v>762</v>
      </c>
      <c r="I48" s="116" t="s">
        <v>763</v>
      </c>
      <c r="J48" s="132">
        <v>46035.0</v>
      </c>
      <c r="K48" s="115">
        <v>45.0</v>
      </c>
      <c r="L48" s="116" t="s">
        <v>99</v>
      </c>
      <c r="M48" s="117">
        <f>IFERROR(__xludf.DUMMYFUNCTION("IF(
  K48="""",
  """",
  ROUND(
    IF(
      L48="""",
      K48,
      IF(
        ISERROR(FIND(""-"",L48)),
        K48 - VALUE(REGEXEXTRACT(L48,""(\d+)"")),
        K48 * (1 - VALUE(REGEXEXTRACT(L48,""(\d+)""))/100)
      )
    ),
    2
  )
)
"),43.0)</f>
        <v>43</v>
      </c>
      <c r="N48" s="116" t="s">
        <v>80</v>
      </c>
      <c r="O48" s="118" t="b">
        <v>1</v>
      </c>
      <c r="P48" s="119"/>
      <c r="Q48" s="120" t="s">
        <v>81</v>
      </c>
      <c r="R48" s="121" t="b">
        <v>0</v>
      </c>
      <c r="S48" s="121" t="b">
        <v>1</v>
      </c>
      <c r="T48" s="122" t="b">
        <v>1</v>
      </c>
    </row>
    <row r="49" outlineLevel="1">
      <c r="A49" s="116" t="s">
        <v>73</v>
      </c>
      <c r="B49" s="116" t="s">
        <v>74</v>
      </c>
      <c r="C49" s="129">
        <v>46030.0</v>
      </c>
      <c r="D49" s="111"/>
      <c r="E49" s="111" t="s">
        <v>764</v>
      </c>
      <c r="F49" s="116" t="s">
        <v>765</v>
      </c>
      <c r="G49" s="116">
        <v>3.46160145E9</v>
      </c>
      <c r="H49" s="116" t="s">
        <v>766</v>
      </c>
      <c r="I49" s="116" t="s">
        <v>767</v>
      </c>
      <c r="J49" s="132">
        <v>46030.0</v>
      </c>
      <c r="K49" s="115">
        <v>45.0</v>
      </c>
      <c r="L49" s="116" t="s">
        <v>106</v>
      </c>
      <c r="M49" s="117">
        <f>IFERROR(__xludf.DUMMYFUNCTION("IF(
  K49="""",
  """",
  ROUND(
    IF(
      L49="""",
      K49,
      IF(
        ISERROR(FIND(""-"",L49)),
        K49 - VALUE(REGEXEXTRACT(L49,""(\d+)"")),
        K49 * (1 - VALUE(REGEXEXTRACT(L49,""(\d+)""))/100)
      )
    ),
    2
  )
)
"),43.0)</f>
        <v>43</v>
      </c>
      <c r="N49" s="116" t="s">
        <v>80</v>
      </c>
      <c r="O49" s="118" t="b">
        <v>1</v>
      </c>
      <c r="P49" s="119"/>
      <c r="Q49" s="120" t="s">
        <v>81</v>
      </c>
      <c r="R49" s="121" t="b">
        <v>0</v>
      </c>
      <c r="S49" s="121" t="b">
        <v>1</v>
      </c>
      <c r="T49" s="122" t="b">
        <v>1</v>
      </c>
    </row>
    <row r="50" outlineLevel="1">
      <c r="A50" s="116" t="s">
        <v>73</v>
      </c>
      <c r="B50" s="116" t="s">
        <v>74</v>
      </c>
      <c r="C50" s="145">
        <v>46036.0</v>
      </c>
      <c r="D50" s="111"/>
      <c r="E50" s="111" t="s">
        <v>768</v>
      </c>
      <c r="F50" s="116" t="s">
        <v>769</v>
      </c>
      <c r="G50" s="116">
        <v>3.925526799E9</v>
      </c>
      <c r="H50" s="116" t="s">
        <v>770</v>
      </c>
      <c r="I50" s="116" t="s">
        <v>771</v>
      </c>
      <c r="J50" s="126">
        <v>46036.0</v>
      </c>
      <c r="K50" s="115">
        <v>45.0</v>
      </c>
      <c r="L50" s="116"/>
      <c r="M50" s="117">
        <f>IFERROR(__xludf.DUMMYFUNCTION("IF(
  K50="""",
  """",
  ROUND(
    IF(
      L50="""",
      K50,
      IF(
        ISERROR(FIND(""-"",L50)),
        K50 - VALUE(REGEXEXTRACT(L50,""(\d+)"")),
        K50 * (1 - VALUE(REGEXEXTRACT(L50,""(\d+)""))/100)
      )
    ),
    2
  )
)
"),45.0)</f>
        <v>45</v>
      </c>
      <c r="N50" s="111" t="s">
        <v>80</v>
      </c>
      <c r="O50" s="118" t="b">
        <v>1</v>
      </c>
      <c r="P50" s="119"/>
      <c r="Q50" s="120" t="s">
        <v>81</v>
      </c>
      <c r="R50" s="121" t="b">
        <v>0</v>
      </c>
      <c r="S50" s="121" t="b">
        <v>1</v>
      </c>
      <c r="T50" s="122" t="b">
        <v>1</v>
      </c>
    </row>
    <row r="51" outlineLevel="1">
      <c r="A51" s="116" t="s">
        <v>73</v>
      </c>
      <c r="B51" s="116" t="s">
        <v>74</v>
      </c>
      <c r="C51" s="145">
        <v>46036.0</v>
      </c>
      <c r="D51" s="111"/>
      <c r="E51" s="111" t="s">
        <v>772</v>
      </c>
      <c r="F51" s="116" t="s">
        <v>773</v>
      </c>
      <c r="G51" s="116">
        <v>3.347564404E9</v>
      </c>
      <c r="H51" s="116" t="s">
        <v>774</v>
      </c>
      <c r="I51" s="116" t="s">
        <v>775</v>
      </c>
      <c r="J51" s="126">
        <v>46036.0</v>
      </c>
      <c r="K51" s="115">
        <v>45.0</v>
      </c>
      <c r="L51" s="116"/>
      <c r="M51" s="117">
        <f>IFERROR(__xludf.DUMMYFUNCTION("IF(
  K51="""",
  """",
  ROUND(
    IF(
      L51="""",
      K51,
      IF(
        ISERROR(FIND(""-"",L51)),
        K51 - VALUE(REGEXEXTRACT(L51,""(\d+)"")),
        K51 * (1 - VALUE(REGEXEXTRACT(L51,""(\d+)""))/100)
      )
    ),
    2
  )
)
"),45.0)</f>
        <v>45</v>
      </c>
      <c r="N51" s="111" t="s">
        <v>80</v>
      </c>
      <c r="O51" s="118" t="b">
        <v>0</v>
      </c>
      <c r="P51" s="119"/>
      <c r="Q51" s="120" t="s">
        <v>81</v>
      </c>
      <c r="R51" s="121" t="b">
        <v>0</v>
      </c>
      <c r="S51" s="121" t="b">
        <v>1</v>
      </c>
      <c r="T51" s="122" t="b">
        <v>1</v>
      </c>
    </row>
    <row r="52" outlineLevel="1">
      <c r="A52" s="116" t="s">
        <v>73</v>
      </c>
      <c r="B52" s="116" t="s">
        <v>74</v>
      </c>
      <c r="C52" s="145">
        <v>46040.0</v>
      </c>
      <c r="D52" s="111"/>
      <c r="E52" s="111" t="s">
        <v>776</v>
      </c>
      <c r="F52" s="116" t="s">
        <v>777</v>
      </c>
      <c r="G52" s="116">
        <v>3.663090943E9</v>
      </c>
      <c r="H52" s="116" t="s">
        <v>778</v>
      </c>
      <c r="I52" s="116" t="s">
        <v>779</v>
      </c>
      <c r="J52" s="132">
        <v>46040.0</v>
      </c>
      <c r="K52" s="115">
        <v>45.0</v>
      </c>
      <c r="L52" s="116"/>
      <c r="M52" s="117">
        <f>IFERROR(__xludf.DUMMYFUNCTION("IF(
  K52="""",
  """",
  ROUND(
    IF(
      L52="""",
      K52,
      IF(
        ISERROR(FIND(""-"",L52)),
        K52 - VALUE(REGEXEXTRACT(L52,""(\d+)"")),
        K52 * (1 - VALUE(REGEXEXTRACT(L52,""(\d+)""))/100)
      )
    ),
    2
  )
)
"),45.0)</f>
        <v>45</v>
      </c>
      <c r="N52" s="111" t="s">
        <v>80</v>
      </c>
      <c r="O52" s="118" t="b">
        <v>1</v>
      </c>
      <c r="P52" s="119"/>
      <c r="Q52" s="120" t="s">
        <v>81</v>
      </c>
      <c r="R52" s="121" t="b">
        <v>0</v>
      </c>
      <c r="S52" s="121" t="b">
        <v>1</v>
      </c>
      <c r="T52" s="122" t="b">
        <v>1</v>
      </c>
    </row>
    <row r="53" outlineLevel="1">
      <c r="A53" s="116" t="s">
        <v>73</v>
      </c>
      <c r="B53" s="116" t="s">
        <v>74</v>
      </c>
      <c r="C53" s="146">
        <v>46040.0</v>
      </c>
      <c r="D53" s="111"/>
      <c r="E53" s="111" t="s">
        <v>776</v>
      </c>
      <c r="F53" s="116" t="s">
        <v>165</v>
      </c>
      <c r="G53" s="116">
        <v>3.669542854E9</v>
      </c>
      <c r="H53" s="116" t="s">
        <v>780</v>
      </c>
      <c r="I53" s="116" t="s">
        <v>781</v>
      </c>
      <c r="J53" s="132">
        <v>46040.0</v>
      </c>
      <c r="K53" s="115">
        <v>45.0</v>
      </c>
      <c r="L53" s="116"/>
      <c r="M53" s="117">
        <f>IFERROR(__xludf.DUMMYFUNCTION("IF(
  K53="""",
  """",
  ROUND(
    IF(
      L53="""",
      K53,
      IF(
        ISERROR(FIND(""-"",L53)),
        K53 - VALUE(REGEXEXTRACT(L53,""(\d+)"")),
        K53 * (1 - VALUE(REGEXEXTRACT(L53,""(\d+)""))/100)
      )
    ),
    2
  )
)
"),45.0)</f>
        <v>45</v>
      </c>
      <c r="N53" s="111" t="s">
        <v>80</v>
      </c>
      <c r="O53" s="118" t="b">
        <v>1</v>
      </c>
      <c r="P53" s="119"/>
      <c r="Q53" s="120" t="s">
        <v>81</v>
      </c>
      <c r="R53" s="121" t="b">
        <v>0</v>
      </c>
      <c r="S53" s="121" t="b">
        <v>1</v>
      </c>
      <c r="T53" s="122" t="b">
        <v>1</v>
      </c>
    </row>
    <row r="54" outlineLevel="1">
      <c r="A54" s="116" t="s">
        <v>73</v>
      </c>
      <c r="B54" s="116" t="s">
        <v>74</v>
      </c>
      <c r="C54" s="248">
        <v>46040.0</v>
      </c>
      <c r="D54" s="111"/>
      <c r="E54" s="111" t="s">
        <v>776</v>
      </c>
      <c r="F54" s="116" t="s">
        <v>782</v>
      </c>
      <c r="G54" s="116">
        <v>3.47866641E9</v>
      </c>
      <c r="H54" s="116" t="s">
        <v>783</v>
      </c>
      <c r="I54" s="116" t="s">
        <v>784</v>
      </c>
      <c r="J54" s="135">
        <v>46040.0</v>
      </c>
      <c r="K54" s="115">
        <v>45.0</v>
      </c>
      <c r="L54" s="131"/>
      <c r="M54" s="117">
        <f>IFERROR(__xludf.DUMMYFUNCTION("IF(
  K54="""",
  """",
  ROUND(
    IF(
      L54="""",
      K54,
      IF(
        ISERROR(FIND(""-"",L54)),
        K54 - VALUE(REGEXEXTRACT(L54,""(\d+)"")),
        K54 * (1 - VALUE(REGEXEXTRACT(L54,""(\d+)""))/100)
      )
    ),
    2
  )
)
"),45.0)</f>
        <v>45</v>
      </c>
      <c r="N54" s="116" t="s">
        <v>80</v>
      </c>
      <c r="O54" s="118" t="b">
        <v>1</v>
      </c>
      <c r="P54" s="119"/>
      <c r="Q54" s="120" t="s">
        <v>81</v>
      </c>
      <c r="R54" s="121" t="b">
        <v>0</v>
      </c>
      <c r="S54" s="121" t="b">
        <v>1</v>
      </c>
      <c r="T54" s="122" t="b">
        <v>1</v>
      </c>
    </row>
    <row r="55" outlineLevel="1">
      <c r="A55" s="116" t="s">
        <v>73</v>
      </c>
      <c r="B55" s="116" t="s">
        <v>74</v>
      </c>
      <c r="C55" s="146">
        <v>46040.0</v>
      </c>
      <c r="D55" s="111"/>
      <c r="E55" s="111" t="s">
        <v>785</v>
      </c>
      <c r="F55" s="111" t="s">
        <v>786</v>
      </c>
      <c r="G55" s="111">
        <v>3.772340007E9</v>
      </c>
      <c r="H55" s="128" t="s">
        <v>787</v>
      </c>
      <c r="I55" s="111" t="s">
        <v>788</v>
      </c>
      <c r="J55" s="126">
        <v>46040.0</v>
      </c>
      <c r="K55" s="115">
        <v>45.0</v>
      </c>
      <c r="L55" s="116"/>
      <c r="M55" s="117">
        <f>IFERROR(__xludf.DUMMYFUNCTION("IF(
  K55="""",
  """",
  ROUND(
    IF(
      L55="""",
      K55,
      IF(
        ISERROR(FIND(""-"",L55)),
        K55 - VALUE(REGEXEXTRACT(L55,""(\d+)"")),
        K55 * (1 - VALUE(REGEXEXTRACT(L55,""(\d+)""))/100)
      )
    ),
    2
  )
)
"),45.0)</f>
        <v>45</v>
      </c>
      <c r="N55" s="111" t="s">
        <v>80</v>
      </c>
      <c r="O55" s="118" t="b">
        <v>1</v>
      </c>
      <c r="P55" s="119"/>
      <c r="Q55" s="120" t="s">
        <v>81</v>
      </c>
      <c r="R55" s="121" t="b">
        <v>0</v>
      </c>
      <c r="S55" s="121" t="b">
        <v>1</v>
      </c>
      <c r="T55" s="122" t="b">
        <v>1</v>
      </c>
    </row>
    <row r="56" outlineLevel="1">
      <c r="A56" s="116" t="s">
        <v>73</v>
      </c>
      <c r="B56" s="116" t="s">
        <v>74</v>
      </c>
      <c r="C56" s="145">
        <v>46040.0</v>
      </c>
      <c r="D56" s="111"/>
      <c r="E56" s="111" t="s">
        <v>789</v>
      </c>
      <c r="F56" s="116" t="s">
        <v>175</v>
      </c>
      <c r="G56" s="116">
        <v>3.47450273E9</v>
      </c>
      <c r="H56" s="116" t="s">
        <v>790</v>
      </c>
      <c r="I56" s="116" t="s">
        <v>791</v>
      </c>
      <c r="J56" s="126">
        <v>46040.0</v>
      </c>
      <c r="K56" s="115">
        <v>45.0</v>
      </c>
      <c r="L56" s="116"/>
      <c r="M56" s="150">
        <f>IFERROR(__xludf.DUMMYFUNCTION("IF(
  K56="""",
  """",
  ROUND(
    IF(
      L56="""",
      K56,
      IF(
        ISERROR(FIND(""-"",L56)),
        K56 - VALUE(REGEXEXTRACT(L56,""(\d+)"")),
        K56 * (1 - VALUE(REGEXEXTRACT(L56,""(\d+)""))/100)
      )
    ),
    2
  )
)
"),45.0)</f>
        <v>45</v>
      </c>
      <c r="N56" s="111" t="s">
        <v>80</v>
      </c>
      <c r="O56" s="118" t="b">
        <v>1</v>
      </c>
      <c r="P56" s="119"/>
      <c r="Q56" s="120" t="s">
        <v>81</v>
      </c>
      <c r="R56" s="121" t="b">
        <v>0</v>
      </c>
      <c r="S56" s="121" t="b">
        <v>1</v>
      </c>
      <c r="T56" s="122" t="b">
        <v>1</v>
      </c>
    </row>
    <row r="57" outlineLevel="1">
      <c r="A57" s="116" t="s">
        <v>73</v>
      </c>
      <c r="B57" s="116" t="s">
        <v>74</v>
      </c>
      <c r="C57" s="145">
        <v>46041.0</v>
      </c>
      <c r="D57" s="111"/>
      <c r="E57" s="111" t="s">
        <v>792</v>
      </c>
      <c r="F57" s="116" t="s">
        <v>793</v>
      </c>
      <c r="G57" s="116">
        <v>3.20094462E9</v>
      </c>
      <c r="H57" s="151" t="s">
        <v>794</v>
      </c>
      <c r="I57" s="116" t="s">
        <v>795</v>
      </c>
      <c r="J57" s="126">
        <v>46041.0</v>
      </c>
      <c r="K57" s="115">
        <v>45.0</v>
      </c>
      <c r="L57" s="116"/>
      <c r="M57" s="150">
        <f>IFERROR(__xludf.DUMMYFUNCTION("IF(
  K57="""",
  """",
  ROUND(
    IF(
      L57="""",
      K57,
      IF(
        ISERROR(FIND(""-"",L57)),
        K57 - VALUE(REGEXEXTRACT(L57,""(\d+)"")),
        K57 * (1 - VALUE(REGEXEXTRACT(L57,""(\d+)""))/100)
      )
    ),
    2
  )
)
"),45.0)</f>
        <v>45</v>
      </c>
      <c r="N57" s="116" t="s">
        <v>80</v>
      </c>
      <c r="O57" s="118" t="b">
        <v>1</v>
      </c>
      <c r="P57" s="119"/>
      <c r="Q57" s="120" t="s">
        <v>81</v>
      </c>
      <c r="R57" s="121" t="b">
        <v>0</v>
      </c>
      <c r="S57" s="121" t="b">
        <v>1</v>
      </c>
      <c r="T57" s="122" t="b">
        <v>1</v>
      </c>
    </row>
    <row r="58" outlineLevel="1">
      <c r="A58" s="116" t="s">
        <v>73</v>
      </c>
      <c r="B58" s="116" t="s">
        <v>74</v>
      </c>
      <c r="C58" s="129">
        <v>46041.0</v>
      </c>
      <c r="D58" s="111"/>
      <c r="E58" s="111" t="s">
        <v>796</v>
      </c>
      <c r="F58" s="116" t="s">
        <v>797</v>
      </c>
      <c r="G58" s="116">
        <v>3.518684848E9</v>
      </c>
      <c r="H58" s="151" t="s">
        <v>798</v>
      </c>
      <c r="I58" s="116" t="s">
        <v>799</v>
      </c>
      <c r="J58" s="132">
        <v>46041.0</v>
      </c>
      <c r="K58" s="115">
        <v>45.0</v>
      </c>
      <c r="L58" s="116" t="s">
        <v>106</v>
      </c>
      <c r="M58" s="150">
        <f>IFERROR(__xludf.DUMMYFUNCTION("IF(
  K58="""",
  """",
  ROUND(
    IF(
      L58="""",
      K58,
      IF(
        ISERROR(FIND(""-"",L58)),
        K58 - VALUE(REGEXEXTRACT(L58,""(\d+)"")),
        K58 * (1 - VALUE(REGEXEXTRACT(L58,""(\d+)""))/100)
      )
    ),
    2
  )
)
"),43.0)</f>
        <v>43</v>
      </c>
      <c r="N58" s="116" t="s">
        <v>100</v>
      </c>
      <c r="O58" s="118" t="b">
        <v>1</v>
      </c>
      <c r="P58" s="119"/>
      <c r="Q58" s="120" t="s">
        <v>81</v>
      </c>
      <c r="R58" s="121" t="b">
        <v>1</v>
      </c>
      <c r="S58" s="121" t="b">
        <v>0</v>
      </c>
      <c r="T58" s="122" t="b">
        <v>1</v>
      </c>
    </row>
    <row r="59" outlineLevel="1">
      <c r="A59" s="116" t="s">
        <v>73</v>
      </c>
      <c r="B59" s="116" t="s">
        <v>74</v>
      </c>
      <c r="C59" s="129">
        <v>46042.0</v>
      </c>
      <c r="D59" s="111"/>
      <c r="E59" s="111" t="s">
        <v>800</v>
      </c>
      <c r="F59" s="116" t="s">
        <v>472</v>
      </c>
      <c r="G59" s="116">
        <v>3.3433281853E10</v>
      </c>
      <c r="H59" s="151" t="s">
        <v>801</v>
      </c>
      <c r="I59" s="116" t="s">
        <v>802</v>
      </c>
      <c r="J59" s="132">
        <v>46042.0</v>
      </c>
      <c r="K59" s="115">
        <v>45.0</v>
      </c>
      <c r="L59" s="116"/>
      <c r="M59" s="150">
        <f>IFERROR(__xludf.DUMMYFUNCTION("IF(
  K59="""",
  """",
  ROUND(
    IF(
      L59="""",
      K59,
      IF(
        ISERROR(FIND(""-"",L59)),
        K59 - VALUE(REGEXEXTRACT(L59,""(\d+)"")),
        K59 * (1 - VALUE(REGEXEXTRACT(L59,""(\d+)""))/100)
      )
    ),
    2
  )
)
"),45.0)</f>
        <v>45</v>
      </c>
      <c r="N59" s="116" t="s">
        <v>80</v>
      </c>
      <c r="O59" s="118" t="b">
        <v>1</v>
      </c>
      <c r="P59" s="119"/>
      <c r="Q59" s="120" t="s">
        <v>81</v>
      </c>
      <c r="R59" s="121" t="b">
        <v>0</v>
      </c>
      <c r="S59" s="121" t="b">
        <v>1</v>
      </c>
      <c r="T59" s="122" t="b">
        <v>1</v>
      </c>
    </row>
    <row r="60" outlineLevel="1">
      <c r="A60" s="116" t="s">
        <v>73</v>
      </c>
      <c r="B60" s="116" t="s">
        <v>74</v>
      </c>
      <c r="C60" s="129">
        <v>46042.0</v>
      </c>
      <c r="D60" s="111"/>
      <c r="E60" s="111" t="s">
        <v>803</v>
      </c>
      <c r="F60" s="116" t="s">
        <v>236</v>
      </c>
      <c r="G60" s="116">
        <v>3.46894488E9</v>
      </c>
      <c r="H60" s="151" t="s">
        <v>804</v>
      </c>
      <c r="I60" s="116" t="s">
        <v>805</v>
      </c>
      <c r="J60" s="132">
        <v>46042.0</v>
      </c>
      <c r="K60" s="115">
        <v>45.0</v>
      </c>
      <c r="L60" s="116" t="s">
        <v>106</v>
      </c>
      <c r="M60" s="150">
        <f>IFERROR(__xludf.DUMMYFUNCTION("IF(
  K60="""",
  """",
  ROUND(
    IF(
      L60="""",
      K60,
      IF(
        ISERROR(FIND(""-"",L60)),
        K60 - VALUE(REGEXEXTRACT(L60,""(\d+)"")),
        K60 * (1 - VALUE(REGEXEXTRACT(L60,""(\d+)""))/100)
      )
    ),
    2
  )
)
"),43.0)</f>
        <v>43</v>
      </c>
      <c r="N60" s="116" t="s">
        <v>100</v>
      </c>
      <c r="O60" s="118" t="b">
        <v>1</v>
      </c>
      <c r="P60" s="119"/>
      <c r="Q60" s="120" t="s">
        <v>81</v>
      </c>
      <c r="R60" s="121" t="b">
        <v>1</v>
      </c>
      <c r="S60" s="121" t="b">
        <v>0</v>
      </c>
      <c r="T60" s="122" t="b">
        <v>1</v>
      </c>
    </row>
    <row r="61" outlineLevel="1">
      <c r="A61" s="116" t="s">
        <v>73</v>
      </c>
      <c r="B61" s="116" t="s">
        <v>74</v>
      </c>
      <c r="C61" s="129">
        <v>46043.0</v>
      </c>
      <c r="D61" s="111"/>
      <c r="E61" s="111" t="s">
        <v>806</v>
      </c>
      <c r="F61" s="116" t="s">
        <v>294</v>
      </c>
      <c r="G61" s="116">
        <v>3.341355913E9</v>
      </c>
      <c r="H61" s="151" t="s">
        <v>807</v>
      </c>
      <c r="I61" s="116" t="s">
        <v>808</v>
      </c>
      <c r="J61" s="132">
        <v>46043.0</v>
      </c>
      <c r="K61" s="115">
        <v>45.0</v>
      </c>
      <c r="L61" s="116" t="s">
        <v>99</v>
      </c>
      <c r="M61" s="150">
        <f>IFERROR(__xludf.DUMMYFUNCTION("IF(
  K61="""",
  """",
  ROUND(
    IF(
      L61="""",
      K61,
      IF(
        ISERROR(FIND(""-"",L61)),
        K61 - VALUE(REGEXEXTRACT(L61,""(\d+)"")),
        K61 * (1 - VALUE(REGEXEXTRACT(L61,""(\d+)""))/100)
      )
    ),
    2
  )
)
"),43.0)</f>
        <v>43</v>
      </c>
      <c r="N61" s="116" t="s">
        <v>80</v>
      </c>
      <c r="O61" s="118" t="b">
        <v>1</v>
      </c>
      <c r="P61" s="119"/>
      <c r="Q61" s="120" t="s">
        <v>81</v>
      </c>
      <c r="R61" s="121" t="b">
        <v>0</v>
      </c>
      <c r="S61" s="121" t="b">
        <v>1</v>
      </c>
      <c r="T61" s="122" t="b">
        <v>1</v>
      </c>
    </row>
    <row r="62" outlineLevel="1">
      <c r="A62" s="116" t="s">
        <v>368</v>
      </c>
      <c r="B62" s="116" t="s">
        <v>369</v>
      </c>
      <c r="C62" s="129">
        <v>46044.0</v>
      </c>
      <c r="D62" s="111" t="s">
        <v>809</v>
      </c>
      <c r="E62" s="111" t="s">
        <v>810</v>
      </c>
      <c r="F62" s="116" t="s">
        <v>811</v>
      </c>
      <c r="G62" s="116">
        <v>3.332963894E9</v>
      </c>
      <c r="H62" s="151" t="s">
        <v>812</v>
      </c>
      <c r="I62" s="116" t="s">
        <v>813</v>
      </c>
      <c r="J62" s="134">
        <v>46044.0</v>
      </c>
      <c r="K62" s="115">
        <v>45.0</v>
      </c>
      <c r="L62" s="116" t="s">
        <v>79</v>
      </c>
      <c r="M62" s="150">
        <f>IFERROR(__xludf.DUMMYFUNCTION("IF(
  K62="""",
  """",
  ROUND(
    IF(
      L62="""",
      K62,
      IF(
        ISERROR(FIND(""-"",L62)),
        K62 - VALUE(REGEXEXTRACT(L62,""(\d+)"")),
        K62 * (1 - VALUE(REGEXEXTRACT(L62,""(\d+)""))/100)
      )
    ),
    2
  )
)
"),43.0)</f>
        <v>43</v>
      </c>
      <c r="N62" s="116" t="s">
        <v>100</v>
      </c>
      <c r="O62" s="118" t="b">
        <v>1</v>
      </c>
      <c r="P62" s="119"/>
      <c r="Q62" s="120" t="s">
        <v>81</v>
      </c>
      <c r="R62" s="121" t="b">
        <v>0</v>
      </c>
      <c r="S62" s="121" t="b">
        <v>1</v>
      </c>
      <c r="T62" s="122" t="b">
        <v>1</v>
      </c>
    </row>
    <row r="63" outlineLevel="1">
      <c r="A63" s="116" t="s">
        <v>73</v>
      </c>
      <c r="B63" s="116" t="s">
        <v>74</v>
      </c>
      <c r="C63" s="129">
        <v>46044.0</v>
      </c>
      <c r="D63" s="111"/>
      <c r="E63" s="111" t="s">
        <v>814</v>
      </c>
      <c r="F63" s="116" t="s">
        <v>713</v>
      </c>
      <c r="G63" s="116">
        <v>3.480337661E9</v>
      </c>
      <c r="H63" s="151" t="s">
        <v>815</v>
      </c>
      <c r="I63" s="116" t="s">
        <v>816</v>
      </c>
      <c r="J63" s="134">
        <v>46044.0</v>
      </c>
      <c r="K63" s="115">
        <v>45.0</v>
      </c>
      <c r="L63" s="116"/>
      <c r="M63" s="150">
        <f>IFERROR(__xludf.DUMMYFUNCTION("IF(
  K63="""",
  """",
  ROUND(
    IF(
      L63="""",
      K63,
      IF(
        ISERROR(FIND(""-"",L63)),
        K63 - VALUE(REGEXEXTRACT(L63,""(\d+)"")),
        K63 * (1 - VALUE(REGEXEXTRACT(L63,""(\d+)""))/100)
      )
    ),
    2
  )
)
"),45.0)</f>
        <v>45</v>
      </c>
      <c r="N63" s="116" t="s">
        <v>80</v>
      </c>
      <c r="O63" s="118" t="b">
        <v>1</v>
      </c>
      <c r="P63" s="119"/>
      <c r="Q63" s="120" t="s">
        <v>81</v>
      </c>
      <c r="R63" s="121" t="b">
        <v>0</v>
      </c>
      <c r="S63" s="121" t="b">
        <v>1</v>
      </c>
      <c r="T63" s="122" t="b">
        <v>1</v>
      </c>
    </row>
    <row r="64" outlineLevel="1">
      <c r="A64" s="116" t="s">
        <v>73</v>
      </c>
      <c r="B64" s="116" t="s">
        <v>74</v>
      </c>
      <c r="C64" s="129">
        <v>46044.0</v>
      </c>
      <c r="D64" s="111"/>
      <c r="E64" s="111" t="s">
        <v>817</v>
      </c>
      <c r="F64" s="116" t="s">
        <v>818</v>
      </c>
      <c r="G64" s="116">
        <v>3.460412708E9</v>
      </c>
      <c r="H64" s="151" t="s">
        <v>819</v>
      </c>
      <c r="I64" s="116" t="s">
        <v>820</v>
      </c>
      <c r="J64" s="134">
        <v>46044.0</v>
      </c>
      <c r="K64" s="115">
        <v>45.0</v>
      </c>
      <c r="L64" s="116"/>
      <c r="M64" s="150">
        <f>IFERROR(__xludf.DUMMYFUNCTION("IF(
  K64="""",
  """",
  ROUND(
    IF(
      L64="""",
      K64,
      IF(
        ISERROR(FIND(""-"",L64)),
        K64 - VALUE(REGEXEXTRACT(L64,""(\d+)"")),
        K64 * (1 - VALUE(REGEXEXTRACT(L64,""(\d+)""))/100)
      )
    ),
    2
  )
)
"),45.0)</f>
        <v>45</v>
      </c>
      <c r="N64" s="116" t="s">
        <v>80</v>
      </c>
      <c r="O64" s="118" t="b">
        <v>1</v>
      </c>
      <c r="P64" s="119"/>
      <c r="Q64" s="120" t="s">
        <v>81</v>
      </c>
      <c r="R64" s="121" t="b">
        <v>0</v>
      </c>
      <c r="S64" s="121" t="b">
        <v>1</v>
      </c>
      <c r="T64" s="122" t="b">
        <v>1</v>
      </c>
    </row>
    <row r="65" outlineLevel="1">
      <c r="A65" s="111" t="s">
        <v>73</v>
      </c>
      <c r="B65" s="116" t="s">
        <v>74</v>
      </c>
      <c r="C65" s="112">
        <v>46047.0</v>
      </c>
      <c r="D65" s="111"/>
      <c r="E65" s="111" t="s">
        <v>821</v>
      </c>
      <c r="F65" s="111" t="s">
        <v>647</v>
      </c>
      <c r="G65" s="111">
        <v>3.881564179E9</v>
      </c>
      <c r="H65" s="144" t="s">
        <v>822</v>
      </c>
      <c r="I65" s="111" t="s">
        <v>823</v>
      </c>
      <c r="J65" s="114">
        <v>46047.0</v>
      </c>
      <c r="K65" s="115">
        <v>45.0</v>
      </c>
      <c r="L65" s="116"/>
      <c r="M65" s="117">
        <f>IFERROR(__xludf.DUMMYFUNCTION("IF(
  K65="""",
  """",
  ROUND(
    IF(
      L65="""",
      K65,
      IF(
        ISERROR(FIND(""-"",L65)),
        K65 - VALUE(REGEXEXTRACT(L65,""(\d+)"")),
        K65 * (1 - VALUE(REGEXEXTRACT(L65,""(\d+)""))/100)
      )
    ),
    2
  )
)
"),45.0)</f>
        <v>45</v>
      </c>
      <c r="N65" s="111" t="s">
        <v>80</v>
      </c>
      <c r="O65" s="154" t="b">
        <v>1</v>
      </c>
      <c r="P65" s="119"/>
      <c r="Q65" s="120" t="s">
        <v>81</v>
      </c>
      <c r="R65" s="121" t="b">
        <v>0</v>
      </c>
      <c r="S65" s="121" t="b">
        <v>1</v>
      </c>
      <c r="T65" s="122" t="b">
        <v>1</v>
      </c>
    </row>
    <row r="66" outlineLevel="1">
      <c r="A66" s="111" t="s">
        <v>73</v>
      </c>
      <c r="B66" s="116" t="s">
        <v>74</v>
      </c>
      <c r="C66" s="112">
        <v>46048.0</v>
      </c>
      <c r="D66" s="111"/>
      <c r="E66" s="111" t="s">
        <v>824</v>
      </c>
      <c r="F66" s="111" t="s">
        <v>825</v>
      </c>
      <c r="G66" s="111">
        <v>3.386610225E9</v>
      </c>
      <c r="H66" s="144" t="s">
        <v>826</v>
      </c>
      <c r="I66" s="111" t="s">
        <v>827</v>
      </c>
      <c r="J66" s="114">
        <v>46048.0</v>
      </c>
      <c r="K66" s="115">
        <v>45.0</v>
      </c>
      <c r="L66" s="116" t="s">
        <v>394</v>
      </c>
      <c r="M66" s="117">
        <f>IFERROR(__xludf.DUMMYFUNCTION("IF(
  K66="""",
  """",
  ROUND(
    IF(
      L66="""",
      K66,
      IF(
        ISERROR(FIND(""-"",L66)),
        K66 - VALUE(REGEXEXTRACT(L66,""(\d+)"")),
        K66 * (1 - VALUE(REGEXEXTRACT(L66,""(\d+)""))/100)
      )
    ),
    2
  )
)
"),43.0)</f>
        <v>43</v>
      </c>
      <c r="N66" s="111" t="s">
        <v>80</v>
      </c>
      <c r="O66" s="154" t="b">
        <v>0</v>
      </c>
      <c r="P66" s="119"/>
      <c r="Q66" s="120" t="s">
        <v>81</v>
      </c>
      <c r="R66" s="121" t="b">
        <v>0</v>
      </c>
      <c r="S66" s="121" t="b">
        <v>1</v>
      </c>
      <c r="T66" s="122" t="b">
        <v>1</v>
      </c>
    </row>
    <row r="67" outlineLevel="1">
      <c r="A67" s="111" t="s">
        <v>73</v>
      </c>
      <c r="B67" s="116" t="s">
        <v>74</v>
      </c>
      <c r="C67" s="112">
        <v>46048.0</v>
      </c>
      <c r="D67" s="111"/>
      <c r="E67" s="111" t="s">
        <v>828</v>
      </c>
      <c r="F67" s="111" t="s">
        <v>829</v>
      </c>
      <c r="G67" s="111">
        <v>3.911164496E9</v>
      </c>
      <c r="H67" s="144" t="s">
        <v>830</v>
      </c>
      <c r="I67" s="111" t="s">
        <v>831</v>
      </c>
      <c r="J67" s="114">
        <v>46048.0</v>
      </c>
      <c r="K67" s="115">
        <v>45.0</v>
      </c>
      <c r="L67" s="116"/>
      <c r="M67" s="117">
        <f>IFERROR(__xludf.DUMMYFUNCTION("IF(
  K67="""",
  """",
  ROUND(
    IF(
      L67="""",
      K67,
      IF(
        ISERROR(FIND(""-"",L67)),
        K67 - VALUE(REGEXEXTRACT(L67,""(\d+)"")),
        K67 * (1 - VALUE(REGEXEXTRACT(L67,""(\d+)""))/100)
      )
    ),
    2
  )
)
"),45.0)</f>
        <v>45</v>
      </c>
      <c r="N67" s="111" t="s">
        <v>80</v>
      </c>
      <c r="O67" s="154" t="b">
        <v>1</v>
      </c>
      <c r="P67" s="119"/>
      <c r="Q67" s="120" t="s">
        <v>81</v>
      </c>
      <c r="R67" s="121" t="b">
        <v>0</v>
      </c>
      <c r="S67" s="121" t="b">
        <v>1</v>
      </c>
      <c r="T67" s="122" t="b">
        <v>1</v>
      </c>
    </row>
    <row r="68" outlineLevel="1">
      <c r="A68" s="111" t="s">
        <v>73</v>
      </c>
      <c r="B68" s="116" t="s">
        <v>74</v>
      </c>
      <c r="C68" s="112">
        <v>46050.0</v>
      </c>
      <c r="D68" s="111" t="s">
        <v>192</v>
      </c>
      <c r="E68" s="111" t="s">
        <v>193</v>
      </c>
      <c r="F68" s="111" t="s">
        <v>151</v>
      </c>
      <c r="G68" s="111">
        <v>3.382295075E9</v>
      </c>
      <c r="H68" s="144" t="s">
        <v>194</v>
      </c>
      <c r="I68" s="111" t="s">
        <v>195</v>
      </c>
      <c r="J68" s="114">
        <v>46050.0</v>
      </c>
      <c r="K68" s="115">
        <v>45.0</v>
      </c>
      <c r="L68" s="116"/>
      <c r="M68" s="117">
        <f>IFERROR(__xludf.DUMMYFUNCTION("IF(
  K68="""",
  """",
  ROUND(
    IF(
      L68="""",
      K68,
      IF(
        ISERROR(FIND(""-"",L68)),
        K68 - VALUE(REGEXEXTRACT(L68,""(\d+)"")),
        K68 * (1 - VALUE(REGEXEXTRACT(L68,""(\d+)""))/100)
      )
    ),
    2
  )
)
"),45.0)</f>
        <v>45</v>
      </c>
      <c r="N68" s="111" t="s">
        <v>100</v>
      </c>
      <c r="O68" s="154" t="b">
        <v>1</v>
      </c>
      <c r="P68" s="119"/>
      <c r="Q68" s="120" t="s">
        <v>81</v>
      </c>
      <c r="R68" s="121" t="b">
        <v>1</v>
      </c>
      <c r="S68" s="121" t="b">
        <v>0</v>
      </c>
      <c r="T68" s="122" t="b">
        <v>1</v>
      </c>
    </row>
    <row r="69"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64</v>
      </c>
      <c r="C84" s="160" t="s">
        <v>116</v>
      </c>
      <c r="D84" s="161">
        <f t="shared" ref="D84:F84" si="1">COUNTIF(D4:D83, "*")</f>
        <v>8</v>
      </c>
      <c r="E84" s="161">
        <f t="shared" si="1"/>
        <v>64</v>
      </c>
      <c r="F84" s="161">
        <f t="shared" si="1"/>
        <v>64</v>
      </c>
      <c r="G84" s="162">
        <f>COUNTA(G4:G83)</f>
        <v>64</v>
      </c>
      <c r="H84" s="161">
        <f t="shared" ref="H84:I84" si="2">COUNTIF(H4:H83, "*")</f>
        <v>60</v>
      </c>
      <c r="I84" s="161">
        <f t="shared" si="2"/>
        <v>64</v>
      </c>
      <c r="J84" s="160" t="s">
        <v>116</v>
      </c>
      <c r="K84" s="163">
        <f>SUM(K4:K83)</f>
        <v>2880</v>
      </c>
      <c r="L84" s="161">
        <f>COUNTIF(L4:L83, "*")</f>
        <v>33</v>
      </c>
      <c r="M84" s="163">
        <f>SUM(M4:M83)</f>
        <v>2814</v>
      </c>
      <c r="N84" s="161">
        <f>COUNTIF(N4:N83, "*")</f>
        <v>57</v>
      </c>
      <c r="O84" s="161">
        <f>SUMPRODUCT(--O4:O83)</f>
        <v>58</v>
      </c>
      <c r="P84" s="161">
        <f t="shared" ref="P84:Q84" si="3">COUNTIF(P4:P83, "*")</f>
        <v>14</v>
      </c>
      <c r="Q84" s="161">
        <f t="shared" si="3"/>
        <v>56</v>
      </c>
      <c r="R84" s="161">
        <f t="shared" ref="R84:T84" si="4">SUMPRODUCT(--R4:R83)</f>
        <v>11</v>
      </c>
      <c r="S84" s="161">
        <f t="shared" si="4"/>
        <v>49</v>
      </c>
      <c r="T84" s="161">
        <f t="shared" si="4"/>
        <v>64</v>
      </c>
    </row>
    <row r="85">
      <c r="A85" s="164" t="s">
        <v>117</v>
      </c>
      <c r="B85" s="165">
        <f>COUNTIF(B4:B83, "SEDE*")</f>
        <v>3</v>
      </c>
      <c r="C85" s="142"/>
      <c r="D85" s="166" t="s">
        <v>118</v>
      </c>
      <c r="E85" s="167" t="s">
        <v>119</v>
      </c>
      <c r="F85" s="168">
        <f>IFERROR(__xludf.DUMMYFUNCTION("IFERROR(TRANSPOSE(SORT(UNIQUE(FILTER($M$4:$M$83,$M$4:$M$83&lt;&gt;"""")))),"""")"),43.0)</f>
        <v>43</v>
      </c>
      <c r="G85" s="168">
        <f>IFERROR(__xludf.DUMMYFUNCTION("""COMPUTED_VALUE"""),45.0)</f>
        <v>45</v>
      </c>
      <c r="H85" s="168"/>
      <c r="I85" s="168"/>
      <c r="J85" s="168"/>
      <c r="K85" s="169"/>
      <c r="L85" s="169"/>
      <c r="M85" s="169"/>
      <c r="N85" s="169"/>
      <c r="O85" s="168"/>
      <c r="P85" s="170" t="s">
        <v>40</v>
      </c>
      <c r="Q85" s="171">
        <f>IF(SUM(F87:O87)=0,"",SUM(F87:O87))
</f>
        <v>129</v>
      </c>
      <c r="R85" s="164" t="s">
        <v>120</v>
      </c>
      <c r="S85" s="165" t="str">
        <f>IF(SUM(M84) = SUM(Q85:Q89), "OK", "ERRORE")</f>
        <v>OK</v>
      </c>
    </row>
    <row r="86">
      <c r="A86" s="164" t="s">
        <v>74</v>
      </c>
      <c r="B86" s="165">
        <f>COUNTIF(B4:B83, "ONLINE")</f>
        <v>61</v>
      </c>
      <c r="E86" s="172" t="s">
        <v>121</v>
      </c>
      <c r="F86" s="172">
        <f t="shared" ref="F86:O86" si="5">IF(
  F$85="",
  "",
  COUNTIFS($B$4:$B$83,"*SEDE*",$M$4:$M$83,F$85)
)
</f>
        <v>3</v>
      </c>
      <c r="G86" s="172">
        <f t="shared" si="5"/>
        <v>0</v>
      </c>
      <c r="H86" s="172" t="str">
        <f t="shared" si="5"/>
        <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f t="shared" ref="F87:O87" si="6">IF(
  F$85="",
  "",
  SUMIFS($M$4:$M$83,$B$4:$B$83,"*SEDE*",$M$4:$M$83,F$85)
)
</f>
        <v>129</v>
      </c>
      <c r="G87" s="174">
        <f t="shared" si="6"/>
        <v>0</v>
      </c>
      <c r="H87" s="174" t="str">
        <f t="shared" si="6"/>
        <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f t="shared" ref="F88:O88" si="7">IF(
  F$85="",
  "",
  COUNTIFS($B$4:$B$83,"*ONLINE*",$M$4:$M$83,F$85)
)
</f>
        <v>30</v>
      </c>
      <c r="G88" s="175">
        <f t="shared" si="7"/>
        <v>31</v>
      </c>
      <c r="H88" s="175" t="str">
        <f t="shared" si="7"/>
        <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f>IF(SUM(F89:O89)=0,"",SUM(F89:O89))
</f>
        <v>2685</v>
      </c>
    </row>
    <row r="89">
      <c r="E89" s="173" t="s">
        <v>124</v>
      </c>
      <c r="F89" s="174">
        <f t="shared" ref="F89:O89" si="8">IF(
  F$85="",
  "",
  SUMIFS($M$4:$M$83,$B$4:$B$83,"*ONLINE*",$M$4:$M$83,F$85)
)
</f>
        <v>1290</v>
      </c>
      <c r="G89" s="174">
        <f t="shared" si="8"/>
        <v>1395</v>
      </c>
      <c r="H89" s="174" t="str">
        <f t="shared" si="8"/>
        <v/>
      </c>
      <c r="I89" s="174" t="str">
        <f t="shared" si="8"/>
        <v/>
      </c>
      <c r="J89" s="174" t="str">
        <f t="shared" si="8"/>
        <v/>
      </c>
      <c r="K89" s="174" t="str">
        <f t="shared" si="8"/>
        <v/>
      </c>
      <c r="L89" s="174" t="str">
        <f t="shared" si="8"/>
        <v/>
      </c>
      <c r="M89" s="174" t="str">
        <f t="shared" si="8"/>
        <v/>
      </c>
      <c r="N89" s="174" t="str">
        <f t="shared" si="8"/>
        <v/>
      </c>
      <c r="O89" s="174" t="str">
        <f t="shared" si="8"/>
        <v/>
      </c>
    </row>
    <row r="90" ht="26.25" customHeight="1">
      <c r="A90" s="176" t="s">
        <v>832</v>
      </c>
      <c r="B90" s="176"/>
      <c r="C90" s="176" t="s">
        <v>125</v>
      </c>
    </row>
    <row r="91" outlineLevel="1">
      <c r="A91" s="116" t="s">
        <v>73</v>
      </c>
      <c r="B91" s="116" t="s">
        <v>74</v>
      </c>
      <c r="C91" s="129">
        <v>46059.0</v>
      </c>
      <c r="D91" s="157"/>
      <c r="E91" s="111" t="s">
        <v>833</v>
      </c>
      <c r="F91" s="260" t="s">
        <v>312</v>
      </c>
      <c r="G91" s="116">
        <v>3.338841283E9</v>
      </c>
      <c r="H91" s="251" t="s">
        <v>834</v>
      </c>
      <c r="I91" s="156" t="s">
        <v>835</v>
      </c>
      <c r="J91" s="134">
        <v>46059.0</v>
      </c>
      <c r="K91" s="177">
        <v>45.0</v>
      </c>
      <c r="L91" s="116"/>
      <c r="M91" s="178">
        <f>IFERROR(__xludf.DUMMYFUNCTION("IF(
  K91="""",
  """",
  ROUND(
    IF(
      L91="""",
      K91,
      IF(
        ISERROR(FIND(""-"",L91)),
        K91 - VALUE(REGEXEXTRACT(L91,""(\d+)"")),
        K91 * (1 - VALUE(REGEXEXTRACT(L91,""(\d+)""))/100)
      )
    ),
    2
  )
)
"),45.0)</f>
        <v>45</v>
      </c>
      <c r="N91" s="116" t="s">
        <v>80</v>
      </c>
      <c r="O91" s="118" t="b">
        <v>1</v>
      </c>
      <c r="P91" s="254"/>
      <c r="Q91" s="120" t="s">
        <v>81</v>
      </c>
      <c r="R91" s="121" t="b">
        <v>0</v>
      </c>
      <c r="S91" s="121" t="b">
        <v>1</v>
      </c>
      <c r="T91" s="122" t="b">
        <v>1</v>
      </c>
    </row>
    <row r="92" outlineLevel="1">
      <c r="A92" s="116" t="s">
        <v>73</v>
      </c>
      <c r="B92" s="116" t="s">
        <v>74</v>
      </c>
      <c r="C92" s="129">
        <v>46059.0</v>
      </c>
      <c r="D92" s="116"/>
      <c r="E92" s="111" t="s">
        <v>836</v>
      </c>
      <c r="F92" s="111" t="s">
        <v>347</v>
      </c>
      <c r="G92" s="111">
        <v>3.389317331E9</v>
      </c>
      <c r="H92" s="116" t="s">
        <v>837</v>
      </c>
      <c r="I92" s="116" t="s">
        <v>838</v>
      </c>
      <c r="J92" s="132">
        <v>46059.0</v>
      </c>
      <c r="K92" s="177">
        <v>45.0</v>
      </c>
      <c r="L92" s="116"/>
      <c r="M92" s="178">
        <f>IFERROR(__xludf.DUMMYFUNCTION("IF(
  K92="""",
  """",
  ROUND(
    IF(
      L92="""",
      K92,
      IF(
        ISERROR(FIND(""-"",L92)),
        K92 - VALUE(REGEXEXTRACT(L92,""(\d+)"")),
        K92 * (1 - VALUE(REGEXEXTRACT(L92,""(\d+)""))/100)
      )
    ),
    2
  )
)
"),45.0)</f>
        <v>45</v>
      </c>
      <c r="N92" s="116" t="s">
        <v>80</v>
      </c>
      <c r="O92" s="118" t="b">
        <v>1</v>
      </c>
      <c r="P92" s="254"/>
      <c r="Q92" s="120" t="s">
        <v>81</v>
      </c>
      <c r="R92" s="121" t="b">
        <v>0</v>
      </c>
      <c r="S92" s="121" t="b">
        <v>1</v>
      </c>
      <c r="T92" s="122" t="b">
        <v>1</v>
      </c>
    </row>
    <row r="93" outlineLevel="1">
      <c r="A93" s="116" t="s">
        <v>73</v>
      </c>
      <c r="B93" s="116" t="s">
        <v>74</v>
      </c>
      <c r="C93" s="112">
        <v>46059.0</v>
      </c>
      <c r="D93" s="116"/>
      <c r="E93" s="111" t="s">
        <v>839</v>
      </c>
      <c r="F93" s="111" t="s">
        <v>840</v>
      </c>
      <c r="G93" s="111">
        <v>3.49614682E9</v>
      </c>
      <c r="H93" s="111" t="s">
        <v>841</v>
      </c>
      <c r="I93" s="111" t="s">
        <v>842</v>
      </c>
      <c r="J93" s="126">
        <v>46059.0</v>
      </c>
      <c r="K93" s="177">
        <v>45.0</v>
      </c>
      <c r="L93" s="116" t="s">
        <v>79</v>
      </c>
      <c r="M93" s="178">
        <f>IFERROR(__xludf.DUMMYFUNCTION("IF(
  K93="""",
  """",
  ROUND(
    IF(
      L93="""",
      K93,
      IF(
        ISERROR(FIND(""-"",L93)),
        K93 - VALUE(REGEXEXTRACT(L93,""(\d+)"")),
        K93 * (1 - VALUE(REGEXEXTRACT(L93,""(\d+)""))/100)
      )
    ),
    2
  )
)
"),43.0)</f>
        <v>43</v>
      </c>
      <c r="N93" s="116" t="s">
        <v>80</v>
      </c>
      <c r="O93" s="118" t="b">
        <v>1</v>
      </c>
      <c r="P93" s="254"/>
      <c r="Q93" s="120" t="s">
        <v>81</v>
      </c>
      <c r="R93" s="121" t="b">
        <v>0</v>
      </c>
      <c r="S93" s="121" t="b">
        <v>1</v>
      </c>
      <c r="T93" s="122" t="b">
        <v>1</v>
      </c>
    </row>
    <row r="94" outlineLevel="1">
      <c r="A94" s="116" t="s">
        <v>73</v>
      </c>
      <c r="B94" s="116" t="s">
        <v>74</v>
      </c>
      <c r="C94" s="112">
        <v>46059.0</v>
      </c>
      <c r="D94" s="157"/>
      <c r="E94" s="111" t="s">
        <v>843</v>
      </c>
      <c r="F94" s="261" t="s">
        <v>464</v>
      </c>
      <c r="G94" s="111">
        <v>3.472834898E9</v>
      </c>
      <c r="H94" s="116" t="s">
        <v>844</v>
      </c>
      <c r="I94" s="116" t="s">
        <v>845</v>
      </c>
      <c r="J94" s="134">
        <v>46059.0</v>
      </c>
      <c r="K94" s="177">
        <v>45.0</v>
      </c>
      <c r="L94" s="116"/>
      <c r="M94" s="178">
        <f>IFERROR(__xludf.DUMMYFUNCTION("IF(
  K94="""",
  """",
  ROUND(
    IF(
      L94="""",
      K94,
      IF(
        ISERROR(FIND(""-"",L94)),
        K94 - VALUE(REGEXEXTRACT(L94,""(\d+)"")),
        K94 * (1 - VALUE(REGEXEXTRACT(L94,""(\d+)""))/100)
      )
    ),
    2
  )
)
"),45.0)</f>
        <v>45</v>
      </c>
      <c r="N94" s="116" t="s">
        <v>80</v>
      </c>
      <c r="O94" s="118" t="b">
        <v>1</v>
      </c>
      <c r="P94" s="254"/>
      <c r="Q94" s="120" t="s">
        <v>81</v>
      </c>
      <c r="R94" s="121" t="b">
        <v>0</v>
      </c>
      <c r="S94" s="121" t="b">
        <v>1</v>
      </c>
      <c r="T94" s="122" t="b">
        <v>1</v>
      </c>
    </row>
    <row r="95" outlineLevel="1">
      <c r="A95" s="116" t="s">
        <v>73</v>
      </c>
      <c r="B95" s="116" t="s">
        <v>74</v>
      </c>
      <c r="C95" s="112">
        <v>46059.0</v>
      </c>
      <c r="D95" s="131"/>
      <c r="E95" s="124" t="s">
        <v>846</v>
      </c>
      <c r="F95" s="262" t="s">
        <v>604</v>
      </c>
      <c r="G95" s="124">
        <v>3.534266508E9</v>
      </c>
      <c r="H95" s="116" t="s">
        <v>847</v>
      </c>
      <c r="I95" s="131" t="s">
        <v>848</v>
      </c>
      <c r="J95" s="134">
        <v>46059.0</v>
      </c>
      <c r="K95" s="177">
        <v>45.0</v>
      </c>
      <c r="L95" s="116" t="s">
        <v>394</v>
      </c>
      <c r="M95" s="178">
        <f>IFERROR(__xludf.DUMMYFUNCTION("IF(
  K95="""",
  """",
  ROUND(
    IF(
      L95="""",
      K95,
      IF(
        ISERROR(FIND(""-"",L95)),
        K95 - VALUE(REGEXEXTRACT(L95,""(\d+)"")),
        K95 * (1 - VALUE(REGEXEXTRACT(L95,""(\d+)""))/100)
      )
    ),
    2
  )
)
"),43.0)</f>
        <v>43</v>
      </c>
      <c r="N95" s="116" t="s">
        <v>80</v>
      </c>
      <c r="O95" s="118" t="b">
        <v>1</v>
      </c>
      <c r="P95" s="254"/>
      <c r="Q95" s="120" t="s">
        <v>81</v>
      </c>
      <c r="R95" s="121" t="b">
        <v>0</v>
      </c>
      <c r="S95" s="121" t="b">
        <v>1</v>
      </c>
      <c r="T95" s="122" t="b">
        <v>1</v>
      </c>
    </row>
    <row r="96" outlineLevel="1">
      <c r="A96" s="116" t="s">
        <v>73</v>
      </c>
      <c r="B96" s="116" t="s">
        <v>74</v>
      </c>
      <c r="C96" s="112">
        <v>46059.0</v>
      </c>
      <c r="D96" s="131"/>
      <c r="E96" s="111" t="s">
        <v>849</v>
      </c>
      <c r="F96" s="262" t="s">
        <v>492</v>
      </c>
      <c r="G96" s="124">
        <v>3.334033102E9</v>
      </c>
      <c r="H96" s="111" t="s">
        <v>850</v>
      </c>
      <c r="I96" s="124" t="s">
        <v>851</v>
      </c>
      <c r="J96" s="134">
        <v>46059.0</v>
      </c>
      <c r="K96" s="177">
        <v>45.0</v>
      </c>
      <c r="L96" s="116" t="s">
        <v>394</v>
      </c>
      <c r="M96" s="178">
        <f>IFERROR(__xludf.DUMMYFUNCTION("IF(
  K96="""",
  """",
  ROUND(
    IF(
      L96="""",
      K96,
      IF(
        ISERROR(FIND(""-"",L96)),
        K96 - VALUE(REGEXEXTRACT(L96,""(\d+)"")),
        K96 * (1 - VALUE(REGEXEXTRACT(L96,""(\d+)""))/100)
      )
    ),
    2
  )
)
"),43.0)</f>
        <v>43</v>
      </c>
      <c r="N96" s="116" t="s">
        <v>80</v>
      </c>
      <c r="O96" s="118" t="b">
        <v>1</v>
      </c>
      <c r="P96" s="254"/>
      <c r="Q96" s="120" t="s">
        <v>81</v>
      </c>
      <c r="R96" s="121" t="b">
        <v>0</v>
      </c>
      <c r="S96" s="121" t="b">
        <v>1</v>
      </c>
      <c r="T96" s="122" t="b">
        <v>1</v>
      </c>
    </row>
    <row r="97" outlineLevel="1">
      <c r="A97" s="116" t="s">
        <v>73</v>
      </c>
      <c r="B97" s="116" t="s">
        <v>74</v>
      </c>
      <c r="C97" s="112">
        <v>46059.0</v>
      </c>
      <c r="D97" s="157"/>
      <c r="E97" s="111" t="s">
        <v>852</v>
      </c>
      <c r="F97" s="111" t="s">
        <v>742</v>
      </c>
      <c r="G97" s="111">
        <v>3.803882342E9</v>
      </c>
      <c r="H97" s="111" t="s">
        <v>853</v>
      </c>
      <c r="I97" s="111" t="s">
        <v>854</v>
      </c>
      <c r="J97" s="114">
        <v>46059.0</v>
      </c>
      <c r="K97" s="177">
        <v>45.0</v>
      </c>
      <c r="L97" s="116" t="s">
        <v>79</v>
      </c>
      <c r="M97" s="178">
        <f>IFERROR(__xludf.DUMMYFUNCTION("IF(
  K97="""",
  """",
  ROUND(
    IF(
      L97="""",
      K97,
      IF(
        ISERROR(FIND(""-"",L97)),
        K97 - VALUE(REGEXEXTRACT(L97,""(\d+)"")),
        K97 * (1 - VALUE(REGEXEXTRACT(L97,""(\d+)""))/100)
      )
    ),
    2
  )
)
"),43.0)</f>
        <v>43</v>
      </c>
      <c r="N97" s="116" t="s">
        <v>80</v>
      </c>
      <c r="O97" s="118" t="b">
        <v>1</v>
      </c>
      <c r="P97" s="254"/>
      <c r="Q97" s="120" t="s">
        <v>81</v>
      </c>
      <c r="R97" s="121" t="b">
        <v>0</v>
      </c>
      <c r="S97" s="121" t="b">
        <v>1</v>
      </c>
      <c r="T97" s="122" t="b">
        <v>1</v>
      </c>
    </row>
    <row r="98" outlineLevel="1">
      <c r="A98" s="116" t="s">
        <v>73</v>
      </c>
      <c r="B98" s="116" t="s">
        <v>74</v>
      </c>
      <c r="C98" s="112">
        <v>46059.0</v>
      </c>
      <c r="D98" s="131"/>
      <c r="E98" s="124" t="s">
        <v>855</v>
      </c>
      <c r="F98" s="124" t="s">
        <v>619</v>
      </c>
      <c r="G98" s="124">
        <v>3.471524818E9</v>
      </c>
      <c r="H98" s="111" t="s">
        <v>856</v>
      </c>
      <c r="I98" s="124" t="s">
        <v>857</v>
      </c>
      <c r="J98" s="126">
        <v>46059.0</v>
      </c>
      <c r="K98" s="177">
        <v>45.0</v>
      </c>
      <c r="L98" s="116"/>
      <c r="M98" s="178">
        <f>IFERROR(__xludf.DUMMYFUNCTION("IF(
  K98="""",
  """",
  ROUND(
    IF(
      L98="""",
      K98,
      IF(
        ISERROR(FIND(""-"",L98)),
        K98 - VALUE(REGEXEXTRACT(L98,""(\d+)"")),
        K98 * (1 - VALUE(REGEXEXTRACT(L98,""(\d+)""))/100)
      )
    ),
    2
  )
)
"),45.0)</f>
        <v>45</v>
      </c>
      <c r="N98" s="116" t="s">
        <v>80</v>
      </c>
      <c r="O98" s="118" t="b">
        <v>1</v>
      </c>
      <c r="P98" s="254"/>
      <c r="Q98" s="120" t="s">
        <v>81</v>
      </c>
      <c r="R98" s="121" t="b">
        <v>0</v>
      </c>
      <c r="S98" s="121" t="b">
        <v>1</v>
      </c>
      <c r="T98" s="122" t="b">
        <v>1</v>
      </c>
    </row>
    <row r="99" outlineLevel="1">
      <c r="A99" s="116" t="s">
        <v>73</v>
      </c>
      <c r="B99" s="116" t="s">
        <v>74</v>
      </c>
      <c r="C99" s="112">
        <v>46059.0</v>
      </c>
      <c r="D99" s="116"/>
      <c r="E99" s="111" t="s">
        <v>858</v>
      </c>
      <c r="F99" s="111" t="s">
        <v>556</v>
      </c>
      <c r="G99" s="111">
        <v>3.332103011E9</v>
      </c>
      <c r="H99" s="111" t="s">
        <v>859</v>
      </c>
      <c r="I99" s="111" t="s">
        <v>860</v>
      </c>
      <c r="J99" s="126">
        <v>46059.0</v>
      </c>
      <c r="K99" s="177">
        <v>45.0</v>
      </c>
      <c r="L99" s="116" t="s">
        <v>79</v>
      </c>
      <c r="M99" s="178">
        <f>IFERROR(__xludf.DUMMYFUNCTION("IF(
  K99="""",
  """",
  ROUND(
    IF(
      L99="""",
      K99,
      IF(
        ISERROR(FIND(""-"",L99)),
        K99 - VALUE(REGEXEXTRACT(L99,""(\d+)"")),
        K99 * (1 - VALUE(REGEXEXTRACT(L99,""(\d+)""))/100)
      )
    ),
    2
  )
)
"),43.0)</f>
        <v>43</v>
      </c>
      <c r="N99" s="116" t="s">
        <v>80</v>
      </c>
      <c r="O99" s="118" t="b">
        <v>0</v>
      </c>
      <c r="P99" s="254"/>
      <c r="Q99" s="120" t="s">
        <v>81</v>
      </c>
      <c r="R99" s="121" t="b">
        <v>0</v>
      </c>
      <c r="S99" s="121" t="b">
        <v>1</v>
      </c>
      <c r="T99" s="122" t="b">
        <v>1</v>
      </c>
    </row>
    <row r="100" outlineLevel="1">
      <c r="A100" s="116" t="s">
        <v>73</v>
      </c>
      <c r="B100" s="116" t="s">
        <v>74</v>
      </c>
      <c r="C100" s="112">
        <v>46061.0</v>
      </c>
      <c r="D100" s="157"/>
      <c r="E100" s="111" t="s">
        <v>861</v>
      </c>
      <c r="F100" s="111" t="s">
        <v>266</v>
      </c>
      <c r="G100" s="111">
        <v>3.333739991E9</v>
      </c>
      <c r="H100" s="111" t="s">
        <v>862</v>
      </c>
      <c r="I100" s="111" t="s">
        <v>863</v>
      </c>
      <c r="J100" s="114">
        <v>46061.0</v>
      </c>
      <c r="K100" s="177">
        <v>45.0</v>
      </c>
      <c r="L100" s="116"/>
      <c r="M100" s="178">
        <f>IFERROR(__xludf.DUMMYFUNCTION("IF(
  K100="""",
  """",
  ROUND(
    IF(
      L100="""",
      K100,
      IF(
        ISERROR(FIND(""-"",L100)),
        K100 - VALUE(REGEXEXTRACT(L100,""(\d+)"")),
        K100 * (1 - VALUE(REGEXEXTRACT(L100,""(\d+)""))/100)
      )
    ),
    2
  )
)"&amp;"
"),45.0)</f>
        <v>45</v>
      </c>
      <c r="N100" s="116" t="s">
        <v>80</v>
      </c>
      <c r="O100" s="118" t="b">
        <v>1</v>
      </c>
      <c r="P100" s="254"/>
      <c r="Q100" s="120" t="s">
        <v>81</v>
      </c>
      <c r="R100" s="121" t="b">
        <v>0</v>
      </c>
      <c r="S100" s="121" t="b">
        <v>1</v>
      </c>
      <c r="T100" s="122" t="b">
        <v>1</v>
      </c>
    </row>
    <row r="101" outlineLevel="1">
      <c r="A101" s="116" t="s">
        <v>239</v>
      </c>
      <c r="B101" s="116" t="s">
        <v>240</v>
      </c>
      <c r="C101" s="112">
        <v>46064.0</v>
      </c>
      <c r="D101" s="116"/>
      <c r="E101" s="111" t="s">
        <v>164</v>
      </c>
      <c r="F101" s="111" t="s">
        <v>165</v>
      </c>
      <c r="G101" s="111">
        <v>3.342145266E9</v>
      </c>
      <c r="H101" s="111" t="s">
        <v>166</v>
      </c>
      <c r="I101" s="111" t="s">
        <v>167</v>
      </c>
      <c r="J101" s="126">
        <v>46064.0</v>
      </c>
      <c r="K101" s="177">
        <v>45.0</v>
      </c>
      <c r="L101" s="116" t="s">
        <v>245</v>
      </c>
      <c r="M101" s="178">
        <f>IFERROR(__xludf.DUMMYFUNCTION("IF(
  K101="""",
  """",
  ROUND(
    IF(
      L101="""",
      K101,
      IF(
        ISERROR(FIND(""-"",L101)),
        K101 - VALUE(REGEXEXTRACT(L101,""(\d+)"")),
        K101 * (1 - VALUE(REGEXEXTRACT(L101,""(\d+)""))/100)
      )
    ),
    2
  )
)"&amp;"
"),43.0)</f>
        <v>43</v>
      </c>
      <c r="N101" s="116" t="s">
        <v>162</v>
      </c>
      <c r="O101" s="118" t="b">
        <v>1</v>
      </c>
      <c r="P101" s="254"/>
      <c r="Q101" s="120"/>
      <c r="R101" s="121" t="b">
        <v>0</v>
      </c>
      <c r="S101" s="121" t="b">
        <v>0</v>
      </c>
      <c r="T101" s="122" t="b">
        <v>1</v>
      </c>
    </row>
    <row r="102" outlineLevel="1">
      <c r="A102" s="116" t="s">
        <v>73</v>
      </c>
      <c r="B102" s="116" t="s">
        <v>74</v>
      </c>
      <c r="C102" s="112">
        <v>46062.0</v>
      </c>
      <c r="D102" s="116"/>
      <c r="E102" s="111" t="s">
        <v>864</v>
      </c>
      <c r="F102" s="111" t="s">
        <v>865</v>
      </c>
      <c r="G102" s="111">
        <v>3.75539169E9</v>
      </c>
      <c r="H102" s="111" t="s">
        <v>866</v>
      </c>
      <c r="I102" s="111" t="s">
        <v>867</v>
      </c>
      <c r="J102" s="126">
        <v>46062.0</v>
      </c>
      <c r="K102" s="177">
        <v>45.0</v>
      </c>
      <c r="L102" s="116"/>
      <c r="M102" s="178">
        <f>IFERROR(__xludf.DUMMYFUNCTION("IF(
  K102="""",
  """",
  ROUND(
    IF(
      L102="""",
      K102,
      IF(
        ISERROR(FIND(""-"",L102)),
        K102 - VALUE(REGEXEXTRACT(L102,""(\d+)"")),
        K102 * (1 - VALUE(REGEXEXTRACT(L102,""(\d+)""))/100)
      )
    ),
    2
  )
)"&amp;"
"),45.0)</f>
        <v>45</v>
      </c>
      <c r="N102" s="116" t="s">
        <v>80</v>
      </c>
      <c r="O102" s="118" t="b">
        <v>1</v>
      </c>
      <c r="P102" s="254"/>
      <c r="Q102" s="120" t="s">
        <v>81</v>
      </c>
      <c r="R102" s="121" t="b">
        <v>0</v>
      </c>
      <c r="S102" s="121" t="b">
        <v>1</v>
      </c>
      <c r="T102" s="122" t="b">
        <v>1</v>
      </c>
    </row>
    <row r="103" outlineLevel="1">
      <c r="A103" s="116" t="s">
        <v>73</v>
      </c>
      <c r="B103" s="116" t="s">
        <v>74</v>
      </c>
      <c r="C103" s="112">
        <v>46062.0</v>
      </c>
      <c r="D103" s="157"/>
      <c r="E103" s="111" t="s">
        <v>868</v>
      </c>
      <c r="F103" s="111" t="s">
        <v>869</v>
      </c>
      <c r="G103" s="111">
        <v>3.337651371E9</v>
      </c>
      <c r="H103" s="111" t="s">
        <v>870</v>
      </c>
      <c r="I103" s="111" t="s">
        <v>871</v>
      </c>
      <c r="J103" s="126">
        <v>46062.0</v>
      </c>
      <c r="K103" s="177">
        <v>45.0</v>
      </c>
      <c r="L103" s="116"/>
      <c r="M103" s="178">
        <f>IFERROR(__xludf.DUMMYFUNCTION("IF(
  K103="""",
  """",
  ROUND(
    IF(
      L103="""",
      K103,
      IF(
        ISERROR(FIND(""-"",L103)),
        K103 - VALUE(REGEXEXTRACT(L103,""(\d+)"")),
        K103 * (1 - VALUE(REGEXEXTRACT(L103,""(\d+)""))/100)
      )
    ),
    2
  )
)"&amp;"
"),45.0)</f>
        <v>45</v>
      </c>
      <c r="N103" s="116" t="s">
        <v>80</v>
      </c>
      <c r="O103" s="118" t="b">
        <v>1</v>
      </c>
      <c r="P103" s="254"/>
      <c r="Q103" s="120" t="s">
        <v>81</v>
      </c>
      <c r="R103" s="121" t="b">
        <v>0</v>
      </c>
      <c r="S103" s="121" t="b">
        <v>1</v>
      </c>
      <c r="T103" s="122" t="b">
        <v>1</v>
      </c>
    </row>
    <row r="104" outlineLevel="1">
      <c r="A104" s="116" t="s">
        <v>101</v>
      </c>
      <c r="B104" s="116" t="s">
        <v>102</v>
      </c>
      <c r="C104" s="112">
        <v>46069.0</v>
      </c>
      <c r="D104" s="116"/>
      <c r="E104" s="111" t="s">
        <v>365</v>
      </c>
      <c r="F104" s="111" t="s">
        <v>872</v>
      </c>
      <c r="G104" s="111">
        <v>1.773512945E10</v>
      </c>
      <c r="H104" s="111" t="s">
        <v>873</v>
      </c>
      <c r="I104" s="111"/>
      <c r="J104" s="126">
        <v>46069.0</v>
      </c>
      <c r="K104" s="177">
        <v>45.0</v>
      </c>
      <c r="L104" s="116" t="s">
        <v>106</v>
      </c>
      <c r="M104" s="178">
        <f>IFERROR(__xludf.DUMMYFUNCTION("IF(
  K104="""",
  """",
  ROUND(
    IF(
      L104="""",
      K104,
      IF(
        ISERROR(FIND(""-"",L104)),
        K104 - VALUE(REGEXEXTRACT(L104,""(\d+)"")),
        K104 * (1 - VALUE(REGEXEXTRACT(L104,""(\d+)""))/100)
      )
    ),
    2
  )
)"&amp;"
"),43.0)</f>
        <v>43</v>
      </c>
      <c r="N104" s="116" t="s">
        <v>80</v>
      </c>
      <c r="O104" s="118" t="b">
        <v>1</v>
      </c>
      <c r="P104" s="254"/>
      <c r="Q104" s="120" t="s">
        <v>81</v>
      </c>
      <c r="R104" s="121" t="b">
        <v>0</v>
      </c>
      <c r="S104" s="121" t="b">
        <v>1</v>
      </c>
      <c r="T104" s="122" t="b">
        <v>1</v>
      </c>
    </row>
    <row r="105" outlineLevel="1">
      <c r="A105" s="116" t="s">
        <v>73</v>
      </c>
      <c r="B105" s="116" t="s">
        <v>74</v>
      </c>
      <c r="C105" s="112">
        <v>46067.0</v>
      </c>
      <c r="D105" s="116"/>
      <c r="E105" s="111" t="s">
        <v>874</v>
      </c>
      <c r="F105" s="111" t="s">
        <v>875</v>
      </c>
      <c r="G105" s="111">
        <v>3.476598369E9</v>
      </c>
      <c r="H105" s="116" t="s">
        <v>876</v>
      </c>
      <c r="I105" s="116" t="s">
        <v>877</v>
      </c>
      <c r="J105" s="126">
        <v>46067.0</v>
      </c>
      <c r="K105" s="177">
        <v>45.0</v>
      </c>
      <c r="L105" s="116"/>
      <c r="M105" s="178">
        <f>IFERROR(__xludf.DUMMYFUNCTION("IF(
  K105="""",
  """",
  ROUND(
    IF(
      L105="""",
      K105,
      IF(
        ISERROR(FIND(""-"",L105)),
        K105 - VALUE(REGEXEXTRACT(L105,""(\d+)"")),
        K105 * (1 - VALUE(REGEXEXTRACT(L105,""(\d+)""))/100)
      )
    ),
    2
  )
)"&amp;"
"),45.0)</f>
        <v>45</v>
      </c>
      <c r="N105" s="116" t="s">
        <v>80</v>
      </c>
      <c r="O105" s="118" t="b">
        <v>1</v>
      </c>
      <c r="P105" s="254"/>
      <c r="Q105" s="120" t="s">
        <v>81</v>
      </c>
      <c r="R105" s="121" t="b">
        <v>0</v>
      </c>
      <c r="S105" s="121" t="b">
        <v>1</v>
      </c>
      <c r="T105" s="122" t="b">
        <v>1</v>
      </c>
    </row>
    <row r="106" outlineLevel="1">
      <c r="A106" s="116" t="s">
        <v>73</v>
      </c>
      <c r="B106" s="116" t="s">
        <v>74</v>
      </c>
      <c r="C106" s="112">
        <v>46067.0</v>
      </c>
      <c r="D106" s="157"/>
      <c r="E106" s="139" t="s">
        <v>878</v>
      </c>
      <c r="F106" s="111" t="s">
        <v>397</v>
      </c>
      <c r="G106" s="111">
        <v>3.455839425E9</v>
      </c>
      <c r="H106" s="111" t="s">
        <v>879</v>
      </c>
      <c r="I106" s="111" t="s">
        <v>880</v>
      </c>
      <c r="J106" s="126">
        <v>46067.0</v>
      </c>
      <c r="K106" s="177">
        <v>45.0</v>
      </c>
      <c r="L106" s="116"/>
      <c r="M106" s="178">
        <f>IFERROR(__xludf.DUMMYFUNCTION("IF(
  K106="""",
  """",
  ROUND(
    IF(
      L106="""",
      K106,
      IF(
        ISERROR(FIND(""-"",L106)),
        K106 - VALUE(REGEXEXTRACT(L106,""(\d+)"")),
        K106 * (1 - VALUE(REGEXEXTRACT(L106,""(\d+)""))/100)
      )
    ),
    2
  )
)"&amp;"
"),45.0)</f>
        <v>45</v>
      </c>
      <c r="N106" s="116" t="s">
        <v>80</v>
      </c>
      <c r="O106" s="118" t="b">
        <v>1</v>
      </c>
      <c r="P106" s="254"/>
      <c r="Q106" s="120" t="s">
        <v>81</v>
      </c>
      <c r="R106" s="121" t="b">
        <v>0</v>
      </c>
      <c r="S106" s="121" t="b">
        <v>1</v>
      </c>
      <c r="T106" s="122" t="b">
        <v>1</v>
      </c>
    </row>
    <row r="107" outlineLevel="1">
      <c r="A107" s="116" t="s">
        <v>73</v>
      </c>
      <c r="B107" s="116" t="s">
        <v>74</v>
      </c>
      <c r="C107" s="112">
        <v>46069.0</v>
      </c>
      <c r="D107" s="116"/>
      <c r="E107" s="111" t="s">
        <v>881</v>
      </c>
      <c r="F107" s="111" t="s">
        <v>492</v>
      </c>
      <c r="G107" s="111">
        <v>3.9233294E9</v>
      </c>
      <c r="H107" s="111" t="s">
        <v>882</v>
      </c>
      <c r="I107" s="111" t="s">
        <v>883</v>
      </c>
      <c r="J107" s="126">
        <v>46069.0</v>
      </c>
      <c r="K107" s="177">
        <v>45.0</v>
      </c>
      <c r="L107" s="116" t="s">
        <v>79</v>
      </c>
      <c r="M107" s="178">
        <f>IFERROR(__xludf.DUMMYFUNCTION("IF(
  K107="""",
  """",
  ROUND(
    IF(
      L107="""",
      K107,
      IF(
        ISERROR(FIND(""-"",L107)),
        K107 - VALUE(REGEXEXTRACT(L107,""(\d+)"")),
        K107 * (1 - VALUE(REGEXEXTRACT(L107,""(\d+)""))/100)
      )
    ),
    2
  )
)"&amp;"
"),43.0)</f>
        <v>43</v>
      </c>
      <c r="N107" s="116" t="s">
        <v>80</v>
      </c>
      <c r="O107" s="118" t="b">
        <v>1</v>
      </c>
      <c r="P107" s="254"/>
      <c r="Q107" s="120" t="s">
        <v>81</v>
      </c>
      <c r="R107" s="121" t="b">
        <v>0</v>
      </c>
      <c r="S107" s="121" t="b">
        <v>1</v>
      </c>
      <c r="T107" s="122" t="b">
        <v>1</v>
      </c>
    </row>
    <row r="108" outlineLevel="1">
      <c r="A108" s="116" t="s">
        <v>73</v>
      </c>
      <c r="B108" s="116" t="s">
        <v>74</v>
      </c>
      <c r="C108" s="112">
        <v>46071.0</v>
      </c>
      <c r="D108" s="116"/>
      <c r="E108" s="111" t="s">
        <v>884</v>
      </c>
      <c r="F108" s="111" t="s">
        <v>885</v>
      </c>
      <c r="G108" s="111">
        <v>3.201384261E9</v>
      </c>
      <c r="H108" s="111" t="s">
        <v>886</v>
      </c>
      <c r="I108" s="111" t="s">
        <v>887</v>
      </c>
      <c r="J108" s="126">
        <v>46071.0</v>
      </c>
      <c r="K108" s="177">
        <v>45.0</v>
      </c>
      <c r="L108" s="116"/>
      <c r="M108" s="178">
        <f>IFERROR(__xludf.DUMMYFUNCTION("IF(
  K108="""",
  """",
  ROUND(
    IF(
      L108="""",
      K108,
      IF(
        ISERROR(FIND(""-"",L108)),
        K108 - VALUE(REGEXEXTRACT(L108,""(\d+)"")),
        K108 * (1 - VALUE(REGEXEXTRACT(L108,""(\d+)""))/100)
      )
    ),
    2
  )
)"&amp;"
"),45.0)</f>
        <v>45</v>
      </c>
      <c r="N108" s="116" t="s">
        <v>80</v>
      </c>
      <c r="O108" s="118" t="b">
        <v>1</v>
      </c>
      <c r="P108" s="179"/>
      <c r="Q108" s="120" t="s">
        <v>81</v>
      </c>
      <c r="R108" s="121" t="b">
        <v>0</v>
      </c>
      <c r="S108" s="121" t="b">
        <v>1</v>
      </c>
      <c r="T108" s="122" t="b">
        <v>1</v>
      </c>
    </row>
    <row r="109" outlineLevel="1">
      <c r="A109" s="116" t="s">
        <v>611</v>
      </c>
      <c r="B109" s="116" t="s">
        <v>74</v>
      </c>
      <c r="C109" s="123">
        <v>46014.0</v>
      </c>
      <c r="D109" s="188" t="s">
        <v>888</v>
      </c>
      <c r="E109" s="263" t="s">
        <v>889</v>
      </c>
      <c r="F109" s="124" t="s">
        <v>890</v>
      </c>
      <c r="G109" s="124">
        <v>3.493240938E9</v>
      </c>
      <c r="H109" s="124" t="s">
        <v>891</v>
      </c>
      <c r="I109" s="124" t="s">
        <v>892</v>
      </c>
      <c r="J109" s="264">
        <v>46014.0</v>
      </c>
      <c r="K109" s="265">
        <v>45.0</v>
      </c>
      <c r="L109" s="116" t="s">
        <v>106</v>
      </c>
      <c r="M109" s="178">
        <f>IFERROR(__xludf.DUMMYFUNCTION("IF(
  K109="""",
  """",
  ROUND(
    IF(
      L109="""",
      K109,
      IF(
        ISERROR(FIND(""-"",L109)),
        K109 - VALUE(REGEXEXTRACT(L109,""(\d+)"")),
        K109 * (1 - VALUE(REGEXEXTRACT(L109,""(\d+)""))/100)
      )
    ),
    2
  )
)"&amp;"
"),43.0)</f>
        <v>43</v>
      </c>
      <c r="N109" s="116" t="s">
        <v>100</v>
      </c>
      <c r="O109" s="118" t="b">
        <v>1</v>
      </c>
      <c r="P109" s="254" t="s">
        <v>893</v>
      </c>
      <c r="Q109" s="120" t="s">
        <v>81</v>
      </c>
      <c r="R109" s="121" t="b">
        <v>1</v>
      </c>
      <c r="S109" s="121" t="b">
        <v>0</v>
      </c>
      <c r="T109" s="122" t="b">
        <v>1</v>
      </c>
    </row>
    <row r="110" outlineLevel="1">
      <c r="A110" s="116" t="s">
        <v>73</v>
      </c>
      <c r="B110" s="116" t="s">
        <v>74</v>
      </c>
      <c r="C110" s="112">
        <v>46074.0</v>
      </c>
      <c r="D110" s="116"/>
      <c r="E110" s="116" t="s">
        <v>894</v>
      </c>
      <c r="F110" s="111" t="s">
        <v>895</v>
      </c>
      <c r="G110" s="111">
        <v>3.314938368E9</v>
      </c>
      <c r="H110" s="111" t="s">
        <v>896</v>
      </c>
      <c r="I110" s="111" t="s">
        <v>897</v>
      </c>
      <c r="J110" s="114">
        <v>46074.0</v>
      </c>
      <c r="K110" s="177">
        <v>45.0</v>
      </c>
      <c r="L110" s="116"/>
      <c r="M110" s="178">
        <f>IFERROR(__xludf.DUMMYFUNCTION("IF(
  K110="""",
  """",
  ROUND(
    IF(
      L110="""",
      K110,
      IF(
        ISERROR(FIND(""-"",L110)),
        K110 - VALUE(REGEXEXTRACT(L110,""(\d+)"")),
        K110 * (1 - VALUE(REGEXEXTRACT(L110,""(\d+)""))/100)
      )
    ),
    2
  )
)"&amp;"
"),45.0)</f>
        <v>45</v>
      </c>
      <c r="N110" s="116" t="s">
        <v>80</v>
      </c>
      <c r="O110" s="118" t="b">
        <v>1</v>
      </c>
      <c r="P110" s="179"/>
      <c r="Q110" s="120" t="s">
        <v>81</v>
      </c>
      <c r="R110" s="121" t="b">
        <v>0</v>
      </c>
      <c r="S110" s="121" t="b">
        <v>1</v>
      </c>
      <c r="T110" s="122" t="b">
        <v>1</v>
      </c>
    </row>
    <row r="111" outlineLevel="1">
      <c r="A111" s="116" t="s">
        <v>73</v>
      </c>
      <c r="B111" s="116" t="s">
        <v>74</v>
      </c>
      <c r="C111" s="112">
        <v>46075.0</v>
      </c>
      <c r="D111" s="116"/>
      <c r="E111" s="116" t="s">
        <v>898</v>
      </c>
      <c r="F111" s="111" t="s">
        <v>899</v>
      </c>
      <c r="G111" s="111">
        <v>3.496938416E9</v>
      </c>
      <c r="H111" s="111" t="s">
        <v>900</v>
      </c>
      <c r="I111" s="111" t="s">
        <v>901</v>
      </c>
      <c r="J111" s="114">
        <v>46075.0</v>
      </c>
      <c r="K111" s="177">
        <v>45.0</v>
      </c>
      <c r="L111" s="116"/>
      <c r="M111" s="178">
        <f>IFERROR(__xludf.DUMMYFUNCTION("IF(
  K111="""",
  """",
  ROUND(
    IF(
      L111="""",
      K111,
      IF(
        ISERROR(FIND(""-"",L111)),
        K111 - VALUE(REGEXEXTRACT(L111,""(\d+)"")),
        K111 * (1 - VALUE(REGEXEXTRACT(L111,""(\d+)""))/100)
      )
    ),
    2
  )
)"&amp;"
"),45.0)</f>
        <v>45</v>
      </c>
      <c r="N111" s="116" t="s">
        <v>80</v>
      </c>
      <c r="O111" s="118" t="b">
        <v>1</v>
      </c>
      <c r="P111" s="179"/>
      <c r="Q111" s="120" t="s">
        <v>81</v>
      </c>
      <c r="R111" s="121" t="b">
        <v>0</v>
      </c>
      <c r="S111" s="121" t="b">
        <v>1</v>
      </c>
      <c r="T111" s="122" t="b">
        <v>1</v>
      </c>
    </row>
    <row r="112" outlineLevel="1">
      <c r="A112" s="116" t="s">
        <v>368</v>
      </c>
      <c r="B112" s="116" t="s">
        <v>369</v>
      </c>
      <c r="C112" s="112">
        <v>46075.0</v>
      </c>
      <c r="D112" s="157"/>
      <c r="E112" s="157" t="s">
        <v>746</v>
      </c>
      <c r="F112" s="111" t="s">
        <v>217</v>
      </c>
      <c r="G112" s="111">
        <v>3.427761531E9</v>
      </c>
      <c r="H112" s="111" t="s">
        <v>747</v>
      </c>
      <c r="I112" s="111" t="s">
        <v>748</v>
      </c>
      <c r="J112" s="114">
        <v>46075.0</v>
      </c>
      <c r="K112" s="177">
        <v>45.0</v>
      </c>
      <c r="L112" s="116" t="s">
        <v>902</v>
      </c>
      <c r="M112" s="178">
        <f>IFERROR(__xludf.DUMMYFUNCTION("IF(
  K112="""",
  """",
  ROUND(
    IF(
      L112="""",
      K112,
      IF(
        ISERROR(FIND(""-"",L112)),
        K112 - VALUE(REGEXEXTRACT(L112,""(\d+)"")),
        K112 * (1 - VALUE(REGEXEXTRACT(L112,""(\d+)""))/100)
      )
    ),
    2
  )
)"&amp;"
"),43.0)</f>
        <v>43</v>
      </c>
      <c r="N112" s="116" t="s">
        <v>100</v>
      </c>
      <c r="O112" s="118" t="b">
        <v>1</v>
      </c>
      <c r="P112" s="179"/>
      <c r="Q112" s="120" t="s">
        <v>81</v>
      </c>
      <c r="R112" s="121" t="b">
        <v>1</v>
      </c>
      <c r="S112" s="121" t="b">
        <v>0</v>
      </c>
      <c r="T112" s="122" t="b">
        <v>1</v>
      </c>
    </row>
    <row r="113"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outlineLevel="1">
      <c r="A145" s="131"/>
      <c r="B145" s="131"/>
      <c r="C145" s="130"/>
      <c r="D145" s="188"/>
      <c r="E145" s="188"/>
      <c r="F145" s="131"/>
      <c r="G145" s="131"/>
      <c r="H145" s="131"/>
      <c r="I145" s="131"/>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outlineLevel="1">
      <c r="A146" s="131" t="s">
        <v>239</v>
      </c>
      <c r="B146" s="131"/>
      <c r="C146" s="130">
        <v>46057.0</v>
      </c>
      <c r="D146" s="131"/>
      <c r="E146" s="131" t="s">
        <v>903</v>
      </c>
      <c r="F146" s="131" t="s">
        <v>904</v>
      </c>
      <c r="G146" s="131">
        <v>3.336259485E9</v>
      </c>
      <c r="H146" s="131" t="s">
        <v>905</v>
      </c>
      <c r="I146" s="131" t="s">
        <v>906</v>
      </c>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outlineLevel="1">
      <c r="A147" s="131" t="s">
        <v>73</v>
      </c>
      <c r="B147" s="131" t="s">
        <v>74</v>
      </c>
      <c r="C147" s="130">
        <v>46058.0</v>
      </c>
      <c r="D147" s="131"/>
      <c r="E147" s="131"/>
      <c r="F147" s="131" t="s">
        <v>907</v>
      </c>
      <c r="G147" s="131">
        <v>3.444288306E9</v>
      </c>
      <c r="H147" s="131"/>
      <c r="I147" s="131" t="s">
        <v>908</v>
      </c>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outlineLevel="1">
      <c r="A148" s="131" t="s">
        <v>73</v>
      </c>
      <c r="B148" s="131" t="s">
        <v>74</v>
      </c>
      <c r="C148" s="130">
        <v>46058.0</v>
      </c>
      <c r="D148" s="188"/>
      <c r="E148" s="188"/>
      <c r="F148" s="131" t="s">
        <v>909</v>
      </c>
      <c r="G148" s="131">
        <v>3.47980376E9</v>
      </c>
      <c r="H148" s="131"/>
      <c r="I148" s="131" t="s">
        <v>910</v>
      </c>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outlineLevel="1">
      <c r="A149" s="131" t="s">
        <v>73</v>
      </c>
      <c r="B149" s="131" t="s">
        <v>74</v>
      </c>
      <c r="C149" s="130">
        <v>46058.0</v>
      </c>
      <c r="D149" s="131"/>
      <c r="E149" s="131" t="s">
        <v>911</v>
      </c>
      <c r="F149" s="131" t="s">
        <v>912</v>
      </c>
      <c r="G149" s="131">
        <v>3.270665015E9</v>
      </c>
      <c r="H149" s="131" t="s">
        <v>913</v>
      </c>
      <c r="I149" s="183" t="s">
        <v>914</v>
      </c>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outlineLevel="1">
      <c r="A150" s="131" t="s">
        <v>73</v>
      </c>
      <c r="B150" s="131" t="s">
        <v>74</v>
      </c>
      <c r="C150" s="130">
        <v>46058.0</v>
      </c>
      <c r="D150" s="131"/>
      <c r="E150" s="131"/>
      <c r="F150" s="131" t="s">
        <v>825</v>
      </c>
      <c r="G150" s="131">
        <v>3.384900374E9</v>
      </c>
      <c r="H150" s="131"/>
      <c r="I150" s="131" t="s">
        <v>915</v>
      </c>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outlineLevel="1">
      <c r="A151" s="131" t="s">
        <v>73</v>
      </c>
      <c r="B151" s="131" t="s">
        <v>74</v>
      </c>
      <c r="C151" s="130">
        <v>46058.0</v>
      </c>
      <c r="D151" s="188"/>
      <c r="E151" s="131" t="s">
        <v>916</v>
      </c>
      <c r="F151" s="131" t="s">
        <v>294</v>
      </c>
      <c r="G151" s="131">
        <v>3.494456332E9</v>
      </c>
      <c r="H151" s="131"/>
      <c r="I151" s="131" t="s">
        <v>917</v>
      </c>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outlineLevel="1">
      <c r="B152" s="131"/>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outlineLevel="1">
      <c r="A153" s="131"/>
      <c r="B153" s="131"/>
      <c r="C153" s="130"/>
      <c r="D153" s="131"/>
      <c r="E153" s="131"/>
      <c r="F153" s="131"/>
      <c r="G153" s="131"/>
      <c r="H153" s="131"/>
      <c r="I153" s="131"/>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outlineLevel="1">
      <c r="A154" s="131"/>
      <c r="B154" s="131"/>
      <c r="C154" s="130"/>
      <c r="D154" s="188"/>
      <c r="E154" s="188"/>
      <c r="F154" s="131"/>
      <c r="G154" s="131"/>
      <c r="H154" s="131"/>
      <c r="I154" s="131"/>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outlineLevel="1">
      <c r="A155" s="131"/>
      <c r="B155" s="131"/>
      <c r="C155" s="130"/>
      <c r="D155" s="131"/>
      <c r="E155" s="131"/>
      <c r="F155" s="131"/>
      <c r="G155" s="131"/>
      <c r="H155" s="131"/>
      <c r="I155" s="131"/>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outlineLevel="1">
      <c r="A156" s="131"/>
      <c r="B156" s="131"/>
      <c r="C156" s="266"/>
      <c r="D156" s="131"/>
      <c r="E156" s="131"/>
      <c r="F156" s="187"/>
      <c r="G156" s="188"/>
      <c r="H156" s="131"/>
      <c r="I156" s="131"/>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outlineLevel="1">
      <c r="A157" s="131"/>
      <c r="B157" s="131"/>
      <c r="C157" s="266"/>
      <c r="D157" s="188"/>
      <c r="E157" s="188"/>
      <c r="F157" s="187"/>
      <c r="G157" s="188"/>
      <c r="H157" s="131"/>
      <c r="I157" s="131"/>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outlineLevel="1">
      <c r="A158" s="131"/>
      <c r="B158" s="131"/>
      <c r="C158" s="130"/>
      <c r="D158" s="131"/>
      <c r="E158" s="131"/>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outlineLevel="1">
      <c r="B159" s="131"/>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outlineLevel="1">
      <c r="A160" s="131"/>
      <c r="B160" s="131"/>
      <c r="C160" s="130"/>
      <c r="D160" s="188"/>
      <c r="E160" s="188"/>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27</v>
      </c>
      <c r="C171" s="160" t="s">
        <v>116</v>
      </c>
      <c r="D171" s="161">
        <f t="shared" ref="D171:F171" si="9">COUNTIF(D91:D170, "*")</f>
        <v>1</v>
      </c>
      <c r="E171" s="161">
        <f t="shared" si="9"/>
        <v>25</v>
      </c>
      <c r="F171" s="161">
        <f t="shared" si="9"/>
        <v>28</v>
      </c>
      <c r="G171" s="162">
        <f>COUNTA(G91:G170)</f>
        <v>28</v>
      </c>
      <c r="H171" s="161">
        <f t="shared" ref="H171:I171" si="10">COUNTIF(H91:H170, "*")</f>
        <v>24</v>
      </c>
      <c r="I171" s="161">
        <f t="shared" si="10"/>
        <v>27</v>
      </c>
      <c r="J171" s="160" t="s">
        <v>116</v>
      </c>
      <c r="K171" s="190">
        <f>SUM(K91:K170)</f>
        <v>990</v>
      </c>
      <c r="L171" s="161">
        <f>COUNTIF(L91:L170, "*")</f>
        <v>10</v>
      </c>
      <c r="M171" s="163">
        <f>SUM(M91:M170)</f>
        <v>970</v>
      </c>
      <c r="N171" s="161">
        <f>COUNTIF(N91:N170, "*")</f>
        <v>22</v>
      </c>
      <c r="O171" s="161">
        <f>SUMPRODUCT(--O91:O170)</f>
        <v>21</v>
      </c>
      <c r="P171" s="161">
        <f t="shared" ref="P171:Q171" si="11">COUNTIF(P91:P170, "*")</f>
        <v>1</v>
      </c>
      <c r="Q171" s="161">
        <f t="shared" si="11"/>
        <v>21</v>
      </c>
      <c r="R171" s="161">
        <f t="shared" ref="R171:T171" si="12">SUMPRODUCT(--R91:R170)</f>
        <v>2</v>
      </c>
      <c r="S171" s="161">
        <f t="shared" si="12"/>
        <v>19</v>
      </c>
      <c r="T171" s="161">
        <f t="shared" si="12"/>
        <v>22</v>
      </c>
    </row>
    <row r="172">
      <c r="A172" s="164" t="s">
        <v>117</v>
      </c>
      <c r="B172" s="165">
        <f>COUNTIF(B91:B170, "SEDE*")</f>
        <v>3</v>
      </c>
      <c r="C172" s="142"/>
      <c r="D172" s="166" t="s">
        <v>126</v>
      </c>
      <c r="E172" s="167" t="s">
        <v>119</v>
      </c>
      <c r="F172" s="168">
        <f>IFERROR(__xludf.DUMMYFUNCTION("IFERROR(TRANSPOSE(SORT(UNIQUE(FILTER($M$91:$M$170,$M$91:$M$170&lt;&gt;"""")))),"""")"),43.0)</f>
        <v>43</v>
      </c>
      <c r="G172" s="150">
        <f>IFERROR(__xludf.DUMMYFUNCTION("""COMPUTED_VALUE"""),45.0)</f>
        <v>45</v>
      </c>
      <c r="H172" s="117"/>
      <c r="I172" s="168"/>
      <c r="J172" s="150"/>
      <c r="K172" s="117"/>
      <c r="L172" s="117"/>
      <c r="M172" s="191"/>
      <c r="N172" s="191"/>
      <c r="O172" s="191"/>
      <c r="P172" s="174" t="s">
        <v>40</v>
      </c>
      <c r="Q172" s="171">
        <f>IF(SUM(F174:O174)=0,"",SUM(F174:O174))
</f>
        <v>129</v>
      </c>
      <c r="R172" s="164" t="s">
        <v>120</v>
      </c>
      <c r="S172" s="165" t="str">
        <f>IF(SUM(M171) = SUM(Q172:Q176), "OK", "ERRORE")</f>
        <v>OK</v>
      </c>
    </row>
    <row r="173">
      <c r="A173" s="164" t="s">
        <v>74</v>
      </c>
      <c r="B173" s="165">
        <f>COUNTIF(B91:B170, "ONLINE")</f>
        <v>24</v>
      </c>
      <c r="E173" s="172" t="s">
        <v>121</v>
      </c>
      <c r="F173" s="172">
        <f t="shared" ref="F173:O173" si="13">IF(
  F$172="",
  "",
  COUNTIFS($B$91:$B$170,"*SEDE*",$M$91:$M$170,F$172)
)
</f>
        <v>3</v>
      </c>
      <c r="G173" s="172">
        <f t="shared" si="13"/>
        <v>0</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f t="shared" ref="F174:O174" si="14">IF(
  F$172="",
  "",
  SUMIFS($M$91:$M$170,$B$91:$B$170,"*SEDE*",$M$91:$M$170,F$172)
)
</f>
        <v>129</v>
      </c>
      <c r="G174" s="193">
        <f t="shared" si="14"/>
        <v>0</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f t="shared" ref="F175:O175" si="15">IF(
  F$172="",
  "",
  COUNTIFS($B$91:$B$170,"*ONLINE*",$M$91:$M$170,F$172)
)
</f>
        <v>7</v>
      </c>
      <c r="G175" s="175">
        <f t="shared" si="15"/>
        <v>12</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f>IF(SUM(F176:O176)=0,"",SUM(F176:O176))
</f>
        <v>841</v>
      </c>
    </row>
    <row r="176">
      <c r="E176" s="194" t="s">
        <v>124</v>
      </c>
      <c r="F176" s="195">
        <f t="shared" ref="F176:O176" si="16">IF(
  F$172="",
  "",
  SUMIFS($M$91:$M$170,$B$91:$B$170,"*ONLINE*",$M$91:$M$170,F$172)
)
</f>
        <v>301</v>
      </c>
      <c r="G176" s="195">
        <f t="shared" si="16"/>
        <v>540</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6</v>
      </c>
      <c r="D177" s="199" t="s">
        <v>128</v>
      </c>
      <c r="E177" s="200" t="s">
        <v>129</v>
      </c>
      <c r="F177" s="201">
        <f>IFERROR(__xludf.DUMMYFUNCTION("IFERROR(
  TRANSPOSE(
    SORT(
      UNIQUE(
        FILTER(
          {$M$4:$M$83;$M$91:$M$170},
          {$M$4:$M$83;$M$91:$M$170}&lt;&gt;""""
        )
      )
    )
  ),
  """"
)
"),43.0)</f>
        <v>43</v>
      </c>
      <c r="G177" s="201">
        <f>IFERROR(__xludf.DUMMYFUNCTION("""COMPUTED_VALUE"""),45.0)</f>
        <v>45</v>
      </c>
      <c r="H177" s="201"/>
      <c r="I177" s="201"/>
      <c r="J177" s="201"/>
      <c r="K177" s="201"/>
      <c r="L177" s="202"/>
      <c r="M177" s="201"/>
      <c r="N177" s="201"/>
      <c r="O177" s="201"/>
      <c r="P177" s="203" t="s">
        <v>127</v>
      </c>
      <c r="Q177" s="204">
        <f>IF(SUM(F179:O179)=0,"",SUM(F179:O179))
</f>
        <v>258</v>
      </c>
      <c r="R177" s="205" t="s">
        <v>130</v>
      </c>
      <c r="S177" s="206">
        <f>IF(SUM(Q177,Q180)=0,"",SUM(Q177,Q180))
</f>
        <v>3784</v>
      </c>
      <c r="T177" s="207"/>
    </row>
    <row r="178">
      <c r="A178" s="208" t="s">
        <v>131</v>
      </c>
      <c r="B178" s="209">
        <f t="shared" si="17"/>
        <v>85</v>
      </c>
      <c r="D178" s="210"/>
      <c r="E178" s="211" t="s">
        <v>132</v>
      </c>
      <c r="F178" s="212" t="str">
        <f t="shared" ref="F178:O178" si="18">IF(
  F$177="",
  "",
  COUNTIFS($B$4:$B$170,"*SEDE*",$M$4:$M$170,F$177) &amp; " da €" &amp; F$177
)
</f>
        <v>6 da €43</v>
      </c>
      <c r="G178" s="212" t="str">
        <f t="shared" si="18"/>
        <v>0 da €45</v>
      </c>
      <c r="H178" s="212" t="str">
        <f t="shared" si="18"/>
        <v/>
      </c>
      <c r="I178" s="212" t="str">
        <f t="shared" si="18"/>
        <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91</v>
      </c>
      <c r="D179" s="210"/>
      <c r="E179" s="215" t="s">
        <v>122</v>
      </c>
      <c r="F179" s="216">
        <f t="shared" ref="F179:O179" si="19">IF(
  F$177="",
  "",
  SUMIFS($M$4:$M$170,$B$4:$B$170,"*SEDE*",$M$4:$M$170,F$177)
)
</f>
        <v>258</v>
      </c>
      <c r="G179" s="216">
        <f t="shared" si="19"/>
        <v>0</v>
      </c>
      <c r="H179" s="216" t="str">
        <f t="shared" si="19"/>
        <v/>
      </c>
      <c r="I179" s="216" t="str">
        <f t="shared" si="19"/>
        <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64</v>
      </c>
      <c r="D180" s="210"/>
      <c r="E180" s="211" t="s">
        <v>135</v>
      </c>
      <c r="F180" s="211" t="str">
        <f t="shared" ref="F180:O180" si="20">IF(
  F$177="",
  "",
  COUNTIFS($B$4:$B$170,"*ONLINE*",$M$4:$M$170,F$177) &amp; " da €" &amp; F$177
)
</f>
        <v>37 da €43</v>
      </c>
      <c r="G180" s="211" t="str">
        <f t="shared" si="20"/>
        <v>43 da €45</v>
      </c>
      <c r="H180" s="211" t="str">
        <f t="shared" si="20"/>
        <v/>
      </c>
      <c r="I180" s="211" t="str">
        <f t="shared" si="20"/>
        <v/>
      </c>
      <c r="J180" s="211" t="str">
        <f t="shared" si="20"/>
        <v/>
      </c>
      <c r="K180" s="211" t="str">
        <f t="shared" si="20"/>
        <v/>
      </c>
      <c r="L180" s="211" t="str">
        <f t="shared" si="20"/>
        <v/>
      </c>
      <c r="M180" s="211" t="str">
        <f t="shared" si="20"/>
        <v/>
      </c>
      <c r="N180" s="211" t="str">
        <f t="shared" si="20"/>
        <v/>
      </c>
      <c r="O180" s="211" t="str">
        <f t="shared" si="20"/>
        <v/>
      </c>
      <c r="P180" s="203" t="s">
        <v>131</v>
      </c>
      <c r="Q180" s="218">
        <f>IF(SUM(F181:O181)=0,"",SUM(F181:O181))
</f>
        <v>3526</v>
      </c>
    </row>
    <row r="181">
      <c r="A181" s="219" t="s">
        <v>136</v>
      </c>
      <c r="B181" s="220">
        <f>COUNTIF(N4:N170,"*TESSERATO*")-COUNTIF(N4:N170,"*NON TESSERATO*")</f>
        <v>15</v>
      </c>
      <c r="D181" s="221"/>
      <c r="E181" s="222" t="s">
        <v>124</v>
      </c>
      <c r="F181" s="223">
        <f t="shared" ref="F181:O181" si="21">IF(
  F$177="",
  "",
  SUMIFS($M$4:$M$170,$B$4:$B$170,"*ONLINE*",$M$4:$M$170,F$177)
)
</f>
        <v>1591</v>
      </c>
      <c r="G181" s="223">
        <f t="shared" si="21"/>
        <v>1935</v>
      </c>
      <c r="H181" s="223" t="str">
        <f t="shared" si="21"/>
        <v/>
      </c>
      <c r="I181" s="223" t="str">
        <f t="shared" si="21"/>
        <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formula1>"CASH - TESSERATO,CASH - NON TESSERATO,DIGIT - TESSERATO,DIGIT - NON TESSERATO"</formula1>
    </dataValidation>
    <dataValidation type="list" allowBlank="1" showErrorMessage="1" sqref="L4:L83 L91:L170">
      <formula1>"NURA02WS,GIUDITTA02WS,ALEXANDRA02WS,ESTEFANY02WS,JOEL02WS,MASSI02WS,SANTO02WS,SARA02WS,OMAGGIO-100WS"</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51 A153:A158 A160:A170">
      <formula1>elenchi!$M$2:$M$100</formula1>
    </dataValidation>
    <dataValidation type="list" allowBlank="1" sqref="Q4:Q83 Q91:Q170">
      <formula1>"INSERITO,CELL,EMAIL,COD FISCALE,INDIRIZZO"</formula1>
    </dataValidation>
    <dataValidation type="custom" allowBlank="1" showDropDown="1" showInputMessage="1" prompt="Immetti una data valida" sqref="C4:C83 J4:J83 C91:C151 C153:C158 C160:C170 J91:J170">
      <formula1>OR(NOT(ISERROR(DATEVALUE(C4))), AND(ISNUMBER(C4), LEFT(CELL("format", C4))="D"))</formula1>
    </dataValidation>
  </dataValidations>
  <hyperlinks>
    <hyperlink r:id="rId4" location="gid=1446630281" ref="C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0" t="s">
        <v>918</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 r="A3" s="110"/>
      <c r="B3" s="110"/>
      <c r="C3" s="110" t="s">
        <v>919</v>
      </c>
    </row>
    <row r="4" outlineLevel="1">
      <c r="A4" s="111" t="s">
        <v>611</v>
      </c>
      <c r="B4" s="111" t="s">
        <v>74</v>
      </c>
      <c r="C4" s="112">
        <v>46012.0</v>
      </c>
      <c r="D4" s="111"/>
      <c r="E4" s="111" t="s">
        <v>920</v>
      </c>
      <c r="F4" s="111" t="s">
        <v>921</v>
      </c>
      <c r="G4" s="111">
        <v>3.423863248E9</v>
      </c>
      <c r="H4" s="113" t="s">
        <v>922</v>
      </c>
      <c r="I4" s="111" t="s">
        <v>923</v>
      </c>
      <c r="J4" s="224">
        <v>46012.0</v>
      </c>
      <c r="K4" s="115">
        <v>37.0</v>
      </c>
      <c r="L4" s="116" t="s">
        <v>902</v>
      </c>
      <c r="M4" s="117">
        <f>IFERROR(__xludf.DUMMYFUNCTION("IF(
  K4="""",
  """",
  ROUND(
    IF(
      L4="""",
      K4,
      IF(
        ISERROR(FIND(""-"",L4)),
        K4 - VALUE(REGEXEXTRACT(L4,""(\d+)"")),
        K4 * (1 - VALUE(REGEXEXTRACT(L4,""(\d+)""))/100)
      )
    ),
    2
  )
)
"),35.0)</f>
        <v>35</v>
      </c>
      <c r="N4" s="111" t="s">
        <v>100</v>
      </c>
      <c r="O4" s="118" t="b">
        <v>0</v>
      </c>
      <c r="P4" s="119"/>
      <c r="Q4" s="120" t="s">
        <v>81</v>
      </c>
      <c r="R4" s="121" t="b">
        <v>1</v>
      </c>
      <c r="S4" s="121" t="b">
        <v>0</v>
      </c>
      <c r="T4" s="122" t="b">
        <v>1</v>
      </c>
    </row>
    <row r="5" outlineLevel="1">
      <c r="A5" s="111" t="s">
        <v>368</v>
      </c>
      <c r="B5" s="111" t="s">
        <v>369</v>
      </c>
      <c r="C5" s="112">
        <v>46011.0</v>
      </c>
      <c r="D5" s="111" t="s">
        <v>554</v>
      </c>
      <c r="E5" s="111" t="s">
        <v>555</v>
      </c>
      <c r="F5" s="111" t="s">
        <v>556</v>
      </c>
      <c r="G5" s="111">
        <v>3.317286206E9</v>
      </c>
      <c r="H5" s="111" t="s">
        <v>557</v>
      </c>
      <c r="I5" s="111" t="s">
        <v>558</v>
      </c>
      <c r="J5" s="126">
        <v>46011.0</v>
      </c>
      <c r="K5" s="115">
        <v>37.0</v>
      </c>
      <c r="L5" s="116" t="s">
        <v>79</v>
      </c>
      <c r="M5" s="117">
        <f>IFERROR(__xludf.DUMMYFUNCTION("IF(
  K5="""",
  """",
  ROUND(
    IF(
      L5="""",
      K5,
      IF(
        ISERROR(FIND(""-"",L5)),
        K5 - VALUE(REGEXEXTRACT(L5,""(\d+)"")),
        K5 * (1 - VALUE(REGEXEXTRACT(L5,""(\d+)""))/100)
      )
    ),
    2
  )
)
"),35.0)</f>
        <v>35</v>
      </c>
      <c r="N5" s="111" t="s">
        <v>100</v>
      </c>
      <c r="O5" s="118" t="b">
        <v>1</v>
      </c>
      <c r="P5" s="119"/>
      <c r="Q5" s="120" t="s">
        <v>81</v>
      </c>
      <c r="R5" s="121" t="b">
        <v>1</v>
      </c>
      <c r="S5" s="121" t="b">
        <v>0</v>
      </c>
      <c r="T5" s="122" t="b">
        <v>1</v>
      </c>
    </row>
    <row r="6" outlineLevel="1">
      <c r="A6" s="111" t="s">
        <v>611</v>
      </c>
      <c r="B6" s="111" t="s">
        <v>74</v>
      </c>
      <c r="C6" s="112">
        <v>46021.0</v>
      </c>
      <c r="D6" s="111"/>
      <c r="E6" s="111" t="s">
        <v>924</v>
      </c>
      <c r="F6" s="111" t="s">
        <v>13</v>
      </c>
      <c r="G6" s="111">
        <v>3.484279112E9</v>
      </c>
      <c r="H6" s="111" t="s">
        <v>925</v>
      </c>
      <c r="I6" s="111" t="s">
        <v>926</v>
      </c>
      <c r="J6" s="126">
        <v>46021.0</v>
      </c>
      <c r="K6" s="115">
        <v>37.0</v>
      </c>
      <c r="L6" s="116"/>
      <c r="M6" s="117">
        <f>IFERROR(__xludf.DUMMYFUNCTION("IF(
  K6="""",
  """",
  ROUND(
    IF(
      L6="""",
      K6,
      IF(
        ISERROR(FIND(""-"",L6)),
        K6 - VALUE(REGEXEXTRACT(L6,""(\d+)"")),
        K6 * (1 - VALUE(REGEXEXTRACT(L6,""(\d+)""))/100)
      )
    ),
    2
  )
)
"),37.0)</f>
        <v>37</v>
      </c>
      <c r="N6" s="111" t="s">
        <v>80</v>
      </c>
      <c r="O6" s="118" t="b">
        <v>1</v>
      </c>
      <c r="P6" s="119"/>
      <c r="Q6" s="120" t="s">
        <v>81</v>
      </c>
      <c r="R6" s="121" t="b">
        <v>0</v>
      </c>
      <c r="S6" s="121" t="b">
        <v>1</v>
      </c>
      <c r="T6" s="122" t="b">
        <v>1</v>
      </c>
    </row>
    <row r="7" outlineLevel="1">
      <c r="A7" s="111" t="s">
        <v>611</v>
      </c>
      <c r="B7" s="111" t="s">
        <v>74</v>
      </c>
      <c r="C7" s="112">
        <v>46023.0</v>
      </c>
      <c r="D7" s="111"/>
      <c r="E7" s="111" t="s">
        <v>709</v>
      </c>
      <c r="F7" s="111" t="s">
        <v>464</v>
      </c>
      <c r="G7" s="111">
        <v>3.314597068E9</v>
      </c>
      <c r="H7" s="111" t="s">
        <v>710</v>
      </c>
      <c r="I7" s="111" t="s">
        <v>711</v>
      </c>
      <c r="J7" s="126">
        <v>46023.0</v>
      </c>
      <c r="K7" s="115">
        <v>37.0</v>
      </c>
      <c r="L7" s="116"/>
      <c r="M7" s="117">
        <f>IFERROR(__xludf.DUMMYFUNCTION("IF(
  K7="""",
  """",
  ROUND(
    IF(
      L7="""",
      K7,
      IF(
        ISERROR(FIND(""-"",L7)),
        K7 - VALUE(REGEXEXTRACT(L7,""(\d+)"")),
        K7 * (1 - VALUE(REGEXEXTRACT(L7,""(\d+)""))/100)
      )
    ),
    2
  )
)
"),37.0)</f>
        <v>37</v>
      </c>
      <c r="N7" s="111" t="s">
        <v>80</v>
      </c>
      <c r="O7" s="118" t="b">
        <v>1</v>
      </c>
      <c r="P7" s="119"/>
      <c r="Q7" s="120" t="s">
        <v>81</v>
      </c>
      <c r="R7" s="121" t="b">
        <v>0</v>
      </c>
      <c r="S7" s="121" t="b">
        <v>0</v>
      </c>
      <c r="T7" s="122" t="b">
        <v>1</v>
      </c>
    </row>
    <row r="8" outlineLevel="1">
      <c r="A8" s="111" t="s">
        <v>368</v>
      </c>
      <c r="B8" s="111" t="s">
        <v>369</v>
      </c>
      <c r="C8" s="112">
        <v>46030.0</v>
      </c>
      <c r="D8" s="111"/>
      <c r="E8" s="111" t="s">
        <v>614</v>
      </c>
      <c r="F8" s="111" t="s">
        <v>492</v>
      </c>
      <c r="G8" s="111">
        <v>3.478337785E9</v>
      </c>
      <c r="H8" s="111" t="s">
        <v>615</v>
      </c>
      <c r="I8" s="225" t="s">
        <v>616</v>
      </c>
      <c r="J8" s="126">
        <v>46030.0</v>
      </c>
      <c r="K8" s="115">
        <v>37.0</v>
      </c>
      <c r="L8" s="116" t="s">
        <v>79</v>
      </c>
      <c r="M8" s="117">
        <f>IFERROR(__xludf.DUMMYFUNCTION("IF(
  K8="""",
  """",
  ROUND(
    IF(
      L8="""",
      K8,
      IF(
        ISERROR(FIND(""-"",L8)),
        K8 - VALUE(REGEXEXTRACT(L8,""(\d+)"")),
        K8 * (1 - VALUE(REGEXEXTRACT(L8,""(\d+)""))/100)
      )
    ),
    2
  )
)
"),35.0)</f>
        <v>35</v>
      </c>
      <c r="N8" s="111" t="s">
        <v>162</v>
      </c>
      <c r="O8" s="118" t="b">
        <v>0</v>
      </c>
      <c r="P8" s="119"/>
      <c r="Q8" s="120" t="s">
        <v>81</v>
      </c>
      <c r="R8" s="121" t="b">
        <v>1</v>
      </c>
      <c r="S8" s="121" t="b">
        <v>0</v>
      </c>
      <c r="T8" s="122" t="b">
        <v>1</v>
      </c>
    </row>
    <row r="9" outlineLevel="1">
      <c r="A9" s="111" t="s">
        <v>611</v>
      </c>
      <c r="B9" s="111" t="s">
        <v>74</v>
      </c>
      <c r="C9" s="123">
        <v>46020.0</v>
      </c>
      <c r="D9" s="124"/>
      <c r="E9" s="124" t="s">
        <v>927</v>
      </c>
      <c r="F9" s="124" t="s">
        <v>928</v>
      </c>
      <c r="G9" s="124">
        <v>3.806930002E9</v>
      </c>
      <c r="H9" s="111" t="s">
        <v>929</v>
      </c>
      <c r="I9" s="124" t="s">
        <v>930</v>
      </c>
      <c r="J9" s="123">
        <v>46020.0</v>
      </c>
      <c r="K9" s="115">
        <v>37.0</v>
      </c>
      <c r="L9" s="116"/>
      <c r="M9" s="117">
        <f>IFERROR(__xludf.DUMMYFUNCTION("IF(
  K9="""",
  """",
  ROUND(
    IF(
      L9="""",
      K9,
      IF(
        ISERROR(FIND(""-"",L9)),
        K9 - VALUE(REGEXEXTRACT(L9,""(\d+)"")),
        K9 * (1 - VALUE(REGEXEXTRACT(L9,""(\d+)""))/100)
      )
    ),
    2
  )
)
"),37.0)</f>
        <v>37</v>
      </c>
      <c r="N9" s="111" t="s">
        <v>80</v>
      </c>
      <c r="O9" s="118" t="b">
        <v>1</v>
      </c>
      <c r="P9" s="119"/>
      <c r="Q9" s="120" t="s">
        <v>81</v>
      </c>
      <c r="R9" s="121" t="b">
        <v>0</v>
      </c>
      <c r="S9" s="121" t="b">
        <v>1</v>
      </c>
      <c r="T9" s="122" t="b">
        <v>1</v>
      </c>
    </row>
    <row r="10" outlineLevel="1">
      <c r="A10" s="111" t="s">
        <v>73</v>
      </c>
      <c r="B10" s="111" t="s">
        <v>74</v>
      </c>
      <c r="C10" s="112">
        <v>46028.0</v>
      </c>
      <c r="D10" s="111"/>
      <c r="E10" s="111" t="s">
        <v>785</v>
      </c>
      <c r="F10" s="111" t="s">
        <v>786</v>
      </c>
      <c r="G10" s="111">
        <v>3.772340007E9</v>
      </c>
      <c r="H10" s="128" t="s">
        <v>787</v>
      </c>
      <c r="I10" s="111" t="s">
        <v>788</v>
      </c>
      <c r="J10" s="126">
        <v>46028.0</v>
      </c>
      <c r="K10" s="115">
        <v>37.0</v>
      </c>
      <c r="L10" s="116"/>
      <c r="M10" s="117">
        <f>IFERROR(__xludf.DUMMYFUNCTION("IF(
  K10="""",
  """",
  ROUND(
    IF(
      L10="""",
      K10,
      IF(
        ISERROR(FIND(""-"",L10)),
        K10 - VALUE(REGEXEXTRACT(L10,""(\d+)"")),
        K10 * (1 - VALUE(REGEXEXTRACT(L10,""(\d+)""))/100)
      )
    ),
    2
  )
)
"),37.0)</f>
        <v>37</v>
      </c>
      <c r="N10" s="111" t="s">
        <v>80</v>
      </c>
      <c r="O10" s="118" t="b">
        <v>0</v>
      </c>
      <c r="P10" s="119"/>
      <c r="Q10" s="120" t="s">
        <v>81</v>
      </c>
      <c r="R10" s="121" t="b">
        <v>0</v>
      </c>
      <c r="S10" s="121" t="b">
        <v>1</v>
      </c>
      <c r="T10" s="122" t="b">
        <v>1</v>
      </c>
    </row>
    <row r="11" outlineLevel="1">
      <c r="A11" s="111" t="s">
        <v>368</v>
      </c>
      <c r="B11" s="111" t="s">
        <v>369</v>
      </c>
      <c r="C11" s="112">
        <v>46034.0</v>
      </c>
      <c r="D11" s="111"/>
      <c r="E11" s="111" t="s">
        <v>746</v>
      </c>
      <c r="F11" s="111" t="s">
        <v>217</v>
      </c>
      <c r="G11" s="111">
        <v>3.427761531E9</v>
      </c>
      <c r="H11" s="111" t="s">
        <v>747</v>
      </c>
      <c r="I11" s="111" t="s">
        <v>748</v>
      </c>
      <c r="J11" s="126">
        <v>46034.0</v>
      </c>
      <c r="K11" s="115">
        <v>37.0</v>
      </c>
      <c r="L11" s="116" t="s">
        <v>99</v>
      </c>
      <c r="M11" s="117">
        <f>IFERROR(__xludf.DUMMYFUNCTION("IF(
  K11="""",
  """",
  ROUND(
    IF(
      L11="""",
      K11,
      IF(
        ISERROR(FIND(""-"",L11)),
        K11 - VALUE(REGEXEXTRACT(L11,""(\d+)"")),
        K11 * (1 - VALUE(REGEXEXTRACT(L11,""(\d+)""))/100)
      )
    ),
    2
  )
)
"),35.0)</f>
        <v>35</v>
      </c>
      <c r="N11" s="111" t="s">
        <v>100</v>
      </c>
      <c r="O11" s="118" t="b">
        <v>1</v>
      </c>
      <c r="P11" s="119"/>
      <c r="Q11" s="120" t="s">
        <v>81</v>
      </c>
      <c r="R11" s="121" t="b">
        <v>1</v>
      </c>
      <c r="S11" s="121" t="b">
        <v>0</v>
      </c>
      <c r="T11" s="122" t="b">
        <v>1</v>
      </c>
    </row>
    <row r="12" outlineLevel="1">
      <c r="A12" s="111" t="s">
        <v>73</v>
      </c>
      <c r="B12" s="111" t="s">
        <v>74</v>
      </c>
      <c r="C12" s="112">
        <v>46033.0</v>
      </c>
      <c r="D12" s="111"/>
      <c r="E12" s="111" t="s">
        <v>755</v>
      </c>
      <c r="F12" s="111" t="s">
        <v>402</v>
      </c>
      <c r="G12" s="111">
        <v>3.665030204E9</v>
      </c>
      <c r="H12" s="111" t="s">
        <v>756</v>
      </c>
      <c r="I12" s="111" t="s">
        <v>757</v>
      </c>
      <c r="J12" s="114">
        <v>46033.0</v>
      </c>
      <c r="K12" s="115">
        <v>37.0</v>
      </c>
      <c r="L12" s="116" t="s">
        <v>106</v>
      </c>
      <c r="M12" s="117">
        <f>IFERROR(__xludf.DUMMYFUNCTION("IF(
  K12="""",
  """",
  ROUND(
    IF(
      L12="""",
      K12,
      IF(
        ISERROR(FIND(""-"",L12)),
        K12 - VALUE(REGEXEXTRACT(L12,""(\d+)"")),
        K12 * (1 - VALUE(REGEXEXTRACT(L12,""(\d+)""))/100)
      )
    ),
    2
  )
)
"),35.0)</f>
        <v>35</v>
      </c>
      <c r="N12" s="111" t="s">
        <v>100</v>
      </c>
      <c r="O12" s="118" t="b">
        <v>1</v>
      </c>
      <c r="P12" s="119"/>
      <c r="Q12" s="120" t="s">
        <v>81</v>
      </c>
      <c r="R12" s="121" t="b">
        <v>1</v>
      </c>
      <c r="S12" s="121" t="b">
        <v>0</v>
      </c>
      <c r="T12" s="122" t="b">
        <v>1</v>
      </c>
    </row>
    <row r="13" outlineLevel="1">
      <c r="A13" s="111" t="s">
        <v>73</v>
      </c>
      <c r="B13" s="111" t="s">
        <v>74</v>
      </c>
      <c r="C13" s="112">
        <v>46033.0</v>
      </c>
      <c r="D13" s="111"/>
      <c r="E13" s="111" t="s">
        <v>931</v>
      </c>
      <c r="F13" s="111" t="s">
        <v>932</v>
      </c>
      <c r="G13" s="111">
        <v>3.290663288E9</v>
      </c>
      <c r="H13" s="111" t="s">
        <v>933</v>
      </c>
      <c r="I13" s="111" t="s">
        <v>934</v>
      </c>
      <c r="J13" s="126">
        <v>46033.0</v>
      </c>
      <c r="K13" s="115">
        <v>37.0</v>
      </c>
      <c r="L13" s="116"/>
      <c r="M13" s="117">
        <f>IFERROR(__xludf.DUMMYFUNCTION("IF(
  K13="""",
  """",
  ROUND(
    IF(
      L13="""",
      K13,
      IF(
        ISERROR(FIND(""-"",L13)),
        K13 - VALUE(REGEXEXTRACT(L13,""(\d+)"")),
        K13 * (1 - VALUE(REGEXEXTRACT(L13,""(\d+)""))/100)
      )
    ),
    2
  )
)
"),37.0)</f>
        <v>37</v>
      </c>
      <c r="N13" s="111" t="s">
        <v>80</v>
      </c>
      <c r="O13" s="118" t="b">
        <v>1</v>
      </c>
      <c r="P13" s="119" t="s">
        <v>935</v>
      </c>
      <c r="Q13" s="120" t="s">
        <v>81</v>
      </c>
      <c r="R13" s="121" t="b">
        <v>0</v>
      </c>
      <c r="S13" s="121" t="b">
        <v>1</v>
      </c>
      <c r="T13" s="122" t="b">
        <v>1</v>
      </c>
    </row>
    <row r="14" outlineLevel="1">
      <c r="A14" s="116" t="s">
        <v>73</v>
      </c>
      <c r="B14" s="116" t="s">
        <v>74</v>
      </c>
      <c r="C14" s="129">
        <v>46033.0</v>
      </c>
      <c r="D14" s="111"/>
      <c r="E14" s="111" t="s">
        <v>931</v>
      </c>
      <c r="F14" s="111" t="s">
        <v>932</v>
      </c>
      <c r="G14" s="111">
        <v>3.290663288E9</v>
      </c>
      <c r="H14" s="111" t="s">
        <v>933</v>
      </c>
      <c r="I14" s="111" t="s">
        <v>934</v>
      </c>
      <c r="J14" s="126">
        <v>46033.0</v>
      </c>
      <c r="K14" s="115">
        <v>37.0</v>
      </c>
      <c r="L14" s="116"/>
      <c r="M14" s="117">
        <f>IFERROR(__xludf.DUMMYFUNCTION("IF(
  K14="""",
  """",
  ROUND(
    IF(
      L14="""",
      K14,
      IF(
        ISERROR(FIND(""-"",L14)),
        K14 - VALUE(REGEXEXTRACT(L14,""(\d+)"")),
        K14 * (1 - VALUE(REGEXEXTRACT(L14,""(\d+)""))/100)
      )
    ),
    2
  )
)
"),37.0)</f>
        <v>37</v>
      </c>
      <c r="N14" s="111" t="s">
        <v>80</v>
      </c>
      <c r="O14" s="118" t="b">
        <v>1</v>
      </c>
      <c r="P14" s="119"/>
      <c r="Q14" s="120" t="s">
        <v>81</v>
      </c>
      <c r="R14" s="121" t="b">
        <v>0</v>
      </c>
      <c r="S14" s="121" t="b">
        <v>1</v>
      </c>
      <c r="T14" s="122" t="b">
        <v>1</v>
      </c>
    </row>
    <row r="15" outlineLevel="1">
      <c r="A15" s="116" t="s">
        <v>73</v>
      </c>
      <c r="B15" s="116" t="s">
        <v>74</v>
      </c>
      <c r="C15" s="129">
        <v>46033.0</v>
      </c>
      <c r="D15" s="111"/>
      <c r="E15" s="111" t="s">
        <v>936</v>
      </c>
      <c r="F15" s="116" t="s">
        <v>713</v>
      </c>
      <c r="G15" s="111">
        <v>3.397054238E9</v>
      </c>
      <c r="H15" s="116" t="s">
        <v>937</v>
      </c>
      <c r="I15" s="111" t="s">
        <v>938</v>
      </c>
      <c r="J15" s="132">
        <v>46033.0</v>
      </c>
      <c r="K15" s="115">
        <v>37.0</v>
      </c>
      <c r="L15" s="116"/>
      <c r="M15" s="117">
        <f>IFERROR(__xludf.DUMMYFUNCTION("IF(
  K15="""",
  """",
  ROUND(
    IF(
      L15="""",
      K15,
      IF(
        ISERROR(FIND(""-"",L15)),
        K15 - VALUE(REGEXEXTRACT(L15,""(\d+)"")),
        K15 * (1 - VALUE(REGEXEXTRACT(L15,""(\d+)""))/100)
      )
    ),
    2
  )
)
"),37.0)</f>
        <v>37</v>
      </c>
      <c r="N15" s="111" t="s">
        <v>80</v>
      </c>
      <c r="O15" s="118" t="b">
        <v>1</v>
      </c>
      <c r="P15" s="119"/>
      <c r="Q15" s="120" t="s">
        <v>81</v>
      </c>
      <c r="R15" s="121" t="b">
        <v>0</v>
      </c>
      <c r="S15" s="121" t="b">
        <v>1</v>
      </c>
      <c r="T15" s="122" t="b">
        <v>1</v>
      </c>
    </row>
    <row r="16" outlineLevel="1">
      <c r="A16" s="111" t="s">
        <v>73</v>
      </c>
      <c r="B16" s="111" t="s">
        <v>74</v>
      </c>
      <c r="C16" s="129">
        <v>46034.0</v>
      </c>
      <c r="D16" s="111"/>
      <c r="E16" s="111" t="s">
        <v>576</v>
      </c>
      <c r="F16" s="111" t="s">
        <v>165</v>
      </c>
      <c r="G16" s="111">
        <v>3.337184341E9</v>
      </c>
      <c r="H16" s="111" t="s">
        <v>577</v>
      </c>
      <c r="I16" s="111" t="s">
        <v>578</v>
      </c>
      <c r="J16" s="132">
        <v>46034.0</v>
      </c>
      <c r="K16" s="115">
        <v>37.0</v>
      </c>
      <c r="L16" s="116" t="s">
        <v>106</v>
      </c>
      <c r="M16" s="117">
        <f>IFERROR(__xludf.DUMMYFUNCTION("IF(
  K16="""",
  """",
  ROUND(
    IF(
      L16="""",
      K16,
      IF(
        ISERROR(FIND(""-"",L16)),
        K16 - VALUE(REGEXEXTRACT(L16,""(\d+)"")),
        K16 * (1 - VALUE(REGEXEXTRACT(L16,""(\d+)""))/100)
      )
    ),
    2
  )
)
"),35.0)</f>
        <v>35</v>
      </c>
      <c r="N16" s="111" t="s">
        <v>100</v>
      </c>
      <c r="O16" s="118" t="b">
        <v>1</v>
      </c>
      <c r="P16" s="119"/>
      <c r="Q16" s="120" t="s">
        <v>81</v>
      </c>
      <c r="R16" s="121" t="b">
        <v>1</v>
      </c>
      <c r="S16" s="121" t="b">
        <v>0</v>
      </c>
      <c r="T16" s="122" t="b">
        <v>1</v>
      </c>
    </row>
    <row r="17" outlineLevel="1">
      <c r="A17" s="111" t="s">
        <v>73</v>
      </c>
      <c r="B17" s="111" t="s">
        <v>74</v>
      </c>
      <c r="C17" s="133">
        <v>46036.0</v>
      </c>
      <c r="D17" s="111"/>
      <c r="E17" s="111" t="s">
        <v>772</v>
      </c>
      <c r="F17" s="111" t="s">
        <v>773</v>
      </c>
      <c r="G17" s="111">
        <v>3.347564404E9</v>
      </c>
      <c r="H17" s="111" t="s">
        <v>774</v>
      </c>
      <c r="I17" s="111" t="s">
        <v>775</v>
      </c>
      <c r="J17" s="134">
        <v>46036.0</v>
      </c>
      <c r="K17" s="115">
        <v>37.0</v>
      </c>
      <c r="L17" s="116"/>
      <c r="M17" s="117">
        <f>IFERROR(__xludf.DUMMYFUNCTION("IF(
  K17="""",
  """",
  ROUND(
    IF(
      L17="""",
      K17,
      IF(
        ISERROR(FIND(""-"",L17)),
        K17 - VALUE(REGEXEXTRACT(L17,""(\d+)"")),
        K17 * (1 - VALUE(REGEXEXTRACT(L17,""(\d+)""))/100)
      )
    ),
    2
  )
)
"),37.0)</f>
        <v>37</v>
      </c>
      <c r="N17" s="111" t="s">
        <v>80</v>
      </c>
      <c r="O17" s="118" t="b">
        <v>0</v>
      </c>
      <c r="P17" s="119"/>
      <c r="Q17" s="120" t="s">
        <v>81</v>
      </c>
      <c r="R17" s="121" t="b">
        <v>0</v>
      </c>
      <c r="S17" s="121" t="b">
        <v>1</v>
      </c>
      <c r="T17" s="122" t="b">
        <v>1</v>
      </c>
    </row>
    <row r="18" outlineLevel="1">
      <c r="A18" s="116" t="s">
        <v>73</v>
      </c>
      <c r="B18" s="116" t="s">
        <v>74</v>
      </c>
      <c r="C18" s="129">
        <v>46037.0</v>
      </c>
      <c r="D18" s="111"/>
      <c r="E18" s="111" t="s">
        <v>939</v>
      </c>
      <c r="F18" s="116" t="s">
        <v>940</v>
      </c>
      <c r="G18" s="116">
        <v>3.409135418E9</v>
      </c>
      <c r="H18" s="116" t="s">
        <v>941</v>
      </c>
      <c r="I18" s="116" t="s">
        <v>942</v>
      </c>
      <c r="J18" s="135">
        <v>46037.0</v>
      </c>
      <c r="K18" s="115">
        <v>37.0</v>
      </c>
      <c r="L18" s="116"/>
      <c r="M18" s="117">
        <f>IFERROR(__xludf.DUMMYFUNCTION("IF(
  K18="""",
  """",
  ROUND(
    IF(
      L18="""",
      K18,
      IF(
        ISERROR(FIND(""-"",L18)),
        K18 - VALUE(REGEXEXTRACT(L18,""(\d+)"")),
        K18 * (1 - VALUE(REGEXEXTRACT(L18,""(\d+)""))/100)
      )
    ),
    2
  )
)
"),37.0)</f>
        <v>37</v>
      </c>
      <c r="N18" s="111" t="s">
        <v>80</v>
      </c>
      <c r="O18" s="118" t="b">
        <v>1</v>
      </c>
      <c r="P18" s="119"/>
      <c r="Q18" s="120" t="s">
        <v>81</v>
      </c>
      <c r="R18" s="121" t="b">
        <v>0</v>
      </c>
      <c r="S18" s="121" t="b">
        <v>1</v>
      </c>
      <c r="T18" s="122" t="b">
        <v>1</v>
      </c>
    </row>
    <row r="19" outlineLevel="1">
      <c r="A19" s="116" t="s">
        <v>73</v>
      </c>
      <c r="B19" s="116" t="s">
        <v>74</v>
      </c>
      <c r="C19" s="129">
        <v>46040.0</v>
      </c>
      <c r="D19" s="111"/>
      <c r="E19" s="111" t="s">
        <v>776</v>
      </c>
      <c r="F19" s="116" t="s">
        <v>777</v>
      </c>
      <c r="G19" s="116">
        <v>3.663090943E9</v>
      </c>
      <c r="H19" s="116" t="s">
        <v>778</v>
      </c>
      <c r="I19" s="116" t="s">
        <v>779</v>
      </c>
      <c r="J19" s="132">
        <v>46040.0</v>
      </c>
      <c r="K19" s="115">
        <v>37.0</v>
      </c>
      <c r="L19" s="116"/>
      <c r="M19" s="117">
        <f>IFERROR(__xludf.DUMMYFUNCTION("IF(
  K19="""",
  """",
  ROUND(
    IF(
      L19="""",
      K19,
      IF(
        ISERROR(FIND(""-"",L19)),
        K19 - VALUE(REGEXEXTRACT(L19,""(\d+)"")),
        K19 * (1 - VALUE(REGEXEXTRACT(L19,""(\d+)""))/100)
      )
    ),
    2
  )
)
"),37.0)</f>
        <v>37</v>
      </c>
      <c r="N19" s="111" t="s">
        <v>80</v>
      </c>
      <c r="O19" s="118" t="b">
        <v>0</v>
      </c>
      <c r="P19" s="119"/>
      <c r="Q19" s="120" t="s">
        <v>81</v>
      </c>
      <c r="R19" s="121" t="b">
        <v>0</v>
      </c>
      <c r="S19" s="121" t="b">
        <v>1</v>
      </c>
      <c r="T19" s="122" t="b">
        <v>1</v>
      </c>
    </row>
    <row r="20" outlineLevel="1">
      <c r="A20" s="116" t="s">
        <v>73</v>
      </c>
      <c r="B20" s="116" t="s">
        <v>74</v>
      </c>
      <c r="C20" s="129">
        <v>46040.0</v>
      </c>
      <c r="D20" s="111"/>
      <c r="E20" s="111" t="s">
        <v>776</v>
      </c>
      <c r="F20" s="116" t="s">
        <v>165</v>
      </c>
      <c r="G20" s="116">
        <v>3.669542854E9</v>
      </c>
      <c r="H20" s="116" t="s">
        <v>780</v>
      </c>
      <c r="I20" s="116" t="s">
        <v>781</v>
      </c>
      <c r="J20" s="132">
        <v>46040.0</v>
      </c>
      <c r="K20" s="115">
        <v>37.0</v>
      </c>
      <c r="L20" s="116"/>
      <c r="M20" s="117">
        <f>IFERROR(__xludf.DUMMYFUNCTION("IF(
  K20="""",
  """",
  ROUND(
    IF(
      L20="""",
      K20,
      IF(
        ISERROR(FIND(""-"",L20)),
        K20 - VALUE(REGEXEXTRACT(L20,""(\d+)"")),
        K20 * (1 - VALUE(REGEXEXTRACT(L20,""(\d+)""))/100)
      )
    ),
    2
  )
)
"),37.0)</f>
        <v>37</v>
      </c>
      <c r="N20" s="116" t="s">
        <v>80</v>
      </c>
      <c r="O20" s="118" t="b">
        <v>1</v>
      </c>
      <c r="P20" s="119"/>
      <c r="Q20" s="120" t="s">
        <v>81</v>
      </c>
      <c r="R20" s="121" t="b">
        <v>0</v>
      </c>
      <c r="S20" s="121" t="b">
        <v>1</v>
      </c>
      <c r="T20" s="122" t="b">
        <v>1</v>
      </c>
    </row>
    <row r="21" outlineLevel="1">
      <c r="A21" s="116" t="s">
        <v>73</v>
      </c>
      <c r="B21" s="116" t="s">
        <v>74</v>
      </c>
      <c r="C21" s="129">
        <v>46040.0</v>
      </c>
      <c r="D21" s="111"/>
      <c r="E21" s="111" t="s">
        <v>776</v>
      </c>
      <c r="F21" s="116" t="s">
        <v>782</v>
      </c>
      <c r="G21" s="116">
        <v>3.47866641E9</v>
      </c>
      <c r="H21" s="116" t="s">
        <v>783</v>
      </c>
      <c r="I21" s="116" t="s">
        <v>784</v>
      </c>
      <c r="J21" s="135">
        <v>46040.0</v>
      </c>
      <c r="K21" s="115">
        <v>37.0</v>
      </c>
      <c r="L21" s="116"/>
      <c r="M21" s="117">
        <f>IFERROR(__xludf.DUMMYFUNCTION("IF(
  K21="""",
  """",
  ROUND(
    IF(
      L21="""",
      K21,
      IF(
        ISERROR(FIND(""-"",L21)),
        K21 - VALUE(REGEXEXTRACT(L21,""(\d+)"")),
        K21 * (1 - VALUE(REGEXEXTRACT(L21,""(\d+)""))/100)
      )
    ),
    2
  )
)
"),37.0)</f>
        <v>37</v>
      </c>
      <c r="N21" s="111" t="s">
        <v>80</v>
      </c>
      <c r="O21" s="118" t="b">
        <v>1</v>
      </c>
      <c r="P21" s="119"/>
      <c r="Q21" s="120" t="s">
        <v>81</v>
      </c>
      <c r="R21" s="121" t="b">
        <v>0</v>
      </c>
      <c r="S21" s="121" t="b">
        <v>1</v>
      </c>
      <c r="T21" s="122" t="b">
        <v>1</v>
      </c>
    </row>
    <row r="22" outlineLevel="1">
      <c r="A22" s="111" t="s">
        <v>73</v>
      </c>
      <c r="B22" s="111" t="s">
        <v>74</v>
      </c>
      <c r="C22" s="267">
        <v>46044.0</v>
      </c>
      <c r="D22" s="137"/>
      <c r="E22" s="268" t="s">
        <v>943</v>
      </c>
      <c r="F22" s="138" t="s">
        <v>944</v>
      </c>
      <c r="G22" s="139">
        <v>3.471245852E9</v>
      </c>
      <c r="H22" s="140" t="s">
        <v>945</v>
      </c>
      <c r="I22" s="140" t="s">
        <v>946</v>
      </c>
      <c r="J22" s="267">
        <v>46044.0</v>
      </c>
      <c r="K22" s="141">
        <v>37.0</v>
      </c>
      <c r="L22" s="116"/>
      <c r="M22" s="117">
        <f>IFERROR(__xludf.DUMMYFUNCTION("IF(
  K22="""",
  """",
  ROUND(
    IF(
      L22="""",
      K22,
      IF(
        ISERROR(FIND(""-"",L22)),
        K22 - VALUE(REGEXEXTRACT(L22,""(\d+)"")),
        K22 * (1 - VALUE(REGEXEXTRACT(L22,""(\d+)""))/100)
      )
    ),
    2
  )
)
"),37.0)</f>
        <v>37</v>
      </c>
      <c r="N22" s="111" t="s">
        <v>100</v>
      </c>
      <c r="O22" s="118" t="b">
        <v>1</v>
      </c>
      <c r="P22" s="119"/>
      <c r="Q22" s="120" t="s">
        <v>81</v>
      </c>
      <c r="R22" s="121" t="b">
        <v>1</v>
      </c>
      <c r="S22" s="121" t="b">
        <v>0</v>
      </c>
      <c r="T22" s="122" t="b">
        <v>1</v>
      </c>
    </row>
    <row r="23" outlineLevel="1">
      <c r="A23" s="116" t="s">
        <v>73</v>
      </c>
      <c r="B23" s="116" t="s">
        <v>74</v>
      </c>
      <c r="C23" s="129">
        <v>46051.0</v>
      </c>
      <c r="D23" s="111"/>
      <c r="E23" s="111" t="s">
        <v>947</v>
      </c>
      <c r="F23" s="116" t="s">
        <v>589</v>
      </c>
      <c r="G23" s="116">
        <v>4.17877493E10</v>
      </c>
      <c r="H23" s="116" t="s">
        <v>948</v>
      </c>
      <c r="I23" s="116" t="s">
        <v>949</v>
      </c>
      <c r="J23" s="132">
        <v>46051.0</v>
      </c>
      <c r="K23" s="115">
        <v>37.0</v>
      </c>
      <c r="L23" s="116"/>
      <c r="M23" s="117">
        <f>IFERROR(__xludf.DUMMYFUNCTION("IF(
  K23="""",
  """",
  ROUND(
    IF(
      L23="""",
      K23,
      IF(
        ISERROR(FIND(""-"",L23)),
        K23 - VALUE(REGEXEXTRACT(L23,""(\d+)"")),
        K23 * (1 - VALUE(REGEXEXTRACT(L23,""(\d+)""))/100)
      )
    ),
    2
  )
)
"),37.0)</f>
        <v>37</v>
      </c>
      <c r="N23" s="111" t="s">
        <v>80</v>
      </c>
      <c r="O23" s="118" t="b">
        <v>1</v>
      </c>
      <c r="P23" s="119"/>
      <c r="Q23" s="120" t="s">
        <v>81</v>
      </c>
      <c r="R23" s="121" t="b">
        <v>0</v>
      </c>
      <c r="S23" s="121" t="b">
        <v>1</v>
      </c>
      <c r="T23" s="122" t="b">
        <v>1</v>
      </c>
    </row>
    <row r="24" outlineLevel="1">
      <c r="A24" s="116" t="s">
        <v>73</v>
      </c>
      <c r="B24" s="116" t="s">
        <v>74</v>
      </c>
      <c r="C24" s="129">
        <v>46053.0</v>
      </c>
      <c r="D24" s="111"/>
      <c r="E24" s="111" t="s">
        <v>950</v>
      </c>
      <c r="F24" s="116" t="s">
        <v>351</v>
      </c>
      <c r="G24" s="116">
        <v>3.703038263E9</v>
      </c>
      <c r="H24" s="116" t="s">
        <v>951</v>
      </c>
      <c r="I24" s="116" t="s">
        <v>952</v>
      </c>
      <c r="J24" s="134">
        <v>46053.0</v>
      </c>
      <c r="K24" s="115">
        <v>37.0</v>
      </c>
      <c r="L24" s="116"/>
      <c r="M24" s="117">
        <f>IFERROR(__xludf.DUMMYFUNCTION("IF(
  K24="""",
  """",
  ROUND(
    IF(
      L24="""",
      K24,
      IF(
        ISERROR(FIND(""-"",L24)),
        K24 - VALUE(REGEXEXTRACT(L24,""(\d+)"")),
        K24 * (1 - VALUE(REGEXEXTRACT(L24,""(\d+)""))/100)
      )
    ),
    2
  )
)
"),37.0)</f>
        <v>37</v>
      </c>
      <c r="N24" s="111" t="s">
        <v>80</v>
      </c>
      <c r="O24" s="118" t="b">
        <v>1</v>
      </c>
      <c r="P24" s="119"/>
      <c r="Q24" s="120" t="s">
        <v>81</v>
      </c>
      <c r="R24" s="121" t="b">
        <v>0</v>
      </c>
      <c r="S24" s="121" t="b">
        <v>1</v>
      </c>
      <c r="T24" s="122" t="b">
        <v>1</v>
      </c>
    </row>
    <row r="25" outlineLevel="1">
      <c r="A25" s="116" t="s">
        <v>73</v>
      </c>
      <c r="B25" s="116" t="s">
        <v>74</v>
      </c>
      <c r="C25" s="129">
        <v>46054.0</v>
      </c>
      <c r="D25" s="111"/>
      <c r="E25" s="111" t="s">
        <v>953</v>
      </c>
      <c r="F25" s="116" t="s">
        <v>954</v>
      </c>
      <c r="G25" s="116">
        <v>3.445743506E9</v>
      </c>
      <c r="H25" s="249" t="s">
        <v>955</v>
      </c>
      <c r="I25" s="116" t="s">
        <v>956</v>
      </c>
      <c r="J25" s="134">
        <v>46054.0</v>
      </c>
      <c r="K25" s="115">
        <v>42.0</v>
      </c>
      <c r="L25" s="116"/>
      <c r="M25" s="117">
        <f>IFERROR(__xludf.DUMMYFUNCTION("IF(
  K25="""",
  """",
  ROUND(
    IF(
      L25="""",
      K25,
      IF(
        ISERROR(FIND(""-"",L25)),
        K25 - VALUE(REGEXEXTRACT(L25,""(\d+)"")),
        K25 * (1 - VALUE(REGEXEXTRACT(L25,""(\d+)""))/100)
      )
    ),
    2
  )
)
"),42.0)</f>
        <v>42</v>
      </c>
      <c r="N25" s="111" t="s">
        <v>80</v>
      </c>
      <c r="O25" s="118" t="b">
        <v>1</v>
      </c>
      <c r="P25" s="119"/>
      <c r="Q25" s="120" t="s">
        <v>81</v>
      </c>
      <c r="R25" s="121" t="b">
        <v>0</v>
      </c>
      <c r="S25" s="121" t="b">
        <v>1</v>
      </c>
      <c r="T25" s="122" t="b">
        <v>1</v>
      </c>
    </row>
    <row r="26" outlineLevel="1">
      <c r="A26" s="116" t="s">
        <v>73</v>
      </c>
      <c r="B26" s="116" t="s">
        <v>74</v>
      </c>
      <c r="C26" s="129">
        <v>46054.0</v>
      </c>
      <c r="D26" s="111"/>
      <c r="E26" s="111" t="s">
        <v>957</v>
      </c>
      <c r="F26" s="116" t="s">
        <v>580</v>
      </c>
      <c r="G26" s="116">
        <v>3.39492317E9</v>
      </c>
      <c r="H26" s="116" t="s">
        <v>688</v>
      </c>
      <c r="I26" s="116" t="s">
        <v>958</v>
      </c>
      <c r="J26" s="134">
        <v>46054.0</v>
      </c>
      <c r="K26" s="115">
        <v>42.0</v>
      </c>
      <c r="L26" s="116"/>
      <c r="M26" s="117">
        <f>IFERROR(__xludf.DUMMYFUNCTION("IF(
  K26="""",
  """",
  ROUND(
    IF(
      L26="""",
      K26,
      IF(
        ISERROR(FIND(""-"",L26)),
        K26 - VALUE(REGEXEXTRACT(L26,""(\d+)"")),
        K26 * (1 - VALUE(REGEXEXTRACT(L26,""(\d+)""))/100)
      )
    ),
    2
  )
)
"),42.0)</f>
        <v>42</v>
      </c>
      <c r="N26" s="111" t="s">
        <v>80</v>
      </c>
      <c r="O26" s="118" t="b">
        <v>1</v>
      </c>
      <c r="P26" s="119"/>
      <c r="Q26" s="120" t="s">
        <v>81</v>
      </c>
      <c r="R26" s="121" t="b">
        <v>0</v>
      </c>
      <c r="S26" s="121" t="b">
        <v>1</v>
      </c>
      <c r="T26" s="122" t="b">
        <v>1</v>
      </c>
    </row>
    <row r="27"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outlineLevel="1">
      <c r="A28" s="116"/>
      <c r="B28" s="116"/>
      <c r="C28" s="129"/>
      <c r="D28" s="111"/>
      <c r="E28" s="111"/>
      <c r="F28" s="116"/>
      <c r="G28" s="116"/>
      <c r="H28" s="113"/>
      <c r="I28" s="113"/>
      <c r="J28" s="134"/>
      <c r="K28" s="115"/>
      <c r="L28" s="131"/>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outlineLevel="1">
      <c r="A30" s="116"/>
      <c r="B30" s="116"/>
      <c r="C30" s="129"/>
      <c r="D30" s="111"/>
      <c r="E30" s="111"/>
      <c r="F30" s="116"/>
      <c r="G30" s="116"/>
      <c r="H30" s="116"/>
      <c r="I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20"/>
      <c r="R43" s="121" t="b">
        <v>0</v>
      </c>
      <c r="S43" s="121" t="b">
        <v>0</v>
      </c>
      <c r="T43" s="122" t="b">
        <v>0</v>
      </c>
    </row>
    <row r="44" outlineLevel="1">
      <c r="A44" s="116"/>
      <c r="B44" s="116"/>
      <c r="C44" s="129"/>
      <c r="D44" s="111"/>
      <c r="E44" s="111"/>
      <c r="F44" s="116"/>
      <c r="G44" s="116"/>
      <c r="H44" s="143"/>
      <c r="I44" s="116"/>
      <c r="J44" s="134"/>
      <c r="K44" s="115"/>
      <c r="L44" s="131"/>
      <c r="M44" s="117" t="str">
        <f>IFERROR(__xludf.DUMMYFUNCTION("IF(
  K44="""",
  """",
  ROUND(
    IF(
      L44="""",
      K44,
      IF(
        ISERROR(FIND(""-"",L44)),
        K44 - VALUE(REGEXEXTRACT(L44,""(\d+)"")),
        K44 * (1 - VALUE(REGEXEXTRACT(L44,""(\d+)""))/100)
      )
    ),
    2
  )
)
")," ")</f>
        <v/>
      </c>
      <c r="N44" s="131"/>
      <c r="O44" s="118" t="b">
        <v>0</v>
      </c>
      <c r="P44" s="119"/>
      <c r="Q44" s="120"/>
      <c r="R44" s="121" t="b">
        <v>0</v>
      </c>
      <c r="S44" s="121" t="b">
        <v>0</v>
      </c>
      <c r="T44" s="122" t="b">
        <v>0</v>
      </c>
    </row>
    <row r="45"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23</v>
      </c>
      <c r="C84" s="160" t="s">
        <v>116</v>
      </c>
      <c r="D84" s="161">
        <f t="shared" ref="D84:F84" si="1">COUNTIF(D4:D83, "*")</f>
        <v>1</v>
      </c>
      <c r="E84" s="161">
        <f t="shared" si="1"/>
        <v>23</v>
      </c>
      <c r="F84" s="161">
        <f t="shared" si="1"/>
        <v>23</v>
      </c>
      <c r="G84" s="162">
        <f>COUNTA(G4:G83)</f>
        <v>23</v>
      </c>
      <c r="H84" s="161">
        <f t="shared" ref="H84:I84" si="2">COUNTIF(H4:H83, "*")</f>
        <v>23</v>
      </c>
      <c r="I84" s="161">
        <f t="shared" si="2"/>
        <v>23</v>
      </c>
      <c r="J84" s="160" t="s">
        <v>116</v>
      </c>
      <c r="K84" s="163">
        <f>SUM(K4:K83)</f>
        <v>861</v>
      </c>
      <c r="L84" s="161">
        <f>COUNTIF(L4:L83, "*")</f>
        <v>6</v>
      </c>
      <c r="M84" s="163">
        <f>SUM(M4:M83)</f>
        <v>849</v>
      </c>
      <c r="N84" s="161">
        <f>COUNTIF(N4:N83, "*")</f>
        <v>23</v>
      </c>
      <c r="O84" s="161">
        <f>SUMPRODUCT(--O4:O83)</f>
        <v>18</v>
      </c>
      <c r="P84" s="161">
        <f t="shared" ref="P84:Q84" si="3">COUNTIF(P4:P83, "*")</f>
        <v>1</v>
      </c>
      <c r="Q84" s="161">
        <f t="shared" si="3"/>
        <v>23</v>
      </c>
      <c r="R84" s="161">
        <f t="shared" ref="R84:T84" si="4">SUMPRODUCT(--R4:R83)</f>
        <v>7</v>
      </c>
      <c r="S84" s="161">
        <f t="shared" si="4"/>
        <v>15</v>
      </c>
      <c r="T84" s="161">
        <f t="shared" si="4"/>
        <v>23</v>
      </c>
    </row>
    <row r="85">
      <c r="A85" s="164" t="s">
        <v>117</v>
      </c>
      <c r="B85" s="165">
        <f>COUNTIF(B4:B83, "SEDE*")</f>
        <v>3</v>
      </c>
      <c r="C85" s="142"/>
      <c r="D85" s="166" t="s">
        <v>118</v>
      </c>
      <c r="E85" s="167" t="s">
        <v>119</v>
      </c>
      <c r="F85" s="168">
        <f>IFERROR(__xludf.DUMMYFUNCTION("IFERROR(TRANSPOSE(SORT(UNIQUE(FILTER($M$4:$M$83,$M$4:$M$83&lt;&gt;"""")))),"""")"),35.0)</f>
        <v>35</v>
      </c>
      <c r="G85" s="168">
        <f>IFERROR(__xludf.DUMMYFUNCTION("""COMPUTED_VALUE"""),37.0)</f>
        <v>37</v>
      </c>
      <c r="H85" s="168">
        <f>IFERROR(__xludf.DUMMYFUNCTION("""COMPUTED_VALUE"""),42.0)</f>
        <v>42</v>
      </c>
      <c r="I85" s="168"/>
      <c r="J85" s="168"/>
      <c r="K85" s="169"/>
      <c r="L85" s="169"/>
      <c r="M85" s="169"/>
      <c r="N85" s="169"/>
      <c r="O85" s="168"/>
      <c r="P85" s="170" t="s">
        <v>40</v>
      </c>
      <c r="Q85" s="171">
        <f>IF(SUM(F87:O87)=0,"",SUM(F87:O87))
</f>
        <v>105</v>
      </c>
      <c r="R85" s="164" t="s">
        <v>120</v>
      </c>
      <c r="S85" s="165" t="str">
        <f>IF(SUM(M84) = SUM(Q85:Q89), "OK", "ERRORE")</f>
        <v>OK</v>
      </c>
    </row>
    <row r="86">
      <c r="A86" s="164" t="s">
        <v>74</v>
      </c>
      <c r="B86" s="165">
        <f>COUNTIF(B4:B83, "ONLINE")</f>
        <v>20</v>
      </c>
      <c r="E86" s="172" t="s">
        <v>121</v>
      </c>
      <c r="F86" s="172">
        <f t="shared" ref="F86:O86" si="5">IF(
  F$85="",
  "",
  COUNTIFS($B$4:$B$83,"*SEDE*",$M$4:$M$83,F$85)
)
</f>
        <v>3</v>
      </c>
      <c r="G86" s="172">
        <f t="shared" si="5"/>
        <v>0</v>
      </c>
      <c r="H86" s="172">
        <f t="shared" si="5"/>
        <v>0</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f t="shared" ref="F87:O87" si="6">IF(
  F$85="",
  "",
  SUMIFS($M$4:$M$83,$B$4:$B$83,"*SEDE*",$M$4:$M$83,F$85)
)
</f>
        <v>105</v>
      </c>
      <c r="G87" s="174">
        <f t="shared" si="6"/>
        <v>0</v>
      </c>
      <c r="H87" s="174">
        <f t="shared" si="6"/>
        <v>0</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f t="shared" ref="F88:O88" si="7">IF(
  F$85="",
  "",
  COUNTIFS($B$4:$B$83,"*ONLINE*",$M$4:$M$83,F$85)
)
</f>
        <v>3</v>
      </c>
      <c r="G88" s="175">
        <f t="shared" si="7"/>
        <v>15</v>
      </c>
      <c r="H88" s="175">
        <f t="shared" si="7"/>
        <v>2</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f>IF(SUM(F89:O89)=0,"",SUM(F89:O89))
</f>
        <v>744</v>
      </c>
    </row>
    <row r="89">
      <c r="E89" s="173" t="s">
        <v>124</v>
      </c>
      <c r="F89" s="174">
        <f t="shared" ref="F89:O89" si="8">IF(
  F$85="",
  "",
  SUMIFS($M$4:$M$83,$B$4:$B$83,"*ONLINE*",$M$4:$M$83,F$85)
)
</f>
        <v>105</v>
      </c>
      <c r="G89" s="174">
        <f t="shared" si="8"/>
        <v>555</v>
      </c>
      <c r="H89" s="174">
        <f t="shared" si="8"/>
        <v>84</v>
      </c>
      <c r="I89" s="174" t="str">
        <f t="shared" si="8"/>
        <v/>
      </c>
      <c r="J89" s="174" t="str">
        <f t="shared" si="8"/>
        <v/>
      </c>
      <c r="K89" s="174" t="str">
        <f t="shared" si="8"/>
        <v/>
      </c>
      <c r="L89" s="174" t="str">
        <f t="shared" si="8"/>
        <v/>
      </c>
      <c r="M89" s="174" t="str">
        <f t="shared" si="8"/>
        <v/>
      </c>
      <c r="N89" s="174" t="str">
        <f t="shared" si="8"/>
        <v/>
      </c>
      <c r="O89" s="174" t="str">
        <f t="shared" si="8"/>
        <v/>
      </c>
    </row>
    <row r="90" ht="26.25" customHeight="1">
      <c r="A90" s="176"/>
      <c r="B90" s="176"/>
      <c r="C90" s="176" t="s">
        <v>125</v>
      </c>
    </row>
    <row r="91" outlineLevel="1">
      <c r="A91" s="116"/>
      <c r="B91" s="116"/>
      <c r="C91" s="129"/>
      <c r="D91" s="157"/>
      <c r="E91" s="157"/>
      <c r="F91" s="156"/>
      <c r="G91" s="157"/>
      <c r="H91" s="116"/>
      <c r="I91" s="116"/>
      <c r="J91" s="134"/>
      <c r="K91" s="177"/>
      <c r="L91" s="116"/>
      <c r="M91" s="178" t="str">
        <f>IFERROR(__xludf.DUMMYFUNCTION("IF(
  K91="""",
  """",
  ROUND(
    IF(
      L91="""",
      K91,
      IF(
        ISERROR(FIND(""-"",L91)),
        K91 - VALUE(REGEXEXTRACT(L91,""(\d+)"")),
        K91 * (1 - VALUE(REGEXEXTRACT(L91,""(\d+)""))/100)
      )
    ),
    2
  )
)
")," ")</f>
        <v/>
      </c>
      <c r="N91" s="116"/>
      <c r="O91" s="118" t="b">
        <v>0</v>
      </c>
      <c r="P91" s="179"/>
      <c r="Q91" s="120"/>
      <c r="R91" s="121" t="b">
        <v>0</v>
      </c>
      <c r="S91" s="121" t="b">
        <v>0</v>
      </c>
      <c r="T91" s="122" t="b">
        <v>0</v>
      </c>
    </row>
    <row r="92" outlineLevel="1">
      <c r="A92" s="116"/>
      <c r="B92" s="116"/>
      <c r="C92" s="129"/>
      <c r="D92" s="116"/>
      <c r="E92" s="116"/>
      <c r="F92" s="116"/>
      <c r="G92" s="116"/>
      <c r="H92" s="116"/>
      <c r="I92" s="116"/>
      <c r="J92" s="134"/>
      <c r="K92" s="177"/>
      <c r="L92" s="116"/>
      <c r="M92" s="178" t="str">
        <f>IFERROR(__xludf.DUMMYFUNCTION("IF(
  K92="""",
  """",
  ROUND(
    IF(
      L92="""",
      K92,
      IF(
        ISERROR(FIND(""-"",L92)),
        K92 - VALUE(REGEXEXTRACT(L92,""(\d+)"")),
        K92 * (1 - VALUE(REGEXEXTRACT(L92,""(\d+)""))/100)
      )
    ),
    2
  )
)
")," ")</f>
        <v/>
      </c>
      <c r="N92" s="116"/>
      <c r="O92" s="118" t="b">
        <v>0</v>
      </c>
      <c r="P92" s="179"/>
      <c r="Q92" s="120"/>
      <c r="R92" s="121" t="b">
        <v>0</v>
      </c>
      <c r="S92" s="121" t="b">
        <v>0</v>
      </c>
      <c r="T92" s="122" t="b">
        <v>0</v>
      </c>
    </row>
    <row r="93" outlineLevel="1">
      <c r="A93" s="116"/>
      <c r="B93" s="116"/>
      <c r="C93" s="129"/>
      <c r="D93" s="116"/>
      <c r="E93" s="116"/>
      <c r="F93" s="116"/>
      <c r="G93" s="116"/>
      <c r="H93" s="111"/>
      <c r="I93" s="111"/>
      <c r="J93" s="126"/>
      <c r="K93" s="180"/>
      <c r="L93" s="116"/>
      <c r="M93" s="178" t="str">
        <f>IFERROR(__xludf.DUMMYFUNCTION("IF(
  K93="""",
  """",
  ROUND(
    IF(
      L93="""",
      K93,
      IF(
        ISERROR(FIND(""-"",L93)),
        K93 - VALUE(REGEXEXTRACT(L93,""(\d+)"")),
        K93 * (1 - VALUE(REGEXEXTRACT(L93,""(\d+)""))/100)
      )
    ),
    2
  )
)
")," ")</f>
        <v/>
      </c>
      <c r="N93" s="116"/>
      <c r="O93" s="118" t="b">
        <v>0</v>
      </c>
      <c r="P93" s="179"/>
      <c r="Q93" s="120"/>
      <c r="R93" s="121" t="b">
        <v>0</v>
      </c>
      <c r="S93" s="121" t="b">
        <v>0</v>
      </c>
      <c r="T93" s="122" t="b">
        <v>0</v>
      </c>
    </row>
    <row r="94" outlineLevel="1">
      <c r="A94" s="116"/>
      <c r="B94" s="116"/>
      <c r="C94" s="129"/>
      <c r="D94" s="157"/>
      <c r="E94" s="157"/>
      <c r="F94" s="116"/>
      <c r="G94" s="116"/>
      <c r="H94" s="116"/>
      <c r="I94" s="116"/>
      <c r="J94" s="134"/>
      <c r="K94" s="177"/>
      <c r="L94" s="116"/>
      <c r="M94" s="178" t="str">
        <f>IFERROR(__xludf.DUMMYFUNCTION("IF(
  K94="""",
  """",
  ROUND(
    IF(
      L94="""",
      K94,
      IF(
        ISERROR(FIND(""-"",L94)),
        K94 - VALUE(REGEXEXTRACT(L94,""(\d+)"")),
        K94 * (1 - VALUE(REGEXEXTRACT(L94,""(\d+)""))/100)
      )
    ),
    2
  )
)
")," ")</f>
        <v/>
      </c>
      <c r="N94" s="116"/>
      <c r="O94" s="118" t="b">
        <v>0</v>
      </c>
      <c r="P94" s="179"/>
      <c r="Q94" s="120"/>
      <c r="R94" s="121" t="b">
        <v>0</v>
      </c>
      <c r="S94" s="121" t="b">
        <v>0</v>
      </c>
      <c r="T94" s="122" t="b">
        <v>0</v>
      </c>
    </row>
    <row r="95" outlineLevel="1">
      <c r="A95" s="116"/>
      <c r="B95" s="116"/>
      <c r="C95" s="129"/>
      <c r="D95" s="116"/>
      <c r="E95" s="116"/>
      <c r="F95" s="116"/>
      <c r="G95" s="116"/>
      <c r="H95" s="116"/>
      <c r="I95" s="116"/>
      <c r="J95" s="134"/>
      <c r="K95" s="177"/>
      <c r="L95" s="116"/>
      <c r="M95" s="178" t="str">
        <f>IFERROR(__xludf.DUMMYFUNCTION("IF(
  K95="""",
  """",
  ROUND(
    IF(
      L95="""",
      K95,
      IF(
        ISERROR(FIND(""-"",L95)),
        K95 - VALUE(REGEXEXTRACT(L95,""(\d+)"")),
        K95 * (1 - VALUE(REGEXEXTRACT(L95,""(\d+)""))/100)
      )
    ),
    2
  )
)
")," ")</f>
        <v/>
      </c>
      <c r="N95" s="116"/>
      <c r="O95" s="118" t="b">
        <v>0</v>
      </c>
      <c r="P95" s="179"/>
      <c r="Q95" s="120"/>
      <c r="R95" s="121" t="b">
        <v>0</v>
      </c>
      <c r="S95" s="121" t="b">
        <v>0</v>
      </c>
      <c r="T95" s="122" t="b">
        <v>0</v>
      </c>
    </row>
    <row r="96" outlineLevel="1">
      <c r="A96" s="116"/>
      <c r="B96" s="116"/>
      <c r="C96" s="112"/>
      <c r="D96" s="116"/>
      <c r="E96" s="116"/>
      <c r="F96" s="111"/>
      <c r="G96" s="111"/>
      <c r="H96" s="111"/>
      <c r="I96" s="111"/>
      <c r="J96" s="134"/>
      <c r="K96" s="177"/>
      <c r="L96" s="116"/>
      <c r="M96" s="178" t="str">
        <f>IFERROR(__xludf.DUMMYFUNCTION("IF(
  K96="""",
  """",
  ROUND(
    IF(
      L96="""",
      K96,
      IF(
        ISERROR(FIND(""-"",L96)),
        K96 - VALUE(REGEXEXTRACT(L96,""(\d+)"")),
        K96 * (1 - VALUE(REGEXEXTRACT(L96,""(\d+)""))/100)
      )
    ),
    2
  )
)
")," ")</f>
        <v/>
      </c>
      <c r="N96" s="116"/>
      <c r="O96" s="118" t="b">
        <v>0</v>
      </c>
      <c r="P96" s="179"/>
      <c r="Q96" s="120"/>
      <c r="R96" s="121" t="b">
        <v>0</v>
      </c>
      <c r="S96" s="121" t="b">
        <v>0</v>
      </c>
      <c r="T96" s="122" t="b">
        <v>0</v>
      </c>
    </row>
    <row r="97" outlineLevel="1">
      <c r="A97" s="116"/>
      <c r="B97" s="116"/>
      <c r="C97" s="112"/>
      <c r="D97" s="157"/>
      <c r="E97" s="157"/>
      <c r="F97" s="111"/>
      <c r="G97" s="111"/>
      <c r="H97" s="111"/>
      <c r="I97" s="111"/>
      <c r="J97" s="114"/>
      <c r="K97" s="177"/>
      <c r="L97" s="116"/>
      <c r="M97" s="178" t="str">
        <f>IFERROR(__xludf.DUMMYFUNCTION("IF(
  K97="""",
  """",
  ROUND(
    IF(
      L97="""",
      K97,
      IF(
        ISERROR(FIND(""-"",L97)),
        K97 - VALUE(REGEXEXTRACT(L97,""(\d+)"")),
        K97 * (1 - VALUE(REGEXEXTRACT(L97,""(\d+)""))/100)
      )
    ),
    2
  )
)
")," ")</f>
        <v/>
      </c>
      <c r="N97" s="116"/>
      <c r="O97" s="118" t="b">
        <v>0</v>
      </c>
      <c r="P97" s="179"/>
      <c r="Q97" s="120"/>
      <c r="R97" s="121" t="b">
        <v>0</v>
      </c>
      <c r="S97" s="121" t="b">
        <v>0</v>
      </c>
      <c r="T97" s="122" t="b">
        <v>0</v>
      </c>
    </row>
    <row r="98" outlineLevel="1">
      <c r="A98" s="116"/>
      <c r="B98" s="116"/>
      <c r="C98" s="112"/>
      <c r="D98" s="116"/>
      <c r="E98" s="116"/>
      <c r="F98" s="111"/>
      <c r="G98" s="111"/>
      <c r="H98" s="111"/>
      <c r="I98" s="111"/>
      <c r="J98" s="126"/>
      <c r="K98" s="180"/>
      <c r="L98" s="116"/>
      <c r="M98" s="178" t="str">
        <f>IFERROR(__xludf.DUMMYFUNCTION("IF(
  K98="""",
  """",
  ROUND(
    IF(
      L98="""",
      K98,
      IF(
        ISERROR(FIND(""-"",L98)),
        K98 - VALUE(REGEXEXTRACT(L98,""(\d+)"")),
        K98 * (1 - VALUE(REGEXEXTRACT(L98,""(\d+)""))/100)
      )
    ),
    2
  )
)
")," ")</f>
        <v/>
      </c>
      <c r="N98" s="116"/>
      <c r="O98" s="118" t="b">
        <v>0</v>
      </c>
      <c r="P98" s="179"/>
      <c r="Q98" s="120"/>
      <c r="R98" s="121" t="b">
        <v>0</v>
      </c>
      <c r="S98" s="121" t="b">
        <v>0</v>
      </c>
      <c r="T98" s="122" t="b">
        <v>0</v>
      </c>
    </row>
    <row r="99" outlineLevel="1">
      <c r="A99" s="116"/>
      <c r="B99" s="116"/>
      <c r="C99" s="112"/>
      <c r="D99" s="116"/>
      <c r="E99" s="116"/>
      <c r="F99" s="111"/>
      <c r="G99" s="111"/>
      <c r="H99" s="111"/>
      <c r="I99" s="111"/>
      <c r="J99" s="126"/>
      <c r="K99" s="177"/>
      <c r="L99" s="116"/>
      <c r="M99" s="178" t="str">
        <f>IFERROR(__xludf.DUMMYFUNCTION("IF(
  K99="""",
  """",
  ROUND(
    IF(
      L99="""",
      K99,
      IF(
        ISERROR(FIND(""-"",L99)),
        K99 - VALUE(REGEXEXTRACT(L99,""(\d+)"")),
        K99 * (1 - VALUE(REGEXEXTRACT(L99,""(\d+)""))/100)
      )
    ),
    2
  )
)
")," ")</f>
        <v/>
      </c>
      <c r="N99" s="116"/>
      <c r="O99" s="118" t="b">
        <v>0</v>
      </c>
      <c r="P99" s="179"/>
      <c r="Q99" s="120"/>
      <c r="R99" s="121" t="b">
        <v>0</v>
      </c>
      <c r="S99" s="121" t="b">
        <v>0</v>
      </c>
      <c r="T99" s="122" t="b">
        <v>0</v>
      </c>
    </row>
    <row r="100" outlineLevel="1">
      <c r="A100" s="116"/>
      <c r="B100" s="116"/>
      <c r="C100" s="112"/>
      <c r="D100" s="157"/>
      <c r="E100" s="157"/>
      <c r="F100" s="111"/>
      <c r="G100" s="111"/>
      <c r="H100" s="111"/>
      <c r="I100" s="111"/>
      <c r="J100" s="114"/>
      <c r="K100" s="177"/>
      <c r="L100" s="116"/>
      <c r="M100" s="178" t="str">
        <f>IFERROR(__xludf.DUMMYFUNCTION("IF(
  K100="""",
  """",
  ROUND(
    IF(
      L100="""",
      K100,
      IF(
        ISERROR(FIND(""-"",L100)),
        K100 - VALUE(REGEXEXTRACT(L100,""(\d+)"")),
        K100 * (1 - VALUE(REGEXEXTRACT(L100,""(\d+)""))/100)
      )
    ),
    2
  )
)"&amp;"
")," ")</f>
        <v/>
      </c>
      <c r="N100" s="116"/>
      <c r="O100" s="118" t="b">
        <v>0</v>
      </c>
      <c r="P100" s="179"/>
      <c r="Q100" s="120"/>
      <c r="R100" s="121" t="b">
        <v>0</v>
      </c>
      <c r="S100" s="121" t="b">
        <v>0</v>
      </c>
      <c r="T100" s="122" t="b">
        <v>0</v>
      </c>
    </row>
    <row r="101" outlineLevel="1">
      <c r="A101" s="116"/>
      <c r="B101" s="116"/>
      <c r="C101" s="112"/>
      <c r="D101" s="116"/>
      <c r="E101" s="116"/>
      <c r="F101" s="111"/>
      <c r="G101" s="111"/>
      <c r="H101" s="111"/>
      <c r="I101" s="111"/>
      <c r="J101" s="126"/>
      <c r="K101" s="177"/>
      <c r="L101" s="116"/>
      <c r="M101" s="178" t="str">
        <f>IFERROR(__xludf.DUMMYFUNCTION("IF(
  K101="""",
  """",
  ROUND(
    IF(
      L101="""",
      K101,
      IF(
        ISERROR(FIND(""-"",L101)),
        K101 - VALUE(REGEXEXTRACT(L101,""(\d+)"")),
        K101 * (1 - VALUE(REGEXEXTRACT(L101,""(\d+)""))/100)
      )
    ),
    2
  )
)"&amp;"
")," ")</f>
        <v/>
      </c>
      <c r="N101" s="116"/>
      <c r="O101" s="118" t="b">
        <v>0</v>
      </c>
      <c r="P101" s="179"/>
      <c r="Q101" s="120"/>
      <c r="R101" s="121" t="b">
        <v>0</v>
      </c>
      <c r="S101" s="121" t="b">
        <v>0</v>
      </c>
      <c r="T101" s="122" t="b">
        <v>0</v>
      </c>
    </row>
    <row r="102" outlineLevel="1">
      <c r="A102" s="116"/>
      <c r="B102" s="116"/>
      <c r="C102" s="112"/>
      <c r="D102" s="116"/>
      <c r="E102" s="116"/>
      <c r="F102" s="111"/>
      <c r="G102" s="111"/>
      <c r="H102" s="111"/>
      <c r="I102" s="111"/>
      <c r="J102" s="126"/>
      <c r="K102" s="177"/>
      <c r="L102" s="116"/>
      <c r="M102" s="178" t="str">
        <f>IFERROR(__xludf.DUMMYFUNCTION("IF(
  K102="""",
  """",
  ROUND(
    IF(
      L102="""",
      K102,
      IF(
        ISERROR(FIND(""-"",L102)),
        K102 - VALUE(REGEXEXTRACT(L102,""(\d+)"")),
        K102 * (1 - VALUE(REGEXEXTRACT(L102,""(\d+)""))/100)
      )
    ),
    2
  )
)"&amp;"
")," ")</f>
        <v/>
      </c>
      <c r="N102" s="116"/>
      <c r="O102" s="118" t="b">
        <v>0</v>
      </c>
      <c r="P102" s="179"/>
      <c r="Q102" s="120"/>
      <c r="R102" s="121" t="b">
        <v>0</v>
      </c>
      <c r="S102" s="121" t="b">
        <v>0</v>
      </c>
      <c r="T102" s="122" t="b">
        <v>0</v>
      </c>
    </row>
    <row r="103" outlineLevel="1">
      <c r="A103" s="116"/>
      <c r="B103" s="116"/>
      <c r="C103" s="112"/>
      <c r="D103" s="157"/>
      <c r="E103" s="157"/>
      <c r="F103" s="111"/>
      <c r="G103" s="111"/>
      <c r="H103" s="111"/>
      <c r="I103" s="111"/>
      <c r="J103" s="126"/>
      <c r="K103" s="177"/>
      <c r="L103" s="116"/>
      <c r="M103" s="178" t="str">
        <f>IFERROR(__xludf.DUMMYFUNCTION("IF(
  K103="""",
  """",
  ROUND(
    IF(
      L103="""",
      K103,
      IF(
        ISERROR(FIND(""-"",L103)),
        K103 - VALUE(REGEXEXTRACT(L103,""(\d+)"")),
        K103 * (1 - VALUE(REGEXEXTRACT(L103,""(\d+)""))/100)
      )
    ),
    2
  )
)"&amp;"
")," ")</f>
        <v/>
      </c>
      <c r="N103" s="116"/>
      <c r="O103" s="118" t="b">
        <v>0</v>
      </c>
      <c r="P103" s="179"/>
      <c r="Q103" s="120"/>
      <c r="R103" s="121" t="b">
        <v>0</v>
      </c>
      <c r="S103" s="121" t="b">
        <v>0</v>
      </c>
      <c r="T103" s="122" t="b">
        <v>0</v>
      </c>
    </row>
    <row r="104" outlineLevel="1">
      <c r="A104" s="116"/>
      <c r="B104" s="116"/>
      <c r="C104" s="112"/>
      <c r="D104" s="116"/>
      <c r="E104" s="116"/>
      <c r="F104" s="111"/>
      <c r="G104" s="111"/>
      <c r="H104" s="111"/>
      <c r="I104" s="111"/>
      <c r="J104" s="126"/>
      <c r="K104" s="177"/>
      <c r="L104" s="116"/>
      <c r="M104" s="178" t="str">
        <f>IFERROR(__xludf.DUMMYFUNCTION("IF(
  K104="""",
  """",
  ROUND(
    IF(
      L104="""",
      K104,
      IF(
        ISERROR(FIND(""-"",L104)),
        K104 - VALUE(REGEXEXTRACT(L104,""(\d+)"")),
        K104 * (1 - VALUE(REGEXEXTRACT(L104,""(\d+)""))/100)
      )
    ),
    2
  )
)"&amp;"
")," ")</f>
        <v/>
      </c>
      <c r="N104" s="116"/>
      <c r="O104" s="118" t="b">
        <v>0</v>
      </c>
      <c r="P104" s="179"/>
      <c r="Q104" s="120"/>
      <c r="R104" s="121" t="b">
        <v>0</v>
      </c>
      <c r="S104" s="121" t="b">
        <v>0</v>
      </c>
      <c r="T104" s="122" t="b">
        <v>0</v>
      </c>
    </row>
    <row r="105" outlineLevel="1">
      <c r="A105" s="116"/>
      <c r="B105" s="116"/>
      <c r="C105" s="112"/>
      <c r="D105" s="116"/>
      <c r="E105" s="116"/>
      <c r="F105" s="111"/>
      <c r="G105" s="111"/>
      <c r="H105" s="111"/>
      <c r="I105" s="111"/>
      <c r="J105" s="126"/>
      <c r="K105" s="177"/>
      <c r="L105" s="116"/>
      <c r="M105" s="178" t="str">
        <f>IFERROR(__xludf.DUMMYFUNCTION("IF(
  K105="""",
  """",
  ROUND(
    IF(
      L105="""",
      K105,
      IF(
        ISERROR(FIND(""-"",L105)),
        K105 - VALUE(REGEXEXTRACT(L105,""(\d+)"")),
        K105 * (1 - VALUE(REGEXEXTRACT(L105,""(\d+)""))/100)
      )
    ),
    2
  )
)"&amp;"
")," ")</f>
        <v/>
      </c>
      <c r="N105" s="116"/>
      <c r="O105" s="118" t="b">
        <v>0</v>
      </c>
      <c r="P105" s="179"/>
      <c r="Q105" s="120"/>
      <c r="R105" s="121" t="b">
        <v>0</v>
      </c>
      <c r="S105" s="121" t="b">
        <v>0</v>
      </c>
      <c r="T105" s="122" t="b">
        <v>0</v>
      </c>
    </row>
    <row r="106" outlineLevel="1">
      <c r="A106" s="116"/>
      <c r="B106" s="116"/>
      <c r="C106" s="112"/>
      <c r="D106" s="157"/>
      <c r="E106" s="157"/>
      <c r="F106" s="111"/>
      <c r="G106" s="111"/>
      <c r="H106" s="111"/>
      <c r="I106" s="111"/>
      <c r="J106" s="126"/>
      <c r="K106" s="177"/>
      <c r="L106" s="116"/>
      <c r="M106" s="178" t="str">
        <f>IFERROR(__xludf.DUMMYFUNCTION("IF(
  K106="""",
  """",
  ROUND(
    IF(
      L106="""",
      K106,
      IF(
        ISERROR(FIND(""-"",L106)),
        K106 - VALUE(REGEXEXTRACT(L106,""(\d+)"")),
        K106 * (1 - VALUE(REGEXEXTRACT(L106,""(\d+)""))/100)
      )
    ),
    2
  )
)"&amp;"
")," ")</f>
        <v/>
      </c>
      <c r="N106" s="116"/>
      <c r="O106" s="118" t="b">
        <v>0</v>
      </c>
      <c r="P106" s="179"/>
      <c r="Q106" s="120"/>
      <c r="R106" s="121" t="b">
        <v>0</v>
      </c>
      <c r="S106" s="121" t="b">
        <v>0</v>
      </c>
      <c r="T106" s="122" t="b">
        <v>0</v>
      </c>
    </row>
    <row r="107" outlineLevel="1">
      <c r="A107" s="131"/>
      <c r="B107" s="131"/>
      <c r="C107" s="123"/>
      <c r="D107" s="116"/>
      <c r="E107" s="116"/>
      <c r="F107" s="124"/>
      <c r="G107" s="124"/>
      <c r="H107" s="124"/>
      <c r="I107" s="124"/>
      <c r="J107" s="125"/>
      <c r="K107" s="180"/>
      <c r="L107" s="131"/>
      <c r="M107" s="178" t="str">
        <f>IFERROR(__xludf.DUMMYFUNCTION("IF(
  K107="""",
  """",
  ROUND(
    IF(
      L107="""",
      K107,
      IF(
        ISERROR(FIND(""-"",L107)),
        K107 - VALUE(REGEXEXTRACT(L107,""(\d+)"")),
        K107 * (1 - VALUE(REGEXEXTRACT(L107,""(\d+)""))/100)
      )
    ),
    2
  )
)"&amp;"
")," ")</f>
        <v/>
      </c>
      <c r="N107" s="131"/>
      <c r="O107" s="118" t="b">
        <v>0</v>
      </c>
      <c r="P107" s="179"/>
      <c r="Q107" s="149"/>
      <c r="R107" s="121" t="b">
        <v>0</v>
      </c>
      <c r="S107" s="121" t="b">
        <v>0</v>
      </c>
      <c r="T107" s="122" t="b">
        <v>0</v>
      </c>
    </row>
    <row r="108" outlineLevel="1">
      <c r="A108" s="116"/>
      <c r="B108" s="116"/>
      <c r="C108" s="112"/>
      <c r="D108" s="116"/>
      <c r="E108" s="116"/>
      <c r="F108" s="111"/>
      <c r="G108" s="111"/>
      <c r="H108" s="111"/>
      <c r="I108" s="111"/>
      <c r="J108" s="126"/>
      <c r="K108" s="177"/>
      <c r="L108" s="116"/>
      <c r="M108" s="178" t="str">
        <f>IFERROR(__xludf.DUMMYFUNCTION("IF(
  K108="""",
  """",
  ROUND(
    IF(
      L108="""",
      K108,
      IF(
        ISERROR(FIND(""-"",L108)),
        K108 - VALUE(REGEXEXTRACT(L108,""(\d+)"")),
        K108 * (1 - VALUE(REGEXEXTRACT(L108,""(\d+)""))/100)
      )
    ),
    2
  )
)"&amp;"
")," ")</f>
        <v/>
      </c>
      <c r="N108" s="116"/>
      <c r="O108" s="118" t="b">
        <v>0</v>
      </c>
      <c r="P108" s="179"/>
      <c r="Q108" s="120"/>
      <c r="R108" s="121" t="b">
        <v>0</v>
      </c>
      <c r="S108" s="121" t="b">
        <v>0</v>
      </c>
      <c r="T108" s="122" t="b">
        <v>0</v>
      </c>
    </row>
    <row r="109" outlineLevel="1">
      <c r="A109" s="116"/>
      <c r="B109" s="116"/>
      <c r="C109" s="112"/>
      <c r="D109" s="157"/>
      <c r="E109" s="157"/>
      <c r="F109" s="111"/>
      <c r="G109" s="111"/>
      <c r="H109" s="111"/>
      <c r="I109" s="111"/>
      <c r="J109" s="126"/>
      <c r="K109" s="177"/>
      <c r="L109" s="116"/>
      <c r="M109" s="178" t="str">
        <f>IFERROR(__xludf.DUMMYFUNCTION("IF(
  K109="""",
  """",
  ROUND(
    IF(
      L109="""",
      K109,
      IF(
        ISERROR(FIND(""-"",L109)),
        K109 - VALUE(REGEXEXTRACT(L109,""(\d+)"")),
        K109 * (1 - VALUE(REGEXEXTRACT(L109,""(\d+)""))/100)
      )
    ),
    2
  )
)"&amp;"
")," ")</f>
        <v/>
      </c>
      <c r="N109" s="116"/>
      <c r="O109" s="118" t="b">
        <v>0</v>
      </c>
      <c r="P109" s="179"/>
      <c r="Q109" s="120"/>
      <c r="R109" s="121" t="b">
        <v>0</v>
      </c>
      <c r="S109" s="121" t="b">
        <v>0</v>
      </c>
      <c r="T109" s="122" t="b">
        <v>0</v>
      </c>
    </row>
    <row r="110" outlineLevel="1">
      <c r="A110" s="116"/>
      <c r="B110" s="116"/>
      <c r="C110" s="112"/>
      <c r="D110" s="116"/>
      <c r="E110" s="116"/>
      <c r="F110" s="111"/>
      <c r="G110" s="111"/>
      <c r="H110" s="111"/>
      <c r="I110" s="111"/>
      <c r="J110" s="114"/>
      <c r="K110" s="177"/>
      <c r="L110" s="116"/>
      <c r="M110" s="178" t="str">
        <f>IFERROR(__xludf.DUMMYFUNCTION("IF(
  K110="""",
  """",
  ROUND(
    IF(
      L110="""",
      K110,
      IF(
        ISERROR(FIND(""-"",L110)),
        K110 - VALUE(REGEXEXTRACT(L110,""(\d+)"")),
        K110 * (1 - VALUE(REGEXEXTRACT(L110,""(\d+)""))/100)
      )
    ),
    2
  )
)"&amp;"
")," ")</f>
        <v/>
      </c>
      <c r="N110" s="116"/>
      <c r="O110" s="118" t="b">
        <v>0</v>
      </c>
      <c r="P110" s="179"/>
      <c r="Q110" s="120"/>
      <c r="R110" s="121" t="b">
        <v>0</v>
      </c>
      <c r="S110" s="121" t="b">
        <v>0</v>
      </c>
      <c r="T110" s="122" t="b">
        <v>0</v>
      </c>
    </row>
    <row r="111" outlineLevel="1">
      <c r="A111" s="116"/>
      <c r="B111" s="116"/>
      <c r="C111" s="112"/>
      <c r="D111" s="116"/>
      <c r="E111" s="116"/>
      <c r="F111" s="111"/>
      <c r="G111" s="111"/>
      <c r="H111" s="111"/>
      <c r="I111" s="111"/>
      <c r="J111" s="114"/>
      <c r="K111" s="177"/>
      <c r="L111" s="116"/>
      <c r="M111" s="178" t="str">
        <f>IFERROR(__xludf.DUMMYFUNCTION("IF(
  K111="""",
  """",
  ROUND(
    IF(
      L111="""",
      K111,
      IF(
        ISERROR(FIND(""-"",L111)),
        K111 - VALUE(REGEXEXTRACT(L111,""(\d+)"")),
        K111 * (1 - VALUE(REGEXEXTRACT(L111,""(\d+)""))/100)
      )
    ),
    2
  )
)"&amp;"
")," ")</f>
        <v/>
      </c>
      <c r="N111" s="116"/>
      <c r="O111" s="118" t="b">
        <v>0</v>
      </c>
      <c r="P111" s="179"/>
      <c r="Q111" s="120"/>
      <c r="R111" s="121" t="b">
        <v>0</v>
      </c>
      <c r="S111" s="121" t="b">
        <v>0</v>
      </c>
      <c r="T111" s="122" t="b">
        <v>0</v>
      </c>
    </row>
    <row r="112" outlineLevel="1">
      <c r="A112" s="116"/>
      <c r="B112" s="116"/>
      <c r="C112" s="112"/>
      <c r="D112" s="157"/>
      <c r="E112" s="157"/>
      <c r="F112" s="111"/>
      <c r="G112" s="111"/>
      <c r="H112" s="111"/>
      <c r="I112" s="111"/>
      <c r="J112" s="114"/>
      <c r="K112" s="177"/>
      <c r="L112" s="116"/>
      <c r="M112" s="178" t="str">
        <f>IFERROR(__xludf.DUMMYFUNCTION("IF(
  K112="""",
  """",
  ROUND(
    IF(
      L112="""",
      K112,
      IF(
        ISERROR(FIND(""-"",L112)),
        K112 - VALUE(REGEXEXTRACT(L112,""(\d+)"")),
        K112 * (1 - VALUE(REGEXEXTRACT(L112,""(\d+)""))/100)
      )
    ),
    2
  )
)"&amp;"
")," ")</f>
        <v/>
      </c>
      <c r="N112" s="116"/>
      <c r="O112" s="118" t="b">
        <v>0</v>
      </c>
      <c r="P112" s="179"/>
      <c r="Q112" s="120"/>
      <c r="R112" s="121" t="b">
        <v>0</v>
      </c>
      <c r="S112" s="121" t="b">
        <v>0</v>
      </c>
      <c r="T112" s="122" t="b">
        <v>0</v>
      </c>
    </row>
    <row r="113"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outlineLevel="1">
      <c r="A145" s="116"/>
      <c r="B145" s="116"/>
      <c r="C145" s="129"/>
      <c r="D145" s="157"/>
      <c r="E145" s="157"/>
      <c r="F145" s="116"/>
      <c r="G145" s="116"/>
      <c r="H145" s="116"/>
      <c r="I145" s="116"/>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outlineLevel="1">
      <c r="A146" s="116"/>
      <c r="B146" s="116"/>
      <c r="C146" s="185"/>
      <c r="D146" s="116"/>
      <c r="E146" s="116"/>
      <c r="F146" s="116"/>
      <c r="G146" s="116"/>
      <c r="H146" s="116"/>
      <c r="I146" s="116"/>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outlineLevel="1">
      <c r="A147" s="116"/>
      <c r="B147" s="116"/>
      <c r="C147" s="185"/>
      <c r="D147" s="116"/>
      <c r="E147" s="116"/>
      <c r="F147" s="116"/>
      <c r="G147" s="116"/>
      <c r="H147" s="116"/>
      <c r="I147" s="116"/>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outlineLevel="1">
      <c r="A148" s="116"/>
      <c r="B148" s="116"/>
      <c r="C148" s="185"/>
      <c r="D148" s="157"/>
      <c r="E148" s="157"/>
      <c r="F148" s="116"/>
      <c r="G148" s="116"/>
      <c r="H148" s="116"/>
      <c r="I148" s="116"/>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outlineLevel="1">
      <c r="A149" s="116"/>
      <c r="B149" s="116"/>
      <c r="C149" s="185"/>
      <c r="D149" s="116"/>
      <c r="E149" s="116"/>
      <c r="F149" s="116"/>
      <c r="G149" s="116"/>
      <c r="H149" s="116"/>
      <c r="I149" s="116"/>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outlineLevel="1">
      <c r="A150" s="116"/>
      <c r="B150" s="116"/>
      <c r="C150" s="185"/>
      <c r="D150" s="116"/>
      <c r="E150" s="116"/>
      <c r="F150" s="116"/>
      <c r="G150" s="116"/>
      <c r="H150" s="116"/>
      <c r="I150" s="116"/>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outlineLevel="1">
      <c r="A151" s="116"/>
      <c r="B151" s="116"/>
      <c r="C151" s="185"/>
      <c r="D151" s="157"/>
      <c r="E151" s="157"/>
      <c r="F151" s="116"/>
      <c r="G151" s="116"/>
      <c r="H151" s="116"/>
      <c r="I151" s="116"/>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outlineLevel="1">
      <c r="A152" s="116"/>
      <c r="B152" s="116"/>
      <c r="C152" s="185"/>
      <c r="D152" s="116"/>
      <c r="E152" s="116"/>
      <c r="F152" s="116"/>
      <c r="G152" s="116"/>
      <c r="H152" s="116"/>
      <c r="I152" s="116"/>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outlineLevel="1">
      <c r="A153" s="116"/>
      <c r="B153" s="116"/>
      <c r="C153" s="185"/>
      <c r="D153" s="116"/>
      <c r="E153" s="116"/>
      <c r="F153" s="116"/>
      <c r="G153" s="116"/>
      <c r="H153" s="116"/>
      <c r="I153" s="116"/>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outlineLevel="1">
      <c r="A154" s="116"/>
      <c r="B154" s="116"/>
      <c r="C154" s="185"/>
      <c r="D154" s="157"/>
      <c r="E154" s="157"/>
      <c r="F154" s="116"/>
      <c r="G154" s="116"/>
      <c r="H154" s="116"/>
      <c r="I154" s="116"/>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outlineLevel="1">
      <c r="A155" s="116"/>
      <c r="B155" s="116"/>
      <c r="C155" s="185"/>
      <c r="D155" s="116"/>
      <c r="E155" s="116"/>
      <c r="F155" s="116"/>
      <c r="G155" s="116"/>
      <c r="H155" s="116"/>
      <c r="I155" s="116"/>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outlineLevel="1">
      <c r="A156" s="116"/>
      <c r="B156" s="116"/>
      <c r="C156" s="186"/>
      <c r="D156" s="116"/>
      <c r="E156" s="116"/>
      <c r="F156" s="156"/>
      <c r="G156" s="157"/>
      <c r="H156" s="116"/>
      <c r="I156" s="116"/>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outlineLevel="1">
      <c r="A157" s="116"/>
      <c r="B157" s="116"/>
      <c r="C157" s="186"/>
      <c r="D157" s="157"/>
      <c r="E157" s="157"/>
      <c r="F157" s="187"/>
      <c r="G157" s="188"/>
      <c r="H157" s="116"/>
      <c r="I157" s="116"/>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outlineLevel="1">
      <c r="A158" s="131"/>
      <c r="B158" s="131"/>
      <c r="C158" s="130"/>
      <c r="D158" s="116"/>
      <c r="E158" s="116"/>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outlineLevel="1">
      <c r="A159" s="131"/>
      <c r="B159" s="131"/>
      <c r="C159" s="130"/>
      <c r="D159" s="116"/>
      <c r="E159" s="116"/>
      <c r="F159" s="131"/>
      <c r="G159" s="131"/>
      <c r="H159" s="131"/>
      <c r="I159" s="183"/>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outlineLevel="1">
      <c r="A160" s="131"/>
      <c r="B160" s="116"/>
      <c r="C160" s="130"/>
      <c r="D160" s="157"/>
      <c r="E160" s="157"/>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90">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50"/>
      <c r="H172" s="117"/>
      <c r="I172" s="168"/>
      <c r="J172" s="150"/>
      <c r="K172" s="117"/>
      <c r="L172" s="117"/>
      <c r="M172" s="191"/>
      <c r="N172" s="191"/>
      <c r="O172" s="191"/>
      <c r="P172" s="174"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t="str">
        <f t="shared" ref="F174:O174" si="14">IF(
  F$172="",
  "",
  SUMIFS($M$91:$M$170,$B$91:$B$170,"*SEDE*",$M$91:$M$170,F$172)
)
</f>
        <v/>
      </c>
      <c r="G174" s="193" t="str">
        <f t="shared" si="14"/>
        <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94" t="s">
        <v>124</v>
      </c>
      <c r="F176" s="195" t="str">
        <f t="shared" ref="F176:O176" si="16">IF(
  F$172="",
  "",
  SUMIFS($M$91:$M$170,$B$91:$B$170,"*ONLINE*",$M$91:$M$170,F$172)
)
</f>
        <v/>
      </c>
      <c r="G176" s="195" t="str">
        <f t="shared" si="16"/>
        <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3</v>
      </c>
      <c r="D177" s="199" t="s">
        <v>128</v>
      </c>
      <c r="E177" s="200" t="s">
        <v>129</v>
      </c>
      <c r="F177" s="201">
        <f>IFERROR(__xludf.DUMMYFUNCTION("IFERROR(
  TRANSPOSE(
    SORT(
      UNIQUE(
        FILTER(
          {$M$4:$M$83;$M$91:$M$170},
          {$M$4:$M$83;$M$91:$M$170}&lt;&gt;""""
        )
      )
    )
  ),
  """"
)
"),35.0)</f>
        <v>35</v>
      </c>
      <c r="G177" s="201">
        <f>IFERROR(__xludf.DUMMYFUNCTION("""COMPUTED_VALUE"""),37.0)</f>
        <v>37</v>
      </c>
      <c r="H177" s="201">
        <f>IFERROR(__xludf.DUMMYFUNCTION("""COMPUTED_VALUE"""),42.0)</f>
        <v>42</v>
      </c>
      <c r="I177" s="201"/>
      <c r="J177" s="201"/>
      <c r="K177" s="201"/>
      <c r="L177" s="202"/>
      <c r="M177" s="201"/>
      <c r="N177" s="201"/>
      <c r="O177" s="201"/>
      <c r="P177" s="203" t="s">
        <v>127</v>
      </c>
      <c r="Q177" s="204">
        <f>IF(SUM(F179:O179)=0,"",SUM(F179:O179))
</f>
        <v>105</v>
      </c>
      <c r="R177" s="205" t="s">
        <v>130</v>
      </c>
      <c r="S177" s="206">
        <f>IF(SUM(Q177,Q180)=0,"",SUM(Q177,Q180))
</f>
        <v>849</v>
      </c>
      <c r="T177" s="207"/>
    </row>
    <row r="178">
      <c r="A178" s="208" t="s">
        <v>131</v>
      </c>
      <c r="B178" s="209">
        <f t="shared" si="17"/>
        <v>20</v>
      </c>
      <c r="D178" s="210"/>
      <c r="E178" s="211" t="s">
        <v>132</v>
      </c>
      <c r="F178" s="212" t="str">
        <f t="shared" ref="F178:O178" si="18">IF(
  F$177="",
  "",
  COUNTIFS($B$4:$B$170,"*SEDE*",$M$4:$M$170,F$177) &amp; " da €" &amp; F$177
)
</f>
        <v>3 da €35</v>
      </c>
      <c r="G178" s="212" t="str">
        <f t="shared" si="18"/>
        <v>0 da €37</v>
      </c>
      <c r="H178" s="212" t="str">
        <f t="shared" si="18"/>
        <v>0 da €42</v>
      </c>
      <c r="I178" s="212" t="str">
        <f t="shared" si="18"/>
        <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23</v>
      </c>
      <c r="D179" s="210"/>
      <c r="E179" s="215" t="s">
        <v>122</v>
      </c>
      <c r="F179" s="216">
        <f t="shared" ref="F179:O179" si="19">IF(
  F$177="",
  "",
  SUMIFS($M$4:$M$170,$B$4:$B$170,"*SEDE*",$M$4:$M$170,F$177)
)
</f>
        <v>105</v>
      </c>
      <c r="G179" s="216">
        <f t="shared" si="19"/>
        <v>0</v>
      </c>
      <c r="H179" s="216">
        <f t="shared" si="19"/>
        <v>0</v>
      </c>
      <c r="I179" s="216" t="str">
        <f t="shared" si="19"/>
        <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16</v>
      </c>
      <c r="D180" s="210"/>
      <c r="E180" s="211" t="s">
        <v>135</v>
      </c>
      <c r="F180" s="211" t="str">
        <f t="shared" ref="F180:O180" si="20">IF(
  F$177="",
  "",
  COUNTIFS($B$4:$B$170,"*ONLINE*",$M$4:$M$170,F$177) &amp; " da €" &amp; F$177
)
</f>
        <v>3 da €35</v>
      </c>
      <c r="G180" s="211" t="str">
        <f t="shared" si="20"/>
        <v>15 da €37</v>
      </c>
      <c r="H180" s="211" t="str">
        <f t="shared" si="20"/>
        <v>2 da €42</v>
      </c>
      <c r="I180" s="211" t="str">
        <f t="shared" si="20"/>
        <v/>
      </c>
      <c r="J180" s="211" t="str">
        <f t="shared" si="20"/>
        <v/>
      </c>
      <c r="K180" s="211" t="str">
        <f t="shared" si="20"/>
        <v/>
      </c>
      <c r="L180" s="211" t="str">
        <f t="shared" si="20"/>
        <v/>
      </c>
      <c r="M180" s="211" t="str">
        <f t="shared" si="20"/>
        <v/>
      </c>
      <c r="N180" s="211" t="str">
        <f t="shared" si="20"/>
        <v/>
      </c>
      <c r="O180" s="211" t="str">
        <f t="shared" si="20"/>
        <v/>
      </c>
      <c r="P180" s="203" t="s">
        <v>131</v>
      </c>
      <c r="Q180" s="218">
        <f>IF(SUM(F181:O181)=0,"",SUM(F181:O181))
</f>
        <v>744</v>
      </c>
    </row>
    <row r="181">
      <c r="A181" s="219" t="s">
        <v>136</v>
      </c>
      <c r="B181" s="220">
        <f>COUNTIF(N4:N170,"*TESSERATO*")-COUNTIF(N4:N170,"*NON TESSERATO*")</f>
        <v>7</v>
      </c>
      <c r="D181" s="221"/>
      <c r="E181" s="222" t="s">
        <v>124</v>
      </c>
      <c r="F181" s="223">
        <f t="shared" ref="F181:O181" si="21">IF(
  F$177="",
  "",
  SUMIFS($M$4:$M$170,$B$4:$B$170,"*ONLINE*",$M$4:$M$170,F$177)
)
</f>
        <v>105</v>
      </c>
      <c r="G181" s="223">
        <f t="shared" si="21"/>
        <v>555</v>
      </c>
      <c r="H181" s="223">
        <f t="shared" si="21"/>
        <v>84</v>
      </c>
      <c r="I181" s="223" t="str">
        <f t="shared" si="21"/>
        <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formula1>"CASH - TESSERATO,CASH - NON TESSERATO,DIGIT - TESSERATO,DIGIT - NON TESSERATO"</formula1>
    </dataValidation>
    <dataValidation type="custom" allowBlank="1" showDropDown="1" showInputMessage="1" showErrorMessage="1" prompt="Immetti un valore che soddisfi la formula: =REGEXMATCH(TO_TEXT(J3); &quot;^[^@\s]+@[^@\s]+\.[^@\s]+$&quot;)" sqref="I8">
      <formula1>REGEXMATCH(TO_TEXT(I8), "^[^@\s]+@[^@\s]+\.[^@\s]+$")</formula1>
    </dataValidation>
    <dataValidation type="list" allowBlank="1" showErrorMessage="1" sqref="L4:L83 L91:L170">
      <formula1>"NURA02WS,GIUDITTA02WS,ALEXANDRA02WS,ESTEFANY02WS,JOEL02WS,MASSI02WS,SANTO02WS,SARA02WS,OMAGGIO-100WS"</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70">
      <formula1>elenchi!$M$2:$M$100</formula1>
    </dataValidation>
    <dataValidation type="list" allowBlank="1" sqref="Q4:Q83 Q91:Q170">
      <formula1>"INSERITO,CELL,EMAIL,COD FISCALE,INDIRIZZO"</formula1>
    </dataValidation>
    <dataValidation type="custom" allowBlank="1" showDropDown="1" showInputMessage="1" prompt="Immetti una data valida" sqref="C4:C83 J4:J83 C91:C170 J91:J170">
      <formula1>OR(NOT(ISERROR(DATEVALUE(C4))), AND(ISNUMBER(C4), LEFT(CELL("format", C4))="D"))</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5.25"/>
    <col customWidth="1" min="2" max="2" width="19.88"/>
    <col customWidth="1" min="3" max="3" width="12.38"/>
    <col customWidth="1" min="4" max="4" width="21.63"/>
    <col customWidth="1" min="5" max="5" width="15.13"/>
    <col customWidth="1" min="6" max="6" width="16.88"/>
    <col customWidth="1" min="7" max="7" width="42.63"/>
    <col customWidth="1" min="8" max="8" width="30.88"/>
    <col customWidth="1" min="9" max="9" width="14.13"/>
    <col customWidth="1" min="10" max="10" width="15.38"/>
    <col customWidth="1" min="11" max="11" width="10.38"/>
    <col customWidth="1" min="12" max="13" width="23.38"/>
    <col customWidth="1" min="14" max="14" width="10.63"/>
    <col customWidth="1" min="15" max="16" width="19.88"/>
    <col customWidth="1" min="17" max="19" width="13.13"/>
  </cols>
  <sheetData>
    <row r="1">
      <c r="A1" s="269" t="s">
        <v>959</v>
      </c>
      <c r="P1" s="269"/>
      <c r="Q1" s="269" t="s">
        <v>960</v>
      </c>
    </row>
    <row r="2">
      <c r="A2" s="270" t="s">
        <v>52</v>
      </c>
      <c r="B2" s="271" t="s">
        <v>53</v>
      </c>
      <c r="C2" s="270" t="s">
        <v>961</v>
      </c>
      <c r="D2" s="270" t="s">
        <v>56</v>
      </c>
      <c r="E2" s="270" t="s">
        <v>57</v>
      </c>
      <c r="F2" s="270" t="s">
        <v>58</v>
      </c>
      <c r="G2" s="271" t="s">
        <v>59</v>
      </c>
      <c r="H2" s="271" t="s">
        <v>60</v>
      </c>
      <c r="I2" s="272" t="s">
        <v>61</v>
      </c>
      <c r="J2" s="273" t="s">
        <v>962</v>
      </c>
      <c r="K2" s="274" t="s">
        <v>963</v>
      </c>
      <c r="L2" s="271" t="s">
        <v>63</v>
      </c>
      <c r="M2" s="232" t="s">
        <v>964</v>
      </c>
      <c r="N2" s="271" t="s">
        <v>965</v>
      </c>
      <c r="O2" s="275" t="s">
        <v>67</v>
      </c>
      <c r="P2" s="106" t="s">
        <v>68</v>
      </c>
      <c r="Q2" s="107" t="s">
        <v>69</v>
      </c>
      <c r="R2" s="108" t="s">
        <v>70</v>
      </c>
      <c r="S2" s="109" t="s">
        <v>71</v>
      </c>
    </row>
    <row r="3">
      <c r="A3" s="276" t="s">
        <v>966</v>
      </c>
      <c r="P3" s="276"/>
      <c r="Q3" s="276"/>
      <c r="R3" s="276"/>
      <c r="S3" s="276"/>
    </row>
    <row r="4" outlineLevel="1">
      <c r="A4" s="277" t="s">
        <v>73</v>
      </c>
      <c r="B4" s="277" t="s">
        <v>74</v>
      </c>
      <c r="C4" s="278">
        <v>45972.0</v>
      </c>
      <c r="D4" s="279" t="s">
        <v>967</v>
      </c>
      <c r="E4" s="137" t="s">
        <v>529</v>
      </c>
      <c r="F4" s="280">
        <v>3.386447117E9</v>
      </c>
      <c r="G4" s="137" t="s">
        <v>968</v>
      </c>
      <c r="H4" s="137" t="s">
        <v>969</v>
      </c>
      <c r="I4" s="278">
        <v>45972.0</v>
      </c>
      <c r="J4" s="281"/>
      <c r="K4" s="282">
        <v>20.0</v>
      </c>
      <c r="L4" s="277" t="s">
        <v>970</v>
      </c>
      <c r="M4" s="277" t="s">
        <v>100</v>
      </c>
      <c r="N4" s="118" t="b">
        <v>1</v>
      </c>
      <c r="O4" s="283"/>
      <c r="P4" s="284" t="s">
        <v>81</v>
      </c>
      <c r="Q4" s="285" t="b">
        <v>1</v>
      </c>
      <c r="R4" s="285" t="b">
        <v>0</v>
      </c>
      <c r="S4" s="286" t="b">
        <v>0</v>
      </c>
    </row>
    <row r="5" outlineLevel="1">
      <c r="A5" s="277" t="s">
        <v>368</v>
      </c>
      <c r="B5" s="277" t="s">
        <v>369</v>
      </c>
      <c r="C5" s="287">
        <v>45974.0</v>
      </c>
      <c r="D5" s="288" t="s">
        <v>971</v>
      </c>
      <c r="E5" s="277" t="s">
        <v>972</v>
      </c>
      <c r="F5" s="277">
        <v>3.29545066E9</v>
      </c>
      <c r="G5" s="277" t="s">
        <v>973</v>
      </c>
      <c r="H5" s="277" t="s">
        <v>974</v>
      </c>
      <c r="I5" s="287">
        <v>45974.0</v>
      </c>
      <c r="J5" s="281">
        <v>25.0</v>
      </c>
      <c r="K5" s="282"/>
      <c r="L5" s="277"/>
      <c r="M5" s="277" t="s">
        <v>162</v>
      </c>
      <c r="N5" s="118" t="b">
        <v>1</v>
      </c>
      <c r="O5" s="283"/>
      <c r="P5" s="284" t="s">
        <v>81</v>
      </c>
      <c r="Q5" s="285" t="b">
        <v>1</v>
      </c>
      <c r="R5" s="285" t="b">
        <v>0</v>
      </c>
      <c r="S5" s="286" t="b">
        <v>0</v>
      </c>
    </row>
    <row r="6" outlineLevel="1">
      <c r="A6" s="277" t="s">
        <v>73</v>
      </c>
      <c r="B6" s="277" t="s">
        <v>74</v>
      </c>
      <c r="C6" s="287">
        <v>45973.0</v>
      </c>
      <c r="D6" s="288" t="s">
        <v>975</v>
      </c>
      <c r="E6" s="277" t="s">
        <v>647</v>
      </c>
      <c r="F6" s="277">
        <v>3.4592426E9</v>
      </c>
      <c r="G6" s="277" t="s">
        <v>976</v>
      </c>
      <c r="H6" s="277" t="s">
        <v>977</v>
      </c>
      <c r="I6" s="287">
        <v>45973.0</v>
      </c>
      <c r="J6" s="281">
        <v>25.0</v>
      </c>
      <c r="K6" s="282"/>
      <c r="L6" s="277"/>
      <c r="M6" s="277" t="s">
        <v>100</v>
      </c>
      <c r="N6" s="118" t="b">
        <v>1</v>
      </c>
      <c r="O6" s="283"/>
      <c r="P6" s="284" t="s">
        <v>81</v>
      </c>
      <c r="Q6" s="285" t="b">
        <v>1</v>
      </c>
      <c r="R6" s="285" t="b">
        <v>0</v>
      </c>
      <c r="S6" s="286" t="b">
        <v>0</v>
      </c>
    </row>
    <row r="7" outlineLevel="1">
      <c r="A7" s="277" t="s">
        <v>73</v>
      </c>
      <c r="B7" s="277" t="s">
        <v>94</v>
      </c>
      <c r="C7" s="287">
        <v>45985.0</v>
      </c>
      <c r="D7" s="288" t="s">
        <v>978</v>
      </c>
      <c r="E7" s="277" t="s">
        <v>580</v>
      </c>
      <c r="F7" s="277">
        <v>3.382374974E9</v>
      </c>
      <c r="G7" s="289" t="s">
        <v>979</v>
      </c>
      <c r="H7" s="289" t="s">
        <v>980</v>
      </c>
      <c r="I7" s="287">
        <v>45985.0</v>
      </c>
      <c r="J7" s="281"/>
      <c r="K7" s="282">
        <v>20.0</v>
      </c>
      <c r="L7" s="277" t="s">
        <v>981</v>
      </c>
      <c r="M7" s="277" t="s">
        <v>100</v>
      </c>
      <c r="N7" s="118" t="b">
        <v>1</v>
      </c>
      <c r="O7" s="283"/>
      <c r="P7" s="284" t="s">
        <v>81</v>
      </c>
      <c r="Q7" s="285" t="b">
        <v>1</v>
      </c>
      <c r="R7" s="285" t="b">
        <v>0</v>
      </c>
      <c r="S7" s="286" t="b">
        <v>0</v>
      </c>
    </row>
    <row r="8" outlineLevel="1">
      <c r="A8" s="277" t="s">
        <v>101</v>
      </c>
      <c r="B8" s="277" t="s">
        <v>102</v>
      </c>
      <c r="C8" s="287">
        <v>45976.0</v>
      </c>
      <c r="D8" s="288" t="s">
        <v>982</v>
      </c>
      <c r="E8" s="277" t="s">
        <v>983</v>
      </c>
      <c r="F8" s="277">
        <v>3.478262054E9</v>
      </c>
      <c r="G8" s="277" t="s">
        <v>984</v>
      </c>
      <c r="H8" s="277" t="s">
        <v>985</v>
      </c>
      <c r="I8" s="287">
        <v>45976.0</v>
      </c>
      <c r="J8" s="281"/>
      <c r="K8" s="282">
        <v>20.0</v>
      </c>
      <c r="L8" s="277" t="s">
        <v>986</v>
      </c>
      <c r="M8" s="277" t="s">
        <v>100</v>
      </c>
      <c r="N8" s="118" t="b">
        <v>1</v>
      </c>
      <c r="O8" s="283"/>
      <c r="P8" s="284" t="s">
        <v>81</v>
      </c>
      <c r="Q8" s="285" t="b">
        <v>1</v>
      </c>
      <c r="R8" s="285" t="b">
        <v>0</v>
      </c>
      <c r="S8" s="286" t="b">
        <v>0</v>
      </c>
    </row>
    <row r="9" outlineLevel="1">
      <c r="A9" s="277" t="s">
        <v>73</v>
      </c>
      <c r="B9" s="277" t="s">
        <v>74</v>
      </c>
      <c r="C9" s="290">
        <v>45979.0</v>
      </c>
      <c r="D9" s="291" t="s">
        <v>987</v>
      </c>
      <c r="E9" s="292" t="s">
        <v>988</v>
      </c>
      <c r="F9" s="292">
        <v>3.342893005E9</v>
      </c>
      <c r="G9" s="292" t="s">
        <v>989</v>
      </c>
      <c r="H9" s="292" t="s">
        <v>990</v>
      </c>
      <c r="I9" s="290">
        <v>45979.0</v>
      </c>
      <c r="J9" s="293"/>
      <c r="K9" s="282">
        <v>20.0</v>
      </c>
      <c r="L9" s="277" t="s">
        <v>970</v>
      </c>
      <c r="M9" s="277" t="s">
        <v>100</v>
      </c>
      <c r="N9" s="118" t="b">
        <v>1</v>
      </c>
      <c r="O9" s="283" t="s">
        <v>301</v>
      </c>
      <c r="P9" s="284" t="s">
        <v>81</v>
      </c>
      <c r="Q9" s="285" t="b">
        <v>1</v>
      </c>
      <c r="R9" s="285" t="b">
        <v>0</v>
      </c>
      <c r="S9" s="286" t="b">
        <v>0</v>
      </c>
    </row>
    <row r="10" outlineLevel="1">
      <c r="A10" s="277" t="s">
        <v>73</v>
      </c>
      <c r="B10" s="277" t="s">
        <v>74</v>
      </c>
      <c r="C10" s="290">
        <v>45979.0</v>
      </c>
      <c r="D10" s="291" t="s">
        <v>987</v>
      </c>
      <c r="E10" s="292" t="s">
        <v>988</v>
      </c>
      <c r="F10" s="292">
        <v>3.342893005E9</v>
      </c>
      <c r="G10" s="294" t="s">
        <v>989</v>
      </c>
      <c r="H10" s="292" t="s">
        <v>990</v>
      </c>
      <c r="I10" s="290">
        <v>45979.0</v>
      </c>
      <c r="J10" s="295"/>
      <c r="K10" s="282">
        <v>20.0</v>
      </c>
      <c r="L10" s="277" t="s">
        <v>970</v>
      </c>
      <c r="M10" s="277" t="s">
        <v>100</v>
      </c>
      <c r="N10" s="118" t="b">
        <v>1</v>
      </c>
      <c r="O10" s="283"/>
      <c r="P10" s="284" t="s">
        <v>81</v>
      </c>
      <c r="Q10" s="285" t="b">
        <v>1</v>
      </c>
      <c r="R10" s="285" t="b">
        <v>0</v>
      </c>
      <c r="S10" s="286" t="b">
        <v>0</v>
      </c>
    </row>
    <row r="11" outlineLevel="1">
      <c r="A11" s="277" t="s">
        <v>101</v>
      </c>
      <c r="B11" s="277" t="s">
        <v>102</v>
      </c>
      <c r="C11" s="287">
        <v>45985.0</v>
      </c>
      <c r="D11" s="288" t="s">
        <v>991</v>
      </c>
      <c r="E11" s="277" t="s">
        <v>992</v>
      </c>
      <c r="F11" s="277">
        <v>3.477478993E9</v>
      </c>
      <c r="G11" s="277" t="s">
        <v>993</v>
      </c>
      <c r="H11" s="277" t="s">
        <v>994</v>
      </c>
      <c r="I11" s="287">
        <v>45985.0</v>
      </c>
      <c r="J11" s="281"/>
      <c r="K11" s="282">
        <v>20.0</v>
      </c>
      <c r="L11" s="277" t="s">
        <v>986</v>
      </c>
      <c r="M11" s="277" t="s">
        <v>100</v>
      </c>
      <c r="N11" s="118" t="b">
        <v>1</v>
      </c>
      <c r="O11" s="283"/>
      <c r="P11" s="284" t="s">
        <v>81</v>
      </c>
      <c r="Q11" s="285" t="b">
        <v>1</v>
      </c>
      <c r="R11" s="285" t="b">
        <v>0</v>
      </c>
      <c r="S11" s="286" t="b">
        <v>0</v>
      </c>
    </row>
    <row r="12" outlineLevel="1">
      <c r="A12" s="277" t="s">
        <v>73</v>
      </c>
      <c r="B12" s="277" t="s">
        <v>74</v>
      </c>
      <c r="C12" s="287">
        <v>45982.0</v>
      </c>
      <c r="D12" s="288" t="s">
        <v>995</v>
      </c>
      <c r="E12" s="277" t="s">
        <v>996</v>
      </c>
      <c r="F12" s="277">
        <v>3.3637017788E10</v>
      </c>
      <c r="G12" s="277" t="s">
        <v>997</v>
      </c>
      <c r="H12" s="277" t="s">
        <v>998</v>
      </c>
      <c r="I12" s="287">
        <v>45982.0</v>
      </c>
      <c r="J12" s="281">
        <v>25.0</v>
      </c>
      <c r="K12" s="282"/>
      <c r="L12" s="277"/>
      <c r="M12" s="277" t="s">
        <v>100</v>
      </c>
      <c r="N12" s="118" t="b">
        <v>1</v>
      </c>
      <c r="O12" s="283"/>
      <c r="P12" s="284" t="s">
        <v>81</v>
      </c>
      <c r="Q12" s="285" t="b">
        <v>1</v>
      </c>
      <c r="R12" s="285" t="b">
        <v>0</v>
      </c>
      <c r="S12" s="286" t="b">
        <v>0</v>
      </c>
    </row>
    <row r="13" outlineLevel="1">
      <c r="A13" s="277" t="s">
        <v>368</v>
      </c>
      <c r="B13" s="277" t="s">
        <v>369</v>
      </c>
      <c r="C13" s="287">
        <v>45986.0</v>
      </c>
      <c r="D13" s="288" t="s">
        <v>999</v>
      </c>
      <c r="E13" s="277" t="s">
        <v>1000</v>
      </c>
      <c r="F13" s="277">
        <v>3.208838711E9</v>
      </c>
      <c r="G13" s="277" t="s">
        <v>1001</v>
      </c>
      <c r="H13" s="277" t="s">
        <v>1002</v>
      </c>
      <c r="I13" s="287">
        <v>45986.0</v>
      </c>
      <c r="J13" s="293"/>
      <c r="K13" s="282">
        <v>20.0</v>
      </c>
      <c r="L13" s="277" t="s">
        <v>1003</v>
      </c>
      <c r="M13" s="277" t="s">
        <v>100</v>
      </c>
      <c r="N13" s="118" t="b">
        <v>1</v>
      </c>
      <c r="O13" s="283"/>
      <c r="P13" s="284" t="s">
        <v>81</v>
      </c>
      <c r="Q13" s="285" t="b">
        <v>1</v>
      </c>
      <c r="R13" s="285" t="b">
        <v>0</v>
      </c>
      <c r="S13" s="286" t="b">
        <v>0</v>
      </c>
    </row>
    <row r="14" outlineLevel="1">
      <c r="A14" s="277" t="s">
        <v>368</v>
      </c>
      <c r="B14" s="277" t="s">
        <v>369</v>
      </c>
      <c r="C14" s="287">
        <v>45986.0</v>
      </c>
      <c r="D14" s="288" t="s">
        <v>1004</v>
      </c>
      <c r="E14" s="277" t="s">
        <v>1005</v>
      </c>
      <c r="F14" s="277">
        <v>3.394820233E9</v>
      </c>
      <c r="G14" s="277" t="s">
        <v>1006</v>
      </c>
      <c r="H14" s="277" t="s">
        <v>1007</v>
      </c>
      <c r="I14" s="287">
        <v>45986.0</v>
      </c>
      <c r="J14" s="281"/>
      <c r="K14" s="282">
        <v>20.0</v>
      </c>
      <c r="L14" s="277" t="s">
        <v>1003</v>
      </c>
      <c r="M14" s="277" t="s">
        <v>100</v>
      </c>
      <c r="N14" s="118" t="b">
        <v>1</v>
      </c>
      <c r="O14" s="283"/>
      <c r="P14" s="284" t="s">
        <v>81</v>
      </c>
      <c r="Q14" s="285" t="b">
        <v>1</v>
      </c>
      <c r="R14" s="285" t="b">
        <v>0</v>
      </c>
      <c r="S14" s="286" t="b">
        <v>0</v>
      </c>
    </row>
    <row r="15" outlineLevel="1">
      <c r="A15" s="277" t="s">
        <v>239</v>
      </c>
      <c r="B15" s="277" t="s">
        <v>240</v>
      </c>
      <c r="C15" s="287">
        <v>45987.0</v>
      </c>
      <c r="D15" s="288" t="s">
        <v>1008</v>
      </c>
      <c r="E15" s="277" t="s">
        <v>1009</v>
      </c>
      <c r="F15" s="277">
        <v>3.478097138E9</v>
      </c>
      <c r="G15" s="277" t="s">
        <v>1010</v>
      </c>
      <c r="H15" s="277" t="s">
        <v>1011</v>
      </c>
      <c r="I15" s="287">
        <v>45987.0</v>
      </c>
      <c r="J15" s="293"/>
      <c r="K15" s="282">
        <v>20.0</v>
      </c>
      <c r="L15" s="277" t="s">
        <v>1012</v>
      </c>
      <c r="M15" s="277" t="s">
        <v>162</v>
      </c>
      <c r="N15" s="118" t="b">
        <v>1</v>
      </c>
      <c r="O15" s="283"/>
      <c r="P15" s="284" t="s">
        <v>81</v>
      </c>
      <c r="Q15" s="285" t="b">
        <v>1</v>
      </c>
      <c r="R15" s="285" t="b">
        <v>0</v>
      </c>
      <c r="S15" s="286" t="b">
        <v>0</v>
      </c>
    </row>
    <row r="16" outlineLevel="1">
      <c r="A16" s="277" t="s">
        <v>239</v>
      </c>
      <c r="B16" s="277" t="s">
        <v>240</v>
      </c>
      <c r="C16" s="287">
        <v>45987.0</v>
      </c>
      <c r="D16" s="288" t="s">
        <v>1013</v>
      </c>
      <c r="E16" s="277" t="s">
        <v>1014</v>
      </c>
      <c r="F16" s="277">
        <v>3.278591292E9</v>
      </c>
      <c r="G16" s="277" t="s">
        <v>1015</v>
      </c>
      <c r="H16" s="277" t="s">
        <v>1016</v>
      </c>
      <c r="I16" s="296">
        <v>45987.0</v>
      </c>
      <c r="J16" s="293"/>
      <c r="K16" s="282">
        <v>20.0</v>
      </c>
      <c r="L16" s="277" t="s">
        <v>1012</v>
      </c>
      <c r="M16" s="277" t="s">
        <v>162</v>
      </c>
      <c r="N16" s="118" t="b">
        <v>1</v>
      </c>
      <c r="O16" s="297"/>
      <c r="P16" s="284" t="s">
        <v>81</v>
      </c>
      <c r="Q16" s="285" t="b">
        <v>1</v>
      </c>
      <c r="R16" s="285" t="b">
        <v>0</v>
      </c>
      <c r="S16" s="286" t="b">
        <v>0</v>
      </c>
    </row>
    <row r="17" outlineLevel="1">
      <c r="A17" s="277" t="s">
        <v>73</v>
      </c>
      <c r="B17" s="277" t="s">
        <v>74</v>
      </c>
      <c r="C17" s="287">
        <v>45985.0</v>
      </c>
      <c r="D17" s="288" t="s">
        <v>1017</v>
      </c>
      <c r="E17" s="277" t="s">
        <v>1018</v>
      </c>
      <c r="F17" s="277">
        <v>3.299261349E9</v>
      </c>
      <c r="G17" s="277" t="s">
        <v>1019</v>
      </c>
      <c r="H17" s="298" t="s">
        <v>1020</v>
      </c>
      <c r="I17" s="287">
        <v>45985.0</v>
      </c>
      <c r="J17" s="295"/>
      <c r="K17" s="282">
        <v>20.0</v>
      </c>
      <c r="L17" s="277" t="s">
        <v>1003</v>
      </c>
      <c r="M17" s="277" t="s">
        <v>100</v>
      </c>
      <c r="N17" s="118" t="b">
        <v>0</v>
      </c>
      <c r="O17" s="297"/>
      <c r="P17" s="284" t="s">
        <v>81</v>
      </c>
      <c r="Q17" s="285" t="b">
        <v>1</v>
      </c>
      <c r="R17" s="285" t="b">
        <v>0</v>
      </c>
      <c r="S17" s="286" t="b">
        <v>0</v>
      </c>
    </row>
    <row r="18" outlineLevel="1">
      <c r="A18" s="277" t="s">
        <v>73</v>
      </c>
      <c r="B18" s="277" t="s">
        <v>74</v>
      </c>
      <c r="C18" s="287">
        <v>45985.0</v>
      </c>
      <c r="D18" s="288" t="s">
        <v>1021</v>
      </c>
      <c r="E18" s="277" t="s">
        <v>737</v>
      </c>
      <c r="F18" s="277">
        <v>3.273842993E9</v>
      </c>
      <c r="G18" s="277" t="s">
        <v>1022</v>
      </c>
      <c r="H18" s="277" t="s">
        <v>1023</v>
      </c>
      <c r="I18" s="287">
        <v>45985.0</v>
      </c>
      <c r="J18" s="293"/>
      <c r="K18" s="282">
        <v>20.0</v>
      </c>
      <c r="L18" s="277" t="s">
        <v>986</v>
      </c>
      <c r="M18" s="277" t="s">
        <v>100</v>
      </c>
      <c r="N18" s="118" t="b">
        <v>1</v>
      </c>
      <c r="O18" s="297"/>
      <c r="P18" s="284" t="s">
        <v>81</v>
      </c>
      <c r="Q18" s="285" t="b">
        <v>1</v>
      </c>
      <c r="R18" s="285" t="b">
        <v>0</v>
      </c>
      <c r="S18" s="286" t="b">
        <v>0</v>
      </c>
    </row>
    <row r="19" outlineLevel="1">
      <c r="A19" s="277" t="s">
        <v>73</v>
      </c>
      <c r="B19" s="277" t="s">
        <v>74</v>
      </c>
      <c r="C19" s="287">
        <v>45986.0</v>
      </c>
      <c r="D19" s="288" t="s">
        <v>1024</v>
      </c>
      <c r="E19" s="277" t="s">
        <v>298</v>
      </c>
      <c r="F19" s="277">
        <v>3.468490566E9</v>
      </c>
      <c r="G19" s="277" t="s">
        <v>1025</v>
      </c>
      <c r="H19" s="277" t="s">
        <v>1026</v>
      </c>
      <c r="I19" s="287">
        <v>45986.0</v>
      </c>
      <c r="J19" s="281"/>
      <c r="K19" s="282">
        <v>20.0</v>
      </c>
      <c r="L19" s="277" t="s">
        <v>970</v>
      </c>
      <c r="M19" s="277" t="s">
        <v>100</v>
      </c>
      <c r="N19" s="118" t="b">
        <v>1</v>
      </c>
      <c r="O19" s="297"/>
      <c r="P19" s="284" t="s">
        <v>81</v>
      </c>
      <c r="Q19" s="285" t="b">
        <v>1</v>
      </c>
      <c r="R19" s="285" t="b">
        <v>0</v>
      </c>
      <c r="S19" s="286" t="b">
        <v>0</v>
      </c>
    </row>
    <row r="20" outlineLevel="1">
      <c r="A20" s="277" t="s">
        <v>239</v>
      </c>
      <c r="B20" s="277" t="s">
        <v>240</v>
      </c>
      <c r="C20" s="287">
        <v>45988.0</v>
      </c>
      <c r="D20" s="288" t="s">
        <v>1027</v>
      </c>
      <c r="E20" s="277" t="s">
        <v>1028</v>
      </c>
      <c r="F20" s="277">
        <v>3.319066179E9</v>
      </c>
      <c r="G20" s="277" t="s">
        <v>1029</v>
      </c>
      <c r="H20" s="277" t="s">
        <v>1030</v>
      </c>
      <c r="I20" s="287">
        <v>45988.0</v>
      </c>
      <c r="J20" s="281"/>
      <c r="K20" s="282">
        <v>20.0</v>
      </c>
      <c r="L20" s="277" t="s">
        <v>1012</v>
      </c>
      <c r="M20" s="277" t="s">
        <v>162</v>
      </c>
      <c r="N20" s="118" t="b">
        <v>1</v>
      </c>
      <c r="O20" s="299"/>
      <c r="P20" s="284" t="s">
        <v>81</v>
      </c>
      <c r="Q20" s="285" t="b">
        <v>1</v>
      </c>
      <c r="R20" s="285" t="b">
        <v>0</v>
      </c>
      <c r="S20" s="286" t="b">
        <v>0</v>
      </c>
    </row>
    <row r="21" outlineLevel="1">
      <c r="A21" s="277" t="s">
        <v>73</v>
      </c>
      <c r="B21" s="277" t="s">
        <v>94</v>
      </c>
      <c r="C21" s="287">
        <v>45990.0</v>
      </c>
      <c r="D21" s="288" t="s">
        <v>1031</v>
      </c>
      <c r="E21" s="277" t="s">
        <v>1032</v>
      </c>
      <c r="F21" s="277">
        <v>3.483557919E9</v>
      </c>
      <c r="G21" s="300" t="s">
        <v>1033</v>
      </c>
      <c r="H21" s="277" t="s">
        <v>1034</v>
      </c>
      <c r="I21" s="287">
        <v>45990.0</v>
      </c>
      <c r="J21" s="281">
        <v>0.0</v>
      </c>
      <c r="K21" s="282">
        <v>0.0</v>
      </c>
      <c r="L21" s="277"/>
      <c r="M21" s="277" t="s">
        <v>162</v>
      </c>
      <c r="N21" s="118" t="b">
        <v>1</v>
      </c>
      <c r="O21" s="283" t="s">
        <v>1035</v>
      </c>
      <c r="P21" s="284" t="s">
        <v>81</v>
      </c>
      <c r="Q21" s="285" t="b">
        <v>0</v>
      </c>
      <c r="R21" s="285" t="b">
        <v>0</v>
      </c>
      <c r="S21" s="286" t="b">
        <v>0</v>
      </c>
    </row>
    <row r="22" outlineLevel="1">
      <c r="A22" s="277" t="s">
        <v>1036</v>
      </c>
      <c r="B22" s="277" t="s">
        <v>94</v>
      </c>
      <c r="C22" s="287">
        <v>45992.0</v>
      </c>
      <c r="D22" s="288" t="s">
        <v>1037</v>
      </c>
      <c r="E22" s="277" t="s">
        <v>1038</v>
      </c>
      <c r="F22" s="277"/>
      <c r="G22" s="277"/>
      <c r="H22" s="277"/>
      <c r="I22" s="287">
        <v>45992.0</v>
      </c>
      <c r="J22" s="281"/>
      <c r="K22" s="282">
        <v>0.0</v>
      </c>
      <c r="L22" s="277"/>
      <c r="M22" s="277" t="s">
        <v>449</v>
      </c>
      <c r="N22" s="118" t="b">
        <v>1</v>
      </c>
      <c r="O22" s="283" t="s">
        <v>1035</v>
      </c>
      <c r="P22" s="284"/>
      <c r="Q22" s="285" t="b">
        <v>0</v>
      </c>
      <c r="R22" s="285" t="b">
        <v>0</v>
      </c>
      <c r="S22" s="286" t="b">
        <v>0</v>
      </c>
    </row>
    <row r="23" outlineLevel="1">
      <c r="A23" s="277"/>
      <c r="B23" s="277"/>
      <c r="C23" s="287"/>
      <c r="D23" s="288"/>
      <c r="E23" s="277"/>
      <c r="F23" s="277"/>
      <c r="G23" s="277"/>
      <c r="H23" s="277"/>
      <c r="I23" s="287"/>
      <c r="J23" s="295"/>
      <c r="K23" s="282"/>
      <c r="L23" s="277"/>
      <c r="M23" s="277"/>
      <c r="N23" s="118" t="b">
        <v>0</v>
      </c>
      <c r="O23" s="283"/>
      <c r="P23" s="284"/>
      <c r="Q23" s="285" t="b">
        <v>0</v>
      </c>
      <c r="R23" s="285" t="b">
        <v>0</v>
      </c>
      <c r="S23" s="286" t="b">
        <v>0</v>
      </c>
    </row>
    <row r="24" outlineLevel="1">
      <c r="A24" s="277" t="s">
        <v>73</v>
      </c>
      <c r="B24" s="277" t="s">
        <v>74</v>
      </c>
      <c r="C24" s="301">
        <v>45987.0</v>
      </c>
      <c r="D24" s="288" t="s">
        <v>1039</v>
      </c>
      <c r="E24" s="277" t="s">
        <v>492</v>
      </c>
      <c r="F24" s="277">
        <v>3.475388806E9</v>
      </c>
      <c r="G24" s="277" t="s">
        <v>1040</v>
      </c>
      <c r="H24" s="277" t="s">
        <v>1041</v>
      </c>
      <c r="I24" s="287">
        <v>45987.0</v>
      </c>
      <c r="J24" s="281"/>
      <c r="K24" s="282">
        <v>20.0</v>
      </c>
      <c r="L24" s="277" t="s">
        <v>970</v>
      </c>
      <c r="M24" s="277" t="s">
        <v>100</v>
      </c>
      <c r="N24" s="118" t="b">
        <v>1</v>
      </c>
      <c r="O24" s="283"/>
      <c r="P24" s="284" t="s">
        <v>81</v>
      </c>
      <c r="Q24" s="285" t="b">
        <v>1</v>
      </c>
      <c r="R24" s="285" t="b">
        <v>0</v>
      </c>
      <c r="S24" s="286" t="b">
        <v>0</v>
      </c>
    </row>
    <row r="25" outlineLevel="1">
      <c r="A25" s="277" t="s">
        <v>73</v>
      </c>
      <c r="B25" s="277" t="s">
        <v>74</v>
      </c>
      <c r="C25" s="287">
        <v>45987.0</v>
      </c>
      <c r="D25" s="288" t="s">
        <v>1042</v>
      </c>
      <c r="E25" s="277" t="s">
        <v>1043</v>
      </c>
      <c r="F25" s="277">
        <v>3.888179303E9</v>
      </c>
      <c r="G25" s="300" t="s">
        <v>1044</v>
      </c>
      <c r="H25" s="277" t="s">
        <v>1045</v>
      </c>
      <c r="I25" s="287">
        <v>45987.0</v>
      </c>
      <c r="J25" s="293"/>
      <c r="K25" s="282">
        <v>20.0</v>
      </c>
      <c r="L25" s="277" t="s">
        <v>986</v>
      </c>
      <c r="M25" s="277" t="s">
        <v>100</v>
      </c>
      <c r="N25" s="118" t="b">
        <v>0</v>
      </c>
      <c r="O25" s="283"/>
      <c r="P25" s="284" t="s">
        <v>81</v>
      </c>
      <c r="Q25" s="285" t="b">
        <v>1</v>
      </c>
      <c r="R25" s="285" t="b">
        <v>0</v>
      </c>
      <c r="S25" s="286" t="b">
        <v>0</v>
      </c>
    </row>
    <row r="26" outlineLevel="1">
      <c r="A26" s="277" t="s">
        <v>73</v>
      </c>
      <c r="B26" s="277" t="s">
        <v>74</v>
      </c>
      <c r="C26" s="278">
        <v>45987.0</v>
      </c>
      <c r="D26" s="137" t="s">
        <v>1046</v>
      </c>
      <c r="E26" s="137" t="s">
        <v>1047</v>
      </c>
      <c r="F26" s="280">
        <v>3.921028476E9</v>
      </c>
      <c r="G26" s="137" t="s">
        <v>1048</v>
      </c>
      <c r="H26" s="137" t="s">
        <v>1049</v>
      </c>
      <c r="I26" s="302">
        <v>45987.0</v>
      </c>
      <c r="J26" s="303"/>
      <c r="K26" s="304">
        <v>20.0</v>
      </c>
      <c r="L26" s="277" t="s">
        <v>970</v>
      </c>
      <c r="M26" s="277" t="s">
        <v>100</v>
      </c>
      <c r="N26" s="118" t="b">
        <v>1</v>
      </c>
      <c r="O26" s="283"/>
      <c r="P26" s="284" t="s">
        <v>81</v>
      </c>
      <c r="Q26" s="285" t="b">
        <v>1</v>
      </c>
      <c r="R26" s="285" t="b">
        <v>0</v>
      </c>
      <c r="S26" s="286" t="b">
        <v>0</v>
      </c>
    </row>
    <row r="27" outlineLevel="1">
      <c r="A27" s="277" t="s">
        <v>73</v>
      </c>
      <c r="B27" s="277" t="s">
        <v>74</v>
      </c>
      <c r="C27" s="287">
        <v>45987.0</v>
      </c>
      <c r="D27" s="288" t="s">
        <v>342</v>
      </c>
      <c r="E27" s="277" t="s">
        <v>343</v>
      </c>
      <c r="F27" s="277">
        <v>3.760494267E9</v>
      </c>
      <c r="G27" s="277" t="s">
        <v>344</v>
      </c>
      <c r="H27" s="277" t="s">
        <v>345</v>
      </c>
      <c r="I27" s="287">
        <v>45987.0</v>
      </c>
      <c r="J27" s="305">
        <v>25.0</v>
      </c>
      <c r="K27" s="282"/>
      <c r="L27" s="277"/>
      <c r="M27" s="277" t="s">
        <v>100</v>
      </c>
      <c r="N27" s="118" t="b">
        <v>0</v>
      </c>
      <c r="O27" s="283"/>
      <c r="P27" s="284" t="s">
        <v>81</v>
      </c>
      <c r="Q27" s="285" t="b">
        <v>1</v>
      </c>
      <c r="R27" s="285" t="b">
        <v>0</v>
      </c>
      <c r="S27" s="286" t="b">
        <v>0</v>
      </c>
    </row>
    <row r="28" outlineLevel="1">
      <c r="A28" s="277" t="s">
        <v>611</v>
      </c>
      <c r="B28" s="277" t="s">
        <v>612</v>
      </c>
      <c r="C28" s="287">
        <v>45992.0</v>
      </c>
      <c r="D28" s="288" t="s">
        <v>1050</v>
      </c>
      <c r="E28" s="277" t="s">
        <v>797</v>
      </c>
      <c r="F28" s="277">
        <v>3.495212061E9</v>
      </c>
      <c r="G28" s="277" t="s">
        <v>1051</v>
      </c>
      <c r="H28" s="277" t="s">
        <v>1052</v>
      </c>
      <c r="I28" s="287">
        <v>45992.0</v>
      </c>
      <c r="J28" s="281"/>
      <c r="K28" s="282">
        <v>20.0</v>
      </c>
      <c r="L28" s="277" t="s">
        <v>1053</v>
      </c>
      <c r="M28" s="277" t="s">
        <v>162</v>
      </c>
      <c r="N28" s="118" t="b">
        <v>1</v>
      </c>
      <c r="O28" s="283"/>
      <c r="P28" s="284" t="s">
        <v>81</v>
      </c>
      <c r="Q28" s="285" t="b">
        <v>1</v>
      </c>
      <c r="R28" s="285" t="b">
        <v>0</v>
      </c>
      <c r="S28" s="286" t="b">
        <v>0</v>
      </c>
    </row>
    <row r="29" outlineLevel="1">
      <c r="A29" s="277" t="s">
        <v>611</v>
      </c>
      <c r="B29" s="277" t="s">
        <v>612</v>
      </c>
      <c r="C29" s="287">
        <v>45992.0</v>
      </c>
      <c r="D29" s="288" t="s">
        <v>1054</v>
      </c>
      <c r="E29" s="277" t="s">
        <v>529</v>
      </c>
      <c r="F29" s="277">
        <v>3.356727378E9</v>
      </c>
      <c r="G29" s="277" t="s">
        <v>1055</v>
      </c>
      <c r="H29" s="277" t="s">
        <v>1056</v>
      </c>
      <c r="I29" s="287">
        <v>45992.0</v>
      </c>
      <c r="J29" s="293"/>
      <c r="K29" s="282">
        <v>20.0</v>
      </c>
      <c r="L29" s="277" t="s">
        <v>1053</v>
      </c>
      <c r="M29" s="288" t="s">
        <v>162</v>
      </c>
      <c r="N29" s="118" t="b">
        <v>1</v>
      </c>
      <c r="O29" s="283"/>
      <c r="P29" s="284" t="s">
        <v>81</v>
      </c>
      <c r="Q29" s="285" t="b">
        <v>1</v>
      </c>
      <c r="R29" s="285" t="b">
        <v>0</v>
      </c>
      <c r="S29" s="286" t="b">
        <v>0</v>
      </c>
    </row>
    <row r="30" outlineLevel="1">
      <c r="A30" s="277" t="s">
        <v>73</v>
      </c>
      <c r="B30" s="277" t="s">
        <v>74</v>
      </c>
      <c r="C30" s="287">
        <v>45988.0</v>
      </c>
      <c r="D30" s="288" t="s">
        <v>1057</v>
      </c>
      <c r="E30" s="277" t="s">
        <v>875</v>
      </c>
      <c r="F30" s="277">
        <v>3.492588361E9</v>
      </c>
      <c r="G30" s="277" t="s">
        <v>1058</v>
      </c>
      <c r="H30" s="277" t="s">
        <v>1059</v>
      </c>
      <c r="I30" s="287">
        <v>45988.0</v>
      </c>
      <c r="J30" s="293"/>
      <c r="K30" s="282">
        <v>20.0</v>
      </c>
      <c r="L30" s="277" t="s">
        <v>1003</v>
      </c>
      <c r="M30" s="288" t="s">
        <v>100</v>
      </c>
      <c r="N30" s="118" t="b">
        <v>1</v>
      </c>
      <c r="O30" s="283"/>
      <c r="P30" s="284" t="s">
        <v>81</v>
      </c>
      <c r="Q30" s="285" t="b">
        <v>1</v>
      </c>
      <c r="R30" s="285" t="b">
        <v>0</v>
      </c>
      <c r="S30" s="286" t="b">
        <v>0</v>
      </c>
    </row>
    <row r="31" outlineLevel="1">
      <c r="A31" s="288" t="s">
        <v>73</v>
      </c>
      <c r="B31" s="288" t="s">
        <v>74</v>
      </c>
      <c r="C31" s="306">
        <v>45989.0</v>
      </c>
      <c r="D31" s="288" t="s">
        <v>1060</v>
      </c>
      <c r="E31" s="288" t="s">
        <v>1061</v>
      </c>
      <c r="F31" s="288">
        <v>3.465219903E9</v>
      </c>
      <c r="G31" s="300" t="s">
        <v>1062</v>
      </c>
      <c r="H31" s="288" t="s">
        <v>1063</v>
      </c>
      <c r="I31" s="306">
        <v>45989.0</v>
      </c>
      <c r="J31" s="281">
        <v>25.0</v>
      </c>
      <c r="K31" s="282"/>
      <c r="L31" s="277"/>
      <c r="M31" s="288" t="s">
        <v>100</v>
      </c>
      <c r="N31" s="118" t="b">
        <v>1</v>
      </c>
      <c r="O31" s="283"/>
      <c r="P31" s="284" t="s">
        <v>81</v>
      </c>
      <c r="Q31" s="285" t="b">
        <v>1</v>
      </c>
      <c r="R31" s="285" t="b">
        <v>0</v>
      </c>
      <c r="S31" s="286" t="b">
        <v>0</v>
      </c>
    </row>
    <row r="32" outlineLevel="1">
      <c r="A32" s="288" t="s">
        <v>73</v>
      </c>
      <c r="B32" s="288" t="s">
        <v>74</v>
      </c>
      <c r="C32" s="306">
        <v>45989.0</v>
      </c>
      <c r="D32" s="288" t="s">
        <v>1064</v>
      </c>
      <c r="E32" s="288" t="s">
        <v>972</v>
      </c>
      <c r="F32" s="288">
        <v>3.488159583E9</v>
      </c>
      <c r="G32" s="288" t="s">
        <v>1065</v>
      </c>
      <c r="H32" s="288" t="s">
        <v>1066</v>
      </c>
      <c r="I32" s="307">
        <v>45989.0</v>
      </c>
      <c r="J32" s="281">
        <v>25.0</v>
      </c>
      <c r="K32" s="282"/>
      <c r="L32" s="277"/>
      <c r="M32" s="288" t="s">
        <v>100</v>
      </c>
      <c r="N32" s="118" t="b">
        <v>1</v>
      </c>
      <c r="O32" s="283"/>
      <c r="P32" s="284" t="s">
        <v>81</v>
      </c>
      <c r="Q32" s="285" t="b">
        <v>1</v>
      </c>
      <c r="R32" s="285" t="b">
        <v>0</v>
      </c>
      <c r="S32" s="286" t="b">
        <v>0</v>
      </c>
    </row>
    <row r="33" outlineLevel="1">
      <c r="A33" s="288" t="s">
        <v>73</v>
      </c>
      <c r="B33" s="288" t="s">
        <v>74</v>
      </c>
      <c r="C33" s="306">
        <v>45989.0</v>
      </c>
      <c r="D33" s="288" t="s">
        <v>1067</v>
      </c>
      <c r="E33" s="288" t="s">
        <v>338</v>
      </c>
      <c r="F33" s="288">
        <v>3.459288207E9</v>
      </c>
      <c r="G33" s="288" t="s">
        <v>1068</v>
      </c>
      <c r="H33" s="288" t="s">
        <v>1069</v>
      </c>
      <c r="I33" s="306">
        <v>45989.0</v>
      </c>
      <c r="J33" s="281"/>
      <c r="K33" s="282">
        <v>20.0</v>
      </c>
      <c r="L33" s="277" t="s">
        <v>1003</v>
      </c>
      <c r="M33" s="277" t="s">
        <v>100</v>
      </c>
      <c r="N33" s="118" t="b">
        <v>1</v>
      </c>
      <c r="O33" s="283"/>
      <c r="P33" s="284" t="s">
        <v>81</v>
      </c>
      <c r="Q33" s="285" t="b">
        <v>1</v>
      </c>
      <c r="R33" s="285" t="b">
        <v>0</v>
      </c>
      <c r="S33" s="286" t="b">
        <v>0</v>
      </c>
    </row>
    <row r="34" outlineLevel="1">
      <c r="A34" s="288" t="s">
        <v>73</v>
      </c>
      <c r="B34" s="288" t="s">
        <v>74</v>
      </c>
      <c r="C34" s="306">
        <v>45990.0</v>
      </c>
      <c r="D34" s="288" t="s">
        <v>1070</v>
      </c>
      <c r="E34" s="288" t="s">
        <v>912</v>
      </c>
      <c r="F34" s="288">
        <v>3.47695896E8</v>
      </c>
      <c r="G34" s="288" t="s">
        <v>1071</v>
      </c>
      <c r="H34" s="288" t="s">
        <v>1072</v>
      </c>
      <c r="I34" s="306">
        <v>45990.0</v>
      </c>
      <c r="J34" s="281">
        <v>25.0</v>
      </c>
      <c r="K34" s="282"/>
      <c r="L34" s="277"/>
      <c r="M34" s="288" t="s">
        <v>100</v>
      </c>
      <c r="N34" s="118" t="b">
        <v>1</v>
      </c>
      <c r="O34" s="283"/>
      <c r="P34" s="284" t="s">
        <v>81</v>
      </c>
      <c r="Q34" s="285" t="b">
        <v>1</v>
      </c>
      <c r="R34" s="285" t="b">
        <v>0</v>
      </c>
      <c r="S34" s="286" t="b">
        <v>0</v>
      </c>
    </row>
    <row r="35" outlineLevel="1">
      <c r="A35" s="288" t="s">
        <v>73</v>
      </c>
      <c r="B35" s="308" t="s">
        <v>74</v>
      </c>
      <c r="C35" s="306">
        <v>45991.0</v>
      </c>
      <c r="D35" s="288" t="s">
        <v>1073</v>
      </c>
      <c r="E35" s="288" t="s">
        <v>912</v>
      </c>
      <c r="F35" s="288">
        <v>3.384378268E9</v>
      </c>
      <c r="G35" s="288" t="s">
        <v>1074</v>
      </c>
      <c r="H35" s="288" t="s">
        <v>1075</v>
      </c>
      <c r="I35" s="306">
        <v>45991.0</v>
      </c>
      <c r="J35" s="281"/>
      <c r="K35" s="282">
        <v>20.0</v>
      </c>
      <c r="L35" s="277" t="s">
        <v>970</v>
      </c>
      <c r="M35" s="288" t="s">
        <v>100</v>
      </c>
      <c r="N35" s="118" t="b">
        <v>1</v>
      </c>
      <c r="O35" s="283"/>
      <c r="P35" s="284" t="s">
        <v>81</v>
      </c>
      <c r="Q35" s="285" t="b">
        <v>1</v>
      </c>
      <c r="R35" s="285" t="b">
        <v>0</v>
      </c>
      <c r="S35" s="286" t="b">
        <v>0</v>
      </c>
    </row>
    <row r="36" outlineLevel="1">
      <c r="A36" s="288" t="s">
        <v>239</v>
      </c>
      <c r="B36" s="288" t="s">
        <v>240</v>
      </c>
      <c r="C36" s="309">
        <v>45994.0</v>
      </c>
      <c r="D36" s="279" t="s">
        <v>1076</v>
      </c>
      <c r="E36" s="187" t="s">
        <v>643</v>
      </c>
      <c r="F36" s="310" t="s">
        <v>1077</v>
      </c>
      <c r="G36" s="279" t="s">
        <v>1078</v>
      </c>
      <c r="H36" s="311" t="s">
        <v>1079</v>
      </c>
      <c r="I36" s="309">
        <v>45994.0</v>
      </c>
      <c r="J36" s="295"/>
      <c r="K36" s="282">
        <v>20.0</v>
      </c>
      <c r="L36" s="277" t="s">
        <v>1012</v>
      </c>
      <c r="M36" s="288" t="s">
        <v>162</v>
      </c>
      <c r="N36" s="118" t="b">
        <v>1</v>
      </c>
      <c r="O36" s="283"/>
      <c r="P36" s="284" t="s">
        <v>81</v>
      </c>
      <c r="Q36" s="285" t="b">
        <v>1</v>
      </c>
      <c r="R36" s="285" t="b">
        <v>0</v>
      </c>
      <c r="S36" s="286" t="b">
        <v>0</v>
      </c>
    </row>
    <row r="37" outlineLevel="1">
      <c r="A37" s="288" t="s">
        <v>1080</v>
      </c>
      <c r="B37" s="288" t="s">
        <v>612</v>
      </c>
      <c r="C37" s="306">
        <v>45994.0</v>
      </c>
      <c r="D37" s="288" t="s">
        <v>1081</v>
      </c>
      <c r="E37" s="288" t="s">
        <v>146</v>
      </c>
      <c r="F37" s="288">
        <v>3.497454947E9</v>
      </c>
      <c r="G37" s="288" t="s">
        <v>1082</v>
      </c>
      <c r="H37" s="288" t="s">
        <v>1083</v>
      </c>
      <c r="I37" s="306">
        <v>45995.0</v>
      </c>
      <c r="J37" s="281"/>
      <c r="K37" s="282">
        <v>20.0</v>
      </c>
      <c r="L37" s="277" t="s">
        <v>981</v>
      </c>
      <c r="M37" s="277" t="s">
        <v>80</v>
      </c>
      <c r="N37" s="118" t="b">
        <v>1</v>
      </c>
      <c r="O37" s="283"/>
      <c r="P37" s="284" t="s">
        <v>81</v>
      </c>
      <c r="Q37" s="285" t="b">
        <v>1</v>
      </c>
      <c r="R37" s="285" t="b">
        <v>0</v>
      </c>
      <c r="S37" s="286" t="b">
        <v>0</v>
      </c>
    </row>
    <row r="38" outlineLevel="1">
      <c r="A38" s="288"/>
      <c r="B38" s="288"/>
      <c r="C38" s="306"/>
      <c r="D38" s="288"/>
      <c r="E38" s="259"/>
      <c r="F38" s="247"/>
      <c r="G38" s="288"/>
      <c r="H38" s="225"/>
      <c r="I38" s="306"/>
      <c r="J38" s="281"/>
      <c r="K38" s="282"/>
      <c r="L38" s="277"/>
      <c r="M38" s="277"/>
      <c r="N38" s="118"/>
      <c r="O38" s="283"/>
      <c r="P38" s="284"/>
      <c r="Q38" s="285" t="b">
        <v>0</v>
      </c>
      <c r="R38" s="285" t="b">
        <v>0</v>
      </c>
      <c r="S38" s="286" t="b">
        <v>0</v>
      </c>
    </row>
    <row r="39" outlineLevel="1">
      <c r="A39" s="288" t="s">
        <v>239</v>
      </c>
      <c r="B39" s="288" t="s">
        <v>240</v>
      </c>
      <c r="C39" s="306">
        <v>45994.0</v>
      </c>
      <c r="D39" s="288" t="s">
        <v>1084</v>
      </c>
      <c r="E39" s="288" t="s">
        <v>294</v>
      </c>
      <c r="F39" s="288">
        <v>3.881426206E9</v>
      </c>
      <c r="G39" s="288" t="s">
        <v>1085</v>
      </c>
      <c r="H39" s="288" t="s">
        <v>1086</v>
      </c>
      <c r="I39" s="306">
        <v>45994.0</v>
      </c>
      <c r="J39" s="281"/>
      <c r="K39" s="282">
        <v>20.0</v>
      </c>
      <c r="L39" s="277" t="s">
        <v>1012</v>
      </c>
      <c r="M39" s="277" t="s">
        <v>162</v>
      </c>
      <c r="N39" s="118" t="b">
        <v>1</v>
      </c>
      <c r="O39" s="283"/>
      <c r="P39" s="284" t="s">
        <v>81</v>
      </c>
      <c r="Q39" s="285" t="b">
        <v>1</v>
      </c>
      <c r="R39" s="285" t="b">
        <v>0</v>
      </c>
      <c r="S39" s="286" t="b">
        <v>0</v>
      </c>
    </row>
    <row r="40" outlineLevel="1">
      <c r="A40" s="288" t="s">
        <v>239</v>
      </c>
      <c r="B40" s="288" t="s">
        <v>240</v>
      </c>
      <c r="C40" s="306">
        <v>45994.0</v>
      </c>
      <c r="D40" s="288" t="s">
        <v>1087</v>
      </c>
      <c r="E40" s="288" t="s">
        <v>1088</v>
      </c>
      <c r="F40" s="288">
        <v>3.463318891E9</v>
      </c>
      <c r="G40" s="288" t="s">
        <v>1089</v>
      </c>
      <c r="H40" s="288" t="s">
        <v>1090</v>
      </c>
      <c r="I40" s="306">
        <v>45994.0</v>
      </c>
      <c r="J40" s="281"/>
      <c r="K40" s="282">
        <v>20.0</v>
      </c>
      <c r="L40" s="277" t="s">
        <v>1012</v>
      </c>
      <c r="M40" s="277" t="s">
        <v>162</v>
      </c>
      <c r="N40" s="118" t="b">
        <v>1</v>
      </c>
      <c r="O40" s="283"/>
      <c r="P40" s="284" t="s">
        <v>81</v>
      </c>
      <c r="Q40" s="285" t="b">
        <v>1</v>
      </c>
      <c r="R40" s="285" t="b">
        <v>0</v>
      </c>
      <c r="S40" s="286" t="b">
        <v>0</v>
      </c>
    </row>
    <row r="41" outlineLevel="1">
      <c r="A41" s="288" t="s">
        <v>73</v>
      </c>
      <c r="B41" s="288" t="s">
        <v>74</v>
      </c>
      <c r="C41" s="306">
        <v>45992.0</v>
      </c>
      <c r="D41" s="288" t="s">
        <v>1091</v>
      </c>
      <c r="E41" s="288" t="s">
        <v>899</v>
      </c>
      <c r="F41" s="288">
        <v>3.929975039E9</v>
      </c>
      <c r="G41" s="288" t="s">
        <v>1092</v>
      </c>
      <c r="H41" s="288" t="s">
        <v>1093</v>
      </c>
      <c r="I41" s="306">
        <v>45992.0</v>
      </c>
      <c r="J41" s="281">
        <v>25.0</v>
      </c>
      <c r="K41" s="282"/>
      <c r="L41" s="277"/>
      <c r="M41" s="277" t="s">
        <v>100</v>
      </c>
      <c r="N41" s="118" t="b">
        <v>1</v>
      </c>
      <c r="O41" s="283" t="s">
        <v>1094</v>
      </c>
      <c r="P41" s="284" t="s">
        <v>81</v>
      </c>
      <c r="Q41" s="285" t="b">
        <v>1</v>
      </c>
      <c r="R41" s="285" t="b">
        <v>0</v>
      </c>
      <c r="S41" s="286" t="b">
        <v>0</v>
      </c>
    </row>
    <row r="42" outlineLevel="1">
      <c r="A42" s="288" t="s">
        <v>73</v>
      </c>
      <c r="B42" s="288" t="s">
        <v>74</v>
      </c>
      <c r="C42" s="306">
        <v>45992.0</v>
      </c>
      <c r="D42" s="288" t="s">
        <v>1091</v>
      </c>
      <c r="E42" s="288" t="s">
        <v>899</v>
      </c>
      <c r="F42" s="288">
        <v>3.929975039E9</v>
      </c>
      <c r="G42" s="288" t="s">
        <v>1092</v>
      </c>
      <c r="H42" s="288" t="s">
        <v>1093</v>
      </c>
      <c r="I42" s="306">
        <v>45992.0</v>
      </c>
      <c r="J42" s="281">
        <v>25.0</v>
      </c>
      <c r="K42" s="312"/>
      <c r="L42" s="292"/>
      <c r="M42" s="277" t="s">
        <v>100</v>
      </c>
      <c r="N42" s="118" t="b">
        <v>1</v>
      </c>
      <c r="O42" s="283" t="s">
        <v>1094</v>
      </c>
      <c r="P42" s="284" t="s">
        <v>81</v>
      </c>
      <c r="Q42" s="285" t="b">
        <v>1</v>
      </c>
      <c r="R42" s="285" t="b">
        <v>0</v>
      </c>
      <c r="S42" s="286" t="b">
        <v>0</v>
      </c>
    </row>
    <row r="43" outlineLevel="1">
      <c r="A43" s="288" t="s">
        <v>73</v>
      </c>
      <c r="B43" s="288" t="s">
        <v>74</v>
      </c>
      <c r="C43" s="306">
        <v>45993.0</v>
      </c>
      <c r="D43" s="288" t="s">
        <v>1095</v>
      </c>
      <c r="E43" s="288" t="s">
        <v>165</v>
      </c>
      <c r="F43" s="288">
        <v>3.394634402E9</v>
      </c>
      <c r="G43" s="288" t="s">
        <v>1096</v>
      </c>
      <c r="H43" s="288" t="s">
        <v>1097</v>
      </c>
      <c r="I43" s="313">
        <v>45993.0</v>
      </c>
      <c r="J43" s="293"/>
      <c r="K43" s="282">
        <v>20.0</v>
      </c>
      <c r="L43" s="277" t="s">
        <v>1098</v>
      </c>
      <c r="M43" s="277" t="s">
        <v>100</v>
      </c>
      <c r="N43" s="118" t="b">
        <v>1</v>
      </c>
      <c r="O43" s="283"/>
      <c r="P43" s="284" t="s">
        <v>81</v>
      </c>
      <c r="Q43" s="285" t="b">
        <v>1</v>
      </c>
      <c r="R43" s="285" t="b">
        <v>0</v>
      </c>
      <c r="S43" s="286" t="b">
        <v>0</v>
      </c>
    </row>
    <row r="44" outlineLevel="1">
      <c r="A44" s="288" t="s">
        <v>73</v>
      </c>
      <c r="B44" s="288" t="s">
        <v>74</v>
      </c>
      <c r="C44" s="313">
        <v>45993.0</v>
      </c>
      <c r="D44" s="288" t="s">
        <v>1099</v>
      </c>
      <c r="E44" s="288" t="s">
        <v>464</v>
      </c>
      <c r="F44" s="288">
        <v>3.880718609E9</v>
      </c>
      <c r="G44" s="288" t="s">
        <v>1100</v>
      </c>
      <c r="H44" s="288" t="s">
        <v>1101</v>
      </c>
      <c r="I44" s="313">
        <v>45993.0</v>
      </c>
      <c r="J44" s="281"/>
      <c r="K44" s="282">
        <v>20.0</v>
      </c>
      <c r="L44" s="277" t="s">
        <v>1003</v>
      </c>
      <c r="M44" s="277" t="s">
        <v>100</v>
      </c>
      <c r="N44" s="118" t="b">
        <v>1</v>
      </c>
      <c r="O44" s="283"/>
      <c r="P44" s="284" t="s">
        <v>81</v>
      </c>
      <c r="Q44" s="285" t="b">
        <v>1</v>
      </c>
      <c r="R44" s="285" t="b">
        <v>0</v>
      </c>
      <c r="S44" s="286" t="b">
        <v>0</v>
      </c>
    </row>
    <row r="45" outlineLevel="1">
      <c r="A45" s="288" t="s">
        <v>73</v>
      </c>
      <c r="B45" s="288" t="s">
        <v>74</v>
      </c>
      <c r="C45" s="306">
        <v>45993.0</v>
      </c>
      <c r="D45" s="288" t="s">
        <v>1102</v>
      </c>
      <c r="E45" s="288" t="s">
        <v>496</v>
      </c>
      <c r="F45" s="288">
        <v>3.20322334E9</v>
      </c>
      <c r="G45" s="288" t="s">
        <v>1103</v>
      </c>
      <c r="H45" s="288" t="s">
        <v>1104</v>
      </c>
      <c r="I45" s="313">
        <v>45993.0</v>
      </c>
      <c r="J45" s="293"/>
      <c r="K45" s="282">
        <v>20.0</v>
      </c>
      <c r="L45" s="277" t="s">
        <v>970</v>
      </c>
      <c r="M45" s="277" t="s">
        <v>100</v>
      </c>
      <c r="N45" s="118" t="b">
        <v>1</v>
      </c>
      <c r="O45" s="283"/>
      <c r="P45" s="284" t="s">
        <v>81</v>
      </c>
      <c r="Q45" s="285" t="b">
        <v>1</v>
      </c>
      <c r="R45" s="285" t="b">
        <v>0</v>
      </c>
      <c r="S45" s="286" t="b">
        <v>0</v>
      </c>
    </row>
    <row r="46" outlineLevel="1">
      <c r="A46" s="288" t="s">
        <v>73</v>
      </c>
      <c r="B46" s="288" t="s">
        <v>74</v>
      </c>
      <c r="C46" s="313">
        <v>45993.0</v>
      </c>
      <c r="D46" s="288" t="s">
        <v>1105</v>
      </c>
      <c r="E46" s="288" t="s">
        <v>1106</v>
      </c>
      <c r="F46" s="288">
        <v>3.206763639E9</v>
      </c>
      <c r="G46" s="288" t="s">
        <v>1107</v>
      </c>
      <c r="H46" s="288" t="s">
        <v>1108</v>
      </c>
      <c r="I46" s="313">
        <v>45993.0</v>
      </c>
      <c r="J46" s="293"/>
      <c r="K46" s="282">
        <v>20.0</v>
      </c>
      <c r="L46" s="277" t="s">
        <v>970</v>
      </c>
      <c r="M46" s="277" t="s">
        <v>100</v>
      </c>
      <c r="N46" s="118" t="b">
        <v>0</v>
      </c>
      <c r="O46" s="283"/>
      <c r="P46" s="284" t="s">
        <v>81</v>
      </c>
      <c r="Q46" s="285" t="b">
        <v>1</v>
      </c>
      <c r="R46" s="285" t="b">
        <v>0</v>
      </c>
      <c r="S46" s="286" t="b">
        <v>0</v>
      </c>
    </row>
    <row r="47" outlineLevel="1">
      <c r="A47" s="288" t="s">
        <v>239</v>
      </c>
      <c r="B47" s="288" t="s">
        <v>240</v>
      </c>
      <c r="C47" s="313">
        <v>45995.0</v>
      </c>
      <c r="D47" s="288" t="s">
        <v>1109</v>
      </c>
      <c r="E47" s="288" t="s">
        <v>236</v>
      </c>
      <c r="F47" s="288">
        <v>3.396660521E9</v>
      </c>
      <c r="G47" s="288" t="s">
        <v>1110</v>
      </c>
      <c r="H47" s="288" t="s">
        <v>1111</v>
      </c>
      <c r="I47" s="313">
        <v>45995.0</v>
      </c>
      <c r="J47" s="293"/>
      <c r="K47" s="282">
        <v>20.0</v>
      </c>
      <c r="L47" s="277" t="s">
        <v>1012</v>
      </c>
      <c r="M47" s="277" t="s">
        <v>162</v>
      </c>
      <c r="N47" s="118" t="b">
        <v>1</v>
      </c>
      <c r="O47" s="283"/>
      <c r="P47" s="284" t="s">
        <v>81</v>
      </c>
      <c r="Q47" s="285" t="b">
        <v>1</v>
      </c>
      <c r="R47" s="285" t="b">
        <v>0</v>
      </c>
      <c r="S47" s="286" t="b">
        <v>0</v>
      </c>
    </row>
    <row r="48" outlineLevel="1">
      <c r="A48" s="288" t="s">
        <v>73</v>
      </c>
      <c r="B48" s="288" t="s">
        <v>74</v>
      </c>
      <c r="C48" s="278">
        <v>45994.0</v>
      </c>
      <c r="D48" s="280" t="s">
        <v>1112</v>
      </c>
      <c r="E48" s="280" t="s">
        <v>1113</v>
      </c>
      <c r="F48" s="280">
        <v>3.49131917E9</v>
      </c>
      <c r="G48" s="314" t="s">
        <v>1114</v>
      </c>
      <c r="H48" s="280" t="s">
        <v>1115</v>
      </c>
      <c r="I48" s="315">
        <v>45994.0</v>
      </c>
      <c r="J48" s="303">
        <v>25.0</v>
      </c>
      <c r="K48" s="304"/>
      <c r="L48" s="277"/>
      <c r="M48" s="277" t="s">
        <v>100</v>
      </c>
      <c r="N48" s="118" t="b">
        <v>1</v>
      </c>
      <c r="O48" s="283" t="s">
        <v>1094</v>
      </c>
      <c r="P48" s="284" t="s">
        <v>81</v>
      </c>
      <c r="Q48" s="285" t="b">
        <v>1</v>
      </c>
      <c r="R48" s="285" t="b">
        <v>0</v>
      </c>
      <c r="S48" s="286" t="b">
        <v>0</v>
      </c>
    </row>
    <row r="49" outlineLevel="1">
      <c r="A49" s="288" t="s">
        <v>73</v>
      </c>
      <c r="B49" s="288" t="s">
        <v>74</v>
      </c>
      <c r="C49" s="278">
        <v>45994.0</v>
      </c>
      <c r="D49" s="280" t="s">
        <v>1112</v>
      </c>
      <c r="E49" s="280" t="s">
        <v>1113</v>
      </c>
      <c r="F49" s="280">
        <v>3.49131917E9</v>
      </c>
      <c r="G49" s="314" t="s">
        <v>1114</v>
      </c>
      <c r="H49" s="280" t="s">
        <v>1115</v>
      </c>
      <c r="I49" s="315">
        <v>45994.0</v>
      </c>
      <c r="J49" s="303"/>
      <c r="K49" s="304">
        <v>20.0</v>
      </c>
      <c r="L49" s="277" t="s">
        <v>1003</v>
      </c>
      <c r="M49" s="277" t="s">
        <v>100</v>
      </c>
      <c r="N49" s="118" t="b">
        <v>1</v>
      </c>
      <c r="O49" s="283" t="s">
        <v>1094</v>
      </c>
      <c r="P49" s="284" t="s">
        <v>81</v>
      </c>
      <c r="Q49" s="285" t="b">
        <v>1</v>
      </c>
      <c r="R49" s="285" t="b">
        <v>0</v>
      </c>
      <c r="S49" s="286" t="b">
        <v>0</v>
      </c>
    </row>
    <row r="50" outlineLevel="1">
      <c r="A50" s="288" t="s">
        <v>73</v>
      </c>
      <c r="B50" s="288" t="s">
        <v>74</v>
      </c>
      <c r="C50" s="313">
        <v>45994.0</v>
      </c>
      <c r="D50" s="288" t="s">
        <v>1116</v>
      </c>
      <c r="E50" s="288" t="s">
        <v>1117</v>
      </c>
      <c r="F50" s="288">
        <v>3.389903626E9</v>
      </c>
      <c r="G50" s="288" t="s">
        <v>1118</v>
      </c>
      <c r="H50" s="288" t="s">
        <v>1119</v>
      </c>
      <c r="I50" s="313">
        <v>45994.0</v>
      </c>
      <c r="J50" s="281">
        <v>25.0</v>
      </c>
      <c r="K50" s="312"/>
      <c r="L50" s="292"/>
      <c r="M50" s="277" t="s">
        <v>100</v>
      </c>
      <c r="N50" s="118" t="b">
        <v>0</v>
      </c>
      <c r="O50" s="283" t="s">
        <v>1094</v>
      </c>
      <c r="P50" s="284" t="s">
        <v>81</v>
      </c>
      <c r="Q50" s="285" t="b">
        <v>1</v>
      </c>
      <c r="R50" s="285" t="b">
        <v>0</v>
      </c>
      <c r="S50" s="286" t="b">
        <v>0</v>
      </c>
    </row>
    <row r="51" outlineLevel="1">
      <c r="A51" s="288" t="s">
        <v>73</v>
      </c>
      <c r="B51" s="288" t="s">
        <v>74</v>
      </c>
      <c r="C51" s="313">
        <v>45994.0</v>
      </c>
      <c r="D51" s="288" t="s">
        <v>1116</v>
      </c>
      <c r="E51" s="288" t="s">
        <v>1117</v>
      </c>
      <c r="F51" s="288">
        <v>3.389903626E9</v>
      </c>
      <c r="G51" s="288" t="s">
        <v>1118</v>
      </c>
      <c r="H51" s="288" t="s">
        <v>1119</v>
      </c>
      <c r="I51" s="313">
        <v>45994.0</v>
      </c>
      <c r="J51" s="293"/>
      <c r="K51" s="282">
        <v>20.0</v>
      </c>
      <c r="L51" s="277" t="s">
        <v>970</v>
      </c>
      <c r="M51" s="277" t="s">
        <v>100</v>
      </c>
      <c r="N51" s="118" t="b">
        <v>0</v>
      </c>
      <c r="O51" s="283" t="s">
        <v>1094</v>
      </c>
      <c r="P51" s="284" t="s">
        <v>81</v>
      </c>
      <c r="Q51" s="285" t="b">
        <v>1</v>
      </c>
      <c r="R51" s="285" t="b">
        <v>0</v>
      </c>
      <c r="S51" s="286" t="b">
        <v>0</v>
      </c>
    </row>
    <row r="52" outlineLevel="1">
      <c r="A52" s="288" t="s">
        <v>73</v>
      </c>
      <c r="B52" s="288" t="s">
        <v>74</v>
      </c>
      <c r="C52" s="313">
        <v>45994.0</v>
      </c>
      <c r="D52" s="288" t="s">
        <v>1120</v>
      </c>
      <c r="E52" s="288" t="s">
        <v>1121</v>
      </c>
      <c r="F52" s="288">
        <v>3.48530575E9</v>
      </c>
      <c r="G52" s="288" t="s">
        <v>1122</v>
      </c>
      <c r="H52" s="288" t="s">
        <v>1123</v>
      </c>
      <c r="I52" s="313">
        <v>45994.0</v>
      </c>
      <c r="J52" s="293"/>
      <c r="K52" s="282">
        <v>20.0</v>
      </c>
      <c r="L52" s="277" t="s">
        <v>970</v>
      </c>
      <c r="M52" s="277" t="s">
        <v>100</v>
      </c>
      <c r="N52" s="118" t="b">
        <v>1</v>
      </c>
      <c r="O52" s="283"/>
      <c r="P52" s="284" t="s">
        <v>81</v>
      </c>
      <c r="Q52" s="285" t="b">
        <v>1</v>
      </c>
      <c r="R52" s="285" t="b">
        <v>0</v>
      </c>
      <c r="S52" s="286" t="b">
        <v>0</v>
      </c>
    </row>
    <row r="53" outlineLevel="1">
      <c r="A53" s="288" t="s">
        <v>73</v>
      </c>
      <c r="B53" s="288" t="s">
        <v>74</v>
      </c>
      <c r="C53" s="313">
        <v>45994.0</v>
      </c>
      <c r="D53" s="288" t="s">
        <v>1124</v>
      </c>
      <c r="E53" s="288" t="s">
        <v>1125</v>
      </c>
      <c r="F53" s="288">
        <v>3.899391017E9</v>
      </c>
      <c r="G53" s="288" t="s">
        <v>1126</v>
      </c>
      <c r="H53" s="288" t="s">
        <v>1127</v>
      </c>
      <c r="I53" s="313">
        <v>45994.0</v>
      </c>
      <c r="J53" s="293"/>
      <c r="K53" s="282">
        <v>20.0</v>
      </c>
      <c r="L53" s="277" t="s">
        <v>1003</v>
      </c>
      <c r="M53" s="277" t="s">
        <v>100</v>
      </c>
      <c r="N53" s="118" t="b">
        <v>1</v>
      </c>
      <c r="O53" s="283"/>
      <c r="P53" s="284" t="s">
        <v>81</v>
      </c>
      <c r="Q53" s="285" t="b">
        <v>1</v>
      </c>
      <c r="R53" s="285" t="b">
        <v>0</v>
      </c>
      <c r="S53" s="286" t="b">
        <v>0</v>
      </c>
    </row>
    <row r="54" outlineLevel="1">
      <c r="A54" s="288" t="s">
        <v>73</v>
      </c>
      <c r="B54" s="288" t="s">
        <v>74</v>
      </c>
      <c r="C54" s="313">
        <v>45994.0</v>
      </c>
      <c r="D54" s="288" t="s">
        <v>226</v>
      </c>
      <c r="E54" s="288" t="s">
        <v>1128</v>
      </c>
      <c r="F54" s="288">
        <v>3.355278963E9</v>
      </c>
      <c r="G54" s="288" t="s">
        <v>228</v>
      </c>
      <c r="H54" s="288" t="s">
        <v>229</v>
      </c>
      <c r="I54" s="313">
        <v>45994.0</v>
      </c>
      <c r="J54" s="293"/>
      <c r="K54" s="282">
        <v>20.0</v>
      </c>
      <c r="L54" s="277" t="s">
        <v>970</v>
      </c>
      <c r="M54" s="277" t="s">
        <v>100</v>
      </c>
      <c r="N54" s="118" t="b">
        <v>1</v>
      </c>
      <c r="O54" s="283"/>
      <c r="P54" s="284" t="s">
        <v>81</v>
      </c>
      <c r="Q54" s="285" t="b">
        <v>1</v>
      </c>
      <c r="R54" s="285" t="b">
        <v>0</v>
      </c>
      <c r="S54" s="286" t="b">
        <v>0</v>
      </c>
    </row>
    <row r="55" outlineLevel="1">
      <c r="A55" s="288" t="s">
        <v>73</v>
      </c>
      <c r="B55" s="288" t="s">
        <v>74</v>
      </c>
      <c r="C55" s="278">
        <v>45994.0</v>
      </c>
      <c r="D55" s="280" t="s">
        <v>1129</v>
      </c>
      <c r="E55" s="280" t="s">
        <v>1130</v>
      </c>
      <c r="F55" s="280">
        <v>3.891509017E9</v>
      </c>
      <c r="G55" s="314" t="s">
        <v>1131</v>
      </c>
      <c r="H55" s="280" t="s">
        <v>1132</v>
      </c>
      <c r="I55" s="315">
        <v>45994.0</v>
      </c>
      <c r="J55" s="303"/>
      <c r="K55" s="304">
        <v>20.0</v>
      </c>
      <c r="L55" s="277" t="s">
        <v>970</v>
      </c>
      <c r="M55" s="288" t="s">
        <v>100</v>
      </c>
      <c r="N55" s="118" t="b">
        <v>1</v>
      </c>
      <c r="O55" s="283"/>
      <c r="P55" s="284" t="s">
        <v>81</v>
      </c>
      <c r="Q55" s="285" t="b">
        <v>1</v>
      </c>
      <c r="R55" s="285" t="b">
        <v>0</v>
      </c>
      <c r="S55" s="286" t="b">
        <v>0</v>
      </c>
    </row>
    <row r="56" outlineLevel="1">
      <c r="A56" s="288" t="s">
        <v>73</v>
      </c>
      <c r="B56" s="288" t="s">
        <v>74</v>
      </c>
      <c r="C56" s="313">
        <v>45994.0</v>
      </c>
      <c r="D56" s="288" t="s">
        <v>1133</v>
      </c>
      <c r="E56" s="288" t="s">
        <v>146</v>
      </c>
      <c r="F56" s="288">
        <v>3.663676892E9</v>
      </c>
      <c r="G56" s="288" t="s">
        <v>1134</v>
      </c>
      <c r="H56" s="288" t="s">
        <v>1135</v>
      </c>
      <c r="I56" s="313">
        <v>45994.0</v>
      </c>
      <c r="J56" s="293"/>
      <c r="K56" s="282">
        <v>20.0</v>
      </c>
      <c r="L56" s="277" t="s">
        <v>1003</v>
      </c>
      <c r="M56" s="288" t="s">
        <v>100</v>
      </c>
      <c r="N56" s="118" t="b">
        <v>1</v>
      </c>
      <c r="O56" s="283"/>
      <c r="P56" s="284" t="s">
        <v>81</v>
      </c>
      <c r="Q56" s="285" t="b">
        <v>1</v>
      </c>
      <c r="R56" s="285" t="b">
        <v>0</v>
      </c>
      <c r="S56" s="286" t="b">
        <v>0</v>
      </c>
    </row>
    <row r="57" outlineLevel="1">
      <c r="A57" s="288" t="s">
        <v>73</v>
      </c>
      <c r="B57" s="288" t="s">
        <v>74</v>
      </c>
      <c r="C57" s="313">
        <v>45994.0</v>
      </c>
      <c r="D57" s="288" t="s">
        <v>1136</v>
      </c>
      <c r="E57" s="288" t="s">
        <v>608</v>
      </c>
      <c r="F57" s="288">
        <v>3.333442384E9</v>
      </c>
      <c r="G57" s="288" t="s">
        <v>1137</v>
      </c>
      <c r="H57" s="288" t="s">
        <v>1138</v>
      </c>
      <c r="I57" s="313">
        <v>45994.0</v>
      </c>
      <c r="J57" s="293"/>
      <c r="K57" s="282">
        <v>20.0</v>
      </c>
      <c r="L57" s="277" t="s">
        <v>970</v>
      </c>
      <c r="M57" s="288" t="s">
        <v>100</v>
      </c>
      <c r="N57" s="118" t="b">
        <v>1</v>
      </c>
      <c r="O57" s="283"/>
      <c r="P57" s="284" t="s">
        <v>81</v>
      </c>
      <c r="Q57" s="285" t="b">
        <v>1</v>
      </c>
      <c r="R57" s="285" t="b">
        <v>0</v>
      </c>
      <c r="S57" s="286" t="b">
        <v>0</v>
      </c>
    </row>
    <row r="58" outlineLevel="1">
      <c r="A58" s="288" t="s">
        <v>73</v>
      </c>
      <c r="B58" s="288" t="s">
        <v>74</v>
      </c>
      <c r="C58" s="313">
        <v>45994.0</v>
      </c>
      <c r="D58" s="288" t="s">
        <v>1139</v>
      </c>
      <c r="E58" s="288" t="s">
        <v>351</v>
      </c>
      <c r="F58" s="288">
        <v>3.51472281E9</v>
      </c>
      <c r="G58" s="288" t="s">
        <v>1140</v>
      </c>
      <c r="H58" s="288" t="s">
        <v>1141</v>
      </c>
      <c r="I58" s="313">
        <v>45994.0</v>
      </c>
      <c r="J58" s="281"/>
      <c r="K58" s="282">
        <v>20.0</v>
      </c>
      <c r="L58" s="277" t="s">
        <v>970</v>
      </c>
      <c r="M58" s="288" t="s">
        <v>100</v>
      </c>
      <c r="N58" s="118" t="b">
        <v>1</v>
      </c>
      <c r="O58" s="283"/>
      <c r="P58" s="284" t="s">
        <v>81</v>
      </c>
      <c r="Q58" s="285" t="b">
        <v>1</v>
      </c>
      <c r="R58" s="285" t="b">
        <v>0</v>
      </c>
      <c r="S58" s="286" t="b">
        <v>0</v>
      </c>
    </row>
    <row r="59" outlineLevel="1">
      <c r="A59" s="288" t="s">
        <v>73</v>
      </c>
      <c r="B59" s="288" t="s">
        <v>74</v>
      </c>
      <c r="C59" s="313">
        <v>45994.0</v>
      </c>
      <c r="D59" s="288" t="s">
        <v>1142</v>
      </c>
      <c r="E59" s="288" t="s">
        <v>556</v>
      </c>
      <c r="F59" s="288">
        <v>3.407692791E9</v>
      </c>
      <c r="G59" s="288" t="s">
        <v>1143</v>
      </c>
      <c r="H59" s="288" t="s">
        <v>1144</v>
      </c>
      <c r="I59" s="313">
        <v>45994.0</v>
      </c>
      <c r="J59" s="293"/>
      <c r="K59" s="282">
        <v>20.0</v>
      </c>
      <c r="L59" s="277" t="s">
        <v>970</v>
      </c>
      <c r="M59" s="288" t="s">
        <v>100</v>
      </c>
      <c r="N59" s="118" t="b">
        <v>1</v>
      </c>
      <c r="O59" s="283"/>
      <c r="P59" s="284" t="s">
        <v>81</v>
      </c>
      <c r="Q59" s="285" t="b">
        <v>1</v>
      </c>
      <c r="R59" s="285" t="b">
        <v>0</v>
      </c>
      <c r="S59" s="286" t="b">
        <v>0</v>
      </c>
    </row>
    <row r="60" outlineLevel="1">
      <c r="A60" s="288" t="s">
        <v>101</v>
      </c>
      <c r="B60" s="288" t="s">
        <v>102</v>
      </c>
      <c r="C60" s="313">
        <v>45996.0</v>
      </c>
      <c r="D60" s="288" t="s">
        <v>1145</v>
      </c>
      <c r="E60" s="288" t="s">
        <v>1146</v>
      </c>
      <c r="F60" s="288">
        <v>3.936549938E9</v>
      </c>
      <c r="G60" s="288" t="s">
        <v>1147</v>
      </c>
      <c r="H60" s="288" t="s">
        <v>1148</v>
      </c>
      <c r="I60" s="313">
        <v>45996.0</v>
      </c>
      <c r="J60" s="281"/>
      <c r="K60" s="282">
        <v>20.0</v>
      </c>
      <c r="L60" s="277" t="s">
        <v>986</v>
      </c>
      <c r="M60" s="288" t="s">
        <v>162</v>
      </c>
      <c r="N60" s="118" t="b">
        <v>1</v>
      </c>
      <c r="O60" s="283"/>
      <c r="P60" s="284" t="s">
        <v>81</v>
      </c>
      <c r="Q60" s="285" t="b">
        <v>1</v>
      </c>
      <c r="R60" s="285" t="b">
        <v>0</v>
      </c>
      <c r="S60" s="286" t="b">
        <v>0</v>
      </c>
    </row>
    <row r="61" outlineLevel="1">
      <c r="A61" s="288" t="s">
        <v>101</v>
      </c>
      <c r="B61" s="288" t="s">
        <v>102</v>
      </c>
      <c r="C61" s="313">
        <v>45996.0</v>
      </c>
      <c r="D61" s="288" t="s">
        <v>1149</v>
      </c>
      <c r="E61" s="288" t="s">
        <v>940</v>
      </c>
      <c r="F61" s="288">
        <v>3.471177483E9</v>
      </c>
      <c r="G61" s="288" t="s">
        <v>1150</v>
      </c>
      <c r="H61" s="288" t="s">
        <v>1151</v>
      </c>
      <c r="I61" s="313">
        <v>45996.0</v>
      </c>
      <c r="J61" s="293"/>
      <c r="K61" s="282">
        <v>20.0</v>
      </c>
      <c r="L61" s="277" t="s">
        <v>986</v>
      </c>
      <c r="M61" s="288" t="s">
        <v>100</v>
      </c>
      <c r="N61" s="118" t="b">
        <v>1</v>
      </c>
      <c r="O61" s="283"/>
      <c r="P61" s="284" t="s">
        <v>81</v>
      </c>
      <c r="Q61" s="285" t="b">
        <v>1</v>
      </c>
      <c r="R61" s="285" t="b">
        <v>0</v>
      </c>
      <c r="S61" s="286" t="b">
        <v>0</v>
      </c>
    </row>
    <row r="62" outlineLevel="1">
      <c r="A62" s="288" t="s">
        <v>73</v>
      </c>
      <c r="B62" s="288" t="s">
        <v>74</v>
      </c>
      <c r="C62" s="313">
        <v>45995.0</v>
      </c>
      <c r="D62" s="288" t="s">
        <v>1152</v>
      </c>
      <c r="E62" s="288" t="s">
        <v>1153</v>
      </c>
      <c r="F62" s="288">
        <v>3.394604051E9</v>
      </c>
      <c r="G62" s="288" t="s">
        <v>1154</v>
      </c>
      <c r="H62" s="288" t="s">
        <v>1155</v>
      </c>
      <c r="I62" s="313">
        <v>45995.0</v>
      </c>
      <c r="J62" s="293"/>
      <c r="K62" s="282">
        <v>20.0</v>
      </c>
      <c r="L62" s="277" t="s">
        <v>970</v>
      </c>
      <c r="M62" s="288" t="s">
        <v>100</v>
      </c>
      <c r="N62" s="118" t="b">
        <v>1</v>
      </c>
      <c r="O62" s="283"/>
      <c r="P62" s="284" t="s">
        <v>81</v>
      </c>
      <c r="Q62" s="285" t="b">
        <v>1</v>
      </c>
      <c r="R62" s="285" t="b">
        <v>0</v>
      </c>
      <c r="S62" s="286" t="b">
        <v>0</v>
      </c>
    </row>
    <row r="63" outlineLevel="1">
      <c r="A63" s="288" t="s">
        <v>73</v>
      </c>
      <c r="B63" s="288" t="s">
        <v>74</v>
      </c>
      <c r="C63" s="313">
        <v>45995.0</v>
      </c>
      <c r="D63" s="288" t="s">
        <v>1156</v>
      </c>
      <c r="E63" s="288" t="s">
        <v>7</v>
      </c>
      <c r="F63" s="288">
        <v>3.318572598E9</v>
      </c>
      <c r="G63" s="288" t="s">
        <v>1157</v>
      </c>
      <c r="H63" s="288" t="s">
        <v>1158</v>
      </c>
      <c r="I63" s="313">
        <v>45995.0</v>
      </c>
      <c r="J63" s="293"/>
      <c r="K63" s="282">
        <v>20.0</v>
      </c>
      <c r="L63" s="277" t="s">
        <v>1012</v>
      </c>
      <c r="M63" s="288" t="s">
        <v>100</v>
      </c>
      <c r="N63" s="118" t="b">
        <v>1</v>
      </c>
      <c r="O63" s="283"/>
      <c r="P63" s="284" t="s">
        <v>81</v>
      </c>
      <c r="Q63" s="285" t="b">
        <v>1</v>
      </c>
      <c r="R63" s="285" t="b">
        <v>0</v>
      </c>
      <c r="S63" s="286" t="b">
        <v>0</v>
      </c>
    </row>
    <row r="64" outlineLevel="1">
      <c r="A64" s="288" t="s">
        <v>73</v>
      </c>
      <c r="B64" s="288" t="s">
        <v>74</v>
      </c>
      <c r="C64" s="313">
        <v>45995.0</v>
      </c>
      <c r="D64" s="288" t="s">
        <v>1159</v>
      </c>
      <c r="E64" s="288" t="s">
        <v>912</v>
      </c>
      <c r="F64" s="288">
        <v>3.355460862E9</v>
      </c>
      <c r="G64" s="288" t="s">
        <v>1160</v>
      </c>
      <c r="H64" s="288" t="s">
        <v>1161</v>
      </c>
      <c r="I64" s="313">
        <v>45995.0</v>
      </c>
      <c r="J64" s="293"/>
      <c r="K64" s="282">
        <v>20.0</v>
      </c>
      <c r="L64" s="277" t="s">
        <v>1012</v>
      </c>
      <c r="M64" s="288" t="s">
        <v>100</v>
      </c>
      <c r="N64" s="118" t="b">
        <v>1</v>
      </c>
      <c r="O64" s="283"/>
      <c r="P64" s="284" t="s">
        <v>81</v>
      </c>
      <c r="Q64" s="285" t="b">
        <v>1</v>
      </c>
      <c r="R64" s="285" t="b">
        <v>0</v>
      </c>
      <c r="S64" s="286" t="b">
        <v>0</v>
      </c>
    </row>
    <row r="65" outlineLevel="1">
      <c r="A65" s="288" t="s">
        <v>73</v>
      </c>
      <c r="B65" s="288" t="s">
        <v>74</v>
      </c>
      <c r="C65" s="316">
        <v>45995.0</v>
      </c>
      <c r="D65" s="317" t="s">
        <v>1162</v>
      </c>
      <c r="E65" s="317" t="s">
        <v>464</v>
      </c>
      <c r="F65" s="317">
        <v>3.348264949E9</v>
      </c>
      <c r="G65" s="317" t="s">
        <v>1163</v>
      </c>
      <c r="H65" s="317" t="s">
        <v>1164</v>
      </c>
      <c r="I65" s="318">
        <v>45995.0</v>
      </c>
      <c r="J65" s="319"/>
      <c r="K65" s="282">
        <v>20.0</v>
      </c>
      <c r="L65" s="277"/>
      <c r="M65" s="288" t="s">
        <v>100</v>
      </c>
      <c r="N65" s="118" t="b">
        <v>0</v>
      </c>
      <c r="O65" s="283" t="s">
        <v>1165</v>
      </c>
      <c r="P65" s="284" t="s">
        <v>81</v>
      </c>
      <c r="Q65" s="285" t="b">
        <v>1</v>
      </c>
      <c r="R65" s="285" t="b">
        <v>0</v>
      </c>
      <c r="S65" s="286" t="b">
        <v>0</v>
      </c>
    </row>
    <row r="66" outlineLevel="1">
      <c r="A66" s="288" t="s">
        <v>73</v>
      </c>
      <c r="B66" s="288" t="s">
        <v>74</v>
      </c>
      <c r="C66" s="313">
        <v>45995.0</v>
      </c>
      <c r="D66" s="288" t="s">
        <v>1133</v>
      </c>
      <c r="E66" s="288" t="s">
        <v>146</v>
      </c>
      <c r="F66" s="288">
        <v>3.663676892E9</v>
      </c>
      <c r="G66" s="288" t="s">
        <v>1134</v>
      </c>
      <c r="H66" s="288" t="s">
        <v>1135</v>
      </c>
      <c r="I66" s="313">
        <v>45995.0</v>
      </c>
      <c r="J66" s="293"/>
      <c r="K66" s="282">
        <v>20.0</v>
      </c>
      <c r="L66" s="277" t="s">
        <v>1003</v>
      </c>
      <c r="M66" s="288" t="s">
        <v>100</v>
      </c>
      <c r="N66" s="118" t="b">
        <v>1</v>
      </c>
      <c r="O66" s="283"/>
      <c r="P66" s="284" t="s">
        <v>81</v>
      </c>
      <c r="Q66" s="285" t="b">
        <v>1</v>
      </c>
      <c r="R66" s="285" t="b">
        <v>0</v>
      </c>
      <c r="S66" s="286" t="b">
        <v>0</v>
      </c>
    </row>
    <row r="67" outlineLevel="1">
      <c r="A67" s="288" t="s">
        <v>73</v>
      </c>
      <c r="B67" s="288" t="s">
        <v>74</v>
      </c>
      <c r="C67" s="313">
        <v>45996.0</v>
      </c>
      <c r="D67" s="288" t="s">
        <v>260</v>
      </c>
      <c r="E67" s="288" t="s">
        <v>1166</v>
      </c>
      <c r="F67" s="288">
        <v>3.388937024E9</v>
      </c>
      <c r="G67" s="288" t="s">
        <v>1167</v>
      </c>
      <c r="H67" s="288" t="s">
        <v>1168</v>
      </c>
      <c r="I67" s="313">
        <v>45996.0</v>
      </c>
      <c r="J67" s="293"/>
      <c r="K67" s="282">
        <v>20.0</v>
      </c>
      <c r="L67" s="277" t="s">
        <v>970</v>
      </c>
      <c r="M67" s="288" t="s">
        <v>100</v>
      </c>
      <c r="N67" s="118" t="b">
        <v>1</v>
      </c>
      <c r="O67" s="283"/>
      <c r="P67" s="284" t="s">
        <v>81</v>
      </c>
      <c r="Q67" s="285" t="b">
        <v>1</v>
      </c>
      <c r="R67" s="285" t="b">
        <v>0</v>
      </c>
      <c r="S67" s="286" t="b">
        <v>0</v>
      </c>
    </row>
    <row r="68" outlineLevel="1">
      <c r="A68" s="288" t="s">
        <v>73</v>
      </c>
      <c r="B68" s="288" t="s">
        <v>74</v>
      </c>
      <c r="C68" s="313">
        <v>45996.0</v>
      </c>
      <c r="D68" s="288" t="s">
        <v>1169</v>
      </c>
      <c r="E68" s="288" t="s">
        <v>1061</v>
      </c>
      <c r="F68" s="288">
        <v>3.475946515E9</v>
      </c>
      <c r="G68" s="288" t="s">
        <v>1170</v>
      </c>
      <c r="H68" s="288" t="s">
        <v>1171</v>
      </c>
      <c r="I68" s="313">
        <v>45996.0</v>
      </c>
      <c r="J68" s="293"/>
      <c r="K68" s="282">
        <v>20.0</v>
      </c>
      <c r="L68" s="277" t="s">
        <v>970</v>
      </c>
      <c r="M68" s="288" t="s">
        <v>100</v>
      </c>
      <c r="N68" s="118" t="b">
        <v>1</v>
      </c>
      <c r="O68" s="283"/>
      <c r="P68" s="284" t="s">
        <v>81</v>
      </c>
      <c r="Q68" s="285" t="b">
        <v>1</v>
      </c>
      <c r="R68" s="285" t="b">
        <v>0</v>
      </c>
      <c r="S68" s="286" t="b">
        <v>0</v>
      </c>
    </row>
    <row r="69" outlineLevel="1">
      <c r="A69" s="288" t="s">
        <v>73</v>
      </c>
      <c r="B69" s="288" t="s">
        <v>74</v>
      </c>
      <c r="C69" s="313">
        <v>46000.0</v>
      </c>
      <c r="D69" s="288" t="s">
        <v>1172</v>
      </c>
      <c r="E69" s="288" t="s">
        <v>940</v>
      </c>
      <c r="F69" s="288">
        <v>3.249811857E9</v>
      </c>
      <c r="G69" s="288" t="s">
        <v>1173</v>
      </c>
      <c r="H69" s="288" t="s">
        <v>1174</v>
      </c>
      <c r="I69" s="313">
        <v>46000.0</v>
      </c>
      <c r="J69" s="281"/>
      <c r="K69" s="282">
        <v>20.0</v>
      </c>
      <c r="L69" s="277" t="s">
        <v>970</v>
      </c>
      <c r="M69" s="288" t="s">
        <v>100</v>
      </c>
      <c r="N69" s="118" t="b">
        <v>1</v>
      </c>
      <c r="O69" s="283"/>
      <c r="P69" s="284" t="s">
        <v>81</v>
      </c>
      <c r="Q69" s="285" t="b">
        <v>1</v>
      </c>
      <c r="R69" s="285" t="b">
        <v>0</v>
      </c>
      <c r="S69" s="286" t="b">
        <v>0</v>
      </c>
    </row>
    <row r="70" outlineLevel="1">
      <c r="A70" s="288" t="s">
        <v>73</v>
      </c>
      <c r="B70" s="288" t="s">
        <v>74</v>
      </c>
      <c r="C70" s="313">
        <v>46000.0</v>
      </c>
      <c r="D70" s="288" t="s">
        <v>1175</v>
      </c>
      <c r="E70" s="288" t="s">
        <v>217</v>
      </c>
      <c r="F70" s="288">
        <v>3.294162314E9</v>
      </c>
      <c r="G70" s="288" t="s">
        <v>1176</v>
      </c>
      <c r="H70" s="288" t="s">
        <v>1177</v>
      </c>
      <c r="I70" s="313">
        <v>46000.0</v>
      </c>
      <c r="J70" s="281"/>
      <c r="K70" s="282">
        <v>20.0</v>
      </c>
      <c r="L70" s="277" t="s">
        <v>1003</v>
      </c>
      <c r="M70" s="288" t="s">
        <v>100</v>
      </c>
      <c r="N70" s="118" t="b">
        <v>1</v>
      </c>
      <c r="O70" s="283"/>
      <c r="P70" s="284" t="s">
        <v>81</v>
      </c>
      <c r="Q70" s="285" t="b">
        <v>1</v>
      </c>
      <c r="R70" s="285" t="b">
        <v>0</v>
      </c>
      <c r="S70" s="286" t="b">
        <v>0</v>
      </c>
    </row>
    <row r="71" outlineLevel="1">
      <c r="A71" s="288" t="s">
        <v>73</v>
      </c>
      <c r="B71" s="288" t="s">
        <v>74</v>
      </c>
      <c r="C71" s="313">
        <v>46000.0</v>
      </c>
      <c r="D71" s="288" t="s">
        <v>1178</v>
      </c>
      <c r="E71" s="288" t="s">
        <v>1179</v>
      </c>
      <c r="F71" s="288">
        <v>3.400637222E9</v>
      </c>
      <c r="G71" s="288" t="s">
        <v>1180</v>
      </c>
      <c r="H71" s="288" t="s">
        <v>1181</v>
      </c>
      <c r="I71" s="313">
        <v>46000.0</v>
      </c>
      <c r="J71" s="293"/>
      <c r="K71" s="282">
        <v>20.0</v>
      </c>
      <c r="L71" s="277" t="s">
        <v>970</v>
      </c>
      <c r="M71" s="288" t="s">
        <v>100</v>
      </c>
      <c r="N71" s="118" t="b">
        <v>1</v>
      </c>
      <c r="O71" s="283"/>
      <c r="P71" s="284" t="s">
        <v>81</v>
      </c>
      <c r="Q71" s="285" t="b">
        <v>1</v>
      </c>
      <c r="R71" s="285" t="b">
        <v>0</v>
      </c>
      <c r="S71" s="286" t="b">
        <v>0</v>
      </c>
    </row>
    <row r="72" outlineLevel="1">
      <c r="A72" s="288" t="s">
        <v>73</v>
      </c>
      <c r="B72" s="288" t="s">
        <v>74</v>
      </c>
      <c r="C72" s="313">
        <v>46000.0</v>
      </c>
      <c r="D72" s="288" t="s">
        <v>1182</v>
      </c>
      <c r="E72" s="288" t="s">
        <v>13</v>
      </c>
      <c r="F72" s="288">
        <v>3.334301312E9</v>
      </c>
      <c r="G72" s="288" t="s">
        <v>1183</v>
      </c>
      <c r="H72" s="288" t="s">
        <v>1184</v>
      </c>
      <c r="I72" s="313">
        <v>46000.0</v>
      </c>
      <c r="J72" s="293"/>
      <c r="K72" s="282">
        <v>20.0</v>
      </c>
      <c r="L72" s="277" t="s">
        <v>981</v>
      </c>
      <c r="M72" s="288" t="s">
        <v>80</v>
      </c>
      <c r="N72" s="118" t="b">
        <v>1</v>
      </c>
      <c r="O72" s="283"/>
      <c r="P72" s="284" t="s">
        <v>81</v>
      </c>
      <c r="Q72" s="285" t="b">
        <v>0</v>
      </c>
      <c r="R72" s="285" t="b">
        <v>0</v>
      </c>
      <c r="S72" s="286" t="b">
        <v>0</v>
      </c>
    </row>
    <row r="73" outlineLevel="1">
      <c r="A73" s="288" t="s">
        <v>73</v>
      </c>
      <c r="B73" s="288" t="s">
        <v>74</v>
      </c>
      <c r="C73" s="313">
        <v>46000.0</v>
      </c>
      <c r="D73" s="288" t="s">
        <v>1185</v>
      </c>
      <c r="E73" s="288" t="s">
        <v>703</v>
      </c>
      <c r="F73" s="288">
        <v>3.208488185E9</v>
      </c>
      <c r="G73" s="288" t="s">
        <v>1186</v>
      </c>
      <c r="H73" s="288" t="s">
        <v>1187</v>
      </c>
      <c r="I73" s="313">
        <v>46000.0</v>
      </c>
      <c r="J73" s="281"/>
      <c r="K73" s="282">
        <v>20.0</v>
      </c>
      <c r="L73" s="277" t="s">
        <v>981</v>
      </c>
      <c r="M73" s="288" t="s">
        <v>80</v>
      </c>
      <c r="N73" s="118" t="b">
        <v>1</v>
      </c>
      <c r="O73" s="283"/>
      <c r="P73" s="284" t="s">
        <v>81</v>
      </c>
      <c r="Q73" s="285" t="b">
        <v>0</v>
      </c>
      <c r="R73" s="285" t="b">
        <v>0</v>
      </c>
      <c r="S73" s="286" t="b">
        <v>0</v>
      </c>
    </row>
    <row r="74" outlineLevel="1">
      <c r="A74" s="288" t="s">
        <v>73</v>
      </c>
      <c r="B74" s="288" t="s">
        <v>74</v>
      </c>
      <c r="C74" s="316">
        <v>46000.0</v>
      </c>
      <c r="D74" s="317" t="s">
        <v>1188</v>
      </c>
      <c r="E74" s="317" t="s">
        <v>737</v>
      </c>
      <c r="F74" s="317">
        <v>3.314719792E9</v>
      </c>
      <c r="G74" s="317" t="s">
        <v>1189</v>
      </c>
      <c r="H74" s="317" t="s">
        <v>1190</v>
      </c>
      <c r="I74" s="318">
        <v>46000.0</v>
      </c>
      <c r="J74" s="319"/>
      <c r="K74" s="282">
        <v>20.0</v>
      </c>
      <c r="L74" s="277"/>
      <c r="M74" s="288" t="s">
        <v>100</v>
      </c>
      <c r="N74" s="118" t="b">
        <v>1</v>
      </c>
      <c r="O74" s="283" t="s">
        <v>1165</v>
      </c>
      <c r="P74" s="284" t="s">
        <v>81</v>
      </c>
      <c r="Q74" s="285" t="b">
        <v>1</v>
      </c>
      <c r="R74" s="285" t="b">
        <v>0</v>
      </c>
      <c r="S74" s="286" t="b">
        <v>0</v>
      </c>
    </row>
    <row r="75" outlineLevel="1">
      <c r="A75" s="288" t="s">
        <v>73</v>
      </c>
      <c r="B75" s="288" t="s">
        <v>74</v>
      </c>
      <c r="C75" s="313">
        <v>45996.0</v>
      </c>
      <c r="D75" s="288" t="s">
        <v>1191</v>
      </c>
      <c r="E75" s="288" t="s">
        <v>1192</v>
      </c>
      <c r="F75" s="288">
        <v>3.453389422E9</v>
      </c>
      <c r="G75" s="288" t="s">
        <v>1193</v>
      </c>
      <c r="H75" s="288" t="s">
        <v>1194</v>
      </c>
      <c r="I75" s="313">
        <v>45996.0</v>
      </c>
      <c r="J75" s="281"/>
      <c r="K75" s="282">
        <v>20.0</v>
      </c>
      <c r="L75" s="277" t="s">
        <v>970</v>
      </c>
      <c r="M75" s="288" t="s">
        <v>100</v>
      </c>
      <c r="N75" s="118" t="b">
        <v>1</v>
      </c>
      <c r="O75" s="283"/>
      <c r="P75" s="284" t="s">
        <v>81</v>
      </c>
      <c r="Q75" s="285" t="b">
        <v>1</v>
      </c>
      <c r="R75" s="285" t="b">
        <v>0</v>
      </c>
      <c r="S75" s="286" t="b">
        <v>0</v>
      </c>
    </row>
    <row r="76" outlineLevel="1">
      <c r="A76" s="288" t="s">
        <v>73</v>
      </c>
      <c r="B76" s="288" t="s">
        <v>74</v>
      </c>
      <c r="C76" s="313">
        <v>46000.0</v>
      </c>
      <c r="D76" s="288" t="s">
        <v>1195</v>
      </c>
      <c r="E76" s="288" t="s">
        <v>737</v>
      </c>
      <c r="F76" s="288">
        <v>3.349557464E9</v>
      </c>
      <c r="G76" s="288" t="s">
        <v>1196</v>
      </c>
      <c r="H76" s="288" t="s">
        <v>1197</v>
      </c>
      <c r="I76" s="313">
        <v>46000.0</v>
      </c>
      <c r="J76" s="293"/>
      <c r="K76" s="282">
        <v>20.0</v>
      </c>
      <c r="L76" s="277" t="s">
        <v>970</v>
      </c>
      <c r="M76" s="320" t="s">
        <v>80</v>
      </c>
      <c r="N76" s="118" t="b">
        <v>1</v>
      </c>
      <c r="O76" s="283"/>
      <c r="P76" s="284" t="s">
        <v>81</v>
      </c>
      <c r="Q76" s="285" t="b">
        <v>1</v>
      </c>
      <c r="R76" s="285" t="b">
        <v>0</v>
      </c>
      <c r="S76" s="286" t="b">
        <v>0</v>
      </c>
    </row>
    <row r="77" outlineLevel="1">
      <c r="A77" s="288" t="s">
        <v>239</v>
      </c>
      <c r="B77" s="288" t="s">
        <v>240</v>
      </c>
      <c r="C77" s="313">
        <v>46000.0</v>
      </c>
      <c r="D77" s="288" t="s">
        <v>1198</v>
      </c>
      <c r="E77" s="288" t="s">
        <v>703</v>
      </c>
      <c r="F77" s="288">
        <v>3.487711779E9</v>
      </c>
      <c r="G77" s="288" t="s">
        <v>1199</v>
      </c>
      <c r="H77" s="288" t="s">
        <v>1200</v>
      </c>
      <c r="I77" s="313">
        <v>46000.0</v>
      </c>
      <c r="J77" s="293"/>
      <c r="K77" s="282">
        <v>20.0</v>
      </c>
      <c r="L77" s="277" t="s">
        <v>1012</v>
      </c>
      <c r="M77" s="288" t="s">
        <v>162</v>
      </c>
      <c r="N77" s="118" t="b">
        <v>1</v>
      </c>
      <c r="O77" s="321"/>
      <c r="P77" s="284" t="s">
        <v>81</v>
      </c>
      <c r="Q77" s="285" t="b">
        <v>1</v>
      </c>
      <c r="R77" s="285" t="b">
        <v>0</v>
      </c>
      <c r="S77" s="286" t="b">
        <v>0</v>
      </c>
    </row>
    <row r="78" outlineLevel="1">
      <c r="A78" s="288" t="s">
        <v>611</v>
      </c>
      <c r="B78" s="288" t="s">
        <v>74</v>
      </c>
      <c r="C78" s="313">
        <v>46002.0</v>
      </c>
      <c r="D78" s="288" t="s">
        <v>1201</v>
      </c>
      <c r="E78" s="288" t="s">
        <v>1202</v>
      </c>
      <c r="F78" s="288">
        <v>3.938865964E9</v>
      </c>
      <c r="G78" s="288" t="s">
        <v>1203</v>
      </c>
      <c r="H78" s="288" t="s">
        <v>1204</v>
      </c>
      <c r="I78" s="313">
        <v>46002.0</v>
      </c>
      <c r="J78" s="281">
        <v>25.0</v>
      </c>
      <c r="K78" s="282"/>
      <c r="L78" s="277"/>
      <c r="M78" s="288" t="s">
        <v>100</v>
      </c>
      <c r="N78" s="118" t="b">
        <v>0</v>
      </c>
      <c r="O78" s="283"/>
      <c r="P78" s="284" t="s">
        <v>81</v>
      </c>
      <c r="Q78" s="285" t="b">
        <v>1</v>
      </c>
      <c r="R78" s="285" t="b">
        <v>0</v>
      </c>
      <c r="S78" s="286" t="b">
        <v>0</v>
      </c>
    </row>
    <row r="79" outlineLevel="1">
      <c r="A79" s="288" t="s">
        <v>611</v>
      </c>
      <c r="B79" s="288" t="s">
        <v>612</v>
      </c>
      <c r="C79" s="313">
        <v>45995.0</v>
      </c>
      <c r="D79" s="288" t="s">
        <v>1205</v>
      </c>
      <c r="E79" s="288" t="s">
        <v>151</v>
      </c>
      <c r="F79" s="291">
        <v>3.405699436E9</v>
      </c>
      <c r="G79" s="291" t="s">
        <v>1206</v>
      </c>
      <c r="H79" s="291" t="s">
        <v>1207</v>
      </c>
      <c r="I79" s="322">
        <v>45963.0</v>
      </c>
      <c r="J79" s="293"/>
      <c r="K79" s="282">
        <v>20.0</v>
      </c>
      <c r="L79" s="277"/>
      <c r="M79" s="288" t="s">
        <v>162</v>
      </c>
      <c r="N79" s="118" t="b">
        <v>1</v>
      </c>
      <c r="O79" s="283" t="s">
        <v>1208</v>
      </c>
      <c r="P79" s="284" t="s">
        <v>81</v>
      </c>
      <c r="Q79" s="285" t="b">
        <v>1</v>
      </c>
      <c r="R79" s="285" t="b">
        <v>0</v>
      </c>
      <c r="S79" s="286" t="b">
        <v>0</v>
      </c>
    </row>
    <row r="80" outlineLevel="1">
      <c r="A80" s="288" t="s">
        <v>239</v>
      </c>
      <c r="B80" s="288" t="s">
        <v>240</v>
      </c>
      <c r="C80" s="313">
        <v>46000.0</v>
      </c>
      <c r="D80" s="288" t="s">
        <v>1209</v>
      </c>
      <c r="E80" s="288" t="s">
        <v>1210</v>
      </c>
      <c r="F80" s="288">
        <v>3.483221221E9</v>
      </c>
      <c r="G80" s="288" t="s">
        <v>1211</v>
      </c>
      <c r="H80" s="288" t="s">
        <v>1212</v>
      </c>
      <c r="I80" s="313">
        <v>46000.0</v>
      </c>
      <c r="J80" s="293"/>
      <c r="K80" s="282">
        <v>20.0</v>
      </c>
      <c r="L80" s="277" t="s">
        <v>1012</v>
      </c>
      <c r="M80" s="288" t="s">
        <v>162</v>
      </c>
      <c r="N80" s="118" t="b">
        <v>1</v>
      </c>
      <c r="O80" s="283"/>
      <c r="P80" s="284" t="s">
        <v>81</v>
      </c>
      <c r="Q80" s="285" t="b">
        <v>1</v>
      </c>
      <c r="R80" s="285" t="b">
        <v>0</v>
      </c>
      <c r="S80" s="286" t="b">
        <v>0</v>
      </c>
    </row>
    <row r="81" outlineLevel="1">
      <c r="A81" s="288" t="s">
        <v>239</v>
      </c>
      <c r="B81" s="288" t="s">
        <v>240</v>
      </c>
      <c r="C81" s="306">
        <v>46000.0</v>
      </c>
      <c r="D81" s="288" t="s">
        <v>1213</v>
      </c>
      <c r="E81" s="288" t="s">
        <v>699</v>
      </c>
      <c r="F81" s="288">
        <v>3.280381892E9</v>
      </c>
      <c r="G81" s="288" t="s">
        <v>1214</v>
      </c>
      <c r="H81" s="323"/>
      <c r="I81" s="306">
        <v>46000.0</v>
      </c>
      <c r="J81" s="293"/>
      <c r="K81" s="282">
        <v>20.0</v>
      </c>
      <c r="L81" s="277" t="s">
        <v>1012</v>
      </c>
      <c r="M81" s="288" t="s">
        <v>449</v>
      </c>
      <c r="N81" s="118" t="b">
        <v>1</v>
      </c>
      <c r="O81" s="297" t="s">
        <v>1215</v>
      </c>
      <c r="P81" s="284" t="s">
        <v>81</v>
      </c>
      <c r="Q81" s="285" t="b">
        <v>1</v>
      </c>
      <c r="R81" s="285" t="b">
        <v>0</v>
      </c>
      <c r="S81" s="286" t="b">
        <v>0</v>
      </c>
    </row>
    <row r="82" outlineLevel="1">
      <c r="A82" s="288" t="s">
        <v>368</v>
      </c>
      <c r="B82" s="288" t="s">
        <v>369</v>
      </c>
      <c r="C82" s="313">
        <v>46000.0</v>
      </c>
      <c r="D82" s="288" t="s">
        <v>1216</v>
      </c>
      <c r="E82" s="288" t="s">
        <v>1217</v>
      </c>
      <c r="F82" s="288">
        <v>3.488710026E9</v>
      </c>
      <c r="G82" s="288" t="s">
        <v>1218</v>
      </c>
      <c r="H82" s="288" t="s">
        <v>1219</v>
      </c>
      <c r="I82" s="313">
        <v>46000.0</v>
      </c>
      <c r="J82" s="293"/>
      <c r="K82" s="282">
        <v>20.0</v>
      </c>
      <c r="L82" s="277" t="s">
        <v>1003</v>
      </c>
      <c r="M82" s="288" t="s">
        <v>100</v>
      </c>
      <c r="N82" s="118" t="b">
        <v>1</v>
      </c>
      <c r="O82" s="283"/>
      <c r="P82" s="284" t="s">
        <v>81</v>
      </c>
      <c r="Q82" s="285" t="b">
        <v>1</v>
      </c>
      <c r="R82" s="285" t="b">
        <v>0</v>
      </c>
      <c r="S82" s="286" t="b">
        <v>0</v>
      </c>
    </row>
    <row r="83" outlineLevel="1">
      <c r="A83" s="288" t="s">
        <v>101</v>
      </c>
      <c r="B83" s="288" t="s">
        <v>102</v>
      </c>
      <c r="C83" s="313">
        <v>46000.0</v>
      </c>
      <c r="D83" s="288" t="s">
        <v>1220</v>
      </c>
      <c r="E83" s="288" t="s">
        <v>151</v>
      </c>
      <c r="F83" s="288">
        <v>4.47737797002E11</v>
      </c>
      <c r="G83" s="288" t="s">
        <v>1221</v>
      </c>
      <c r="H83" s="288" t="s">
        <v>1222</v>
      </c>
      <c r="I83" s="313">
        <v>46000.0</v>
      </c>
      <c r="J83" s="293"/>
      <c r="K83" s="282">
        <v>20.0</v>
      </c>
      <c r="L83" s="277" t="s">
        <v>986</v>
      </c>
      <c r="M83" s="288" t="s">
        <v>100</v>
      </c>
      <c r="N83" s="118" t="b">
        <v>1</v>
      </c>
      <c r="O83" s="283"/>
      <c r="P83" s="284" t="s">
        <v>81</v>
      </c>
      <c r="Q83" s="285" t="b">
        <v>1</v>
      </c>
      <c r="R83" s="285" t="b">
        <v>0</v>
      </c>
      <c r="S83" s="286" t="b">
        <v>0</v>
      </c>
    </row>
    <row r="84" outlineLevel="1">
      <c r="A84" s="288" t="s">
        <v>101</v>
      </c>
      <c r="B84" s="288" t="s">
        <v>102</v>
      </c>
      <c r="C84" s="313">
        <v>46000.0</v>
      </c>
      <c r="D84" s="288" t="s">
        <v>1223</v>
      </c>
      <c r="E84" s="288" t="s">
        <v>1224</v>
      </c>
      <c r="F84" s="288">
        <v>3.356017071E9</v>
      </c>
      <c r="G84" s="288" t="s">
        <v>1225</v>
      </c>
      <c r="H84" s="288" t="s">
        <v>1226</v>
      </c>
      <c r="I84" s="313">
        <v>46000.0</v>
      </c>
      <c r="J84" s="293"/>
      <c r="K84" s="282">
        <v>20.0</v>
      </c>
      <c r="L84" s="277" t="s">
        <v>986</v>
      </c>
      <c r="M84" s="288" t="s">
        <v>100</v>
      </c>
      <c r="N84" s="118" t="b">
        <v>1</v>
      </c>
      <c r="O84" s="283"/>
      <c r="P84" s="284" t="s">
        <v>81</v>
      </c>
      <c r="Q84" s="285" t="b">
        <v>1</v>
      </c>
      <c r="R84" s="285" t="b">
        <v>0</v>
      </c>
      <c r="S84" s="286" t="b">
        <v>0</v>
      </c>
    </row>
    <row r="85" outlineLevel="1">
      <c r="A85" s="288" t="s">
        <v>611</v>
      </c>
      <c r="B85" s="288" t="s">
        <v>612</v>
      </c>
      <c r="C85" s="313">
        <v>46000.0</v>
      </c>
      <c r="D85" s="288" t="s">
        <v>1227</v>
      </c>
      <c r="E85" s="288" t="s">
        <v>551</v>
      </c>
      <c r="F85" s="288">
        <v>3.513213087E9</v>
      </c>
      <c r="G85" s="288" t="s">
        <v>1228</v>
      </c>
      <c r="H85" s="288" t="s">
        <v>1229</v>
      </c>
      <c r="I85" s="313">
        <v>46000.0</v>
      </c>
      <c r="J85" s="293"/>
      <c r="K85" s="282">
        <v>20.0</v>
      </c>
      <c r="L85" s="277" t="s">
        <v>1053</v>
      </c>
      <c r="M85" s="288" t="s">
        <v>100</v>
      </c>
      <c r="N85" s="118" t="b">
        <v>1</v>
      </c>
      <c r="O85" s="283"/>
      <c r="P85" s="284" t="s">
        <v>81</v>
      </c>
      <c r="Q85" s="285" t="b">
        <v>1</v>
      </c>
      <c r="R85" s="285" t="b">
        <v>0</v>
      </c>
      <c r="S85" s="286" t="b">
        <v>0</v>
      </c>
    </row>
    <row r="86" outlineLevel="1">
      <c r="A86" s="288" t="s">
        <v>73</v>
      </c>
      <c r="B86" s="288" t="s">
        <v>74</v>
      </c>
      <c r="C86" s="306">
        <v>45971.0</v>
      </c>
      <c r="D86" s="288" t="s">
        <v>1230</v>
      </c>
      <c r="E86" s="288" t="s">
        <v>1231</v>
      </c>
      <c r="F86" s="288">
        <v>3.312035454E9</v>
      </c>
      <c r="G86" s="288" t="s">
        <v>1232</v>
      </c>
      <c r="H86" s="288" t="s">
        <v>1233</v>
      </c>
      <c r="I86" s="307">
        <v>45971.0</v>
      </c>
      <c r="J86" s="281"/>
      <c r="K86" s="282">
        <v>27.0</v>
      </c>
      <c r="L86" s="292"/>
      <c r="M86" s="288" t="s">
        <v>100</v>
      </c>
      <c r="N86" s="118" t="b">
        <v>1</v>
      </c>
      <c r="O86" s="283" t="s">
        <v>1234</v>
      </c>
      <c r="P86" s="284" t="s">
        <v>81</v>
      </c>
      <c r="Q86" s="285" t="b">
        <v>1</v>
      </c>
      <c r="R86" s="285" t="b">
        <v>0</v>
      </c>
      <c r="S86" s="286" t="b">
        <v>1</v>
      </c>
    </row>
    <row r="87" outlineLevel="1">
      <c r="A87" s="288" t="s">
        <v>73</v>
      </c>
      <c r="B87" s="288" t="s">
        <v>94</v>
      </c>
      <c r="C87" s="313">
        <v>46001.0</v>
      </c>
      <c r="D87" s="288" t="s">
        <v>1235</v>
      </c>
      <c r="E87" s="288" t="s">
        <v>1236</v>
      </c>
      <c r="F87" s="288">
        <v>3.284148303E9</v>
      </c>
      <c r="G87" s="288" t="s">
        <v>1237</v>
      </c>
      <c r="H87" s="288" t="s">
        <v>1238</v>
      </c>
      <c r="I87" s="313">
        <v>46001.0</v>
      </c>
      <c r="J87" s="293"/>
      <c r="K87" s="282">
        <v>20.0</v>
      </c>
      <c r="L87" s="277" t="s">
        <v>981</v>
      </c>
      <c r="M87" s="288" t="s">
        <v>100</v>
      </c>
      <c r="N87" s="118" t="b">
        <v>1</v>
      </c>
      <c r="O87" s="283"/>
      <c r="P87" s="284" t="s">
        <v>81</v>
      </c>
      <c r="Q87" s="285" t="b">
        <v>1</v>
      </c>
      <c r="R87" s="285" t="b">
        <v>0</v>
      </c>
      <c r="S87" s="286" t="b">
        <v>0</v>
      </c>
    </row>
    <row r="88" outlineLevel="1">
      <c r="A88" s="288" t="s">
        <v>73</v>
      </c>
      <c r="B88" s="288" t="s">
        <v>94</v>
      </c>
      <c r="C88" s="306">
        <v>46001.0</v>
      </c>
      <c r="D88" s="288" t="s">
        <v>1239</v>
      </c>
      <c r="E88" s="288" t="s">
        <v>351</v>
      </c>
      <c r="F88" s="288">
        <v>3.486098339E9</v>
      </c>
      <c r="G88" s="288" t="s">
        <v>1240</v>
      </c>
      <c r="H88" s="288" t="s">
        <v>1241</v>
      </c>
      <c r="I88" s="313">
        <v>46001.0</v>
      </c>
      <c r="J88" s="293"/>
      <c r="K88" s="282">
        <v>20.0</v>
      </c>
      <c r="L88" s="277" t="s">
        <v>981</v>
      </c>
      <c r="M88" s="288" t="s">
        <v>100</v>
      </c>
      <c r="N88" s="118" t="b">
        <v>1</v>
      </c>
      <c r="O88" s="283"/>
      <c r="P88" s="284" t="s">
        <v>81</v>
      </c>
      <c r="Q88" s="285" t="b">
        <v>1</v>
      </c>
      <c r="R88" s="285" t="b">
        <v>0</v>
      </c>
      <c r="S88" s="286" t="b">
        <v>0</v>
      </c>
    </row>
    <row r="89" outlineLevel="1">
      <c r="A89" s="288" t="s">
        <v>73</v>
      </c>
      <c r="B89" s="288" t="s">
        <v>94</v>
      </c>
      <c r="C89" s="306">
        <v>46001.0</v>
      </c>
      <c r="D89" s="288" t="s">
        <v>1242</v>
      </c>
      <c r="E89" s="288" t="s">
        <v>1243</v>
      </c>
      <c r="F89" s="288">
        <v>3.383670199E9</v>
      </c>
      <c r="G89" s="288" t="s">
        <v>1244</v>
      </c>
      <c r="H89" s="288" t="s">
        <v>1245</v>
      </c>
      <c r="I89" s="313">
        <v>46001.0</v>
      </c>
      <c r="J89" s="293"/>
      <c r="K89" s="282">
        <v>20.0</v>
      </c>
      <c r="L89" s="277" t="s">
        <v>981</v>
      </c>
      <c r="M89" s="288" t="s">
        <v>100</v>
      </c>
      <c r="N89" s="118" t="b">
        <v>1</v>
      </c>
      <c r="O89" s="283"/>
      <c r="P89" s="284" t="s">
        <v>81</v>
      </c>
      <c r="Q89" s="285" t="b">
        <v>1</v>
      </c>
      <c r="R89" s="285" t="b">
        <v>0</v>
      </c>
      <c r="S89" s="286" t="b">
        <v>0</v>
      </c>
    </row>
    <row r="90" outlineLevel="1">
      <c r="A90" s="288" t="s">
        <v>73</v>
      </c>
      <c r="B90" s="288" t="s">
        <v>74</v>
      </c>
      <c r="C90" s="313">
        <v>46000.0</v>
      </c>
      <c r="D90" s="288" t="s">
        <v>1246</v>
      </c>
      <c r="E90" s="288" t="s">
        <v>1247</v>
      </c>
      <c r="F90" s="288">
        <v>3.482468895E9</v>
      </c>
      <c r="G90" s="288" t="s">
        <v>1248</v>
      </c>
      <c r="H90" s="288" t="s">
        <v>1249</v>
      </c>
      <c r="I90" s="313">
        <v>46000.0</v>
      </c>
      <c r="J90" s="281">
        <v>25.0</v>
      </c>
      <c r="K90" s="282"/>
      <c r="L90" s="277"/>
      <c r="M90" s="288" t="s">
        <v>100</v>
      </c>
      <c r="N90" s="118" t="b">
        <v>1</v>
      </c>
      <c r="O90" s="283"/>
      <c r="P90" s="284" t="s">
        <v>81</v>
      </c>
      <c r="Q90" s="285" t="b">
        <v>1</v>
      </c>
      <c r="R90" s="285" t="b">
        <v>0</v>
      </c>
      <c r="S90" s="286" t="b">
        <v>0</v>
      </c>
    </row>
    <row r="91" outlineLevel="1">
      <c r="A91" s="288" t="s">
        <v>73</v>
      </c>
      <c r="B91" s="288" t="s">
        <v>74</v>
      </c>
      <c r="C91" s="313">
        <v>46000.0</v>
      </c>
      <c r="D91" s="288" t="s">
        <v>559</v>
      </c>
      <c r="E91" s="288" t="s">
        <v>567</v>
      </c>
      <c r="F91" s="288">
        <v>3.31741254E9</v>
      </c>
      <c r="G91" s="288" t="s">
        <v>568</v>
      </c>
      <c r="H91" s="288" t="s">
        <v>569</v>
      </c>
      <c r="I91" s="313">
        <v>46000.0</v>
      </c>
      <c r="J91" s="293"/>
      <c r="K91" s="282">
        <v>20.0</v>
      </c>
      <c r="L91" s="277" t="s">
        <v>970</v>
      </c>
      <c r="M91" s="288" t="s">
        <v>100</v>
      </c>
      <c r="N91" s="118" t="b">
        <v>1</v>
      </c>
      <c r="O91" s="283"/>
      <c r="P91" s="284" t="s">
        <v>81</v>
      </c>
      <c r="Q91" s="285" t="b">
        <v>1</v>
      </c>
      <c r="R91" s="285" t="b">
        <v>0</v>
      </c>
      <c r="S91" s="286" t="b">
        <v>0</v>
      </c>
    </row>
    <row r="92" outlineLevel="1">
      <c r="A92" s="288" t="s">
        <v>73</v>
      </c>
      <c r="B92" s="288" t="s">
        <v>74</v>
      </c>
      <c r="C92" s="313">
        <v>46000.0</v>
      </c>
      <c r="D92" s="288" t="s">
        <v>1250</v>
      </c>
      <c r="E92" s="288" t="s">
        <v>777</v>
      </c>
      <c r="F92" s="288">
        <v>3.299488032E9</v>
      </c>
      <c r="G92" s="288" t="s">
        <v>1251</v>
      </c>
      <c r="H92" s="288" t="s">
        <v>1252</v>
      </c>
      <c r="I92" s="313">
        <v>46000.0</v>
      </c>
      <c r="J92" s="293"/>
      <c r="K92" s="282">
        <v>20.0</v>
      </c>
      <c r="L92" s="277" t="s">
        <v>970</v>
      </c>
      <c r="M92" s="288" t="s">
        <v>100</v>
      </c>
      <c r="N92" s="118" t="b">
        <v>1</v>
      </c>
      <c r="O92" s="283"/>
      <c r="P92" s="284" t="s">
        <v>81</v>
      </c>
      <c r="Q92" s="285" t="b">
        <v>1</v>
      </c>
      <c r="R92" s="285" t="b">
        <v>0</v>
      </c>
      <c r="S92" s="286" t="b">
        <v>0</v>
      </c>
    </row>
    <row r="93" outlineLevel="1">
      <c r="A93" s="288" t="s">
        <v>73</v>
      </c>
      <c r="B93" s="288" t="s">
        <v>74</v>
      </c>
      <c r="C93" s="313">
        <v>46000.0</v>
      </c>
      <c r="D93" s="288" t="s">
        <v>1253</v>
      </c>
      <c r="E93" s="288" t="s">
        <v>165</v>
      </c>
      <c r="F93" s="288">
        <v>3.894316014E9</v>
      </c>
      <c r="G93" s="288" t="s">
        <v>1254</v>
      </c>
      <c r="H93" s="288" t="s">
        <v>1255</v>
      </c>
      <c r="I93" s="313">
        <v>46000.0</v>
      </c>
      <c r="J93" s="293"/>
      <c r="K93" s="282">
        <v>20.0</v>
      </c>
      <c r="L93" s="277" t="s">
        <v>970</v>
      </c>
      <c r="M93" s="288" t="s">
        <v>100</v>
      </c>
      <c r="N93" s="118" t="b">
        <v>1</v>
      </c>
      <c r="O93" s="283"/>
      <c r="P93" s="284" t="s">
        <v>81</v>
      </c>
      <c r="Q93" s="285" t="b">
        <v>1</v>
      </c>
      <c r="R93" s="285" t="b">
        <v>0</v>
      </c>
      <c r="S93" s="286" t="b">
        <v>0</v>
      </c>
    </row>
    <row r="94" outlineLevel="1">
      <c r="A94" s="288" t="s">
        <v>73</v>
      </c>
      <c r="B94" s="288" t="s">
        <v>74</v>
      </c>
      <c r="C94" s="313">
        <v>46000.0</v>
      </c>
      <c r="D94" s="288" t="s">
        <v>1256</v>
      </c>
      <c r="E94" s="288" t="s">
        <v>256</v>
      </c>
      <c r="F94" s="288">
        <v>3.472431751E9</v>
      </c>
      <c r="G94" s="288" t="s">
        <v>1257</v>
      </c>
      <c r="H94" s="288" t="s">
        <v>1258</v>
      </c>
      <c r="I94" s="313">
        <v>46000.0</v>
      </c>
      <c r="J94" s="293"/>
      <c r="K94" s="282">
        <v>20.0</v>
      </c>
      <c r="L94" s="277" t="s">
        <v>981</v>
      </c>
      <c r="M94" s="288" t="s">
        <v>100</v>
      </c>
      <c r="N94" s="118" t="b">
        <v>1</v>
      </c>
      <c r="O94" s="283"/>
      <c r="P94" s="284" t="s">
        <v>81</v>
      </c>
      <c r="Q94" s="285" t="b">
        <v>1</v>
      </c>
      <c r="R94" s="285" t="b">
        <v>0</v>
      </c>
      <c r="S94" s="286" t="b">
        <v>0</v>
      </c>
    </row>
    <row r="95" outlineLevel="1">
      <c r="A95" s="288" t="s">
        <v>73</v>
      </c>
      <c r="B95" s="288" t="s">
        <v>74</v>
      </c>
      <c r="C95" s="313">
        <v>46000.0</v>
      </c>
      <c r="D95" s="288" t="s">
        <v>1259</v>
      </c>
      <c r="E95" s="288" t="s">
        <v>294</v>
      </c>
      <c r="F95" s="288">
        <v>3.400925631E9</v>
      </c>
      <c r="G95" s="288" t="s">
        <v>1260</v>
      </c>
      <c r="H95" s="288" t="s">
        <v>1261</v>
      </c>
      <c r="I95" s="313">
        <v>46000.0</v>
      </c>
      <c r="J95" s="293"/>
      <c r="K95" s="282">
        <v>20.0</v>
      </c>
      <c r="L95" s="277" t="s">
        <v>970</v>
      </c>
      <c r="M95" s="288" t="s">
        <v>100</v>
      </c>
      <c r="N95" s="118" t="b">
        <v>1</v>
      </c>
      <c r="O95" s="283"/>
      <c r="P95" s="284" t="s">
        <v>81</v>
      </c>
      <c r="Q95" s="285" t="b">
        <v>1</v>
      </c>
      <c r="R95" s="285" t="b">
        <v>0</v>
      </c>
      <c r="S95" s="286" t="b">
        <v>0</v>
      </c>
    </row>
    <row r="96" outlineLevel="1">
      <c r="A96" s="288" t="s">
        <v>73</v>
      </c>
      <c r="B96" s="288" t="s">
        <v>74</v>
      </c>
      <c r="C96" s="313">
        <v>46000.0</v>
      </c>
      <c r="D96" s="288" t="s">
        <v>1262</v>
      </c>
      <c r="E96" s="288" t="s">
        <v>1263</v>
      </c>
      <c r="F96" s="288">
        <v>3.29244628E9</v>
      </c>
      <c r="G96" s="288" t="s">
        <v>1264</v>
      </c>
      <c r="H96" s="288" t="s">
        <v>1265</v>
      </c>
      <c r="I96" s="313">
        <v>46000.0</v>
      </c>
      <c r="J96" s="293"/>
      <c r="K96" s="282">
        <v>20.0</v>
      </c>
      <c r="L96" s="277" t="s">
        <v>970</v>
      </c>
      <c r="M96" s="288" t="s">
        <v>100</v>
      </c>
      <c r="N96" s="118" t="b">
        <v>1</v>
      </c>
      <c r="O96" s="283"/>
      <c r="P96" s="284" t="s">
        <v>81</v>
      </c>
      <c r="Q96" s="285" t="b">
        <v>1</v>
      </c>
      <c r="R96" s="285" t="b">
        <v>0</v>
      </c>
      <c r="S96" s="286" t="b">
        <v>0</v>
      </c>
    </row>
    <row r="97" outlineLevel="1">
      <c r="A97" s="288" t="s">
        <v>73</v>
      </c>
      <c r="B97" s="288" t="s">
        <v>74</v>
      </c>
      <c r="C97" s="313">
        <v>46001.0</v>
      </c>
      <c r="D97" s="288" t="s">
        <v>1266</v>
      </c>
      <c r="E97" s="288" t="s">
        <v>1267</v>
      </c>
      <c r="F97" s="277">
        <v>3.289237909E9</v>
      </c>
      <c r="G97" s="324" t="s">
        <v>1268</v>
      </c>
      <c r="H97" s="277" t="s">
        <v>1269</v>
      </c>
      <c r="I97" s="313">
        <v>46001.0</v>
      </c>
      <c r="J97" s="293"/>
      <c r="K97" s="282">
        <v>20.0</v>
      </c>
      <c r="L97" s="277" t="s">
        <v>1003</v>
      </c>
      <c r="M97" s="288" t="s">
        <v>100</v>
      </c>
      <c r="N97" s="118" t="b">
        <v>1</v>
      </c>
      <c r="O97" s="283"/>
      <c r="P97" s="284" t="s">
        <v>81</v>
      </c>
      <c r="Q97" s="285" t="b">
        <v>1</v>
      </c>
      <c r="R97" s="285" t="b">
        <v>0</v>
      </c>
      <c r="S97" s="286" t="b">
        <v>0</v>
      </c>
    </row>
    <row r="98" outlineLevel="1">
      <c r="A98" s="288" t="s">
        <v>73</v>
      </c>
      <c r="B98" s="288" t="s">
        <v>74</v>
      </c>
      <c r="C98" s="313">
        <v>46001.0</v>
      </c>
      <c r="D98" s="288" t="s">
        <v>1270</v>
      </c>
      <c r="E98" s="288" t="s">
        <v>619</v>
      </c>
      <c r="F98" s="288">
        <v>3.488522825E9</v>
      </c>
      <c r="G98" s="288" t="s">
        <v>1271</v>
      </c>
      <c r="H98" s="288" t="s">
        <v>1272</v>
      </c>
      <c r="I98" s="313">
        <v>46001.0</v>
      </c>
      <c r="J98" s="281">
        <v>25.0</v>
      </c>
      <c r="K98" s="282"/>
      <c r="L98" s="277"/>
      <c r="M98" s="288" t="s">
        <v>100</v>
      </c>
      <c r="N98" s="118" t="b">
        <v>1</v>
      </c>
      <c r="O98" s="283"/>
      <c r="P98" s="284" t="s">
        <v>81</v>
      </c>
      <c r="Q98" s="285" t="b">
        <v>1</v>
      </c>
      <c r="R98" s="285" t="b">
        <v>0</v>
      </c>
      <c r="S98" s="286" t="b">
        <v>0</v>
      </c>
    </row>
    <row r="99" outlineLevel="1">
      <c r="A99" s="288" t="s">
        <v>73</v>
      </c>
      <c r="B99" s="288" t="s">
        <v>74</v>
      </c>
      <c r="C99" s="313">
        <v>46001.0</v>
      </c>
      <c r="D99" s="288" t="s">
        <v>1273</v>
      </c>
      <c r="E99" s="288" t="s">
        <v>643</v>
      </c>
      <c r="F99" s="288">
        <v>3.471819383E9</v>
      </c>
      <c r="G99" s="288" t="s">
        <v>1274</v>
      </c>
      <c r="H99" s="288" t="s">
        <v>1275</v>
      </c>
      <c r="I99" s="313">
        <v>46001.0</v>
      </c>
      <c r="J99" s="281">
        <v>25.0</v>
      </c>
      <c r="K99" s="282"/>
      <c r="L99" s="277"/>
      <c r="M99" s="288" t="s">
        <v>100</v>
      </c>
      <c r="N99" s="118" t="b">
        <v>1</v>
      </c>
      <c r="O99" s="283"/>
      <c r="P99" s="284" t="s">
        <v>81</v>
      </c>
      <c r="Q99" s="285" t="b">
        <v>1</v>
      </c>
      <c r="R99" s="285" t="b">
        <v>0</v>
      </c>
      <c r="S99" s="286" t="b">
        <v>0</v>
      </c>
    </row>
    <row r="100" outlineLevel="1">
      <c r="A100" s="288" t="s">
        <v>368</v>
      </c>
      <c r="B100" s="288" t="s">
        <v>369</v>
      </c>
      <c r="C100" s="313">
        <v>46002.0</v>
      </c>
      <c r="D100" s="288" t="s">
        <v>1276</v>
      </c>
      <c r="E100" s="288" t="s">
        <v>912</v>
      </c>
      <c r="F100" s="288">
        <v>3.462873146E9</v>
      </c>
      <c r="G100" s="288" t="s">
        <v>1277</v>
      </c>
      <c r="H100" s="288" t="s">
        <v>1278</v>
      </c>
      <c r="I100" s="313">
        <v>46002.0</v>
      </c>
      <c r="J100" s="293"/>
      <c r="K100" s="282">
        <v>20.0</v>
      </c>
      <c r="L100" s="277" t="s">
        <v>1003</v>
      </c>
      <c r="M100" s="288" t="s">
        <v>100</v>
      </c>
      <c r="N100" s="118" t="b">
        <v>1</v>
      </c>
      <c r="O100" s="283"/>
      <c r="P100" s="284" t="s">
        <v>81</v>
      </c>
      <c r="Q100" s="285" t="b">
        <v>1</v>
      </c>
      <c r="R100" s="285" t="b">
        <v>0</v>
      </c>
      <c r="S100" s="286" t="b">
        <v>0</v>
      </c>
    </row>
    <row r="101" outlineLevel="1">
      <c r="A101" s="288" t="s">
        <v>611</v>
      </c>
      <c r="B101" s="288" t="s">
        <v>74</v>
      </c>
      <c r="C101" s="313">
        <v>46002.0</v>
      </c>
      <c r="D101" s="288" t="s">
        <v>1279</v>
      </c>
      <c r="E101" s="288" t="s">
        <v>1192</v>
      </c>
      <c r="F101" s="288">
        <v>3.201575261E9</v>
      </c>
      <c r="G101" s="288" t="s">
        <v>1280</v>
      </c>
      <c r="H101" s="288" t="s">
        <v>1281</v>
      </c>
      <c r="I101" s="313">
        <v>46002.0</v>
      </c>
      <c r="J101" s="293"/>
      <c r="K101" s="282">
        <v>20.0</v>
      </c>
      <c r="L101" s="277" t="s">
        <v>970</v>
      </c>
      <c r="M101" s="288" t="s">
        <v>80</v>
      </c>
      <c r="N101" s="118" t="b">
        <v>1</v>
      </c>
      <c r="O101" s="283"/>
      <c r="P101" s="284" t="s">
        <v>81</v>
      </c>
      <c r="Q101" s="285" t="b">
        <v>0</v>
      </c>
      <c r="R101" s="285" t="b">
        <v>0</v>
      </c>
      <c r="S101" s="286" t="b">
        <v>0</v>
      </c>
    </row>
    <row r="102" outlineLevel="1">
      <c r="A102" s="288" t="s">
        <v>611</v>
      </c>
      <c r="B102" s="288" t="s">
        <v>74</v>
      </c>
      <c r="C102" s="313">
        <v>46002.0</v>
      </c>
      <c r="D102" s="288" t="s">
        <v>164</v>
      </c>
      <c r="E102" s="288" t="s">
        <v>231</v>
      </c>
      <c r="F102" s="288">
        <v>3.381642215E9</v>
      </c>
      <c r="G102" s="288" t="s">
        <v>232</v>
      </c>
      <c r="H102" s="288" t="s">
        <v>233</v>
      </c>
      <c r="I102" s="313">
        <v>46002.0</v>
      </c>
      <c r="J102" s="281">
        <v>25.0</v>
      </c>
      <c r="K102" s="282"/>
      <c r="L102" s="277"/>
      <c r="M102" s="288" t="s">
        <v>100</v>
      </c>
      <c r="N102" s="118" t="b">
        <v>1</v>
      </c>
      <c r="O102" s="283"/>
      <c r="P102" s="284" t="s">
        <v>81</v>
      </c>
      <c r="Q102" s="285" t="b">
        <v>1</v>
      </c>
      <c r="R102" s="285" t="b">
        <v>0</v>
      </c>
      <c r="S102" s="286" t="b">
        <v>0</v>
      </c>
    </row>
    <row r="103" outlineLevel="1">
      <c r="A103" s="288" t="s">
        <v>611</v>
      </c>
      <c r="B103" s="288" t="s">
        <v>74</v>
      </c>
      <c r="C103" s="313">
        <v>46002.0</v>
      </c>
      <c r="D103" s="288" t="s">
        <v>1282</v>
      </c>
      <c r="E103" s="288" t="s">
        <v>912</v>
      </c>
      <c r="F103" s="288">
        <v>3.338600739E9</v>
      </c>
      <c r="G103" s="288" t="s">
        <v>1283</v>
      </c>
      <c r="H103" s="288" t="s">
        <v>1284</v>
      </c>
      <c r="I103" s="313">
        <v>46002.0</v>
      </c>
      <c r="J103" s="293"/>
      <c r="K103" s="282">
        <v>20.0</v>
      </c>
      <c r="L103" s="277" t="s">
        <v>970</v>
      </c>
      <c r="M103" s="288" t="s">
        <v>100</v>
      </c>
      <c r="N103" s="118" t="b">
        <v>1</v>
      </c>
      <c r="O103" s="283"/>
      <c r="P103" s="284" t="s">
        <v>81</v>
      </c>
      <c r="Q103" s="285" t="b">
        <v>1</v>
      </c>
      <c r="R103" s="285" t="b">
        <v>0</v>
      </c>
      <c r="S103" s="286" t="b">
        <v>0</v>
      </c>
    </row>
    <row r="104" outlineLevel="1">
      <c r="A104" s="288" t="s">
        <v>611</v>
      </c>
      <c r="B104" s="288" t="s">
        <v>74</v>
      </c>
      <c r="C104" s="313">
        <v>46002.0</v>
      </c>
      <c r="D104" s="288" t="s">
        <v>1285</v>
      </c>
      <c r="E104" s="288" t="s">
        <v>643</v>
      </c>
      <c r="F104" s="288">
        <v>3.389207634E9</v>
      </c>
      <c r="G104" s="288" t="s">
        <v>1286</v>
      </c>
      <c r="H104" s="288" t="s">
        <v>1287</v>
      </c>
      <c r="I104" s="313">
        <v>46002.0</v>
      </c>
      <c r="J104" s="281">
        <v>25.0</v>
      </c>
      <c r="K104" s="282"/>
      <c r="L104" s="277"/>
      <c r="M104" s="288" t="s">
        <v>80</v>
      </c>
      <c r="N104" s="118" t="b">
        <v>1</v>
      </c>
      <c r="O104" s="283" t="s">
        <v>1288</v>
      </c>
      <c r="P104" s="284" t="s">
        <v>81</v>
      </c>
      <c r="Q104" s="285" t="b">
        <v>0</v>
      </c>
      <c r="R104" s="285" t="b">
        <v>0</v>
      </c>
      <c r="S104" s="286" t="b">
        <v>0</v>
      </c>
    </row>
    <row r="105" outlineLevel="1">
      <c r="A105" s="288" t="s">
        <v>1289</v>
      </c>
      <c r="B105" s="288" t="s">
        <v>74</v>
      </c>
      <c r="C105" s="313">
        <v>46003.0</v>
      </c>
      <c r="D105" s="288" t="s">
        <v>1290</v>
      </c>
      <c r="E105" s="288" t="s">
        <v>151</v>
      </c>
      <c r="F105" s="288">
        <v>3.475928706E9</v>
      </c>
      <c r="G105" s="288" t="s">
        <v>1291</v>
      </c>
      <c r="H105" s="288" t="s">
        <v>1292</v>
      </c>
      <c r="I105" s="313">
        <v>46003.0</v>
      </c>
      <c r="J105" s="293"/>
      <c r="K105" s="282">
        <v>20.0</v>
      </c>
      <c r="L105" s="277" t="s">
        <v>970</v>
      </c>
      <c r="M105" s="288" t="s">
        <v>100</v>
      </c>
      <c r="N105" s="118" t="b">
        <v>1</v>
      </c>
      <c r="O105" s="283"/>
      <c r="P105" s="284" t="s">
        <v>81</v>
      </c>
      <c r="Q105" s="285" t="b">
        <v>1</v>
      </c>
      <c r="R105" s="285" t="b">
        <v>0</v>
      </c>
      <c r="S105" s="286" t="b">
        <v>0</v>
      </c>
    </row>
    <row r="106" outlineLevel="1">
      <c r="A106" s="288" t="s">
        <v>611</v>
      </c>
      <c r="B106" s="288" t="s">
        <v>74</v>
      </c>
      <c r="C106" s="313">
        <v>46003.0</v>
      </c>
      <c r="D106" s="288" t="s">
        <v>1293</v>
      </c>
      <c r="E106" s="288" t="s">
        <v>1088</v>
      </c>
      <c r="F106" s="288">
        <v>3.475517985E9</v>
      </c>
      <c r="G106" s="288" t="s">
        <v>1294</v>
      </c>
      <c r="H106" s="288" t="s">
        <v>1295</v>
      </c>
      <c r="I106" s="313">
        <v>46003.0</v>
      </c>
      <c r="J106" s="281">
        <v>25.0</v>
      </c>
      <c r="K106" s="282"/>
      <c r="L106" s="277"/>
      <c r="M106" s="288" t="s">
        <v>80</v>
      </c>
      <c r="N106" s="118" t="b">
        <v>1</v>
      </c>
      <c r="O106" s="283" t="s">
        <v>1288</v>
      </c>
      <c r="P106" s="284" t="s">
        <v>81</v>
      </c>
      <c r="Q106" s="285" t="b">
        <v>0</v>
      </c>
      <c r="R106" s="285" t="b">
        <v>0</v>
      </c>
      <c r="S106" s="286" t="b">
        <v>0</v>
      </c>
    </row>
    <row r="107" outlineLevel="1">
      <c r="A107" s="288" t="s">
        <v>611</v>
      </c>
      <c r="B107" s="288" t="s">
        <v>74</v>
      </c>
      <c r="C107" s="313">
        <v>46003.0</v>
      </c>
      <c r="D107" s="288" t="s">
        <v>1296</v>
      </c>
      <c r="E107" s="288" t="s">
        <v>912</v>
      </c>
      <c r="F107" s="288">
        <v>3.402942139E9</v>
      </c>
      <c r="G107" s="288" t="s">
        <v>1297</v>
      </c>
      <c r="H107" s="288" t="s">
        <v>1298</v>
      </c>
      <c r="I107" s="313">
        <v>46003.0</v>
      </c>
      <c r="J107" s="293"/>
      <c r="K107" s="282">
        <v>20.0</v>
      </c>
      <c r="L107" s="277" t="s">
        <v>970</v>
      </c>
      <c r="M107" s="288" t="s">
        <v>100</v>
      </c>
      <c r="N107" s="118" t="b">
        <v>1</v>
      </c>
      <c r="O107" s="283"/>
      <c r="P107" s="284" t="s">
        <v>81</v>
      </c>
      <c r="Q107" s="285" t="b">
        <v>1</v>
      </c>
      <c r="R107" s="285" t="b">
        <v>0</v>
      </c>
      <c r="S107" s="286" t="b">
        <v>0</v>
      </c>
    </row>
    <row r="108" outlineLevel="1">
      <c r="A108" s="288" t="s">
        <v>611</v>
      </c>
      <c r="B108" s="288" t="s">
        <v>74</v>
      </c>
      <c r="C108" s="313">
        <v>46003.0</v>
      </c>
      <c r="D108" s="288" t="s">
        <v>1299</v>
      </c>
      <c r="E108" s="288" t="s">
        <v>1300</v>
      </c>
      <c r="F108" s="288">
        <v>3.389848634E9</v>
      </c>
      <c r="G108" s="288" t="s">
        <v>1301</v>
      </c>
      <c r="H108" s="288" t="s">
        <v>1302</v>
      </c>
      <c r="I108" s="313">
        <v>46003.0</v>
      </c>
      <c r="J108" s="281">
        <v>25.0</v>
      </c>
      <c r="K108" s="282"/>
      <c r="L108" s="277"/>
      <c r="M108" s="288" t="s">
        <v>100</v>
      </c>
      <c r="N108" s="118" t="b">
        <v>1</v>
      </c>
      <c r="O108" s="283" t="s">
        <v>301</v>
      </c>
      <c r="P108" s="284" t="s">
        <v>81</v>
      </c>
      <c r="Q108" s="285" t="b">
        <v>1</v>
      </c>
      <c r="R108" s="285" t="b">
        <v>0</v>
      </c>
      <c r="S108" s="286" t="b">
        <v>0</v>
      </c>
    </row>
    <row r="109" outlineLevel="1">
      <c r="A109" s="288" t="s">
        <v>611</v>
      </c>
      <c r="B109" s="288" t="s">
        <v>74</v>
      </c>
      <c r="C109" s="313">
        <v>46003.0</v>
      </c>
      <c r="D109" s="288" t="s">
        <v>1299</v>
      </c>
      <c r="E109" s="288" t="s">
        <v>1300</v>
      </c>
      <c r="F109" s="288">
        <v>3.389848634E9</v>
      </c>
      <c r="G109" s="288" t="s">
        <v>1301</v>
      </c>
      <c r="H109" s="288" t="s">
        <v>1302</v>
      </c>
      <c r="I109" s="313">
        <v>46003.0</v>
      </c>
      <c r="J109" s="293"/>
      <c r="K109" s="282">
        <v>20.0</v>
      </c>
      <c r="L109" s="277" t="s">
        <v>970</v>
      </c>
      <c r="M109" s="288" t="s">
        <v>100</v>
      </c>
      <c r="N109" s="118" t="b">
        <v>1</v>
      </c>
      <c r="O109" s="283"/>
      <c r="P109" s="284" t="s">
        <v>81</v>
      </c>
      <c r="Q109" s="285" t="b">
        <v>1</v>
      </c>
      <c r="R109" s="285" t="b">
        <v>0</v>
      </c>
      <c r="S109" s="286" t="b">
        <v>0</v>
      </c>
    </row>
    <row r="110" outlineLevel="1">
      <c r="A110" s="288" t="s">
        <v>611</v>
      </c>
      <c r="B110" s="288" t="s">
        <v>74</v>
      </c>
      <c r="C110" s="313">
        <v>46003.0</v>
      </c>
      <c r="D110" s="288" t="s">
        <v>1303</v>
      </c>
      <c r="E110" s="288" t="s">
        <v>1217</v>
      </c>
      <c r="F110" s="288">
        <v>3.899990797E9</v>
      </c>
      <c r="G110" s="288" t="s">
        <v>1304</v>
      </c>
      <c r="H110" s="288" t="s">
        <v>1305</v>
      </c>
      <c r="I110" s="313">
        <v>46003.0</v>
      </c>
      <c r="J110" s="293"/>
      <c r="K110" s="282">
        <v>20.0</v>
      </c>
      <c r="L110" s="277" t="s">
        <v>970</v>
      </c>
      <c r="M110" s="288" t="s">
        <v>100</v>
      </c>
      <c r="N110" s="118" t="b">
        <v>1</v>
      </c>
      <c r="O110" s="283"/>
      <c r="P110" s="284" t="s">
        <v>81</v>
      </c>
      <c r="Q110" s="285" t="b">
        <v>1</v>
      </c>
      <c r="R110" s="285" t="b">
        <v>0</v>
      </c>
      <c r="S110" s="286" t="b">
        <v>0</v>
      </c>
    </row>
    <row r="111" outlineLevel="1">
      <c r="A111" s="288" t="s">
        <v>611</v>
      </c>
      <c r="B111" s="288" t="s">
        <v>74</v>
      </c>
      <c r="C111" s="313">
        <v>46004.0</v>
      </c>
      <c r="D111" s="288" t="s">
        <v>1306</v>
      </c>
      <c r="E111" s="288" t="s">
        <v>1307</v>
      </c>
      <c r="F111" s="288">
        <f>33678937109</f>
        <v>33678937109</v>
      </c>
      <c r="G111" s="288" t="s">
        <v>1308</v>
      </c>
      <c r="H111" s="288" t="s">
        <v>1309</v>
      </c>
      <c r="I111" s="313">
        <v>46004.0</v>
      </c>
      <c r="J111" s="281">
        <v>25.0</v>
      </c>
      <c r="K111" s="282"/>
      <c r="L111" s="277"/>
      <c r="M111" s="288" t="s">
        <v>80</v>
      </c>
      <c r="N111" s="118" t="b">
        <v>1</v>
      </c>
      <c r="O111" s="283"/>
      <c r="P111" s="284" t="s">
        <v>81</v>
      </c>
      <c r="Q111" s="285" t="b">
        <v>0</v>
      </c>
      <c r="R111" s="285" t="b">
        <v>0</v>
      </c>
      <c r="S111" s="286" t="b">
        <v>0</v>
      </c>
    </row>
    <row r="112" outlineLevel="1">
      <c r="A112" s="288" t="s">
        <v>611</v>
      </c>
      <c r="B112" s="288" t="s">
        <v>74</v>
      </c>
      <c r="C112" s="313">
        <v>46004.0</v>
      </c>
      <c r="D112" s="288" t="s">
        <v>1310</v>
      </c>
      <c r="E112" s="288" t="s">
        <v>7</v>
      </c>
      <c r="F112" s="288">
        <v>3.337404711E9</v>
      </c>
      <c r="G112" s="288" t="s">
        <v>1311</v>
      </c>
      <c r="H112" s="288" t="s">
        <v>1312</v>
      </c>
      <c r="I112" s="313">
        <v>46004.0</v>
      </c>
      <c r="J112" s="293"/>
      <c r="K112" s="282">
        <v>20.0</v>
      </c>
      <c r="L112" s="277" t="s">
        <v>1053</v>
      </c>
      <c r="M112" s="288" t="s">
        <v>100</v>
      </c>
      <c r="N112" s="118" t="b">
        <v>1</v>
      </c>
      <c r="O112" s="283"/>
      <c r="P112" s="284" t="s">
        <v>81</v>
      </c>
      <c r="Q112" s="285" t="b">
        <v>1</v>
      </c>
      <c r="R112" s="285" t="b">
        <v>0</v>
      </c>
      <c r="S112" s="286" t="b">
        <v>0</v>
      </c>
    </row>
    <row r="113" outlineLevel="1">
      <c r="A113" s="288" t="s">
        <v>611</v>
      </c>
      <c r="B113" s="288" t="s">
        <v>74</v>
      </c>
      <c r="C113" s="313">
        <v>46004.0</v>
      </c>
      <c r="D113" s="288" t="s">
        <v>1313</v>
      </c>
      <c r="E113" s="288" t="s">
        <v>1314</v>
      </c>
      <c r="F113" s="288">
        <v>3.442233424E9</v>
      </c>
      <c r="G113" s="288" t="s">
        <v>1315</v>
      </c>
      <c r="H113" s="288" t="s">
        <v>1316</v>
      </c>
      <c r="I113" s="313">
        <v>46004.0</v>
      </c>
      <c r="J113" s="293"/>
      <c r="K113" s="282">
        <v>20.0</v>
      </c>
      <c r="L113" s="277" t="s">
        <v>970</v>
      </c>
      <c r="M113" s="288" t="s">
        <v>80</v>
      </c>
      <c r="N113" s="118" t="b">
        <v>1</v>
      </c>
      <c r="O113" s="283"/>
      <c r="P113" s="284" t="s">
        <v>81</v>
      </c>
      <c r="Q113" s="285" t="b">
        <v>0</v>
      </c>
      <c r="R113" s="285" t="b">
        <v>0</v>
      </c>
      <c r="S113" s="286" t="b">
        <v>0</v>
      </c>
    </row>
    <row r="114" outlineLevel="1">
      <c r="A114" s="288" t="s">
        <v>611</v>
      </c>
      <c r="B114" s="288" t="s">
        <v>74</v>
      </c>
      <c r="C114" s="313">
        <v>46004.0</v>
      </c>
      <c r="D114" s="288" t="s">
        <v>1317</v>
      </c>
      <c r="E114" s="288" t="s">
        <v>875</v>
      </c>
      <c r="F114" s="288">
        <v>3.485793406E9</v>
      </c>
      <c r="G114" s="288" t="s">
        <v>1318</v>
      </c>
      <c r="H114" s="288" t="s">
        <v>1319</v>
      </c>
      <c r="I114" s="313">
        <v>46004.0</v>
      </c>
      <c r="J114" s="293"/>
      <c r="K114" s="282">
        <v>20.0</v>
      </c>
      <c r="L114" s="277" t="s">
        <v>970</v>
      </c>
      <c r="M114" s="288" t="s">
        <v>80</v>
      </c>
      <c r="N114" s="118" t="b">
        <v>1</v>
      </c>
      <c r="O114" s="283"/>
      <c r="P114" s="284" t="s">
        <v>81</v>
      </c>
      <c r="Q114" s="285" t="b">
        <v>0</v>
      </c>
      <c r="R114" s="285" t="b">
        <v>0</v>
      </c>
      <c r="S114" s="286" t="b">
        <v>0</v>
      </c>
    </row>
    <row r="115" outlineLevel="1">
      <c r="A115" s="288" t="s">
        <v>611</v>
      </c>
      <c r="B115" s="288" t="s">
        <v>74</v>
      </c>
      <c r="C115" s="325">
        <v>46005.0</v>
      </c>
      <c r="D115" s="325" t="s">
        <v>1320</v>
      </c>
      <c r="E115" s="291" t="s">
        <v>1321</v>
      </c>
      <c r="F115" s="291">
        <v>3.343813915E9</v>
      </c>
      <c r="G115" s="288" t="s">
        <v>1322</v>
      </c>
      <c r="H115" s="291" t="s">
        <v>1323</v>
      </c>
      <c r="I115" s="326">
        <v>46005.0</v>
      </c>
      <c r="J115" s="293"/>
      <c r="K115" s="312">
        <v>20.0</v>
      </c>
      <c r="L115" s="327" t="s">
        <v>970</v>
      </c>
      <c r="M115" s="288" t="s">
        <v>100</v>
      </c>
      <c r="N115" s="118" t="b">
        <v>0</v>
      </c>
      <c r="O115" s="283"/>
      <c r="P115" s="284" t="s">
        <v>81</v>
      </c>
      <c r="Q115" s="285" t="b">
        <v>1</v>
      </c>
      <c r="R115" s="285" t="b">
        <v>0</v>
      </c>
      <c r="S115" s="286" t="b">
        <v>0</v>
      </c>
    </row>
    <row r="116" outlineLevel="1">
      <c r="A116" s="288" t="s">
        <v>611</v>
      </c>
      <c r="B116" s="288" t="s">
        <v>74</v>
      </c>
      <c r="C116" s="306">
        <v>46005.0</v>
      </c>
      <c r="D116" s="325" t="s">
        <v>1324</v>
      </c>
      <c r="E116" s="291" t="s">
        <v>1325</v>
      </c>
      <c r="F116" s="291">
        <v>3.471319446E9</v>
      </c>
      <c r="G116" s="288" t="s">
        <v>1326</v>
      </c>
      <c r="H116" s="291" t="s">
        <v>1327</v>
      </c>
      <c r="I116" s="313">
        <v>46005.0</v>
      </c>
      <c r="J116" s="293"/>
      <c r="K116" s="282">
        <v>20.0</v>
      </c>
      <c r="L116" s="328" t="s">
        <v>970</v>
      </c>
      <c r="M116" s="288" t="s">
        <v>100</v>
      </c>
      <c r="N116" s="118" t="b">
        <v>1</v>
      </c>
      <c r="O116" s="283"/>
      <c r="P116" s="284" t="s">
        <v>81</v>
      </c>
      <c r="Q116" s="285" t="b">
        <v>1</v>
      </c>
      <c r="R116" s="285" t="b">
        <v>0</v>
      </c>
      <c r="S116" s="286" t="b">
        <v>0</v>
      </c>
    </row>
    <row r="117" outlineLevel="1">
      <c r="A117" s="288" t="s">
        <v>611</v>
      </c>
      <c r="B117" s="288" t="s">
        <v>612</v>
      </c>
      <c r="C117" s="313">
        <v>46005.0</v>
      </c>
      <c r="D117" s="288" t="s">
        <v>1328</v>
      </c>
      <c r="E117" s="288" t="s">
        <v>1032</v>
      </c>
      <c r="F117" s="288">
        <v>3.338638974E9</v>
      </c>
      <c r="G117" s="288" t="s">
        <v>1329</v>
      </c>
      <c r="H117" s="288" t="s">
        <v>1330</v>
      </c>
      <c r="I117" s="313">
        <v>46005.0</v>
      </c>
      <c r="J117" s="293"/>
      <c r="K117" s="282">
        <v>20.0</v>
      </c>
      <c r="L117" s="277" t="s">
        <v>1003</v>
      </c>
      <c r="M117" s="288" t="s">
        <v>100</v>
      </c>
      <c r="N117" s="118" t="b">
        <v>1</v>
      </c>
      <c r="O117" s="283"/>
      <c r="P117" s="284" t="s">
        <v>81</v>
      </c>
      <c r="Q117" s="285" t="b">
        <v>1</v>
      </c>
      <c r="R117" s="285" t="b">
        <v>0</v>
      </c>
      <c r="S117" s="286" t="b">
        <v>0</v>
      </c>
    </row>
    <row r="118" outlineLevel="1">
      <c r="A118" s="288"/>
      <c r="B118" s="288"/>
      <c r="C118" s="313"/>
      <c r="D118" s="288"/>
      <c r="E118" s="288"/>
      <c r="F118" s="288"/>
      <c r="G118" s="288"/>
      <c r="H118" s="288"/>
      <c r="I118" s="313"/>
      <c r="J118" s="293"/>
      <c r="K118" s="282"/>
      <c r="L118" s="277"/>
      <c r="M118" s="288"/>
      <c r="N118" s="118" t="b">
        <v>0</v>
      </c>
      <c r="O118" s="283"/>
      <c r="P118" s="284"/>
      <c r="Q118" s="285" t="b">
        <v>0</v>
      </c>
      <c r="R118" s="285" t="b">
        <v>0</v>
      </c>
      <c r="S118" s="286" t="b">
        <v>0</v>
      </c>
    </row>
    <row r="119" outlineLevel="1">
      <c r="A119" s="288"/>
      <c r="B119" s="288"/>
      <c r="C119" s="313"/>
      <c r="D119" s="288"/>
      <c r="E119" s="288"/>
      <c r="F119" s="288"/>
      <c r="G119" s="288"/>
      <c r="H119" s="288"/>
      <c r="I119" s="313"/>
      <c r="J119" s="293"/>
      <c r="K119" s="282"/>
      <c r="L119" s="277"/>
      <c r="M119" s="288"/>
      <c r="N119" s="118" t="b">
        <v>0</v>
      </c>
      <c r="O119" s="283"/>
      <c r="P119" s="284"/>
      <c r="Q119" s="285" t="b">
        <v>0</v>
      </c>
      <c r="R119" s="285" t="b">
        <v>0</v>
      </c>
      <c r="S119" s="286" t="b">
        <v>0</v>
      </c>
    </row>
    <row r="120" outlineLevel="1">
      <c r="A120" s="288"/>
      <c r="B120" s="288"/>
      <c r="C120" s="313"/>
      <c r="D120" s="288"/>
      <c r="E120" s="288"/>
      <c r="F120" s="288"/>
      <c r="G120" s="288"/>
      <c r="H120" s="288"/>
      <c r="I120" s="313"/>
      <c r="J120" s="293"/>
      <c r="K120" s="282"/>
      <c r="L120" s="277"/>
      <c r="M120" s="288"/>
      <c r="N120" s="118" t="b">
        <v>0</v>
      </c>
      <c r="O120" s="283"/>
      <c r="P120" s="284"/>
      <c r="Q120" s="285" t="b">
        <v>0</v>
      </c>
      <c r="R120" s="285" t="b">
        <v>0</v>
      </c>
      <c r="S120" s="286" t="b">
        <v>0</v>
      </c>
    </row>
    <row r="121" outlineLevel="1">
      <c r="A121" s="288"/>
      <c r="B121" s="288"/>
      <c r="C121" s="313"/>
      <c r="D121" s="288"/>
      <c r="E121" s="288"/>
      <c r="F121" s="288"/>
      <c r="G121" s="288"/>
      <c r="H121" s="288"/>
      <c r="I121" s="313"/>
      <c r="J121" s="293"/>
      <c r="K121" s="282"/>
      <c r="L121" s="277"/>
      <c r="M121" s="288"/>
      <c r="N121" s="118" t="b">
        <v>0</v>
      </c>
      <c r="O121" s="283"/>
      <c r="P121" s="284"/>
      <c r="Q121" s="285" t="b">
        <v>0</v>
      </c>
      <c r="R121" s="285" t="b">
        <v>0</v>
      </c>
      <c r="S121" s="286" t="b">
        <v>0</v>
      </c>
    </row>
    <row r="122" outlineLevel="1">
      <c r="A122" s="288"/>
      <c r="B122" s="288"/>
      <c r="C122" s="313"/>
      <c r="D122" s="288"/>
      <c r="E122" s="288"/>
      <c r="F122" s="288"/>
      <c r="G122" s="288"/>
      <c r="H122" s="288"/>
      <c r="I122" s="313"/>
      <c r="J122" s="293"/>
      <c r="K122" s="282"/>
      <c r="L122" s="277"/>
      <c r="M122" s="288"/>
      <c r="N122" s="118" t="b">
        <v>0</v>
      </c>
      <c r="O122" s="283"/>
      <c r="P122" s="284"/>
      <c r="Q122" s="285" t="b">
        <v>0</v>
      </c>
      <c r="R122" s="285" t="b">
        <v>0</v>
      </c>
      <c r="S122" s="286" t="b">
        <v>0</v>
      </c>
    </row>
    <row r="123" outlineLevel="1">
      <c r="A123" s="288"/>
      <c r="B123" s="288"/>
      <c r="C123" s="313"/>
      <c r="D123" s="288"/>
      <c r="E123" s="288"/>
      <c r="F123" s="288"/>
      <c r="G123" s="288"/>
      <c r="H123" s="288"/>
      <c r="I123" s="313"/>
      <c r="J123" s="293"/>
      <c r="K123" s="282"/>
      <c r="L123" s="277"/>
      <c r="M123" s="288"/>
      <c r="N123" s="118" t="b">
        <v>0</v>
      </c>
      <c r="O123" s="283"/>
      <c r="P123" s="284"/>
      <c r="Q123" s="285" t="b">
        <v>0</v>
      </c>
      <c r="R123" s="285" t="b">
        <v>0</v>
      </c>
      <c r="S123" s="286" t="b">
        <v>0</v>
      </c>
    </row>
    <row r="124" outlineLevel="1">
      <c r="A124" s="288"/>
      <c r="B124" s="288"/>
      <c r="C124" s="313"/>
      <c r="D124" s="288"/>
      <c r="E124" s="288"/>
      <c r="F124" s="288"/>
      <c r="G124" s="288"/>
      <c r="H124" s="288"/>
      <c r="I124" s="313"/>
      <c r="J124" s="293"/>
      <c r="K124" s="282"/>
      <c r="L124" s="277"/>
      <c r="M124" s="288"/>
      <c r="N124" s="118" t="b">
        <v>0</v>
      </c>
      <c r="O124" s="283"/>
      <c r="P124" s="284"/>
      <c r="Q124" s="285" t="b">
        <v>0</v>
      </c>
      <c r="R124" s="285" t="b">
        <v>0</v>
      </c>
      <c r="S124" s="286" t="b">
        <v>0</v>
      </c>
    </row>
    <row r="125" outlineLevel="1">
      <c r="A125" s="288"/>
      <c r="B125" s="288"/>
      <c r="C125" s="313"/>
      <c r="D125" s="288"/>
      <c r="E125" s="288"/>
      <c r="F125" s="288"/>
      <c r="G125" s="288"/>
      <c r="H125" s="288"/>
      <c r="I125" s="313"/>
      <c r="J125" s="293"/>
      <c r="K125" s="282"/>
      <c r="L125" s="277"/>
      <c r="M125" s="288"/>
      <c r="N125" s="118" t="b">
        <v>0</v>
      </c>
      <c r="O125" s="283"/>
      <c r="P125" s="284"/>
      <c r="Q125" s="285" t="b">
        <v>0</v>
      </c>
      <c r="R125" s="285" t="b">
        <v>0</v>
      </c>
      <c r="S125" s="286" t="b">
        <v>0</v>
      </c>
    </row>
    <row r="126" outlineLevel="1">
      <c r="A126" s="288"/>
      <c r="B126" s="288"/>
      <c r="C126" s="313"/>
      <c r="D126" s="288"/>
      <c r="E126" s="288"/>
      <c r="F126" s="288"/>
      <c r="G126" s="288"/>
      <c r="H126" s="288"/>
      <c r="I126" s="313"/>
      <c r="J126" s="293"/>
      <c r="K126" s="282"/>
      <c r="L126" s="277"/>
      <c r="M126" s="288"/>
      <c r="N126" s="118" t="b">
        <v>0</v>
      </c>
      <c r="O126" s="283"/>
      <c r="P126" s="284"/>
      <c r="Q126" s="285" t="b">
        <v>0</v>
      </c>
      <c r="R126" s="285" t="b">
        <v>0</v>
      </c>
      <c r="S126" s="286" t="b">
        <v>0</v>
      </c>
    </row>
    <row r="127" outlineLevel="1">
      <c r="A127" s="288"/>
      <c r="B127" s="288"/>
      <c r="C127" s="313"/>
      <c r="D127" s="288"/>
      <c r="E127" s="288"/>
      <c r="F127" s="288"/>
      <c r="G127" s="288"/>
      <c r="H127" s="288"/>
      <c r="I127" s="313"/>
      <c r="J127" s="293"/>
      <c r="K127" s="282"/>
      <c r="L127" s="277"/>
      <c r="M127" s="288"/>
      <c r="N127" s="118" t="b">
        <v>0</v>
      </c>
      <c r="O127" s="283"/>
      <c r="P127" s="284"/>
      <c r="Q127" s="285" t="b">
        <v>0</v>
      </c>
      <c r="R127" s="285" t="b">
        <v>0</v>
      </c>
      <c r="S127" s="286" t="b">
        <v>0</v>
      </c>
    </row>
    <row r="128" outlineLevel="1">
      <c r="A128" s="288"/>
      <c r="B128" s="288"/>
      <c r="C128" s="313"/>
      <c r="D128" s="288"/>
      <c r="E128" s="288"/>
      <c r="F128" s="288"/>
      <c r="G128" s="288"/>
      <c r="H128" s="288"/>
      <c r="I128" s="313"/>
      <c r="J128" s="293"/>
      <c r="K128" s="282"/>
      <c r="L128" s="277"/>
      <c r="M128" s="288"/>
      <c r="N128" s="118" t="b">
        <v>0</v>
      </c>
      <c r="O128" s="283"/>
      <c r="P128" s="284"/>
      <c r="Q128" s="285" t="b">
        <v>0</v>
      </c>
      <c r="R128" s="285" t="b">
        <v>0</v>
      </c>
      <c r="S128" s="286" t="b">
        <v>0</v>
      </c>
    </row>
    <row r="129" outlineLevel="1">
      <c r="A129" s="288"/>
      <c r="B129" s="288"/>
      <c r="C129" s="313"/>
      <c r="D129" s="288"/>
      <c r="E129" s="288"/>
      <c r="F129" s="288"/>
      <c r="G129" s="288"/>
      <c r="H129" s="288"/>
      <c r="I129" s="313"/>
      <c r="J129" s="293"/>
      <c r="K129" s="282"/>
      <c r="L129" s="277"/>
      <c r="M129" s="288"/>
      <c r="N129" s="118" t="b">
        <v>0</v>
      </c>
      <c r="O129" s="283"/>
      <c r="P129" s="284"/>
      <c r="Q129" s="285" t="b">
        <v>0</v>
      </c>
      <c r="R129" s="285" t="b">
        <v>0</v>
      </c>
      <c r="S129" s="286" t="b">
        <v>0</v>
      </c>
    </row>
    <row r="130" outlineLevel="1">
      <c r="A130" s="288"/>
      <c r="B130" s="288"/>
      <c r="C130" s="313"/>
      <c r="D130" s="288"/>
      <c r="E130" s="288"/>
      <c r="F130" s="288"/>
      <c r="G130" s="288"/>
      <c r="H130" s="288"/>
      <c r="I130" s="313"/>
      <c r="J130" s="293"/>
      <c r="K130" s="282"/>
      <c r="L130" s="277"/>
      <c r="M130" s="288"/>
      <c r="N130" s="118" t="b">
        <v>0</v>
      </c>
      <c r="O130" s="283"/>
      <c r="P130" s="284"/>
      <c r="Q130" s="285" t="b">
        <v>0</v>
      </c>
      <c r="R130" s="285" t="b">
        <v>0</v>
      </c>
      <c r="S130" s="286" t="b">
        <v>0</v>
      </c>
    </row>
    <row r="131" outlineLevel="1">
      <c r="A131" s="288"/>
      <c r="B131" s="288"/>
      <c r="C131" s="313"/>
      <c r="D131" s="288"/>
      <c r="E131" s="288"/>
      <c r="F131" s="288"/>
      <c r="G131" s="288"/>
      <c r="H131" s="288"/>
      <c r="I131" s="313"/>
      <c r="J131" s="293"/>
      <c r="K131" s="282"/>
      <c r="L131" s="277"/>
      <c r="M131" s="288"/>
      <c r="N131" s="118" t="b">
        <v>0</v>
      </c>
      <c r="O131" s="283"/>
      <c r="P131" s="284"/>
      <c r="Q131" s="285" t="b">
        <v>0</v>
      </c>
      <c r="R131" s="285" t="b">
        <v>0</v>
      </c>
      <c r="S131" s="286" t="b">
        <v>0</v>
      </c>
    </row>
    <row r="132" outlineLevel="1">
      <c r="A132" s="288"/>
      <c r="B132" s="288"/>
      <c r="C132" s="313"/>
      <c r="D132" s="288"/>
      <c r="E132" s="288"/>
      <c r="F132" s="288"/>
      <c r="G132" s="288"/>
      <c r="H132" s="288"/>
      <c r="I132" s="313"/>
      <c r="J132" s="293"/>
      <c r="K132" s="282"/>
      <c r="L132" s="277"/>
      <c r="M132" s="288"/>
      <c r="N132" s="118" t="b">
        <v>0</v>
      </c>
      <c r="O132" s="283"/>
      <c r="P132" s="284"/>
      <c r="Q132" s="285" t="b">
        <v>0</v>
      </c>
      <c r="R132" s="285" t="b">
        <v>0</v>
      </c>
      <c r="S132" s="286" t="b">
        <v>0</v>
      </c>
    </row>
    <row r="133" outlineLevel="1">
      <c r="A133" s="288"/>
      <c r="B133" s="288"/>
      <c r="C133" s="313"/>
      <c r="D133" s="288"/>
      <c r="E133" s="288"/>
      <c r="F133" s="288"/>
      <c r="G133" s="288"/>
      <c r="H133" s="288"/>
      <c r="I133" s="313"/>
      <c r="J133" s="293"/>
      <c r="K133" s="282"/>
      <c r="L133" s="277"/>
      <c r="M133" s="288"/>
      <c r="N133" s="118" t="b">
        <v>0</v>
      </c>
      <c r="O133" s="283"/>
      <c r="P133" s="284"/>
      <c r="Q133" s="285" t="b">
        <v>0</v>
      </c>
      <c r="R133" s="285" t="b">
        <v>0</v>
      </c>
      <c r="S133" s="286" t="b">
        <v>0</v>
      </c>
    </row>
    <row r="134" outlineLevel="1">
      <c r="A134" s="288"/>
      <c r="B134" s="288"/>
      <c r="C134" s="313"/>
      <c r="D134" s="288"/>
      <c r="E134" s="288"/>
      <c r="F134" s="288"/>
      <c r="G134" s="288"/>
      <c r="H134" s="288"/>
      <c r="I134" s="313"/>
      <c r="J134" s="293"/>
      <c r="K134" s="282"/>
      <c r="L134" s="277"/>
      <c r="M134" s="288"/>
      <c r="N134" s="118" t="b">
        <v>0</v>
      </c>
      <c r="O134" s="283"/>
      <c r="P134" s="284"/>
      <c r="Q134" s="285" t="b">
        <v>0</v>
      </c>
      <c r="R134" s="285" t="b">
        <v>0</v>
      </c>
      <c r="S134" s="286" t="b">
        <v>0</v>
      </c>
    </row>
    <row r="135" outlineLevel="1">
      <c r="A135" s="288"/>
      <c r="B135" s="288"/>
      <c r="C135" s="313"/>
      <c r="D135" s="288"/>
      <c r="E135" s="288"/>
      <c r="F135" s="288"/>
      <c r="G135" s="288"/>
      <c r="H135" s="288"/>
      <c r="I135" s="313"/>
      <c r="J135" s="293"/>
      <c r="K135" s="282"/>
      <c r="L135" s="277"/>
      <c r="M135" s="288"/>
      <c r="N135" s="118" t="b">
        <v>0</v>
      </c>
      <c r="O135" s="283"/>
      <c r="P135" s="284"/>
      <c r="Q135" s="285" t="b">
        <v>0</v>
      </c>
      <c r="R135" s="285" t="b">
        <v>0</v>
      </c>
      <c r="S135" s="286" t="b">
        <v>0</v>
      </c>
    </row>
    <row r="136" outlineLevel="1">
      <c r="A136" s="288"/>
      <c r="B136" s="288"/>
      <c r="C136" s="313"/>
      <c r="D136" s="288"/>
      <c r="E136" s="288"/>
      <c r="F136" s="288"/>
      <c r="G136" s="288"/>
      <c r="H136" s="288"/>
      <c r="I136" s="313"/>
      <c r="J136" s="293"/>
      <c r="K136" s="282"/>
      <c r="L136" s="277"/>
      <c r="M136" s="288"/>
      <c r="N136" s="118" t="b">
        <v>0</v>
      </c>
      <c r="O136" s="283"/>
      <c r="P136" s="284"/>
      <c r="Q136" s="285" t="b">
        <v>0</v>
      </c>
      <c r="R136" s="285" t="b">
        <v>0</v>
      </c>
      <c r="S136" s="286" t="b">
        <v>0</v>
      </c>
    </row>
    <row r="137" outlineLevel="1">
      <c r="A137" s="288"/>
      <c r="B137" s="288"/>
      <c r="C137" s="313"/>
      <c r="D137" s="288"/>
      <c r="E137" s="288"/>
      <c r="F137" s="288"/>
      <c r="G137" s="288"/>
      <c r="H137" s="288"/>
      <c r="I137" s="313"/>
      <c r="J137" s="293"/>
      <c r="K137" s="282"/>
      <c r="L137" s="277"/>
      <c r="M137" s="323"/>
      <c r="N137" s="118" t="b">
        <v>0</v>
      </c>
      <c r="O137" s="283"/>
      <c r="P137" s="284"/>
      <c r="Q137" s="285" t="b">
        <v>0</v>
      </c>
      <c r="R137" s="285" t="b">
        <v>0</v>
      </c>
      <c r="S137" s="286" t="b">
        <v>0</v>
      </c>
    </row>
    <row r="138">
      <c r="A138" s="329" t="s">
        <v>1331</v>
      </c>
      <c r="P138" s="329"/>
      <c r="Q138" s="329"/>
      <c r="R138" s="329"/>
      <c r="S138" s="329"/>
    </row>
    <row r="139" outlineLevel="1">
      <c r="A139" s="277" t="s">
        <v>611</v>
      </c>
      <c r="B139" s="308" t="s">
        <v>612</v>
      </c>
      <c r="C139" s="287">
        <v>45974.0</v>
      </c>
      <c r="D139" s="277" t="s">
        <v>1332</v>
      </c>
      <c r="E139" s="277" t="s">
        <v>1333</v>
      </c>
      <c r="F139" s="277">
        <v>3.206921132E9</v>
      </c>
      <c r="G139" s="277" t="s">
        <v>1334</v>
      </c>
      <c r="H139" s="277" t="s">
        <v>1335</v>
      </c>
      <c r="I139" s="330">
        <v>45974.0</v>
      </c>
      <c r="J139" s="281"/>
      <c r="K139" s="282">
        <v>20.0</v>
      </c>
      <c r="L139" s="277" t="s">
        <v>1053</v>
      </c>
      <c r="M139" s="277" t="s">
        <v>162</v>
      </c>
      <c r="N139" s="118" t="b">
        <v>1</v>
      </c>
      <c r="O139" s="283"/>
      <c r="P139" s="284" t="s">
        <v>81</v>
      </c>
      <c r="Q139" s="285" t="b">
        <v>1</v>
      </c>
      <c r="R139" s="285" t="b">
        <v>0</v>
      </c>
      <c r="S139" s="286" t="b">
        <v>0</v>
      </c>
    </row>
    <row r="140" outlineLevel="1">
      <c r="A140" s="277" t="s">
        <v>611</v>
      </c>
      <c r="B140" s="277" t="s">
        <v>612</v>
      </c>
      <c r="C140" s="287">
        <v>45974.0</v>
      </c>
      <c r="D140" s="277" t="s">
        <v>1336</v>
      </c>
      <c r="E140" s="277" t="s">
        <v>1337</v>
      </c>
      <c r="F140" s="277">
        <v>4.47874315926E11</v>
      </c>
      <c r="G140" s="331" t="s">
        <v>1338</v>
      </c>
      <c r="H140" s="331" t="s">
        <v>1339</v>
      </c>
      <c r="I140" s="330">
        <v>45974.0</v>
      </c>
      <c r="J140" s="281"/>
      <c r="K140" s="282">
        <v>20.0</v>
      </c>
      <c r="L140" s="277" t="s">
        <v>981</v>
      </c>
      <c r="M140" s="277" t="s">
        <v>449</v>
      </c>
      <c r="N140" s="118" t="b">
        <v>1</v>
      </c>
      <c r="O140" s="283"/>
      <c r="P140" s="284" t="s">
        <v>81</v>
      </c>
      <c r="Q140" s="285" t="b">
        <v>1</v>
      </c>
      <c r="R140" s="285" t="b">
        <v>0</v>
      </c>
      <c r="S140" s="286" t="b">
        <v>0</v>
      </c>
    </row>
    <row r="141" outlineLevel="1">
      <c r="A141" s="277" t="s">
        <v>611</v>
      </c>
      <c r="B141" s="277" t="s">
        <v>612</v>
      </c>
      <c r="C141" s="287">
        <v>45979.0</v>
      </c>
      <c r="D141" s="288" t="s">
        <v>1340</v>
      </c>
      <c r="E141" s="277" t="s">
        <v>1341</v>
      </c>
      <c r="F141" s="277">
        <v>3.38811142E9</v>
      </c>
      <c r="G141" s="331" t="s">
        <v>1342</v>
      </c>
      <c r="H141" s="277" t="s">
        <v>1343</v>
      </c>
      <c r="I141" s="330">
        <v>45979.0</v>
      </c>
      <c r="J141" s="281"/>
      <c r="K141" s="282">
        <v>20.0</v>
      </c>
      <c r="L141" s="277" t="s">
        <v>970</v>
      </c>
      <c r="M141" s="277" t="s">
        <v>162</v>
      </c>
      <c r="N141" s="118" t="b">
        <v>1</v>
      </c>
      <c r="O141" s="283"/>
      <c r="P141" s="284" t="s">
        <v>81</v>
      </c>
      <c r="Q141" s="285" t="b">
        <v>1</v>
      </c>
      <c r="R141" s="285" t="b">
        <v>0</v>
      </c>
      <c r="S141" s="286" t="b">
        <v>0</v>
      </c>
    </row>
    <row r="142" outlineLevel="1">
      <c r="A142" s="277" t="s">
        <v>73</v>
      </c>
      <c r="B142" s="277" t="s">
        <v>74</v>
      </c>
      <c r="C142" s="287">
        <v>45975.0</v>
      </c>
      <c r="D142" s="277" t="s">
        <v>1344</v>
      </c>
      <c r="E142" s="277" t="s">
        <v>1345</v>
      </c>
      <c r="F142" s="277">
        <v>3.601055904E9</v>
      </c>
      <c r="G142" s="277" t="s">
        <v>1346</v>
      </c>
      <c r="H142" s="277" t="s">
        <v>1347</v>
      </c>
      <c r="I142" s="330">
        <v>45975.0</v>
      </c>
      <c r="J142" s="281">
        <v>25.0</v>
      </c>
      <c r="K142" s="282"/>
      <c r="L142" s="277"/>
      <c r="M142" s="277" t="s">
        <v>100</v>
      </c>
      <c r="N142" s="118" t="b">
        <v>1</v>
      </c>
      <c r="O142" s="283"/>
      <c r="P142" s="284" t="s">
        <v>81</v>
      </c>
      <c r="Q142" s="285" t="b">
        <v>1</v>
      </c>
      <c r="R142" s="285" t="b">
        <v>0</v>
      </c>
      <c r="S142" s="286" t="b">
        <v>0</v>
      </c>
    </row>
    <row r="143" outlineLevel="1">
      <c r="A143" s="277" t="s">
        <v>73</v>
      </c>
      <c r="B143" s="277" t="s">
        <v>74</v>
      </c>
      <c r="C143" s="287">
        <v>45979.0</v>
      </c>
      <c r="D143" s="277" t="s">
        <v>1348</v>
      </c>
      <c r="E143" s="277" t="s">
        <v>742</v>
      </c>
      <c r="F143" s="277">
        <v>3.478645711E9</v>
      </c>
      <c r="G143" s="277" t="s">
        <v>1349</v>
      </c>
      <c r="H143" s="277" t="s">
        <v>1350</v>
      </c>
      <c r="I143" s="330">
        <v>45979.0</v>
      </c>
      <c r="J143" s="281">
        <v>25.0</v>
      </c>
      <c r="K143" s="282"/>
      <c r="L143" s="277"/>
      <c r="M143" s="277" t="s">
        <v>100</v>
      </c>
      <c r="N143" s="118" t="b">
        <v>1</v>
      </c>
      <c r="O143" s="283"/>
      <c r="P143" s="284" t="s">
        <v>81</v>
      </c>
      <c r="Q143" s="285" t="b">
        <v>1</v>
      </c>
      <c r="R143" s="285" t="b">
        <v>0</v>
      </c>
      <c r="S143" s="286" t="b">
        <v>0</v>
      </c>
    </row>
    <row r="144" outlineLevel="1">
      <c r="A144" s="277" t="s">
        <v>73</v>
      </c>
      <c r="B144" s="277" t="s">
        <v>74</v>
      </c>
      <c r="C144" s="287">
        <v>45980.0</v>
      </c>
      <c r="D144" s="277" t="s">
        <v>1351</v>
      </c>
      <c r="E144" s="277" t="s">
        <v>468</v>
      </c>
      <c r="F144" s="277">
        <v>3.313502372E9</v>
      </c>
      <c r="G144" s="277" t="s">
        <v>1352</v>
      </c>
      <c r="H144" s="277" t="s">
        <v>1353</v>
      </c>
      <c r="I144" s="330">
        <v>45980.0</v>
      </c>
      <c r="J144" s="281"/>
      <c r="K144" s="282">
        <v>20.0</v>
      </c>
      <c r="L144" s="277" t="s">
        <v>1003</v>
      </c>
      <c r="M144" s="277" t="s">
        <v>100</v>
      </c>
      <c r="N144" s="118" t="b">
        <v>1</v>
      </c>
      <c r="O144" s="283"/>
      <c r="P144" s="284" t="s">
        <v>81</v>
      </c>
      <c r="Q144" s="285" t="b">
        <v>1</v>
      </c>
      <c r="R144" s="285" t="b">
        <v>0</v>
      </c>
      <c r="S144" s="286" t="b">
        <v>0</v>
      </c>
    </row>
    <row r="145" outlineLevel="1">
      <c r="A145" s="277" t="s">
        <v>73</v>
      </c>
      <c r="B145" s="277" t="s">
        <v>74</v>
      </c>
      <c r="C145" s="287">
        <v>45980.0</v>
      </c>
      <c r="D145" s="277" t="s">
        <v>1354</v>
      </c>
      <c r="E145" s="277" t="s">
        <v>96</v>
      </c>
      <c r="F145" s="277">
        <v>3.273666738E9</v>
      </c>
      <c r="G145" s="277" t="s">
        <v>1355</v>
      </c>
      <c r="H145" s="277" t="s">
        <v>1356</v>
      </c>
      <c r="I145" s="330">
        <v>45987.0</v>
      </c>
      <c r="J145" s="281">
        <v>25.0</v>
      </c>
      <c r="K145" s="282"/>
      <c r="L145" s="277"/>
      <c r="M145" s="277" t="s">
        <v>100</v>
      </c>
      <c r="N145" s="118" t="b">
        <v>1</v>
      </c>
      <c r="O145" s="283"/>
      <c r="P145" s="284" t="s">
        <v>81</v>
      </c>
      <c r="Q145" s="285" t="b">
        <v>1</v>
      </c>
      <c r="R145" s="285" t="b">
        <v>0</v>
      </c>
      <c r="S145" s="286" t="b">
        <v>0</v>
      </c>
    </row>
    <row r="146" outlineLevel="1">
      <c r="A146" s="277" t="s">
        <v>611</v>
      </c>
      <c r="B146" s="277" t="s">
        <v>612</v>
      </c>
      <c r="C146" s="287">
        <v>45985.0</v>
      </c>
      <c r="D146" s="277" t="s">
        <v>1357</v>
      </c>
      <c r="E146" s="277" t="s">
        <v>1358</v>
      </c>
      <c r="F146" s="277">
        <v>3.338172128E9</v>
      </c>
      <c r="G146" s="277" t="s">
        <v>1359</v>
      </c>
      <c r="H146" s="277" t="s">
        <v>1360</v>
      </c>
      <c r="I146" s="332">
        <v>45985.0</v>
      </c>
      <c r="J146" s="281"/>
      <c r="K146" s="282">
        <v>20.0</v>
      </c>
      <c r="L146" s="277" t="s">
        <v>970</v>
      </c>
      <c r="M146" s="277" t="s">
        <v>100</v>
      </c>
      <c r="N146" s="118" t="b">
        <v>1</v>
      </c>
      <c r="O146" s="297"/>
      <c r="P146" s="284" t="s">
        <v>81</v>
      </c>
      <c r="Q146" s="285" t="b">
        <v>1</v>
      </c>
      <c r="R146" s="285" t="b">
        <v>0</v>
      </c>
      <c r="S146" s="286" t="b">
        <v>0</v>
      </c>
    </row>
    <row r="147" outlineLevel="1">
      <c r="A147" s="277" t="s">
        <v>101</v>
      </c>
      <c r="B147" s="277" t="s">
        <v>102</v>
      </c>
      <c r="C147" s="287">
        <v>45985.0</v>
      </c>
      <c r="D147" s="277" t="s">
        <v>1361</v>
      </c>
      <c r="E147" s="277" t="s">
        <v>1362</v>
      </c>
      <c r="F147" s="277">
        <v>3.332740502E9</v>
      </c>
      <c r="G147" s="277" t="s">
        <v>1363</v>
      </c>
      <c r="H147" s="277" t="s">
        <v>1364</v>
      </c>
      <c r="I147" s="332">
        <v>45985.0</v>
      </c>
      <c r="J147" s="281"/>
      <c r="K147" s="282">
        <v>20.0</v>
      </c>
      <c r="L147" s="277" t="s">
        <v>986</v>
      </c>
      <c r="M147" s="277" t="s">
        <v>162</v>
      </c>
      <c r="N147" s="118" t="b">
        <v>1</v>
      </c>
      <c r="O147" s="297"/>
      <c r="P147" s="284" t="s">
        <v>81</v>
      </c>
      <c r="Q147" s="285" t="b">
        <v>1</v>
      </c>
      <c r="R147" s="285" t="b">
        <v>0</v>
      </c>
      <c r="S147" s="286" t="b">
        <v>0</v>
      </c>
    </row>
    <row r="148" outlineLevel="1">
      <c r="A148" s="277" t="s">
        <v>101</v>
      </c>
      <c r="B148" s="277" t="s">
        <v>102</v>
      </c>
      <c r="C148" s="287">
        <v>45985.0</v>
      </c>
      <c r="D148" s="277" t="s">
        <v>1365</v>
      </c>
      <c r="E148" s="277" t="s">
        <v>742</v>
      </c>
      <c r="F148" s="277">
        <v>3.332689933E9</v>
      </c>
      <c r="G148" s="277" t="s">
        <v>1366</v>
      </c>
      <c r="H148" s="277" t="s">
        <v>1367</v>
      </c>
      <c r="I148" s="332">
        <v>45985.0</v>
      </c>
      <c r="J148" s="281"/>
      <c r="K148" s="282">
        <v>20.0</v>
      </c>
      <c r="L148" s="277" t="s">
        <v>986</v>
      </c>
      <c r="M148" s="277" t="s">
        <v>162</v>
      </c>
      <c r="N148" s="118" t="b">
        <v>0</v>
      </c>
      <c r="O148" s="297"/>
      <c r="P148" s="284" t="s">
        <v>81</v>
      </c>
      <c r="Q148" s="285" t="b">
        <v>1</v>
      </c>
      <c r="R148" s="285" t="b">
        <v>0</v>
      </c>
      <c r="S148" s="286" t="b">
        <v>0</v>
      </c>
    </row>
    <row r="149" outlineLevel="1">
      <c r="A149" s="277" t="s">
        <v>101</v>
      </c>
      <c r="B149" s="277" t="s">
        <v>102</v>
      </c>
      <c r="C149" s="287">
        <v>45985.0</v>
      </c>
      <c r="D149" s="277" t="s">
        <v>1368</v>
      </c>
      <c r="E149" s="277" t="s">
        <v>1362</v>
      </c>
      <c r="F149" s="277">
        <v>3.4796198E9</v>
      </c>
      <c r="G149" s="277" t="s">
        <v>1369</v>
      </c>
      <c r="H149" s="277" t="s">
        <v>1370</v>
      </c>
      <c r="I149" s="332">
        <v>45985.0</v>
      </c>
      <c r="J149" s="281"/>
      <c r="K149" s="282">
        <v>20.0</v>
      </c>
      <c r="L149" s="277" t="s">
        <v>986</v>
      </c>
      <c r="M149" s="277" t="s">
        <v>100</v>
      </c>
      <c r="N149" s="118" t="b">
        <v>1</v>
      </c>
      <c r="O149" s="297"/>
      <c r="P149" s="284" t="s">
        <v>81</v>
      </c>
      <c r="Q149" s="285" t="b">
        <v>1</v>
      </c>
      <c r="R149" s="285" t="b">
        <v>0</v>
      </c>
      <c r="S149" s="286" t="b">
        <v>0</v>
      </c>
    </row>
    <row r="150" outlineLevel="1">
      <c r="A150" s="277" t="s">
        <v>101</v>
      </c>
      <c r="B150" s="277" t="s">
        <v>102</v>
      </c>
      <c r="C150" s="287">
        <v>45988.0</v>
      </c>
      <c r="D150" s="277" t="s">
        <v>1371</v>
      </c>
      <c r="E150" s="277" t="s">
        <v>1372</v>
      </c>
      <c r="F150" s="277">
        <v>3.487422945E9</v>
      </c>
      <c r="G150" s="277" t="s">
        <v>1373</v>
      </c>
      <c r="H150" s="277" t="s">
        <v>1374</v>
      </c>
      <c r="I150" s="333">
        <v>45987.0</v>
      </c>
      <c r="J150" s="281"/>
      <c r="K150" s="282">
        <v>20.0</v>
      </c>
      <c r="L150" s="277" t="s">
        <v>986</v>
      </c>
      <c r="M150" s="277" t="s">
        <v>100</v>
      </c>
      <c r="N150" s="118" t="b">
        <v>0</v>
      </c>
      <c r="O150" s="283"/>
      <c r="P150" s="284" t="s">
        <v>81</v>
      </c>
      <c r="Q150" s="285" t="b">
        <v>1</v>
      </c>
      <c r="R150" s="285" t="b">
        <v>0</v>
      </c>
      <c r="S150" s="286" t="b">
        <v>0</v>
      </c>
    </row>
    <row r="151" outlineLevel="1">
      <c r="A151" s="277" t="s">
        <v>73</v>
      </c>
      <c r="B151" s="277" t="s">
        <v>74</v>
      </c>
      <c r="C151" s="287">
        <v>45983.0</v>
      </c>
      <c r="D151" s="277" t="s">
        <v>1375</v>
      </c>
      <c r="E151" s="277" t="s">
        <v>1376</v>
      </c>
      <c r="F151" s="277">
        <v>3.335208129E9</v>
      </c>
      <c r="G151" s="277" t="s">
        <v>1377</v>
      </c>
      <c r="H151" s="277" t="s">
        <v>1378</v>
      </c>
      <c r="I151" s="332">
        <v>45983.0</v>
      </c>
      <c r="J151" s="281"/>
      <c r="K151" s="282">
        <v>20.0</v>
      </c>
      <c r="L151" s="277" t="s">
        <v>986</v>
      </c>
      <c r="M151" s="277" t="s">
        <v>100</v>
      </c>
      <c r="N151" s="118" t="b">
        <v>1</v>
      </c>
      <c r="O151" s="283"/>
      <c r="P151" s="284" t="s">
        <v>81</v>
      </c>
      <c r="Q151" s="285" t="b">
        <v>1</v>
      </c>
      <c r="R151" s="285" t="b">
        <v>0</v>
      </c>
      <c r="S151" s="286" t="b">
        <v>0</v>
      </c>
    </row>
    <row r="152" outlineLevel="1">
      <c r="A152" s="277" t="s">
        <v>1036</v>
      </c>
      <c r="B152" s="277"/>
      <c r="C152" s="287">
        <v>45992.0</v>
      </c>
      <c r="D152" s="277" t="s">
        <v>1379</v>
      </c>
      <c r="E152" s="277" t="s">
        <v>1380</v>
      </c>
      <c r="F152" s="277"/>
      <c r="G152" s="277"/>
      <c r="H152" s="277"/>
      <c r="I152" s="332">
        <v>45992.0</v>
      </c>
      <c r="J152" s="281"/>
      <c r="K152" s="282"/>
      <c r="L152" s="277"/>
      <c r="M152" s="277" t="s">
        <v>449</v>
      </c>
      <c r="N152" s="118" t="b">
        <v>1</v>
      </c>
      <c r="O152" s="283" t="s">
        <v>1035</v>
      </c>
      <c r="P152" s="284"/>
      <c r="Q152" s="285" t="b">
        <v>0</v>
      </c>
      <c r="R152" s="285" t="b">
        <v>0</v>
      </c>
      <c r="S152" s="286" t="b">
        <v>0</v>
      </c>
    </row>
    <row r="153" outlineLevel="1">
      <c r="A153" s="334" t="s">
        <v>1036</v>
      </c>
      <c r="B153" s="279"/>
      <c r="C153" s="335">
        <v>45992.0</v>
      </c>
      <c r="D153" s="336" t="s">
        <v>1381</v>
      </c>
      <c r="E153" s="334" t="s">
        <v>1382</v>
      </c>
      <c r="F153" s="280"/>
      <c r="G153" s="137"/>
      <c r="H153" s="137"/>
      <c r="I153" s="337">
        <v>45992.0</v>
      </c>
      <c r="J153" s="303"/>
      <c r="K153" s="304"/>
      <c r="L153" s="336"/>
      <c r="M153" s="277" t="s">
        <v>449</v>
      </c>
      <c r="N153" s="118" t="b">
        <v>1</v>
      </c>
      <c r="O153" s="283" t="s">
        <v>1035</v>
      </c>
      <c r="P153" s="284"/>
      <c r="Q153" s="285" t="b">
        <v>0</v>
      </c>
      <c r="R153" s="285" t="b">
        <v>0</v>
      </c>
      <c r="S153" s="286" t="b">
        <v>0</v>
      </c>
    </row>
    <row r="154" outlineLevel="1">
      <c r="A154" s="334" t="s">
        <v>368</v>
      </c>
      <c r="B154" s="336" t="s">
        <v>369</v>
      </c>
      <c r="C154" s="335">
        <v>46004.0</v>
      </c>
      <c r="D154" s="336" t="s">
        <v>1383</v>
      </c>
      <c r="E154" s="334" t="s">
        <v>1384</v>
      </c>
      <c r="F154" s="140">
        <v>3.294021527E9</v>
      </c>
      <c r="G154" s="334" t="s">
        <v>1385</v>
      </c>
      <c r="H154" s="334" t="s">
        <v>1386</v>
      </c>
      <c r="I154" s="337">
        <v>46004.0</v>
      </c>
      <c r="J154" s="303"/>
      <c r="K154" s="338">
        <v>20.0</v>
      </c>
      <c r="L154" s="336" t="s">
        <v>1003</v>
      </c>
      <c r="M154" s="334" t="s">
        <v>100</v>
      </c>
      <c r="N154" s="118" t="b">
        <v>1</v>
      </c>
      <c r="O154" s="283"/>
      <c r="P154" s="284" t="s">
        <v>81</v>
      </c>
      <c r="Q154" s="285" t="b">
        <v>1</v>
      </c>
      <c r="R154" s="285" t="b">
        <v>0</v>
      </c>
      <c r="S154" s="286" t="b">
        <v>0</v>
      </c>
    </row>
    <row r="155" outlineLevel="1">
      <c r="A155" s="277" t="s">
        <v>73</v>
      </c>
      <c r="B155" s="277" t="s">
        <v>74</v>
      </c>
      <c r="C155" s="287">
        <v>45987.0</v>
      </c>
      <c r="D155" s="277" t="s">
        <v>1387</v>
      </c>
      <c r="E155" s="277" t="s">
        <v>1388</v>
      </c>
      <c r="F155" s="277">
        <v>3.42718387E9</v>
      </c>
      <c r="G155" s="277" t="s">
        <v>1389</v>
      </c>
      <c r="H155" s="277" t="s">
        <v>1390</v>
      </c>
      <c r="I155" s="339">
        <v>45987.0</v>
      </c>
      <c r="J155" s="293"/>
      <c r="K155" s="282">
        <v>20.0</v>
      </c>
      <c r="L155" s="277" t="s">
        <v>986</v>
      </c>
      <c r="M155" s="277" t="s">
        <v>100</v>
      </c>
      <c r="N155" s="118" t="b">
        <v>1</v>
      </c>
      <c r="O155" s="283"/>
      <c r="P155" s="284" t="s">
        <v>81</v>
      </c>
      <c r="Q155" s="285" t="b">
        <v>1</v>
      </c>
      <c r="R155" s="285" t="b">
        <v>0</v>
      </c>
      <c r="S155" s="286" t="b">
        <v>0</v>
      </c>
    </row>
    <row r="156" outlineLevel="1">
      <c r="A156" s="277" t="s">
        <v>73</v>
      </c>
      <c r="B156" s="277" t="s">
        <v>74</v>
      </c>
      <c r="C156" s="287">
        <v>45987.0</v>
      </c>
      <c r="D156" s="277" t="s">
        <v>1391</v>
      </c>
      <c r="E156" s="277" t="s">
        <v>1392</v>
      </c>
      <c r="F156" s="277">
        <v>3.202784833E9</v>
      </c>
      <c r="G156" s="298" t="s">
        <v>1393</v>
      </c>
      <c r="H156" s="277" t="s">
        <v>1394</v>
      </c>
      <c r="I156" s="339">
        <v>45987.0</v>
      </c>
      <c r="J156" s="293"/>
      <c r="K156" s="282">
        <v>20.0</v>
      </c>
      <c r="L156" s="277" t="s">
        <v>1098</v>
      </c>
      <c r="M156" s="277" t="s">
        <v>100</v>
      </c>
      <c r="N156" s="118" t="b">
        <v>1</v>
      </c>
      <c r="O156" s="283"/>
      <c r="P156" s="284" t="s">
        <v>81</v>
      </c>
      <c r="Q156" s="285" t="b">
        <v>1</v>
      </c>
      <c r="R156" s="285" t="b">
        <v>0</v>
      </c>
      <c r="S156" s="286" t="b">
        <v>0</v>
      </c>
    </row>
    <row r="157" outlineLevel="1">
      <c r="A157" s="277" t="s">
        <v>611</v>
      </c>
      <c r="B157" s="277" t="s">
        <v>612</v>
      </c>
      <c r="C157" s="287">
        <v>45992.0</v>
      </c>
      <c r="D157" s="277" t="s">
        <v>1395</v>
      </c>
      <c r="E157" s="277" t="s">
        <v>421</v>
      </c>
      <c r="F157" s="277">
        <v>3.7711353177E10</v>
      </c>
      <c r="G157" s="298" t="s">
        <v>1396</v>
      </c>
      <c r="H157" s="340" t="s">
        <v>1397</v>
      </c>
      <c r="I157" s="296">
        <v>45992.0</v>
      </c>
      <c r="J157" s="281"/>
      <c r="K157" s="282">
        <v>20.0</v>
      </c>
      <c r="L157" s="277" t="s">
        <v>981</v>
      </c>
      <c r="M157" s="277" t="s">
        <v>162</v>
      </c>
      <c r="N157" s="118" t="b">
        <v>1</v>
      </c>
      <c r="O157" s="283"/>
      <c r="P157" s="284" t="s">
        <v>81</v>
      </c>
      <c r="Q157" s="285" t="b">
        <v>1</v>
      </c>
      <c r="R157" s="285" t="b">
        <v>0</v>
      </c>
      <c r="S157" s="286" t="b">
        <v>0</v>
      </c>
    </row>
    <row r="158" outlineLevel="1">
      <c r="A158" s="277" t="s">
        <v>611</v>
      </c>
      <c r="B158" s="277" t="s">
        <v>612</v>
      </c>
      <c r="C158" s="287">
        <v>45992.0</v>
      </c>
      <c r="D158" s="277" t="s">
        <v>1398</v>
      </c>
      <c r="E158" s="277" t="s">
        <v>468</v>
      </c>
      <c r="F158" s="277">
        <v>3.454587168E9</v>
      </c>
      <c r="G158" s="277" t="s">
        <v>1399</v>
      </c>
      <c r="H158" s="277" t="s">
        <v>1400</v>
      </c>
      <c r="I158" s="296">
        <v>45992.0</v>
      </c>
      <c r="J158" s="293"/>
      <c r="K158" s="282">
        <v>20.0</v>
      </c>
      <c r="L158" s="277" t="s">
        <v>1053</v>
      </c>
      <c r="M158" s="277" t="s">
        <v>162</v>
      </c>
      <c r="N158" s="118" t="b">
        <v>1</v>
      </c>
      <c r="O158" s="283"/>
      <c r="P158" s="284" t="s">
        <v>81</v>
      </c>
      <c r="Q158" s="285" t="b">
        <v>1</v>
      </c>
      <c r="R158" s="285" t="b">
        <v>0</v>
      </c>
      <c r="S158" s="286" t="b">
        <v>0</v>
      </c>
    </row>
    <row r="159" outlineLevel="1">
      <c r="A159" s="277" t="s">
        <v>101</v>
      </c>
      <c r="B159" s="277" t="s">
        <v>102</v>
      </c>
      <c r="C159" s="287">
        <v>45992.0</v>
      </c>
      <c r="D159" s="277" t="s">
        <v>1401</v>
      </c>
      <c r="E159" s="277" t="s">
        <v>1402</v>
      </c>
      <c r="F159" s="277">
        <v>3.883918709E9</v>
      </c>
      <c r="G159" s="277" t="s">
        <v>1403</v>
      </c>
      <c r="H159" s="277" t="s">
        <v>1404</v>
      </c>
      <c r="I159" s="287">
        <v>45992.0</v>
      </c>
      <c r="J159" s="293"/>
      <c r="K159" s="282">
        <v>20.0</v>
      </c>
      <c r="L159" s="277" t="s">
        <v>986</v>
      </c>
      <c r="M159" s="277" t="s">
        <v>162</v>
      </c>
      <c r="N159" s="118" t="b">
        <v>1</v>
      </c>
      <c r="O159" s="283"/>
      <c r="P159" s="284" t="s">
        <v>81</v>
      </c>
      <c r="Q159" s="285" t="b">
        <v>1</v>
      </c>
      <c r="R159" s="285" t="b">
        <v>0</v>
      </c>
      <c r="S159" s="286" t="b">
        <v>0</v>
      </c>
    </row>
    <row r="160" outlineLevel="1">
      <c r="A160" s="277" t="s">
        <v>73</v>
      </c>
      <c r="B160" s="277" t="s">
        <v>94</v>
      </c>
      <c r="C160" s="287">
        <v>45993.0</v>
      </c>
      <c r="D160" s="277" t="s">
        <v>1405</v>
      </c>
      <c r="E160" s="277" t="s">
        <v>1406</v>
      </c>
      <c r="F160" s="277">
        <v>3.475898593E9</v>
      </c>
      <c r="G160" s="277" t="s">
        <v>1407</v>
      </c>
      <c r="H160" s="277" t="s">
        <v>1408</v>
      </c>
      <c r="I160" s="296">
        <v>45993.0</v>
      </c>
      <c r="J160" s="281"/>
      <c r="K160" s="282">
        <v>20.0</v>
      </c>
      <c r="L160" s="277" t="s">
        <v>981</v>
      </c>
      <c r="M160" s="277" t="s">
        <v>162</v>
      </c>
      <c r="N160" s="118" t="b">
        <v>1</v>
      </c>
      <c r="O160" s="283"/>
      <c r="P160" s="284" t="s">
        <v>81</v>
      </c>
      <c r="Q160" s="285" t="b">
        <v>1</v>
      </c>
      <c r="R160" s="285" t="b">
        <v>0</v>
      </c>
      <c r="S160" s="286" t="b">
        <v>0</v>
      </c>
    </row>
    <row r="161" outlineLevel="1">
      <c r="A161" s="277" t="s">
        <v>73</v>
      </c>
      <c r="B161" s="277" t="s">
        <v>74</v>
      </c>
      <c r="C161" s="287">
        <v>45991.0</v>
      </c>
      <c r="D161" s="277" t="s">
        <v>1409</v>
      </c>
      <c r="E161" s="277" t="s">
        <v>1410</v>
      </c>
      <c r="F161" s="277">
        <v>3.47635222E9</v>
      </c>
      <c r="G161" s="277" t="s">
        <v>1074</v>
      </c>
      <c r="H161" s="277" t="s">
        <v>1075</v>
      </c>
      <c r="I161" s="296">
        <v>45991.0</v>
      </c>
      <c r="J161" s="281"/>
      <c r="K161" s="282">
        <v>20.0</v>
      </c>
      <c r="L161" s="277" t="s">
        <v>970</v>
      </c>
      <c r="M161" s="277" t="s">
        <v>80</v>
      </c>
      <c r="N161" s="118" t="b">
        <v>1</v>
      </c>
      <c r="O161" s="283"/>
      <c r="P161" s="284" t="s">
        <v>81</v>
      </c>
      <c r="Q161" s="285" t="b">
        <v>0</v>
      </c>
      <c r="R161" s="285" t="b">
        <v>0</v>
      </c>
      <c r="S161" s="286" t="b">
        <v>0</v>
      </c>
    </row>
    <row r="162" outlineLevel="1">
      <c r="A162" s="277" t="s">
        <v>611</v>
      </c>
      <c r="B162" s="277" t="s">
        <v>612</v>
      </c>
      <c r="C162" s="287">
        <v>45993.0</v>
      </c>
      <c r="D162" s="277" t="s">
        <v>1411</v>
      </c>
      <c r="E162" s="277" t="s">
        <v>1412</v>
      </c>
      <c r="F162" s="277">
        <v>3.51910201177E11</v>
      </c>
      <c r="G162" s="277" t="s">
        <v>1413</v>
      </c>
      <c r="H162" s="277" t="s">
        <v>1414</v>
      </c>
      <c r="I162" s="296">
        <v>45993.0</v>
      </c>
      <c r="J162" s="281"/>
      <c r="K162" s="282">
        <v>20.0</v>
      </c>
      <c r="L162" s="277" t="s">
        <v>1053</v>
      </c>
      <c r="M162" s="277" t="s">
        <v>449</v>
      </c>
      <c r="N162" s="118" t="b">
        <v>1</v>
      </c>
      <c r="O162" s="283"/>
      <c r="P162" s="284" t="s">
        <v>81</v>
      </c>
      <c r="Q162" s="285" t="b">
        <v>1</v>
      </c>
      <c r="R162" s="285" t="b">
        <v>0</v>
      </c>
      <c r="S162" s="286" t="b">
        <v>0</v>
      </c>
    </row>
    <row r="163" outlineLevel="1">
      <c r="A163" s="277" t="s">
        <v>73</v>
      </c>
      <c r="B163" s="277" t="s">
        <v>94</v>
      </c>
      <c r="C163" s="287">
        <v>45994.0</v>
      </c>
      <c r="D163" s="277" t="s">
        <v>1415</v>
      </c>
      <c r="E163" s="277" t="s">
        <v>407</v>
      </c>
      <c r="F163" s="277">
        <v>3.386921231E9</v>
      </c>
      <c r="G163" s="277" t="s">
        <v>1416</v>
      </c>
      <c r="H163" s="277" t="s">
        <v>1417</v>
      </c>
      <c r="I163" s="341">
        <v>45995.0</v>
      </c>
      <c r="J163" s="281"/>
      <c r="K163" s="282">
        <v>20.0</v>
      </c>
      <c r="L163" s="277" t="s">
        <v>981</v>
      </c>
      <c r="M163" s="277" t="s">
        <v>80</v>
      </c>
      <c r="N163" s="118" t="b">
        <v>1</v>
      </c>
      <c r="O163" s="283"/>
      <c r="P163" s="284" t="s">
        <v>81</v>
      </c>
      <c r="Q163" s="285" t="b">
        <v>1</v>
      </c>
      <c r="R163" s="285" t="b">
        <v>0</v>
      </c>
      <c r="S163" s="286" t="b">
        <v>0</v>
      </c>
    </row>
    <row r="164" outlineLevel="1">
      <c r="A164" s="277" t="s">
        <v>239</v>
      </c>
      <c r="B164" s="277" t="s">
        <v>240</v>
      </c>
      <c r="C164" s="306">
        <v>45993.0</v>
      </c>
      <c r="D164" s="277" t="s">
        <v>1418</v>
      </c>
      <c r="E164" s="277" t="s">
        <v>890</v>
      </c>
      <c r="F164" s="277">
        <v>3.474601703E9</v>
      </c>
      <c r="G164" s="277" t="s">
        <v>1419</v>
      </c>
      <c r="H164" s="277" t="s">
        <v>1420</v>
      </c>
      <c r="I164" s="287">
        <v>45993.0</v>
      </c>
      <c r="J164" s="295"/>
      <c r="K164" s="282">
        <v>20.0</v>
      </c>
      <c r="L164" s="277" t="s">
        <v>1012</v>
      </c>
      <c r="M164" s="277" t="s">
        <v>162</v>
      </c>
      <c r="N164" s="118" t="b">
        <v>1</v>
      </c>
      <c r="O164" s="283"/>
      <c r="P164" s="284" t="s">
        <v>81</v>
      </c>
      <c r="Q164" s="285" t="b">
        <v>1</v>
      </c>
      <c r="R164" s="285" t="b">
        <v>0</v>
      </c>
      <c r="S164" s="286" t="b">
        <v>0</v>
      </c>
    </row>
    <row r="165" outlineLevel="1">
      <c r="A165" s="277" t="s">
        <v>239</v>
      </c>
      <c r="B165" s="277" t="s">
        <v>240</v>
      </c>
      <c r="C165" s="306">
        <v>45994.0</v>
      </c>
      <c r="D165" s="277" t="s">
        <v>1421</v>
      </c>
      <c r="E165" s="277" t="s">
        <v>1422</v>
      </c>
      <c r="F165" s="277">
        <v>3.407091075E9</v>
      </c>
      <c r="G165" s="342" t="s">
        <v>1423</v>
      </c>
      <c r="H165" s="277" t="s">
        <v>1424</v>
      </c>
      <c r="I165" s="341">
        <v>45994.0</v>
      </c>
      <c r="J165" s="281"/>
      <c r="K165" s="282">
        <v>20.0</v>
      </c>
      <c r="L165" s="277" t="s">
        <v>1012</v>
      </c>
      <c r="M165" s="277" t="s">
        <v>162</v>
      </c>
      <c r="N165" s="118" t="b">
        <v>1</v>
      </c>
      <c r="O165" s="283"/>
      <c r="P165" s="284" t="s">
        <v>81</v>
      </c>
      <c r="Q165" s="285" t="b">
        <v>1</v>
      </c>
      <c r="R165" s="285" t="b">
        <v>0</v>
      </c>
      <c r="S165" s="286" t="b">
        <v>0</v>
      </c>
    </row>
    <row r="166" outlineLevel="1">
      <c r="A166" s="277" t="s">
        <v>73</v>
      </c>
      <c r="B166" s="277" t="s">
        <v>94</v>
      </c>
      <c r="C166" s="306">
        <v>45992.0</v>
      </c>
      <c r="D166" s="277" t="s">
        <v>1425</v>
      </c>
      <c r="E166" s="277" t="s">
        <v>1426</v>
      </c>
      <c r="F166" s="277">
        <v>3.48699283E9</v>
      </c>
      <c r="G166" s="277" t="s">
        <v>1427</v>
      </c>
      <c r="H166" s="277" t="s">
        <v>1428</v>
      </c>
      <c r="I166" s="341">
        <v>45992.0</v>
      </c>
      <c r="J166" s="281">
        <v>25.0</v>
      </c>
      <c r="K166" s="282"/>
      <c r="L166" s="277"/>
      <c r="M166" s="277" t="s">
        <v>100</v>
      </c>
      <c r="N166" s="118" t="b">
        <v>1</v>
      </c>
      <c r="O166" s="283"/>
      <c r="P166" s="284" t="s">
        <v>81</v>
      </c>
      <c r="Q166" s="285" t="b">
        <v>1</v>
      </c>
      <c r="R166" s="285" t="b">
        <v>0</v>
      </c>
      <c r="S166" s="286" t="b">
        <v>0</v>
      </c>
    </row>
    <row r="167" outlineLevel="1">
      <c r="A167" s="277" t="s">
        <v>73</v>
      </c>
      <c r="B167" s="277" t="s">
        <v>74</v>
      </c>
      <c r="C167" s="306">
        <v>45992.0</v>
      </c>
      <c r="D167" s="277" t="s">
        <v>1401</v>
      </c>
      <c r="E167" s="277" t="s">
        <v>1362</v>
      </c>
      <c r="F167" s="277">
        <v>3.288872005E9</v>
      </c>
      <c r="G167" s="277" t="s">
        <v>1429</v>
      </c>
      <c r="H167" s="277" t="s">
        <v>1430</v>
      </c>
      <c r="I167" s="341">
        <v>45992.0</v>
      </c>
      <c r="J167" s="281">
        <v>25.0</v>
      </c>
      <c r="K167" s="282"/>
      <c r="L167" s="277"/>
      <c r="M167" s="277" t="s">
        <v>100</v>
      </c>
      <c r="N167" s="118" t="b">
        <v>1</v>
      </c>
      <c r="O167" s="283"/>
      <c r="P167" s="284" t="s">
        <v>81</v>
      </c>
      <c r="Q167" s="285" t="b">
        <v>1</v>
      </c>
      <c r="R167" s="285" t="b">
        <v>0</v>
      </c>
      <c r="S167" s="286" t="b">
        <v>0</v>
      </c>
    </row>
    <row r="168" outlineLevel="1">
      <c r="A168" s="277" t="s">
        <v>73</v>
      </c>
      <c r="B168" s="277" t="s">
        <v>74</v>
      </c>
      <c r="C168" s="287">
        <v>45992.0</v>
      </c>
      <c r="D168" s="277" t="s">
        <v>1431</v>
      </c>
      <c r="E168" s="331" t="s">
        <v>1432</v>
      </c>
      <c r="F168" s="277">
        <v>3.495445908E9</v>
      </c>
      <c r="G168" s="343" t="s">
        <v>1433</v>
      </c>
      <c r="H168" s="277" t="s">
        <v>1434</v>
      </c>
      <c r="I168" s="341">
        <v>45992.0</v>
      </c>
      <c r="J168" s="281">
        <v>25.0</v>
      </c>
      <c r="K168" s="282"/>
      <c r="L168" s="277"/>
      <c r="M168" s="277" t="s">
        <v>100</v>
      </c>
      <c r="N168" s="118" t="b">
        <v>1</v>
      </c>
      <c r="O168" s="283"/>
      <c r="P168" s="284" t="s">
        <v>81</v>
      </c>
      <c r="Q168" s="285" t="b">
        <v>1</v>
      </c>
      <c r="R168" s="285" t="b">
        <v>0</v>
      </c>
      <c r="S168" s="286" t="b">
        <v>0</v>
      </c>
    </row>
    <row r="169" outlineLevel="1">
      <c r="A169" s="277" t="s">
        <v>73</v>
      </c>
      <c r="B169" s="277" t="s">
        <v>74</v>
      </c>
      <c r="C169" s="287">
        <v>45993.0</v>
      </c>
      <c r="D169" s="277" t="s">
        <v>1435</v>
      </c>
      <c r="E169" s="277" t="s">
        <v>1436</v>
      </c>
      <c r="F169" s="277">
        <v>3.403525626E9</v>
      </c>
      <c r="G169" s="324" t="s">
        <v>1437</v>
      </c>
      <c r="H169" s="277" t="s">
        <v>1438</v>
      </c>
      <c r="I169" s="287">
        <v>45993.0</v>
      </c>
      <c r="J169" s="281">
        <v>25.0</v>
      </c>
      <c r="K169" s="282"/>
      <c r="L169" s="277"/>
      <c r="M169" s="277" t="s">
        <v>100</v>
      </c>
      <c r="N169" s="118" t="b">
        <v>1</v>
      </c>
      <c r="O169" s="283"/>
      <c r="P169" s="284" t="s">
        <v>81</v>
      </c>
      <c r="Q169" s="285" t="b">
        <v>1</v>
      </c>
      <c r="R169" s="285" t="b">
        <v>0</v>
      </c>
      <c r="S169" s="286" t="b">
        <v>0</v>
      </c>
    </row>
    <row r="170" outlineLevel="1">
      <c r="A170" s="277" t="s">
        <v>239</v>
      </c>
      <c r="B170" s="277" t="s">
        <v>240</v>
      </c>
      <c r="C170" s="287">
        <v>45995.0</v>
      </c>
      <c r="D170" s="277" t="s">
        <v>1439</v>
      </c>
      <c r="E170" s="277" t="s">
        <v>1341</v>
      </c>
      <c r="F170" s="277">
        <v>3.913619861E9</v>
      </c>
      <c r="G170" s="344" t="s">
        <v>1440</v>
      </c>
      <c r="H170" s="277" t="s">
        <v>1441</v>
      </c>
      <c r="I170" s="341">
        <v>45995.0</v>
      </c>
      <c r="J170" s="281"/>
      <c r="K170" s="282">
        <v>20.0</v>
      </c>
      <c r="L170" s="277" t="s">
        <v>1012</v>
      </c>
      <c r="M170" s="277" t="s">
        <v>162</v>
      </c>
      <c r="N170" s="118" t="b">
        <v>1</v>
      </c>
      <c r="O170" s="283"/>
      <c r="P170" s="284" t="s">
        <v>81</v>
      </c>
      <c r="Q170" s="285" t="b">
        <v>1</v>
      </c>
      <c r="R170" s="285" t="b">
        <v>0</v>
      </c>
      <c r="S170" s="286" t="b">
        <v>0</v>
      </c>
    </row>
    <row r="171" outlineLevel="1">
      <c r="A171" s="277" t="s">
        <v>239</v>
      </c>
      <c r="B171" s="277" t="s">
        <v>240</v>
      </c>
      <c r="C171" s="287">
        <v>45995.0</v>
      </c>
      <c r="D171" s="277" t="s">
        <v>1442</v>
      </c>
      <c r="E171" s="277" t="s">
        <v>1443</v>
      </c>
      <c r="F171" s="277">
        <v>3.288825974E9</v>
      </c>
      <c r="G171" s="343" t="s">
        <v>1444</v>
      </c>
      <c r="H171" s="277" t="s">
        <v>1445</v>
      </c>
      <c r="I171" s="341">
        <v>45995.0</v>
      </c>
      <c r="J171" s="281"/>
      <c r="K171" s="282">
        <v>20.0</v>
      </c>
      <c r="L171" s="277" t="s">
        <v>1012</v>
      </c>
      <c r="M171" s="277" t="s">
        <v>162</v>
      </c>
      <c r="N171" s="118" t="b">
        <v>1</v>
      </c>
      <c r="O171" s="283"/>
      <c r="P171" s="284" t="s">
        <v>81</v>
      </c>
      <c r="Q171" s="285" t="b">
        <v>1</v>
      </c>
      <c r="R171" s="285" t="b">
        <v>0</v>
      </c>
      <c r="S171" s="286" t="b">
        <v>0</v>
      </c>
    </row>
    <row r="172" outlineLevel="1">
      <c r="A172" s="277" t="s">
        <v>368</v>
      </c>
      <c r="B172" s="277" t="s">
        <v>369</v>
      </c>
      <c r="C172" s="287">
        <v>45995.0</v>
      </c>
      <c r="D172" s="277" t="s">
        <v>1446</v>
      </c>
      <c r="E172" s="277" t="s">
        <v>12</v>
      </c>
      <c r="F172" s="277">
        <v>3.388862072E9</v>
      </c>
      <c r="G172" s="344" t="s">
        <v>1447</v>
      </c>
      <c r="H172" s="277" t="s">
        <v>1448</v>
      </c>
      <c r="I172" s="341">
        <v>45995.0</v>
      </c>
      <c r="J172" s="281"/>
      <c r="K172" s="282">
        <v>20.0</v>
      </c>
      <c r="L172" s="277" t="s">
        <v>1003</v>
      </c>
      <c r="M172" s="277" t="s">
        <v>100</v>
      </c>
      <c r="N172" s="118" t="b">
        <v>1</v>
      </c>
      <c r="O172" s="283"/>
      <c r="P172" s="284" t="s">
        <v>81</v>
      </c>
      <c r="Q172" s="285" t="b">
        <v>1</v>
      </c>
      <c r="R172" s="285" t="b">
        <v>0</v>
      </c>
      <c r="S172" s="286" t="b">
        <v>0</v>
      </c>
    </row>
    <row r="173" outlineLevel="1">
      <c r="A173" s="277" t="s">
        <v>368</v>
      </c>
      <c r="B173" s="277" t="s">
        <v>369</v>
      </c>
      <c r="C173" s="306">
        <v>45995.0</v>
      </c>
      <c r="D173" s="277" t="s">
        <v>1449</v>
      </c>
      <c r="E173" s="277" t="s">
        <v>1450</v>
      </c>
      <c r="F173" s="277">
        <v>3.332749402E9</v>
      </c>
      <c r="G173" s="343" t="s">
        <v>1451</v>
      </c>
      <c r="H173" s="277" t="s">
        <v>1452</v>
      </c>
      <c r="I173" s="341">
        <v>45995.0</v>
      </c>
      <c r="J173" s="281"/>
      <c r="K173" s="282">
        <v>20.0</v>
      </c>
      <c r="L173" s="277" t="s">
        <v>1003</v>
      </c>
      <c r="M173" s="277" t="s">
        <v>100</v>
      </c>
      <c r="N173" s="118" t="b">
        <v>1</v>
      </c>
      <c r="O173" s="283"/>
      <c r="P173" s="284" t="s">
        <v>81</v>
      </c>
      <c r="Q173" s="285" t="b">
        <v>1</v>
      </c>
      <c r="R173" s="285" t="b">
        <v>0</v>
      </c>
      <c r="S173" s="286" t="b">
        <v>0</v>
      </c>
    </row>
    <row r="174" outlineLevel="1">
      <c r="A174" s="277" t="s">
        <v>73</v>
      </c>
      <c r="B174" s="277" t="s">
        <v>74</v>
      </c>
      <c r="C174" s="306">
        <v>45994.0</v>
      </c>
      <c r="D174" s="277" t="s">
        <v>1453</v>
      </c>
      <c r="E174" s="277" t="s">
        <v>1454</v>
      </c>
      <c r="F174" s="277">
        <v>3.494305901E9</v>
      </c>
      <c r="G174" s="343" t="s">
        <v>1455</v>
      </c>
      <c r="H174" s="277" t="s">
        <v>1456</v>
      </c>
      <c r="I174" s="341">
        <v>45994.0</v>
      </c>
      <c r="J174" s="281">
        <v>25.0</v>
      </c>
      <c r="K174" s="282"/>
      <c r="L174" s="277"/>
      <c r="M174" s="277" t="s">
        <v>100</v>
      </c>
      <c r="N174" s="118" t="b">
        <v>0</v>
      </c>
      <c r="O174" s="283"/>
      <c r="P174" s="284" t="s">
        <v>81</v>
      </c>
      <c r="Q174" s="285" t="b">
        <v>1</v>
      </c>
      <c r="R174" s="285" t="b">
        <v>0</v>
      </c>
      <c r="S174" s="286" t="b">
        <v>0</v>
      </c>
    </row>
    <row r="175" outlineLevel="1">
      <c r="A175" s="277" t="s">
        <v>73</v>
      </c>
      <c r="B175" s="277" t="s">
        <v>74</v>
      </c>
      <c r="C175" s="345">
        <v>45993.0</v>
      </c>
      <c r="D175" s="279" t="s">
        <v>1457</v>
      </c>
      <c r="E175" s="279" t="s">
        <v>427</v>
      </c>
      <c r="F175" s="346">
        <v>3.312777001E9</v>
      </c>
      <c r="G175" s="279" t="s">
        <v>1458</v>
      </c>
      <c r="H175" s="279" t="s">
        <v>1459</v>
      </c>
      <c r="I175" s="345">
        <v>45993.0</v>
      </c>
      <c r="J175" s="303">
        <v>25.0</v>
      </c>
      <c r="K175" s="282"/>
      <c r="L175" s="277"/>
      <c r="M175" s="277" t="s">
        <v>100</v>
      </c>
      <c r="N175" s="118" t="b">
        <v>1</v>
      </c>
      <c r="O175" s="283"/>
      <c r="P175" s="284" t="s">
        <v>81</v>
      </c>
      <c r="Q175" s="285" t="b">
        <v>1</v>
      </c>
      <c r="R175" s="285" t="b">
        <v>0</v>
      </c>
      <c r="S175" s="286" t="b">
        <v>0</v>
      </c>
    </row>
    <row r="176" outlineLevel="1">
      <c r="A176" s="277" t="s">
        <v>73</v>
      </c>
      <c r="B176" s="277" t="s">
        <v>74</v>
      </c>
      <c r="C176" s="287">
        <v>45994.0</v>
      </c>
      <c r="D176" s="277" t="s">
        <v>1460</v>
      </c>
      <c r="E176" s="277" t="s">
        <v>468</v>
      </c>
      <c r="F176" s="277">
        <v>3.313502372E9</v>
      </c>
      <c r="G176" s="343" t="s">
        <v>1352</v>
      </c>
      <c r="H176" s="277" t="s">
        <v>1353</v>
      </c>
      <c r="I176" s="341">
        <v>45994.0</v>
      </c>
      <c r="J176" s="281"/>
      <c r="K176" s="282">
        <v>20.0</v>
      </c>
      <c r="L176" s="277" t="s">
        <v>1003</v>
      </c>
      <c r="M176" s="277" t="s">
        <v>100</v>
      </c>
      <c r="N176" s="118" t="b">
        <v>1</v>
      </c>
      <c r="O176" s="283"/>
      <c r="P176" s="284" t="s">
        <v>81</v>
      </c>
      <c r="Q176" s="285" t="b">
        <v>1</v>
      </c>
      <c r="R176" s="285" t="b">
        <v>0</v>
      </c>
      <c r="S176" s="286" t="b">
        <v>0</v>
      </c>
    </row>
    <row r="177" outlineLevel="1">
      <c r="A177" s="277" t="s">
        <v>73</v>
      </c>
      <c r="B177" s="277" t="s">
        <v>74</v>
      </c>
      <c r="C177" s="287">
        <v>45994.0</v>
      </c>
      <c r="D177" s="277" t="s">
        <v>411</v>
      </c>
      <c r="E177" s="277" t="s">
        <v>412</v>
      </c>
      <c r="F177" s="277">
        <v>3.514012826E9</v>
      </c>
      <c r="G177" s="343" t="s">
        <v>413</v>
      </c>
      <c r="H177" s="277" t="s">
        <v>414</v>
      </c>
      <c r="I177" s="341">
        <v>45994.0</v>
      </c>
      <c r="J177" s="281">
        <v>25.0</v>
      </c>
      <c r="K177" s="282"/>
      <c r="L177" s="277"/>
      <c r="M177" s="277" t="s">
        <v>100</v>
      </c>
      <c r="N177" s="118" t="b">
        <v>1</v>
      </c>
      <c r="O177" s="283"/>
      <c r="P177" s="284" t="s">
        <v>81</v>
      </c>
      <c r="Q177" s="285" t="b">
        <v>1</v>
      </c>
      <c r="R177" s="285" t="b">
        <v>0</v>
      </c>
      <c r="S177" s="286" t="b">
        <v>0</v>
      </c>
    </row>
    <row r="178" outlineLevel="1">
      <c r="A178" s="277" t="s">
        <v>73</v>
      </c>
      <c r="B178" s="277" t="s">
        <v>74</v>
      </c>
      <c r="C178" s="287">
        <v>45994.0</v>
      </c>
      <c r="D178" s="277" t="s">
        <v>1461</v>
      </c>
      <c r="E178" s="277" t="s">
        <v>1462</v>
      </c>
      <c r="F178" s="277">
        <v>3.314738725E9</v>
      </c>
      <c r="G178" s="343" t="s">
        <v>1463</v>
      </c>
      <c r="H178" s="277" t="s">
        <v>1464</v>
      </c>
      <c r="I178" s="341">
        <v>45994.0</v>
      </c>
      <c r="J178" s="281">
        <v>25.0</v>
      </c>
      <c r="K178" s="282"/>
      <c r="L178" s="277"/>
      <c r="M178" s="277" t="s">
        <v>100</v>
      </c>
      <c r="N178" s="118" t="b">
        <v>1</v>
      </c>
      <c r="O178" s="283"/>
      <c r="P178" s="284" t="s">
        <v>81</v>
      </c>
      <c r="Q178" s="285" t="b">
        <v>1</v>
      </c>
      <c r="R178" s="285" t="b">
        <v>0</v>
      </c>
      <c r="S178" s="286" t="b">
        <v>0</v>
      </c>
    </row>
    <row r="179" outlineLevel="1">
      <c r="A179" s="277" t="s">
        <v>73</v>
      </c>
      <c r="B179" s="277" t="s">
        <v>74</v>
      </c>
      <c r="C179" s="287">
        <v>45994.0</v>
      </c>
      <c r="D179" s="277" t="s">
        <v>1465</v>
      </c>
      <c r="E179" s="277" t="s">
        <v>742</v>
      </c>
      <c r="F179" s="277">
        <v>3.7552493E9</v>
      </c>
      <c r="G179" s="343" t="s">
        <v>1466</v>
      </c>
      <c r="H179" s="277" t="s">
        <v>1467</v>
      </c>
      <c r="I179" s="341">
        <v>45994.0</v>
      </c>
      <c r="J179" s="281"/>
      <c r="K179" s="282">
        <v>20.0</v>
      </c>
      <c r="L179" s="277" t="s">
        <v>970</v>
      </c>
      <c r="M179" s="277" t="s">
        <v>100</v>
      </c>
      <c r="N179" s="118" t="b">
        <v>1</v>
      </c>
      <c r="O179" s="283"/>
      <c r="P179" s="284" t="s">
        <v>81</v>
      </c>
      <c r="Q179" s="285" t="b">
        <v>1</v>
      </c>
      <c r="R179" s="285" t="b">
        <v>0</v>
      </c>
      <c r="S179" s="286" t="b">
        <v>0</v>
      </c>
    </row>
    <row r="180" outlineLevel="1">
      <c r="A180" s="277" t="s">
        <v>73</v>
      </c>
      <c r="B180" s="277" t="s">
        <v>74</v>
      </c>
      <c r="C180" s="287">
        <v>45994.0</v>
      </c>
      <c r="D180" s="277" t="s">
        <v>1468</v>
      </c>
      <c r="E180" s="277" t="s">
        <v>1469</v>
      </c>
      <c r="F180" s="277">
        <v>3.313393324E9</v>
      </c>
      <c r="G180" s="347" t="s">
        <v>1470</v>
      </c>
      <c r="H180" s="277" t="s">
        <v>1471</v>
      </c>
      <c r="I180" s="341">
        <v>45994.0</v>
      </c>
      <c r="J180" s="281"/>
      <c r="K180" s="282">
        <v>20.0</v>
      </c>
      <c r="L180" s="277" t="s">
        <v>1012</v>
      </c>
      <c r="M180" s="277" t="s">
        <v>80</v>
      </c>
      <c r="N180" s="118" t="b">
        <v>1</v>
      </c>
      <c r="O180" s="283"/>
      <c r="P180" s="284" t="s">
        <v>81</v>
      </c>
      <c r="Q180" s="285" t="b">
        <v>0</v>
      </c>
      <c r="R180" s="285" t="b">
        <v>0</v>
      </c>
      <c r="S180" s="286" t="b">
        <v>0</v>
      </c>
    </row>
    <row r="181" outlineLevel="1">
      <c r="A181" s="277" t="s">
        <v>101</v>
      </c>
      <c r="B181" s="277" t="s">
        <v>102</v>
      </c>
      <c r="C181" s="287">
        <v>45996.0</v>
      </c>
      <c r="D181" s="277" t="s">
        <v>1472</v>
      </c>
      <c r="E181" s="277" t="s">
        <v>427</v>
      </c>
      <c r="F181" s="277">
        <v>3.201970767E9</v>
      </c>
      <c r="G181" s="324" t="s">
        <v>1473</v>
      </c>
      <c r="H181" s="277" t="s">
        <v>1474</v>
      </c>
      <c r="I181" s="341">
        <v>45996.0</v>
      </c>
      <c r="J181" s="281"/>
      <c r="K181" s="282">
        <v>20.0</v>
      </c>
      <c r="L181" s="277" t="s">
        <v>986</v>
      </c>
      <c r="M181" s="277" t="s">
        <v>100</v>
      </c>
      <c r="N181" s="118" t="b">
        <v>1</v>
      </c>
      <c r="O181" s="283"/>
      <c r="P181" s="284" t="s">
        <v>81</v>
      </c>
      <c r="Q181" s="285" t="b">
        <v>1</v>
      </c>
      <c r="R181" s="285" t="b">
        <v>0</v>
      </c>
      <c r="S181" s="286" t="b">
        <v>0</v>
      </c>
    </row>
    <row r="182" outlineLevel="1">
      <c r="A182" s="277" t="s">
        <v>73</v>
      </c>
      <c r="B182" s="277" t="s">
        <v>74</v>
      </c>
      <c r="C182" s="278">
        <v>45995.0</v>
      </c>
      <c r="D182" s="280" t="s">
        <v>1475</v>
      </c>
      <c r="E182" s="280" t="s">
        <v>1422</v>
      </c>
      <c r="F182" s="280">
        <v>3.3974719778E10</v>
      </c>
      <c r="G182" s="314" t="s">
        <v>1476</v>
      </c>
      <c r="H182" s="280" t="s">
        <v>1477</v>
      </c>
      <c r="I182" s="315">
        <v>45995.0</v>
      </c>
      <c r="J182" s="281"/>
      <c r="K182" s="282">
        <v>20.0</v>
      </c>
      <c r="L182" s="277" t="s">
        <v>970</v>
      </c>
      <c r="M182" s="277" t="s">
        <v>100</v>
      </c>
      <c r="N182" s="118" t="b">
        <v>1</v>
      </c>
      <c r="O182" s="283"/>
      <c r="P182" s="284" t="s">
        <v>81</v>
      </c>
      <c r="Q182" s="285" t="b">
        <v>1</v>
      </c>
      <c r="R182" s="285" t="b">
        <v>0</v>
      </c>
      <c r="S182" s="286" t="b">
        <v>0</v>
      </c>
    </row>
    <row r="183" outlineLevel="1">
      <c r="A183" s="277" t="s">
        <v>73</v>
      </c>
      <c r="B183" s="277" t="s">
        <v>74</v>
      </c>
      <c r="C183" s="287">
        <v>45995.0</v>
      </c>
      <c r="D183" s="277" t="s">
        <v>1478</v>
      </c>
      <c r="E183" s="277" t="s">
        <v>1479</v>
      </c>
      <c r="F183" s="277">
        <v>3.3469249E8</v>
      </c>
      <c r="G183" s="343" t="s">
        <v>1480</v>
      </c>
      <c r="H183" s="277" t="s">
        <v>1481</v>
      </c>
      <c r="I183" s="341">
        <v>45995.0</v>
      </c>
      <c r="J183" s="281"/>
      <c r="K183" s="282">
        <v>20.0</v>
      </c>
      <c r="L183" s="277" t="s">
        <v>970</v>
      </c>
      <c r="M183" s="277" t="s">
        <v>100</v>
      </c>
      <c r="N183" s="118" t="b">
        <v>1</v>
      </c>
      <c r="O183" s="283"/>
      <c r="P183" s="284" t="s">
        <v>81</v>
      </c>
      <c r="Q183" s="285" t="b">
        <v>1</v>
      </c>
      <c r="R183" s="285" t="b">
        <v>0</v>
      </c>
      <c r="S183" s="286" t="b">
        <v>0</v>
      </c>
    </row>
    <row r="184" outlineLevel="1">
      <c r="A184" s="277" t="s">
        <v>73</v>
      </c>
      <c r="B184" s="277" t="s">
        <v>74</v>
      </c>
      <c r="C184" s="287">
        <v>45995.0</v>
      </c>
      <c r="D184" s="277" t="s">
        <v>1482</v>
      </c>
      <c r="E184" s="277" t="s">
        <v>890</v>
      </c>
      <c r="F184" s="277">
        <v>3.349116313E9</v>
      </c>
      <c r="G184" s="324" t="s">
        <v>1483</v>
      </c>
      <c r="H184" s="277" t="s">
        <v>1484</v>
      </c>
      <c r="I184" s="341">
        <v>45995.0</v>
      </c>
      <c r="J184" s="281"/>
      <c r="K184" s="282">
        <v>20.0</v>
      </c>
      <c r="L184" s="277" t="s">
        <v>1003</v>
      </c>
      <c r="M184" s="277" t="s">
        <v>100</v>
      </c>
      <c r="N184" s="118" t="b">
        <v>1</v>
      </c>
      <c r="O184" s="283"/>
      <c r="P184" s="284" t="s">
        <v>81</v>
      </c>
      <c r="Q184" s="285" t="b">
        <v>1</v>
      </c>
      <c r="R184" s="285" t="b">
        <v>0</v>
      </c>
      <c r="S184" s="286" t="b">
        <v>0</v>
      </c>
    </row>
    <row r="185" outlineLevel="1">
      <c r="A185" s="277" t="s">
        <v>368</v>
      </c>
      <c r="B185" s="277" t="s">
        <v>369</v>
      </c>
      <c r="C185" s="287">
        <v>46000.0</v>
      </c>
      <c r="D185" s="277" t="s">
        <v>1485</v>
      </c>
      <c r="E185" s="277" t="s">
        <v>1486</v>
      </c>
      <c r="F185" s="277">
        <v>3.245845449E9</v>
      </c>
      <c r="G185" s="342" t="s">
        <v>1487</v>
      </c>
      <c r="H185" s="277" t="s">
        <v>1488</v>
      </c>
      <c r="I185" s="341">
        <v>46000.0</v>
      </c>
      <c r="J185" s="293"/>
      <c r="K185" s="282">
        <v>20.0</v>
      </c>
      <c r="L185" s="277" t="s">
        <v>1003</v>
      </c>
      <c r="M185" s="277" t="s">
        <v>100</v>
      </c>
      <c r="N185" s="118" t="b">
        <v>1</v>
      </c>
      <c r="O185" s="283"/>
      <c r="P185" s="284" t="s">
        <v>81</v>
      </c>
      <c r="Q185" s="285" t="b">
        <v>1</v>
      </c>
      <c r="R185" s="285" t="b">
        <v>0</v>
      </c>
      <c r="S185" s="286" t="b">
        <v>0</v>
      </c>
    </row>
    <row r="186" outlineLevel="1">
      <c r="A186" s="277" t="s">
        <v>239</v>
      </c>
      <c r="B186" s="277" t="s">
        <v>240</v>
      </c>
      <c r="C186" s="287">
        <v>46000.0</v>
      </c>
      <c r="D186" s="277" t="s">
        <v>1489</v>
      </c>
      <c r="E186" s="277" t="s">
        <v>1490</v>
      </c>
      <c r="F186" s="277">
        <v>3.895680338E9</v>
      </c>
      <c r="G186" s="342" t="s">
        <v>1491</v>
      </c>
      <c r="H186" s="277" t="s">
        <v>1492</v>
      </c>
      <c r="I186" s="341">
        <v>46000.0</v>
      </c>
      <c r="J186" s="293"/>
      <c r="K186" s="282">
        <v>20.0</v>
      </c>
      <c r="L186" s="277" t="s">
        <v>1012</v>
      </c>
      <c r="M186" s="277" t="s">
        <v>162</v>
      </c>
      <c r="N186" s="118" t="b">
        <v>1</v>
      </c>
      <c r="O186" s="283"/>
      <c r="P186" s="284" t="s">
        <v>81</v>
      </c>
      <c r="Q186" s="285" t="b">
        <v>1</v>
      </c>
      <c r="R186" s="285" t="b">
        <v>0</v>
      </c>
      <c r="S186" s="286" t="b">
        <v>0</v>
      </c>
    </row>
    <row r="187" outlineLevel="1">
      <c r="A187" s="277" t="s">
        <v>101</v>
      </c>
      <c r="B187" s="277" t="s">
        <v>102</v>
      </c>
      <c r="C187" s="287">
        <v>46000.0</v>
      </c>
      <c r="D187" s="277" t="s">
        <v>1084</v>
      </c>
      <c r="E187" s="277" t="s">
        <v>365</v>
      </c>
      <c r="F187" s="277">
        <v>3.407349206E9</v>
      </c>
      <c r="G187" s="342" t="s">
        <v>1493</v>
      </c>
      <c r="H187" s="277" t="s">
        <v>1494</v>
      </c>
      <c r="I187" s="341">
        <v>46000.0</v>
      </c>
      <c r="J187" s="293"/>
      <c r="K187" s="282">
        <v>20.0</v>
      </c>
      <c r="L187" s="277" t="s">
        <v>986</v>
      </c>
      <c r="M187" s="277" t="s">
        <v>100</v>
      </c>
      <c r="N187" s="118" t="b">
        <v>1</v>
      </c>
      <c r="O187" s="283"/>
      <c r="P187" s="284" t="s">
        <v>81</v>
      </c>
      <c r="Q187" s="285" t="b">
        <v>0</v>
      </c>
      <c r="R187" s="285" t="b">
        <v>0</v>
      </c>
      <c r="S187" s="286" t="b">
        <v>0</v>
      </c>
    </row>
    <row r="188" outlineLevel="1">
      <c r="A188" s="277" t="s">
        <v>101</v>
      </c>
      <c r="B188" s="277" t="s">
        <v>102</v>
      </c>
      <c r="C188" s="287">
        <v>46000.0</v>
      </c>
      <c r="D188" s="277" t="s">
        <v>1495</v>
      </c>
      <c r="E188" s="277" t="s">
        <v>1496</v>
      </c>
      <c r="F188" s="277">
        <v>3.298464571E9</v>
      </c>
      <c r="G188" s="342" t="s">
        <v>1497</v>
      </c>
      <c r="H188" s="277" t="s">
        <v>1498</v>
      </c>
      <c r="I188" s="341">
        <v>46000.0</v>
      </c>
      <c r="J188" s="293"/>
      <c r="K188" s="282">
        <v>20.0</v>
      </c>
      <c r="L188" s="277" t="s">
        <v>986</v>
      </c>
      <c r="M188" s="277" t="s">
        <v>162</v>
      </c>
      <c r="N188" s="118" t="b">
        <v>1</v>
      </c>
      <c r="O188" s="283"/>
      <c r="P188" s="284" t="s">
        <v>81</v>
      </c>
      <c r="Q188" s="285" t="b">
        <v>1</v>
      </c>
      <c r="R188" s="285" t="b">
        <v>0</v>
      </c>
      <c r="S188" s="286" t="b">
        <v>0</v>
      </c>
    </row>
    <row r="189" outlineLevel="1">
      <c r="A189" s="277" t="s">
        <v>101</v>
      </c>
      <c r="B189" s="277" t="s">
        <v>102</v>
      </c>
      <c r="C189" s="287">
        <v>46000.0</v>
      </c>
      <c r="D189" s="277" t="s">
        <v>1499</v>
      </c>
      <c r="E189" s="277" t="s">
        <v>1337</v>
      </c>
      <c r="F189" s="277">
        <v>3.391484243E9</v>
      </c>
      <c r="G189" s="342" t="s">
        <v>1500</v>
      </c>
      <c r="H189" s="277" t="s">
        <v>1501</v>
      </c>
      <c r="I189" s="341">
        <v>46000.0</v>
      </c>
      <c r="J189" s="293"/>
      <c r="K189" s="282">
        <v>20.0</v>
      </c>
      <c r="L189" s="277" t="s">
        <v>986</v>
      </c>
      <c r="M189" s="277" t="s">
        <v>100</v>
      </c>
      <c r="N189" s="118" t="b">
        <v>1</v>
      </c>
      <c r="O189" s="283"/>
      <c r="P189" s="284" t="s">
        <v>81</v>
      </c>
      <c r="Q189" s="285" t="b">
        <v>1</v>
      </c>
      <c r="R189" s="285" t="b">
        <v>0</v>
      </c>
      <c r="S189" s="286" t="b">
        <v>0</v>
      </c>
    </row>
    <row r="190" outlineLevel="1">
      <c r="A190" s="277" t="s">
        <v>611</v>
      </c>
      <c r="B190" s="277" t="s">
        <v>612</v>
      </c>
      <c r="C190" s="287">
        <v>46000.0</v>
      </c>
      <c r="D190" s="277" t="s">
        <v>1502</v>
      </c>
      <c r="E190" s="277" t="s">
        <v>96</v>
      </c>
      <c r="F190" s="277">
        <v>3.496118612E9</v>
      </c>
      <c r="G190" s="342" t="s">
        <v>1503</v>
      </c>
      <c r="H190" s="277" t="s">
        <v>1504</v>
      </c>
      <c r="I190" s="341">
        <v>46000.0</v>
      </c>
      <c r="J190" s="293"/>
      <c r="K190" s="282">
        <v>20.0</v>
      </c>
      <c r="L190" s="277" t="s">
        <v>1053</v>
      </c>
      <c r="M190" s="277" t="s">
        <v>100</v>
      </c>
      <c r="N190" s="118" t="b">
        <v>1</v>
      </c>
      <c r="O190" s="283"/>
      <c r="P190" s="284" t="s">
        <v>81</v>
      </c>
      <c r="Q190" s="285" t="b">
        <v>1</v>
      </c>
      <c r="R190" s="285" t="b">
        <v>0</v>
      </c>
      <c r="S190" s="286" t="b">
        <v>0</v>
      </c>
    </row>
    <row r="191" outlineLevel="1">
      <c r="A191" s="277" t="s">
        <v>101</v>
      </c>
      <c r="B191" s="277" t="s">
        <v>102</v>
      </c>
      <c r="C191" s="287">
        <v>46001.0</v>
      </c>
      <c r="D191" s="277" t="s">
        <v>1505</v>
      </c>
      <c r="E191" s="277" t="s">
        <v>421</v>
      </c>
      <c r="F191" s="277">
        <v>3.40854535E8</v>
      </c>
      <c r="G191" s="342" t="s">
        <v>1506</v>
      </c>
      <c r="H191" s="277" t="s">
        <v>1507</v>
      </c>
      <c r="I191" s="341">
        <v>46001.0</v>
      </c>
      <c r="J191" s="293"/>
      <c r="K191" s="282">
        <v>20.0</v>
      </c>
      <c r="L191" s="277" t="s">
        <v>986</v>
      </c>
      <c r="M191" s="277" t="s">
        <v>100</v>
      </c>
      <c r="N191" s="118" t="b">
        <v>1</v>
      </c>
      <c r="O191" s="283"/>
      <c r="P191" s="284" t="s">
        <v>81</v>
      </c>
      <c r="Q191" s="285" t="b">
        <v>1</v>
      </c>
      <c r="R191" s="285" t="b">
        <v>0</v>
      </c>
      <c r="S191" s="286" t="b">
        <v>0</v>
      </c>
    </row>
    <row r="192" outlineLevel="1">
      <c r="A192" s="277" t="s">
        <v>73</v>
      </c>
      <c r="B192" s="277" t="s">
        <v>74</v>
      </c>
      <c r="C192" s="287">
        <v>46000.0</v>
      </c>
      <c r="D192" s="277" t="s">
        <v>1508</v>
      </c>
      <c r="E192" s="277" t="s">
        <v>1509</v>
      </c>
      <c r="F192" s="277">
        <v>3.887535917E9</v>
      </c>
      <c r="G192" s="324" t="s">
        <v>1510</v>
      </c>
      <c r="H192" s="277" t="s">
        <v>1511</v>
      </c>
      <c r="I192" s="341">
        <v>46000.0</v>
      </c>
      <c r="J192" s="281"/>
      <c r="K192" s="282">
        <v>20.0</v>
      </c>
      <c r="L192" s="277" t="s">
        <v>970</v>
      </c>
      <c r="M192" s="277" t="s">
        <v>100</v>
      </c>
      <c r="N192" s="118" t="b">
        <v>0</v>
      </c>
      <c r="O192" s="283"/>
      <c r="P192" s="284" t="s">
        <v>81</v>
      </c>
      <c r="Q192" s="285" t="b">
        <v>1</v>
      </c>
      <c r="R192" s="285" t="b">
        <v>0</v>
      </c>
      <c r="S192" s="286" t="b">
        <v>0</v>
      </c>
    </row>
    <row r="193" outlineLevel="1">
      <c r="A193" s="277" t="s">
        <v>73</v>
      </c>
      <c r="B193" s="277" t="s">
        <v>74</v>
      </c>
      <c r="C193" s="287">
        <v>46000.0</v>
      </c>
      <c r="D193" s="277" t="s">
        <v>1512</v>
      </c>
      <c r="E193" s="277" t="s">
        <v>1513</v>
      </c>
      <c r="F193" s="277">
        <v>3.518753789E9</v>
      </c>
      <c r="G193" s="343" t="s">
        <v>1514</v>
      </c>
      <c r="H193" s="277" t="s">
        <v>1515</v>
      </c>
      <c r="I193" s="341">
        <v>46000.0</v>
      </c>
      <c r="J193" s="281">
        <v>25.0</v>
      </c>
      <c r="K193" s="282"/>
      <c r="L193" s="277"/>
      <c r="M193" s="277" t="s">
        <v>100</v>
      </c>
      <c r="N193" s="118" t="b">
        <v>1</v>
      </c>
      <c r="O193" s="283"/>
      <c r="P193" s="284" t="s">
        <v>81</v>
      </c>
      <c r="Q193" s="285" t="b">
        <v>1</v>
      </c>
      <c r="R193" s="285" t="b">
        <v>0</v>
      </c>
      <c r="S193" s="286" t="b">
        <v>0</v>
      </c>
    </row>
    <row r="194" outlineLevel="1">
      <c r="A194" s="277" t="s">
        <v>73</v>
      </c>
      <c r="B194" s="277" t="s">
        <v>74</v>
      </c>
      <c r="C194" s="287">
        <v>46000.0</v>
      </c>
      <c r="D194" s="277" t="s">
        <v>441</v>
      </c>
      <c r="E194" s="277" t="s">
        <v>442</v>
      </c>
      <c r="F194" s="277">
        <v>3.299234249E9</v>
      </c>
      <c r="G194" s="324" t="s">
        <v>443</v>
      </c>
      <c r="H194" s="277" t="s">
        <v>444</v>
      </c>
      <c r="I194" s="341">
        <v>46000.0</v>
      </c>
      <c r="J194" s="293"/>
      <c r="K194" s="282">
        <v>20.0</v>
      </c>
      <c r="L194" s="277" t="s">
        <v>970</v>
      </c>
      <c r="M194" s="277" t="s">
        <v>100</v>
      </c>
      <c r="N194" s="118" t="b">
        <v>1</v>
      </c>
      <c r="O194" s="283"/>
      <c r="P194" s="284" t="s">
        <v>81</v>
      </c>
      <c r="Q194" s="285" t="b">
        <v>1</v>
      </c>
      <c r="R194" s="285" t="b">
        <v>0</v>
      </c>
      <c r="S194" s="286" t="b">
        <v>0</v>
      </c>
    </row>
    <row r="195" outlineLevel="1">
      <c r="A195" s="277" t="s">
        <v>73</v>
      </c>
      <c r="B195" s="277" t="s">
        <v>74</v>
      </c>
      <c r="C195" s="287">
        <v>46001.0</v>
      </c>
      <c r="D195" s="277" t="s">
        <v>1516</v>
      </c>
      <c r="E195" s="277" t="s">
        <v>1509</v>
      </c>
      <c r="F195" s="277">
        <v>3.465136026E9</v>
      </c>
      <c r="G195" s="343" t="s">
        <v>1517</v>
      </c>
      <c r="H195" s="277" t="s">
        <v>1518</v>
      </c>
      <c r="I195" s="341">
        <v>46001.0</v>
      </c>
      <c r="J195" s="281">
        <v>25.0</v>
      </c>
      <c r="K195" s="282"/>
      <c r="L195" s="277"/>
      <c r="M195" s="277" t="s">
        <v>80</v>
      </c>
      <c r="N195" s="118" t="b">
        <v>1</v>
      </c>
      <c r="O195" s="283"/>
      <c r="P195" s="284" t="s">
        <v>81</v>
      </c>
      <c r="Q195" s="285" t="b">
        <v>0</v>
      </c>
      <c r="R195" s="285" t="b">
        <v>0</v>
      </c>
      <c r="S195" s="286" t="b">
        <v>0</v>
      </c>
    </row>
    <row r="196" outlineLevel="1">
      <c r="A196" s="277" t="s">
        <v>73</v>
      </c>
      <c r="B196" s="277" t="s">
        <v>74</v>
      </c>
      <c r="C196" s="287">
        <v>46001.0</v>
      </c>
      <c r="D196" s="277" t="s">
        <v>1519</v>
      </c>
      <c r="E196" s="277" t="s">
        <v>1520</v>
      </c>
      <c r="F196" s="277">
        <v>3.515808555E9</v>
      </c>
      <c r="G196" s="343" t="s">
        <v>1521</v>
      </c>
      <c r="H196" s="277" t="s">
        <v>1522</v>
      </c>
      <c r="I196" s="341">
        <v>46001.0</v>
      </c>
      <c r="J196" s="281"/>
      <c r="K196" s="282">
        <v>20.0</v>
      </c>
      <c r="L196" s="277" t="s">
        <v>970</v>
      </c>
      <c r="M196" s="277" t="s">
        <v>100</v>
      </c>
      <c r="N196" s="118" t="b">
        <v>1</v>
      </c>
      <c r="O196" s="283"/>
      <c r="P196" s="284" t="s">
        <v>81</v>
      </c>
      <c r="Q196" s="285" t="b">
        <v>1</v>
      </c>
      <c r="R196" s="285" t="b">
        <v>0</v>
      </c>
      <c r="S196" s="286" t="b">
        <v>0</v>
      </c>
    </row>
    <row r="197" outlineLevel="1">
      <c r="A197" s="277" t="s">
        <v>73</v>
      </c>
      <c r="B197" s="277" t="s">
        <v>74</v>
      </c>
      <c r="C197" s="287">
        <v>46001.0</v>
      </c>
      <c r="D197" s="277" t="s">
        <v>1508</v>
      </c>
      <c r="E197" s="277" t="s">
        <v>1523</v>
      </c>
      <c r="F197" s="277">
        <v>3.273608627E9</v>
      </c>
      <c r="G197" s="324" t="s">
        <v>1524</v>
      </c>
      <c r="H197" s="277" t="s">
        <v>1525</v>
      </c>
      <c r="I197" s="341">
        <v>46001.0</v>
      </c>
      <c r="J197" s="293"/>
      <c r="K197" s="282">
        <v>20.0</v>
      </c>
      <c r="L197" s="277" t="s">
        <v>970</v>
      </c>
      <c r="M197" s="277" t="s">
        <v>100</v>
      </c>
      <c r="N197" s="118" t="b">
        <v>0</v>
      </c>
      <c r="O197" s="283"/>
      <c r="P197" s="284" t="s">
        <v>81</v>
      </c>
      <c r="Q197" s="285" t="b">
        <v>1</v>
      </c>
      <c r="R197" s="285" t="b">
        <v>0</v>
      </c>
      <c r="S197" s="286" t="b">
        <v>0</v>
      </c>
    </row>
    <row r="198" outlineLevel="1">
      <c r="A198" s="277" t="s">
        <v>73</v>
      </c>
      <c r="B198" s="277" t="s">
        <v>74</v>
      </c>
      <c r="C198" s="287">
        <v>46001.0</v>
      </c>
      <c r="D198" s="277" t="s">
        <v>1526</v>
      </c>
      <c r="E198" s="277" t="s">
        <v>1527</v>
      </c>
      <c r="F198" s="277">
        <v>3.485861941E9</v>
      </c>
      <c r="G198" s="343" t="s">
        <v>1528</v>
      </c>
      <c r="H198" s="277" t="s">
        <v>1529</v>
      </c>
      <c r="I198" s="341">
        <v>46001.0</v>
      </c>
      <c r="J198" s="281"/>
      <c r="K198" s="282">
        <v>20.0</v>
      </c>
      <c r="L198" s="277" t="s">
        <v>970</v>
      </c>
      <c r="M198" s="277" t="s">
        <v>100</v>
      </c>
      <c r="N198" s="118" t="b">
        <v>1</v>
      </c>
      <c r="O198" s="283"/>
      <c r="P198" s="284" t="s">
        <v>81</v>
      </c>
      <c r="Q198" s="285" t="b">
        <v>1</v>
      </c>
      <c r="R198" s="285" t="b">
        <v>0</v>
      </c>
      <c r="S198" s="286" t="b">
        <v>0</v>
      </c>
    </row>
    <row r="199" outlineLevel="1">
      <c r="A199" s="277" t="s">
        <v>73</v>
      </c>
      <c r="B199" s="277" t="s">
        <v>74</v>
      </c>
      <c r="C199" s="287">
        <v>46001.0</v>
      </c>
      <c r="D199" s="277" t="s">
        <v>1530</v>
      </c>
      <c r="E199" s="277" t="s">
        <v>1531</v>
      </c>
      <c r="F199" s="277">
        <v>3.420803341E9</v>
      </c>
      <c r="G199" s="324" t="s">
        <v>1532</v>
      </c>
      <c r="H199" s="277" t="s">
        <v>1533</v>
      </c>
      <c r="I199" s="341">
        <v>46001.0</v>
      </c>
      <c r="J199" s="281">
        <v>25.0</v>
      </c>
      <c r="K199" s="282"/>
      <c r="L199" s="277"/>
      <c r="M199" s="277" t="s">
        <v>100</v>
      </c>
      <c r="N199" s="118" t="b">
        <v>1</v>
      </c>
      <c r="O199" s="283"/>
      <c r="P199" s="284" t="s">
        <v>81</v>
      </c>
      <c r="Q199" s="285" t="b">
        <v>1</v>
      </c>
      <c r="R199" s="285" t="b">
        <v>0</v>
      </c>
      <c r="S199" s="286" t="b">
        <v>0</v>
      </c>
    </row>
    <row r="200" outlineLevel="1">
      <c r="A200" s="277" t="s">
        <v>73</v>
      </c>
      <c r="B200" s="277" t="s">
        <v>74</v>
      </c>
      <c r="C200" s="287">
        <v>46001.0</v>
      </c>
      <c r="D200" s="277" t="s">
        <v>1534</v>
      </c>
      <c r="E200" s="277" t="s">
        <v>12</v>
      </c>
      <c r="F200" s="277">
        <v>3.311365763E9</v>
      </c>
      <c r="G200" s="324" t="s">
        <v>1535</v>
      </c>
      <c r="H200" s="277" t="s">
        <v>1536</v>
      </c>
      <c r="I200" s="341">
        <v>46001.0</v>
      </c>
      <c r="J200" s="281">
        <v>25.0</v>
      </c>
      <c r="K200" s="282"/>
      <c r="L200" s="277"/>
      <c r="M200" s="277" t="s">
        <v>100</v>
      </c>
      <c r="N200" s="118" t="b">
        <v>1</v>
      </c>
      <c r="O200" s="283"/>
      <c r="P200" s="284" t="s">
        <v>81</v>
      </c>
      <c r="Q200" s="285" t="b">
        <v>1</v>
      </c>
      <c r="R200" s="285" t="b">
        <v>0</v>
      </c>
      <c r="S200" s="286" t="b">
        <v>0</v>
      </c>
    </row>
    <row r="201" outlineLevel="1">
      <c r="A201" s="277" t="s">
        <v>73</v>
      </c>
      <c r="B201" s="277" t="s">
        <v>74</v>
      </c>
      <c r="C201" s="287">
        <v>46001.0</v>
      </c>
      <c r="D201" s="277" t="s">
        <v>1537</v>
      </c>
      <c r="E201" s="277" t="s">
        <v>1538</v>
      </c>
      <c r="F201" s="277">
        <v>3.496227976E9</v>
      </c>
      <c r="G201" s="324" t="s">
        <v>1539</v>
      </c>
      <c r="H201" s="277" t="s">
        <v>1540</v>
      </c>
      <c r="I201" s="341">
        <v>46001.0</v>
      </c>
      <c r="J201" s="293"/>
      <c r="K201" s="282">
        <v>20.0</v>
      </c>
      <c r="L201" s="277" t="s">
        <v>981</v>
      </c>
      <c r="M201" s="277" t="s">
        <v>100</v>
      </c>
      <c r="N201" s="118" t="b">
        <v>1</v>
      </c>
      <c r="O201" s="283"/>
      <c r="P201" s="284" t="s">
        <v>81</v>
      </c>
      <c r="Q201" s="285" t="b">
        <v>1</v>
      </c>
      <c r="R201" s="285" t="b">
        <v>0</v>
      </c>
      <c r="S201" s="286" t="b">
        <v>0</v>
      </c>
    </row>
    <row r="202" outlineLevel="1">
      <c r="A202" s="277" t="s">
        <v>73</v>
      </c>
      <c r="B202" s="277" t="s">
        <v>74</v>
      </c>
      <c r="C202" s="287">
        <v>46002.0</v>
      </c>
      <c r="D202" s="277" t="s">
        <v>1541</v>
      </c>
      <c r="E202" s="277" t="s">
        <v>434</v>
      </c>
      <c r="F202" s="277">
        <v>3.463837569E9</v>
      </c>
      <c r="G202" s="324" t="s">
        <v>1542</v>
      </c>
      <c r="H202" s="277" t="s">
        <v>1543</v>
      </c>
      <c r="I202" s="341">
        <v>46002.0</v>
      </c>
      <c r="J202" s="293"/>
      <c r="K202" s="282">
        <v>20.0</v>
      </c>
      <c r="L202" s="277" t="s">
        <v>970</v>
      </c>
      <c r="M202" s="277" t="s">
        <v>100</v>
      </c>
      <c r="N202" s="118" t="b">
        <v>1</v>
      </c>
      <c r="O202" s="283"/>
      <c r="P202" s="284" t="s">
        <v>81</v>
      </c>
      <c r="Q202" s="285" t="b">
        <v>1</v>
      </c>
      <c r="R202" s="285" t="b">
        <v>0</v>
      </c>
      <c r="S202" s="286" t="b">
        <v>0</v>
      </c>
    </row>
    <row r="203" outlineLevel="1">
      <c r="A203" s="277" t="s">
        <v>368</v>
      </c>
      <c r="B203" s="277" t="s">
        <v>369</v>
      </c>
      <c r="C203" s="287">
        <v>46002.0</v>
      </c>
      <c r="D203" s="277" t="s">
        <v>1544</v>
      </c>
      <c r="E203" s="277" t="s">
        <v>1545</v>
      </c>
      <c r="F203" s="277">
        <v>3.387570269E9</v>
      </c>
      <c r="G203" s="342" t="s">
        <v>1546</v>
      </c>
      <c r="H203" s="277" t="s">
        <v>1547</v>
      </c>
      <c r="I203" s="341">
        <v>46002.0</v>
      </c>
      <c r="J203" s="293"/>
      <c r="K203" s="282">
        <v>20.0</v>
      </c>
      <c r="L203" s="277" t="s">
        <v>1003</v>
      </c>
      <c r="M203" s="277" t="s">
        <v>162</v>
      </c>
      <c r="N203" s="118" t="b">
        <v>1</v>
      </c>
      <c r="O203" s="283"/>
      <c r="P203" s="284" t="s">
        <v>81</v>
      </c>
      <c r="Q203" s="285" t="b">
        <v>1</v>
      </c>
      <c r="R203" s="285" t="b">
        <v>0</v>
      </c>
      <c r="S203" s="286" t="b">
        <v>0</v>
      </c>
    </row>
    <row r="204" outlineLevel="1">
      <c r="A204" s="277" t="s">
        <v>368</v>
      </c>
      <c r="B204" s="277" t="s">
        <v>369</v>
      </c>
      <c r="C204" s="287">
        <v>46002.0</v>
      </c>
      <c r="D204" s="277" t="s">
        <v>1548</v>
      </c>
      <c r="E204" s="277" t="s">
        <v>1454</v>
      </c>
      <c r="F204" s="277">
        <v>3.355799743E9</v>
      </c>
      <c r="G204" s="324" t="s">
        <v>1549</v>
      </c>
      <c r="H204" s="277" t="s">
        <v>1550</v>
      </c>
      <c r="I204" s="341">
        <v>46002.0</v>
      </c>
      <c r="J204" s="293"/>
      <c r="K204" s="282">
        <v>20.0</v>
      </c>
      <c r="L204" s="277" t="s">
        <v>1003</v>
      </c>
      <c r="M204" s="277" t="s">
        <v>100</v>
      </c>
      <c r="N204" s="118" t="b">
        <v>1</v>
      </c>
      <c r="O204" s="283"/>
      <c r="P204" s="284" t="s">
        <v>81</v>
      </c>
      <c r="Q204" s="285" t="b">
        <v>1</v>
      </c>
      <c r="R204" s="285" t="b">
        <v>0</v>
      </c>
      <c r="S204" s="286" t="b">
        <v>0</v>
      </c>
    </row>
    <row r="205" outlineLevel="1">
      <c r="A205" s="277" t="s">
        <v>368</v>
      </c>
      <c r="B205" s="277" t="s">
        <v>369</v>
      </c>
      <c r="C205" s="287">
        <v>46002.0</v>
      </c>
      <c r="D205" s="277" t="s">
        <v>1551</v>
      </c>
      <c r="E205" s="277" t="s">
        <v>1509</v>
      </c>
      <c r="F205" s="277">
        <v>3.389736478E9</v>
      </c>
      <c r="G205" s="324" t="s">
        <v>1552</v>
      </c>
      <c r="H205" s="277" t="s">
        <v>1553</v>
      </c>
      <c r="I205" s="341">
        <v>46002.0</v>
      </c>
      <c r="J205" s="281"/>
      <c r="K205" s="282">
        <v>20.0</v>
      </c>
      <c r="L205" s="277" t="s">
        <v>1003</v>
      </c>
      <c r="M205" s="277" t="s">
        <v>100</v>
      </c>
      <c r="N205" s="118" t="b">
        <v>1</v>
      </c>
      <c r="O205" s="283"/>
      <c r="P205" s="284" t="s">
        <v>81</v>
      </c>
      <c r="Q205" s="285" t="b">
        <v>1</v>
      </c>
      <c r="R205" s="285" t="b">
        <v>0</v>
      </c>
      <c r="S205" s="286" t="b">
        <v>0</v>
      </c>
    </row>
    <row r="206" outlineLevel="1">
      <c r="A206" s="277" t="s">
        <v>368</v>
      </c>
      <c r="B206" s="277" t="s">
        <v>369</v>
      </c>
      <c r="C206" s="287">
        <v>46002.0</v>
      </c>
      <c r="D206" s="277" t="s">
        <v>1554</v>
      </c>
      <c r="E206" s="277" t="s">
        <v>12</v>
      </c>
      <c r="F206" s="277">
        <v>3.472666156E9</v>
      </c>
      <c r="G206" s="324" t="s">
        <v>1555</v>
      </c>
      <c r="H206" s="277" t="s">
        <v>1556</v>
      </c>
      <c r="I206" s="341">
        <v>46002.0</v>
      </c>
      <c r="J206" s="293"/>
      <c r="K206" s="282">
        <v>20.0</v>
      </c>
      <c r="L206" s="277" t="s">
        <v>1003</v>
      </c>
      <c r="M206" s="277" t="s">
        <v>162</v>
      </c>
      <c r="N206" s="118" t="b">
        <v>1</v>
      </c>
      <c r="O206" s="283"/>
      <c r="P206" s="284" t="s">
        <v>81</v>
      </c>
      <c r="Q206" s="285" t="b">
        <v>1</v>
      </c>
      <c r="R206" s="285" t="b">
        <v>0</v>
      </c>
      <c r="S206" s="286" t="b">
        <v>0</v>
      </c>
    </row>
    <row r="207" outlineLevel="1">
      <c r="A207" s="277" t="s">
        <v>368</v>
      </c>
      <c r="B207" s="277" t="s">
        <v>369</v>
      </c>
      <c r="C207" s="287">
        <v>46002.0</v>
      </c>
      <c r="D207" s="277" t="s">
        <v>1557</v>
      </c>
      <c r="E207" s="277" t="s">
        <v>1558</v>
      </c>
      <c r="F207" s="277">
        <v>3.28542638E9</v>
      </c>
      <c r="G207" s="324" t="s">
        <v>1559</v>
      </c>
      <c r="H207" s="277" t="s">
        <v>1559</v>
      </c>
      <c r="I207" s="341">
        <v>46002.0</v>
      </c>
      <c r="J207" s="293"/>
      <c r="K207" s="282">
        <v>20.0</v>
      </c>
      <c r="L207" s="277" t="s">
        <v>1003</v>
      </c>
      <c r="M207" s="277" t="s">
        <v>162</v>
      </c>
      <c r="N207" s="118" t="b">
        <v>1</v>
      </c>
      <c r="O207" s="283"/>
      <c r="P207" s="284" t="s">
        <v>81</v>
      </c>
      <c r="Q207" s="285" t="b">
        <v>1</v>
      </c>
      <c r="R207" s="285" t="b">
        <v>0</v>
      </c>
      <c r="S207" s="286" t="b">
        <v>0</v>
      </c>
    </row>
    <row r="208" outlineLevel="1">
      <c r="A208" s="277" t="s">
        <v>611</v>
      </c>
      <c r="B208" s="277" t="s">
        <v>74</v>
      </c>
      <c r="C208" s="287">
        <v>46002.0</v>
      </c>
      <c r="D208" s="277" t="s">
        <v>1560</v>
      </c>
      <c r="E208" s="277" t="s">
        <v>1561</v>
      </c>
      <c r="F208" s="277">
        <v>3.47500409E9</v>
      </c>
      <c r="G208" s="324" t="s">
        <v>1562</v>
      </c>
      <c r="H208" s="277" t="s">
        <v>1563</v>
      </c>
      <c r="I208" s="341">
        <v>46002.0</v>
      </c>
      <c r="J208" s="293"/>
      <c r="K208" s="282">
        <v>20.0</v>
      </c>
      <c r="L208" s="277" t="s">
        <v>1053</v>
      </c>
      <c r="M208" s="277" t="s">
        <v>100</v>
      </c>
      <c r="N208" s="118" t="b">
        <v>1</v>
      </c>
      <c r="O208" s="283"/>
      <c r="P208" s="284" t="s">
        <v>81</v>
      </c>
      <c r="Q208" s="285" t="b">
        <v>1</v>
      </c>
      <c r="R208" s="285" t="b">
        <v>0</v>
      </c>
      <c r="S208" s="286" t="b">
        <v>0</v>
      </c>
    </row>
    <row r="209" outlineLevel="1">
      <c r="A209" s="277" t="s">
        <v>101</v>
      </c>
      <c r="B209" s="277" t="s">
        <v>102</v>
      </c>
      <c r="C209" s="287">
        <v>46003.0</v>
      </c>
      <c r="D209" s="277" t="s">
        <v>1564</v>
      </c>
      <c r="E209" s="277" t="s">
        <v>421</v>
      </c>
      <c r="F209" s="277">
        <v>3.3146264E9</v>
      </c>
      <c r="G209" s="324" t="s">
        <v>1565</v>
      </c>
      <c r="H209" s="277" t="s">
        <v>1566</v>
      </c>
      <c r="I209" s="341">
        <v>46003.0</v>
      </c>
      <c r="J209" s="293"/>
      <c r="K209" s="282">
        <v>20.0</v>
      </c>
      <c r="L209" s="277" t="s">
        <v>986</v>
      </c>
      <c r="M209" s="277" t="s">
        <v>162</v>
      </c>
      <c r="N209" s="118" t="b">
        <v>1</v>
      </c>
      <c r="O209" s="283"/>
      <c r="P209" s="284" t="s">
        <v>81</v>
      </c>
      <c r="Q209" s="285" t="b">
        <v>1</v>
      </c>
      <c r="R209" s="285" t="b">
        <v>0</v>
      </c>
      <c r="S209" s="286" t="b">
        <v>0</v>
      </c>
    </row>
    <row r="210" outlineLevel="1">
      <c r="A210" s="277" t="s">
        <v>611</v>
      </c>
      <c r="B210" s="277" t="s">
        <v>74</v>
      </c>
      <c r="C210" s="287">
        <v>46004.0</v>
      </c>
      <c r="D210" s="277" t="s">
        <v>1567</v>
      </c>
      <c r="E210" s="277" t="s">
        <v>407</v>
      </c>
      <c r="F210" s="277">
        <v>3.476952976E9</v>
      </c>
      <c r="G210" s="344" t="s">
        <v>1568</v>
      </c>
      <c r="H210" s="277" t="s">
        <v>1569</v>
      </c>
      <c r="I210" s="287">
        <v>46004.0</v>
      </c>
      <c r="J210" s="281"/>
      <c r="K210" s="282">
        <v>20.0</v>
      </c>
      <c r="L210" s="277" t="s">
        <v>1003</v>
      </c>
      <c r="M210" s="277" t="s">
        <v>80</v>
      </c>
      <c r="N210" s="118" t="b">
        <v>1</v>
      </c>
      <c r="O210" s="283"/>
      <c r="P210" s="284" t="s">
        <v>81</v>
      </c>
      <c r="Q210" s="285" t="b">
        <v>1</v>
      </c>
      <c r="R210" s="285" t="b">
        <v>0</v>
      </c>
      <c r="S210" s="286" t="b">
        <v>0</v>
      </c>
    </row>
    <row r="211" outlineLevel="1">
      <c r="A211" s="277" t="s">
        <v>611</v>
      </c>
      <c r="B211" s="277" t="s">
        <v>74</v>
      </c>
      <c r="C211" s="287">
        <v>46004.0</v>
      </c>
      <c r="D211" s="277" t="s">
        <v>1570</v>
      </c>
      <c r="E211" s="277" t="s">
        <v>1509</v>
      </c>
      <c r="F211" s="277">
        <v>3.518635362E9</v>
      </c>
      <c r="G211" s="324" t="s">
        <v>1571</v>
      </c>
      <c r="H211" s="277" t="s">
        <v>1572</v>
      </c>
      <c r="I211" s="341">
        <v>46004.0</v>
      </c>
      <c r="J211" s="293"/>
      <c r="K211" s="282">
        <v>20.0</v>
      </c>
      <c r="L211" s="277" t="s">
        <v>986</v>
      </c>
      <c r="M211" s="277" t="s">
        <v>100</v>
      </c>
      <c r="N211" s="118" t="b">
        <v>1</v>
      </c>
      <c r="O211" s="283"/>
      <c r="P211" s="284" t="s">
        <v>81</v>
      </c>
      <c r="Q211" s="285" t="b">
        <v>1</v>
      </c>
      <c r="R211" s="285" t="b">
        <v>0</v>
      </c>
      <c r="S211" s="286" t="b">
        <v>0</v>
      </c>
    </row>
    <row r="212" outlineLevel="1">
      <c r="A212" s="277" t="s">
        <v>611</v>
      </c>
      <c r="B212" s="277" t="s">
        <v>74</v>
      </c>
      <c r="C212" s="287">
        <v>46004.0</v>
      </c>
      <c r="D212" s="277" t="s">
        <v>1573</v>
      </c>
      <c r="E212" s="277" t="s">
        <v>1574</v>
      </c>
      <c r="F212" s="277">
        <v>3.342708618E9</v>
      </c>
      <c r="G212" s="324" t="s">
        <v>1575</v>
      </c>
      <c r="H212" s="277" t="s">
        <v>1576</v>
      </c>
      <c r="I212" s="341">
        <v>46004.0</v>
      </c>
      <c r="J212" s="281"/>
      <c r="K212" s="282">
        <v>20.0</v>
      </c>
      <c r="L212" s="277" t="s">
        <v>1053</v>
      </c>
      <c r="M212" s="277" t="s">
        <v>100</v>
      </c>
      <c r="N212" s="118" t="b">
        <v>1</v>
      </c>
      <c r="O212" s="283"/>
      <c r="P212" s="284" t="s">
        <v>81</v>
      </c>
      <c r="Q212" s="285" t="b">
        <v>1</v>
      </c>
      <c r="R212" s="285" t="b">
        <v>0</v>
      </c>
      <c r="S212" s="286" t="b">
        <v>0</v>
      </c>
    </row>
    <row r="213" outlineLevel="1">
      <c r="A213" s="277" t="s">
        <v>611</v>
      </c>
      <c r="B213" s="277" t="s">
        <v>74</v>
      </c>
      <c r="C213" s="287">
        <v>46004.0</v>
      </c>
      <c r="D213" s="277" t="s">
        <v>1577</v>
      </c>
      <c r="E213" s="277" t="s">
        <v>1578</v>
      </c>
      <c r="F213" s="277">
        <v>3.899855586E9</v>
      </c>
      <c r="G213" s="342" t="s">
        <v>1579</v>
      </c>
      <c r="H213" s="277" t="s">
        <v>1580</v>
      </c>
      <c r="I213" s="341">
        <v>46004.0</v>
      </c>
      <c r="J213" s="293"/>
      <c r="K213" s="282">
        <v>20.0</v>
      </c>
      <c r="L213" s="277" t="s">
        <v>1053</v>
      </c>
      <c r="M213" s="277" t="s">
        <v>80</v>
      </c>
      <c r="N213" s="118" t="b">
        <v>1</v>
      </c>
      <c r="O213" s="283"/>
      <c r="P213" s="284" t="s">
        <v>81</v>
      </c>
      <c r="Q213" s="285" t="b">
        <v>0</v>
      </c>
      <c r="R213" s="285" t="b">
        <v>0</v>
      </c>
      <c r="S213" s="286" t="b">
        <v>0</v>
      </c>
    </row>
    <row r="214" outlineLevel="1">
      <c r="A214" s="277" t="s">
        <v>611</v>
      </c>
      <c r="B214" s="277" t="s">
        <v>74</v>
      </c>
      <c r="C214" s="287">
        <v>46004.0</v>
      </c>
      <c r="D214" s="277" t="s">
        <v>1581</v>
      </c>
      <c r="E214" s="277" t="s">
        <v>1538</v>
      </c>
      <c r="F214" s="277">
        <v>3.291815129E9</v>
      </c>
      <c r="G214" s="324" t="s">
        <v>1582</v>
      </c>
      <c r="H214" s="277" t="s">
        <v>1583</v>
      </c>
      <c r="I214" s="341">
        <v>46004.0</v>
      </c>
      <c r="J214" s="293"/>
      <c r="K214" s="282">
        <v>20.0</v>
      </c>
      <c r="L214" s="277" t="s">
        <v>981</v>
      </c>
      <c r="M214" s="277" t="s">
        <v>100</v>
      </c>
      <c r="N214" s="118" t="b">
        <v>1</v>
      </c>
      <c r="O214" s="283"/>
      <c r="P214" s="284" t="s">
        <v>81</v>
      </c>
      <c r="Q214" s="285" t="b">
        <v>1</v>
      </c>
      <c r="R214" s="285" t="b">
        <v>0</v>
      </c>
      <c r="S214" s="286" t="b">
        <v>0</v>
      </c>
    </row>
    <row r="215" outlineLevel="1">
      <c r="A215" s="277" t="s">
        <v>611</v>
      </c>
      <c r="B215" s="277" t="s">
        <v>74</v>
      </c>
      <c r="C215" s="287">
        <v>46004.0</v>
      </c>
      <c r="D215" s="277" t="s">
        <v>1584</v>
      </c>
      <c r="E215" s="277" t="s">
        <v>1585</v>
      </c>
      <c r="F215" s="277">
        <v>3.392488815E9</v>
      </c>
      <c r="G215" s="342" t="s">
        <v>1586</v>
      </c>
      <c r="H215" s="277" t="s">
        <v>1587</v>
      </c>
      <c r="I215" s="341">
        <v>46004.0</v>
      </c>
      <c r="J215" s="281"/>
      <c r="K215" s="282">
        <v>20.0</v>
      </c>
      <c r="L215" s="277" t="s">
        <v>1003</v>
      </c>
      <c r="M215" s="277" t="s">
        <v>100</v>
      </c>
      <c r="N215" s="118" t="b">
        <v>0</v>
      </c>
      <c r="O215" s="283"/>
      <c r="P215" s="284" t="s">
        <v>81</v>
      </c>
      <c r="Q215" s="285" t="b">
        <v>1</v>
      </c>
      <c r="R215" s="285" t="b">
        <v>0</v>
      </c>
      <c r="S215" s="286" t="b">
        <v>0</v>
      </c>
    </row>
    <row r="216" outlineLevel="1">
      <c r="A216" s="277" t="s">
        <v>611</v>
      </c>
      <c r="B216" s="277" t="s">
        <v>74</v>
      </c>
      <c r="C216" s="287">
        <v>46004.0</v>
      </c>
      <c r="D216" s="277" t="s">
        <v>1588</v>
      </c>
      <c r="E216" s="277" t="s">
        <v>1589</v>
      </c>
      <c r="F216" s="277">
        <v>3.518902806E9</v>
      </c>
      <c r="G216" s="324" t="s">
        <v>1590</v>
      </c>
      <c r="H216" s="277" t="s">
        <v>1591</v>
      </c>
      <c r="I216" s="341">
        <v>46004.0</v>
      </c>
      <c r="J216" s="281"/>
      <c r="K216" s="282">
        <v>20.0</v>
      </c>
      <c r="L216" s="277" t="s">
        <v>1003</v>
      </c>
      <c r="M216" s="277" t="s">
        <v>100</v>
      </c>
      <c r="N216" s="118" t="b">
        <v>1</v>
      </c>
      <c r="O216" s="283"/>
      <c r="P216" s="284" t="s">
        <v>81</v>
      </c>
      <c r="Q216" s="285" t="b">
        <v>1</v>
      </c>
      <c r="R216" s="285" t="b">
        <v>0</v>
      </c>
      <c r="S216" s="286" t="b">
        <v>0</v>
      </c>
    </row>
    <row r="217" outlineLevel="1">
      <c r="A217" s="277" t="s">
        <v>611</v>
      </c>
      <c r="B217" s="277" t="s">
        <v>74</v>
      </c>
      <c r="C217" s="287">
        <v>46005.0</v>
      </c>
      <c r="D217" s="277" t="s">
        <v>1592</v>
      </c>
      <c r="E217" s="277" t="s">
        <v>1593</v>
      </c>
      <c r="F217" s="277">
        <v>3.899580502E9</v>
      </c>
      <c r="G217" s="324" t="s">
        <v>1594</v>
      </c>
      <c r="H217" s="277" t="s">
        <v>1595</v>
      </c>
      <c r="I217" s="341">
        <v>46005.0</v>
      </c>
      <c r="J217" s="281"/>
      <c r="K217" s="282">
        <v>20.0</v>
      </c>
      <c r="L217" s="277" t="s">
        <v>970</v>
      </c>
      <c r="M217" s="277" t="s">
        <v>100</v>
      </c>
      <c r="N217" s="118" t="b">
        <v>1</v>
      </c>
      <c r="O217" s="283"/>
      <c r="P217" s="284" t="s">
        <v>81</v>
      </c>
      <c r="Q217" s="285" t="b">
        <v>1</v>
      </c>
      <c r="R217" s="285" t="b">
        <v>0</v>
      </c>
      <c r="S217" s="286" t="b">
        <v>0</v>
      </c>
    </row>
    <row r="218" outlineLevel="1">
      <c r="A218" s="277" t="s">
        <v>368</v>
      </c>
      <c r="B218" s="277" t="s">
        <v>369</v>
      </c>
      <c r="C218" s="287">
        <v>46004.0</v>
      </c>
      <c r="D218" s="336" t="s">
        <v>1383</v>
      </c>
      <c r="E218" s="334" t="s">
        <v>1384</v>
      </c>
      <c r="F218" s="140">
        <v>3.294021527E9</v>
      </c>
      <c r="G218" s="334" t="s">
        <v>1385</v>
      </c>
      <c r="H218" s="334" t="s">
        <v>1386</v>
      </c>
      <c r="I218" s="337">
        <v>46004.0</v>
      </c>
      <c r="J218" s="303"/>
      <c r="K218" s="338">
        <v>20.0</v>
      </c>
      <c r="L218" s="336" t="s">
        <v>1003</v>
      </c>
      <c r="M218" s="334" t="s">
        <v>100</v>
      </c>
      <c r="N218" s="118" t="b">
        <v>1</v>
      </c>
      <c r="O218" s="283"/>
      <c r="P218" s="284" t="s">
        <v>81</v>
      </c>
      <c r="Q218" s="285" t="b">
        <v>1</v>
      </c>
      <c r="R218" s="285" t="b">
        <v>0</v>
      </c>
      <c r="S218" s="286" t="b">
        <v>0</v>
      </c>
    </row>
    <row r="219" outlineLevel="1">
      <c r="A219" s="277"/>
      <c r="B219" s="277"/>
      <c r="C219" s="287"/>
      <c r="D219" s="277"/>
      <c r="E219" s="277"/>
      <c r="F219" s="277"/>
      <c r="G219" s="342"/>
      <c r="H219" s="277"/>
      <c r="I219" s="341"/>
      <c r="J219" s="293"/>
      <c r="K219" s="282"/>
      <c r="L219" s="277"/>
      <c r="M219" s="277"/>
      <c r="N219" s="118" t="b">
        <v>0</v>
      </c>
      <c r="O219" s="283"/>
      <c r="P219" s="284"/>
      <c r="Q219" s="285" t="b">
        <v>0</v>
      </c>
      <c r="R219" s="285" t="b">
        <v>0</v>
      </c>
      <c r="S219" s="286" t="b">
        <v>0</v>
      </c>
    </row>
    <row r="220" outlineLevel="1">
      <c r="A220" s="277"/>
      <c r="B220" s="277"/>
      <c r="C220" s="287"/>
      <c r="D220" s="277"/>
      <c r="E220" s="277"/>
      <c r="F220" s="277"/>
      <c r="G220" s="324"/>
      <c r="H220" s="277"/>
      <c r="I220" s="341"/>
      <c r="J220" s="281"/>
      <c r="K220" s="282"/>
      <c r="L220" s="277"/>
      <c r="M220" s="277"/>
      <c r="N220" s="118" t="b">
        <v>0</v>
      </c>
      <c r="O220" s="283"/>
      <c r="P220" s="284"/>
      <c r="Q220" s="285" t="b">
        <v>0</v>
      </c>
      <c r="R220" s="285" t="b">
        <v>0</v>
      </c>
      <c r="S220" s="286" t="b">
        <v>0</v>
      </c>
    </row>
    <row r="221" outlineLevel="1">
      <c r="A221" s="277"/>
      <c r="B221" s="277"/>
      <c r="C221" s="287"/>
      <c r="D221" s="277"/>
      <c r="E221" s="277"/>
      <c r="F221" s="277"/>
      <c r="G221" s="342"/>
      <c r="H221" s="277"/>
      <c r="I221" s="341"/>
      <c r="J221" s="293"/>
      <c r="K221" s="282"/>
      <c r="L221" s="277"/>
      <c r="M221" s="277"/>
      <c r="N221" s="118" t="b">
        <v>0</v>
      </c>
      <c r="O221" s="283"/>
      <c r="P221" s="284"/>
      <c r="Q221" s="285" t="b">
        <v>0</v>
      </c>
      <c r="R221" s="285" t="b">
        <v>0</v>
      </c>
      <c r="S221" s="286" t="b">
        <v>0</v>
      </c>
    </row>
    <row r="222" outlineLevel="1">
      <c r="A222" s="277"/>
      <c r="B222" s="277"/>
      <c r="C222" s="287"/>
      <c r="D222" s="277"/>
      <c r="E222" s="277"/>
      <c r="F222" s="277"/>
      <c r="G222" s="324"/>
      <c r="H222" s="277"/>
      <c r="I222" s="341"/>
      <c r="J222" s="293"/>
      <c r="K222" s="282"/>
      <c r="L222" s="277"/>
      <c r="M222" s="277"/>
      <c r="N222" s="118" t="b">
        <v>0</v>
      </c>
      <c r="O222" s="283"/>
      <c r="P222" s="284"/>
      <c r="Q222" s="285" t="b">
        <v>0</v>
      </c>
      <c r="R222" s="285" t="b">
        <v>0</v>
      </c>
      <c r="S222" s="286" t="b">
        <v>0</v>
      </c>
    </row>
    <row r="223" outlineLevel="1">
      <c r="A223" s="277"/>
      <c r="B223" s="277"/>
      <c r="C223" s="287"/>
      <c r="D223" s="277"/>
      <c r="E223" s="277"/>
      <c r="F223" s="277"/>
      <c r="G223" s="342"/>
      <c r="H223" s="277"/>
      <c r="I223" s="341"/>
      <c r="J223" s="293"/>
      <c r="K223" s="282"/>
      <c r="L223" s="277"/>
      <c r="M223" s="277"/>
      <c r="N223" s="118" t="b">
        <v>0</v>
      </c>
      <c r="O223" s="283"/>
      <c r="P223" s="284"/>
      <c r="Q223" s="285" t="b">
        <v>0</v>
      </c>
      <c r="R223" s="285" t="b">
        <v>0</v>
      </c>
      <c r="S223" s="286" t="b">
        <v>0</v>
      </c>
    </row>
    <row r="224" outlineLevel="1">
      <c r="A224" s="277"/>
      <c r="B224" s="277"/>
      <c r="C224" s="287"/>
      <c r="D224" s="277"/>
      <c r="E224" s="277"/>
      <c r="F224" s="277"/>
      <c r="G224" s="342"/>
      <c r="H224" s="277"/>
      <c r="I224" s="341"/>
      <c r="J224" s="293"/>
      <c r="K224" s="282"/>
      <c r="L224" s="277"/>
      <c r="M224" s="277"/>
      <c r="N224" s="118" t="b">
        <v>0</v>
      </c>
      <c r="O224" s="283"/>
      <c r="P224" s="284"/>
      <c r="Q224" s="285" t="b">
        <v>0</v>
      </c>
      <c r="R224" s="285" t="b">
        <v>0</v>
      </c>
      <c r="S224" s="286" t="b">
        <v>0</v>
      </c>
    </row>
    <row r="225" outlineLevel="1">
      <c r="A225" s="277"/>
      <c r="B225" s="277"/>
      <c r="C225" s="287"/>
      <c r="D225" s="277"/>
      <c r="E225" s="277"/>
      <c r="F225" s="277"/>
      <c r="G225" s="342"/>
      <c r="H225" s="277"/>
      <c r="I225" s="341"/>
      <c r="J225" s="293"/>
      <c r="K225" s="282"/>
      <c r="L225" s="277"/>
      <c r="M225" s="292"/>
      <c r="N225" s="118" t="b">
        <v>0</v>
      </c>
      <c r="O225" s="283"/>
      <c r="P225" s="284"/>
      <c r="Q225" s="285" t="b">
        <v>0</v>
      </c>
      <c r="R225" s="285" t="b">
        <v>0</v>
      </c>
      <c r="S225" s="286" t="b">
        <v>0</v>
      </c>
    </row>
    <row r="226" outlineLevel="1">
      <c r="A226" s="277"/>
      <c r="B226" s="277"/>
      <c r="C226" s="287"/>
      <c r="D226" s="277"/>
      <c r="E226" s="277"/>
      <c r="F226" s="277"/>
      <c r="G226" s="342"/>
      <c r="H226" s="277"/>
      <c r="I226" s="341"/>
      <c r="J226" s="293"/>
      <c r="K226" s="282"/>
      <c r="L226" s="277"/>
      <c r="M226" s="292"/>
      <c r="N226" s="118" t="b">
        <v>0</v>
      </c>
      <c r="O226" s="283"/>
      <c r="P226" s="284"/>
      <c r="Q226" s="285" t="b">
        <v>0</v>
      </c>
      <c r="R226" s="285" t="b">
        <v>0</v>
      </c>
      <c r="S226" s="286" t="b">
        <v>0</v>
      </c>
    </row>
    <row r="227" outlineLevel="1">
      <c r="A227" s="277"/>
      <c r="B227" s="277"/>
      <c r="C227" s="287"/>
      <c r="D227" s="277"/>
      <c r="E227" s="277"/>
      <c r="F227" s="277"/>
      <c r="G227" s="342"/>
      <c r="H227" s="277"/>
      <c r="I227" s="341"/>
      <c r="J227" s="293"/>
      <c r="K227" s="282"/>
      <c r="L227" s="277"/>
      <c r="M227" s="292"/>
      <c r="N227" s="118" t="b">
        <v>0</v>
      </c>
      <c r="O227" s="283"/>
      <c r="P227" s="284"/>
      <c r="Q227" s="285" t="b">
        <v>0</v>
      </c>
      <c r="R227" s="285" t="b">
        <v>0</v>
      </c>
      <c r="S227" s="286" t="b">
        <v>0</v>
      </c>
    </row>
    <row r="228" outlineLevel="1">
      <c r="A228" s="277"/>
      <c r="B228" s="277"/>
      <c r="C228" s="287"/>
      <c r="D228" s="277"/>
      <c r="E228" s="277"/>
      <c r="F228" s="277"/>
      <c r="G228" s="342"/>
      <c r="H228" s="277"/>
      <c r="I228" s="341"/>
      <c r="J228" s="293"/>
      <c r="K228" s="282"/>
      <c r="L228" s="277"/>
      <c r="M228" s="292"/>
      <c r="N228" s="118" t="b">
        <v>0</v>
      </c>
      <c r="O228" s="283"/>
      <c r="P228" s="284"/>
      <c r="Q228" s="285" t="b">
        <v>0</v>
      </c>
      <c r="R228" s="285" t="b">
        <v>0</v>
      </c>
      <c r="S228" s="286" t="b">
        <v>0</v>
      </c>
    </row>
    <row r="229" outlineLevel="1">
      <c r="A229" s="277"/>
      <c r="B229" s="277"/>
      <c r="C229" s="287"/>
      <c r="D229" s="277"/>
      <c r="E229" s="277"/>
      <c r="F229" s="277"/>
      <c r="G229" s="342"/>
      <c r="H229" s="277"/>
      <c r="I229" s="341"/>
      <c r="J229" s="293"/>
      <c r="K229" s="282"/>
      <c r="L229" s="277"/>
      <c r="M229" s="292"/>
      <c r="N229" s="118" t="b">
        <v>0</v>
      </c>
      <c r="O229" s="283"/>
      <c r="P229" s="284"/>
      <c r="Q229" s="285" t="b">
        <v>0</v>
      </c>
      <c r="R229" s="285" t="b">
        <v>0</v>
      </c>
      <c r="S229" s="286" t="b">
        <v>0</v>
      </c>
    </row>
    <row r="230" outlineLevel="1">
      <c r="A230" s="277"/>
      <c r="B230" s="277"/>
      <c r="C230" s="287"/>
      <c r="D230" s="277"/>
      <c r="E230" s="277"/>
      <c r="F230" s="277"/>
      <c r="G230" s="342"/>
      <c r="H230" s="277"/>
      <c r="I230" s="341"/>
      <c r="J230" s="293"/>
      <c r="K230" s="282"/>
      <c r="L230" s="277"/>
      <c r="M230" s="292"/>
      <c r="N230" s="118" t="b">
        <v>0</v>
      </c>
      <c r="O230" s="283"/>
      <c r="P230" s="284"/>
      <c r="Q230" s="285" t="b">
        <v>0</v>
      </c>
      <c r="R230" s="285" t="b">
        <v>0</v>
      </c>
      <c r="S230" s="286" t="b">
        <v>0</v>
      </c>
    </row>
    <row r="231" outlineLevel="1">
      <c r="A231" s="277"/>
      <c r="B231" s="277"/>
      <c r="C231" s="287"/>
      <c r="D231" s="277"/>
      <c r="E231" s="277"/>
      <c r="F231" s="277"/>
      <c r="G231" s="342"/>
      <c r="H231" s="277"/>
      <c r="I231" s="341"/>
      <c r="J231" s="293"/>
      <c r="K231" s="282"/>
      <c r="L231" s="277"/>
      <c r="M231" s="292"/>
      <c r="N231" s="118" t="b">
        <v>0</v>
      </c>
      <c r="O231" s="283"/>
      <c r="P231" s="284"/>
      <c r="Q231" s="285" t="b">
        <v>0</v>
      </c>
      <c r="R231" s="285" t="b">
        <v>0</v>
      </c>
      <c r="S231" s="286" t="b">
        <v>0</v>
      </c>
    </row>
    <row r="232" outlineLevel="1">
      <c r="A232" s="277"/>
      <c r="B232" s="277"/>
      <c r="C232" s="287"/>
      <c r="D232" s="277"/>
      <c r="E232" s="277"/>
      <c r="F232" s="277"/>
      <c r="G232" s="342"/>
      <c r="H232" s="277"/>
      <c r="I232" s="341"/>
      <c r="J232" s="293"/>
      <c r="K232" s="282"/>
      <c r="L232" s="277"/>
      <c r="M232" s="292"/>
      <c r="N232" s="118" t="b">
        <v>0</v>
      </c>
      <c r="O232" s="283"/>
      <c r="P232" s="284"/>
      <c r="Q232" s="285" t="b">
        <v>0</v>
      </c>
      <c r="R232" s="285" t="b">
        <v>0</v>
      </c>
      <c r="S232" s="286" t="b">
        <v>0</v>
      </c>
    </row>
    <row r="233" outlineLevel="1">
      <c r="A233" s="277"/>
      <c r="B233" s="277"/>
      <c r="C233" s="287"/>
      <c r="D233" s="277"/>
      <c r="E233" s="277"/>
      <c r="F233" s="277"/>
      <c r="G233" s="342"/>
      <c r="H233" s="277"/>
      <c r="I233" s="341"/>
      <c r="J233" s="293"/>
      <c r="K233" s="282"/>
      <c r="L233" s="277"/>
      <c r="M233" s="292"/>
      <c r="N233" s="118" t="b">
        <v>0</v>
      </c>
      <c r="O233" s="283"/>
      <c r="P233" s="284"/>
      <c r="Q233" s="285" t="b">
        <v>0</v>
      </c>
      <c r="R233" s="285" t="b">
        <v>0</v>
      </c>
      <c r="S233" s="286" t="b">
        <v>0</v>
      </c>
    </row>
    <row r="234" outlineLevel="1">
      <c r="A234" s="277"/>
      <c r="B234" s="277"/>
      <c r="C234" s="287"/>
      <c r="D234" s="277"/>
      <c r="E234" s="277"/>
      <c r="F234" s="277"/>
      <c r="G234" s="342"/>
      <c r="H234" s="277"/>
      <c r="I234" s="341"/>
      <c r="J234" s="293"/>
      <c r="K234" s="282"/>
      <c r="L234" s="277"/>
      <c r="M234" s="292"/>
      <c r="N234" s="118" t="b">
        <v>0</v>
      </c>
      <c r="O234" s="283"/>
      <c r="P234" s="284"/>
      <c r="Q234" s="285" t="b">
        <v>0</v>
      </c>
      <c r="R234" s="285" t="b">
        <v>0</v>
      </c>
      <c r="S234" s="286" t="b">
        <v>0</v>
      </c>
    </row>
    <row r="235" outlineLevel="1">
      <c r="A235" s="277"/>
      <c r="B235" s="277"/>
      <c r="C235" s="287"/>
      <c r="D235" s="277"/>
      <c r="E235" s="277"/>
      <c r="F235" s="277"/>
      <c r="G235" s="342"/>
      <c r="H235" s="277"/>
      <c r="I235" s="341"/>
      <c r="J235" s="293"/>
      <c r="K235" s="282"/>
      <c r="L235" s="277"/>
      <c r="M235" s="292"/>
      <c r="N235" s="118" t="b">
        <v>0</v>
      </c>
      <c r="O235" s="283"/>
      <c r="P235" s="284"/>
      <c r="Q235" s="285" t="b">
        <v>0</v>
      </c>
      <c r="R235" s="285" t="b">
        <v>0</v>
      </c>
      <c r="S235" s="286" t="b">
        <v>0</v>
      </c>
    </row>
    <row r="236" outlineLevel="1">
      <c r="A236" s="277"/>
      <c r="B236" s="277"/>
      <c r="C236" s="287"/>
      <c r="D236" s="277"/>
      <c r="E236" s="277"/>
      <c r="F236" s="277"/>
      <c r="G236" s="342"/>
      <c r="H236" s="277"/>
      <c r="I236" s="341"/>
      <c r="J236" s="293"/>
      <c r="K236" s="282"/>
      <c r="L236" s="277"/>
      <c r="M236" s="292"/>
      <c r="N236" s="118" t="b">
        <v>0</v>
      </c>
      <c r="O236" s="283"/>
      <c r="P236" s="284"/>
      <c r="Q236" s="285" t="b">
        <v>0</v>
      </c>
      <c r="R236" s="285" t="b">
        <v>0</v>
      </c>
      <c r="S236" s="286" t="b">
        <v>0</v>
      </c>
    </row>
    <row r="237" outlineLevel="1">
      <c r="A237" s="277"/>
      <c r="B237" s="277"/>
      <c r="C237" s="287"/>
      <c r="D237" s="277"/>
      <c r="E237" s="277"/>
      <c r="F237" s="277"/>
      <c r="G237" s="342"/>
      <c r="H237" s="277"/>
      <c r="I237" s="341"/>
      <c r="J237" s="293"/>
      <c r="K237" s="282"/>
      <c r="L237" s="277"/>
      <c r="M237" s="292"/>
      <c r="N237" s="118" t="b">
        <v>0</v>
      </c>
      <c r="O237" s="283"/>
      <c r="P237" s="284"/>
      <c r="Q237" s="285" t="b">
        <v>0</v>
      </c>
      <c r="R237" s="285" t="b">
        <v>0</v>
      </c>
      <c r="S237" s="286" t="b">
        <v>0</v>
      </c>
    </row>
    <row r="238" outlineLevel="1">
      <c r="A238" s="277"/>
      <c r="B238" s="277"/>
      <c r="C238" s="287"/>
      <c r="D238" s="277"/>
      <c r="E238" s="277"/>
      <c r="F238" s="277"/>
      <c r="G238" s="342"/>
      <c r="H238" s="277"/>
      <c r="I238" s="341"/>
      <c r="J238" s="293"/>
      <c r="K238" s="282"/>
      <c r="L238" s="277"/>
      <c r="M238" s="292"/>
      <c r="N238" s="118" t="b">
        <v>0</v>
      </c>
      <c r="O238" s="283"/>
      <c r="P238" s="284"/>
      <c r="Q238" s="285" t="b">
        <v>0</v>
      </c>
      <c r="R238" s="285" t="b">
        <v>0</v>
      </c>
      <c r="S238" s="286" t="b">
        <v>0</v>
      </c>
    </row>
    <row r="239" outlineLevel="1">
      <c r="A239" s="277"/>
      <c r="B239" s="277"/>
      <c r="C239" s="287"/>
      <c r="D239" s="277"/>
      <c r="E239" s="277"/>
      <c r="F239" s="277"/>
      <c r="G239" s="342"/>
      <c r="H239" s="277"/>
      <c r="I239" s="341"/>
      <c r="J239" s="293"/>
      <c r="K239" s="282"/>
      <c r="L239" s="277"/>
      <c r="M239" s="292"/>
      <c r="N239" s="118" t="b">
        <v>0</v>
      </c>
      <c r="O239" s="283"/>
      <c r="P239" s="284"/>
      <c r="Q239" s="285" t="b">
        <v>0</v>
      </c>
      <c r="R239" s="285" t="b">
        <v>0</v>
      </c>
      <c r="S239" s="286" t="b">
        <v>0</v>
      </c>
    </row>
    <row r="240" outlineLevel="1">
      <c r="A240" s="277"/>
      <c r="B240" s="277"/>
      <c r="C240" s="287"/>
      <c r="D240" s="277"/>
      <c r="E240" s="277"/>
      <c r="F240" s="277"/>
      <c r="G240" s="342"/>
      <c r="H240" s="277"/>
      <c r="I240" s="341"/>
      <c r="J240" s="293"/>
      <c r="K240" s="282"/>
      <c r="L240" s="277"/>
      <c r="M240" s="292"/>
      <c r="N240" s="118" t="b">
        <v>0</v>
      </c>
      <c r="O240" s="283"/>
      <c r="P240" s="284"/>
      <c r="Q240" s="285" t="b">
        <v>0</v>
      </c>
      <c r="R240" s="285" t="b">
        <v>0</v>
      </c>
      <c r="S240" s="286" t="b">
        <v>0</v>
      </c>
    </row>
    <row r="241" outlineLevel="1">
      <c r="A241" s="277"/>
      <c r="B241" s="277"/>
      <c r="C241" s="287"/>
      <c r="D241" s="277"/>
      <c r="E241" s="277"/>
      <c r="F241" s="277"/>
      <c r="G241" s="342"/>
      <c r="H241" s="277"/>
      <c r="I241" s="341"/>
      <c r="J241" s="293"/>
      <c r="K241" s="282"/>
      <c r="L241" s="277"/>
      <c r="M241" s="292"/>
      <c r="N241" s="118" t="b">
        <v>0</v>
      </c>
      <c r="O241" s="283"/>
      <c r="P241" s="284"/>
      <c r="Q241" s="285" t="b">
        <v>0</v>
      </c>
      <c r="R241" s="285" t="b">
        <v>0</v>
      </c>
      <c r="S241" s="286" t="b">
        <v>0</v>
      </c>
    </row>
    <row r="242" outlineLevel="1">
      <c r="A242" s="277"/>
      <c r="B242" s="277"/>
      <c r="C242" s="287"/>
      <c r="D242" s="277"/>
      <c r="E242" s="277"/>
      <c r="F242" s="277"/>
      <c r="G242" s="342"/>
      <c r="H242" s="277"/>
      <c r="I242" s="341"/>
      <c r="J242" s="293"/>
      <c r="K242" s="282"/>
      <c r="L242" s="277"/>
      <c r="M242" s="292"/>
      <c r="N242" s="118" t="b">
        <v>0</v>
      </c>
      <c r="O242" s="283"/>
      <c r="P242" s="284"/>
      <c r="Q242" s="285" t="b">
        <v>0</v>
      </c>
      <c r="R242" s="285" t="b">
        <v>0</v>
      </c>
      <c r="S242" s="286" t="b">
        <v>0</v>
      </c>
    </row>
    <row r="243" outlineLevel="1">
      <c r="A243" s="277"/>
      <c r="B243" s="277"/>
      <c r="C243" s="287"/>
      <c r="D243" s="277"/>
      <c r="E243" s="277"/>
      <c r="F243" s="277"/>
      <c r="G243" s="342"/>
      <c r="H243" s="277"/>
      <c r="I243" s="341"/>
      <c r="J243" s="293"/>
      <c r="K243" s="282"/>
      <c r="L243" s="277"/>
      <c r="M243" s="292"/>
      <c r="N243" s="118" t="b">
        <v>0</v>
      </c>
      <c r="O243" s="283"/>
      <c r="P243" s="284"/>
      <c r="Q243" s="285" t="b">
        <v>0</v>
      </c>
      <c r="R243" s="285" t="b">
        <v>0</v>
      </c>
      <c r="S243" s="286" t="b">
        <v>0</v>
      </c>
    </row>
    <row r="244" outlineLevel="1">
      <c r="A244" s="277"/>
      <c r="B244" s="277"/>
      <c r="C244" s="287"/>
      <c r="D244" s="277"/>
      <c r="E244" s="277"/>
      <c r="F244" s="277"/>
      <c r="G244" s="342"/>
      <c r="H244" s="277"/>
      <c r="I244" s="341"/>
      <c r="J244" s="293"/>
      <c r="K244" s="282"/>
      <c r="L244" s="277"/>
      <c r="M244" s="292"/>
      <c r="N244" s="118" t="b">
        <v>0</v>
      </c>
      <c r="O244" s="283"/>
      <c r="P244" s="284"/>
      <c r="Q244" s="285" t="b">
        <v>0</v>
      </c>
      <c r="R244" s="285" t="b">
        <v>0</v>
      </c>
      <c r="S244" s="286" t="b">
        <v>0</v>
      </c>
    </row>
    <row r="245" outlineLevel="1">
      <c r="A245" s="277"/>
      <c r="B245" s="277"/>
      <c r="C245" s="287"/>
      <c r="D245" s="277"/>
      <c r="E245" s="277"/>
      <c r="F245" s="277"/>
      <c r="G245" s="342"/>
      <c r="H245" s="277"/>
      <c r="I245" s="341"/>
      <c r="J245" s="293"/>
      <c r="K245" s="282"/>
      <c r="L245" s="277"/>
      <c r="M245" s="292"/>
      <c r="N245" s="118" t="b">
        <v>0</v>
      </c>
      <c r="O245" s="283"/>
      <c r="P245" s="284"/>
      <c r="Q245" s="285" t="b">
        <v>0</v>
      </c>
      <c r="R245" s="285" t="b">
        <v>0</v>
      </c>
      <c r="S245" s="286" t="b">
        <v>0</v>
      </c>
    </row>
    <row r="246" outlineLevel="1">
      <c r="A246" s="277"/>
      <c r="B246" s="277"/>
      <c r="C246" s="287"/>
      <c r="D246" s="277"/>
      <c r="E246" s="277"/>
      <c r="F246" s="277"/>
      <c r="G246" s="342"/>
      <c r="H246" s="277"/>
      <c r="I246" s="341"/>
      <c r="J246" s="293"/>
      <c r="K246" s="282"/>
      <c r="L246" s="277"/>
      <c r="M246" s="292"/>
      <c r="N246" s="118" t="b">
        <v>0</v>
      </c>
      <c r="O246" s="283"/>
      <c r="P246" s="284"/>
      <c r="Q246" s="285" t="b">
        <v>0</v>
      </c>
      <c r="R246" s="285" t="b">
        <v>0</v>
      </c>
      <c r="S246" s="286" t="b">
        <v>0</v>
      </c>
    </row>
    <row r="247" outlineLevel="1">
      <c r="A247" s="277"/>
      <c r="B247" s="277"/>
      <c r="C247" s="287"/>
      <c r="D247" s="277"/>
      <c r="E247" s="277"/>
      <c r="F247" s="277"/>
      <c r="G247" s="342"/>
      <c r="H247" s="277"/>
      <c r="I247" s="341"/>
      <c r="J247" s="293"/>
      <c r="K247" s="282"/>
      <c r="L247" s="277"/>
      <c r="M247" s="292"/>
      <c r="N247" s="118" t="b">
        <v>0</v>
      </c>
      <c r="O247" s="283"/>
      <c r="P247" s="284"/>
      <c r="Q247" s="285" t="b">
        <v>0</v>
      </c>
      <c r="R247" s="285" t="b">
        <v>0</v>
      </c>
      <c r="S247" s="286" t="b">
        <v>0</v>
      </c>
    </row>
    <row r="248" outlineLevel="1">
      <c r="A248" s="277"/>
      <c r="B248" s="277"/>
      <c r="C248" s="287"/>
      <c r="D248" s="277"/>
      <c r="E248" s="277"/>
      <c r="F248" s="277"/>
      <c r="G248" s="342"/>
      <c r="H248" s="277"/>
      <c r="I248" s="341"/>
      <c r="J248" s="293"/>
      <c r="K248" s="282"/>
      <c r="L248" s="277"/>
      <c r="M248" s="292"/>
      <c r="N248" s="118" t="b">
        <v>0</v>
      </c>
      <c r="O248" s="283"/>
      <c r="P248" s="284"/>
      <c r="Q248" s="285" t="b">
        <v>0</v>
      </c>
      <c r="R248" s="285" t="b">
        <v>0</v>
      </c>
      <c r="S248" s="286" t="b">
        <v>0</v>
      </c>
    </row>
    <row r="249" outlineLevel="1">
      <c r="A249" s="277"/>
      <c r="B249" s="277"/>
      <c r="C249" s="287"/>
      <c r="D249" s="277"/>
      <c r="E249" s="277"/>
      <c r="F249" s="277"/>
      <c r="G249" s="342"/>
      <c r="H249" s="277"/>
      <c r="I249" s="341"/>
      <c r="J249" s="293"/>
      <c r="K249" s="282"/>
      <c r="L249" s="277"/>
      <c r="M249" s="292"/>
      <c r="N249" s="118" t="b">
        <v>0</v>
      </c>
      <c r="O249" s="283"/>
      <c r="P249" s="284"/>
      <c r="Q249" s="285" t="b">
        <v>0</v>
      </c>
      <c r="R249" s="285" t="b">
        <v>0</v>
      </c>
      <c r="S249" s="286" t="b">
        <v>0</v>
      </c>
    </row>
    <row r="250" outlineLevel="1">
      <c r="A250" s="277"/>
      <c r="B250" s="277"/>
      <c r="C250" s="287"/>
      <c r="D250" s="277"/>
      <c r="E250" s="277"/>
      <c r="F250" s="277"/>
      <c r="G250" s="342"/>
      <c r="H250" s="277"/>
      <c r="I250" s="341"/>
      <c r="J250" s="293"/>
      <c r="K250" s="282"/>
      <c r="L250" s="277"/>
      <c r="M250" s="277"/>
      <c r="N250" s="118" t="b">
        <v>0</v>
      </c>
      <c r="O250" s="283"/>
      <c r="P250" s="284"/>
      <c r="Q250" s="285" t="b">
        <v>0</v>
      </c>
      <c r="R250" s="285" t="b">
        <v>0</v>
      </c>
      <c r="S250" s="286" t="b">
        <v>0</v>
      </c>
    </row>
    <row r="251" outlineLevel="1">
      <c r="A251" s="277"/>
      <c r="B251" s="277"/>
      <c r="C251" s="287"/>
      <c r="D251" s="277"/>
      <c r="E251" s="277"/>
      <c r="F251" s="277"/>
      <c r="G251" s="342"/>
      <c r="H251" s="277"/>
      <c r="I251" s="341"/>
      <c r="J251" s="293"/>
      <c r="K251" s="282"/>
      <c r="L251" s="277"/>
      <c r="M251" s="292"/>
      <c r="N251" s="118" t="b">
        <v>0</v>
      </c>
      <c r="O251" s="283"/>
      <c r="P251" s="284"/>
      <c r="Q251" s="285" t="b">
        <v>0</v>
      </c>
      <c r="R251" s="285" t="b">
        <v>0</v>
      </c>
      <c r="S251" s="286" t="b">
        <v>0</v>
      </c>
    </row>
    <row r="252" outlineLevel="1">
      <c r="A252" s="277"/>
      <c r="B252" s="277"/>
      <c r="C252" s="287"/>
      <c r="D252" s="277"/>
      <c r="E252" s="277"/>
      <c r="F252" s="277"/>
      <c r="G252" s="342"/>
      <c r="H252" s="277"/>
      <c r="I252" s="341"/>
      <c r="J252" s="293"/>
      <c r="K252" s="282"/>
      <c r="L252" s="277"/>
      <c r="M252" s="292"/>
      <c r="N252" s="118" t="b">
        <v>0</v>
      </c>
      <c r="O252" s="283"/>
      <c r="P252" s="284"/>
      <c r="Q252" s="285" t="b">
        <v>0</v>
      </c>
      <c r="R252" s="285" t="b">
        <v>0</v>
      </c>
      <c r="S252" s="286" t="b">
        <v>0</v>
      </c>
    </row>
    <row r="253" outlineLevel="1">
      <c r="A253" s="277"/>
      <c r="B253" s="277"/>
      <c r="C253" s="287"/>
      <c r="D253" s="277"/>
      <c r="E253" s="277"/>
      <c r="F253" s="277"/>
      <c r="G253" s="342"/>
      <c r="H253" s="277"/>
      <c r="I253" s="341"/>
      <c r="J253" s="293"/>
      <c r="K253" s="282"/>
      <c r="L253" s="277"/>
      <c r="M253" s="292"/>
      <c r="N253" s="118" t="b">
        <v>0</v>
      </c>
      <c r="O253" s="283"/>
      <c r="P253" s="284"/>
      <c r="Q253" s="285" t="b">
        <v>0</v>
      </c>
      <c r="R253" s="285" t="b">
        <v>0</v>
      </c>
      <c r="S253" s="286" t="b">
        <v>0</v>
      </c>
    </row>
    <row r="254" outlineLevel="1">
      <c r="A254" s="277"/>
      <c r="B254" s="277"/>
      <c r="C254" s="287"/>
      <c r="D254" s="277"/>
      <c r="E254" s="277"/>
      <c r="F254" s="277"/>
      <c r="G254" s="342"/>
      <c r="H254" s="277"/>
      <c r="I254" s="341"/>
      <c r="J254" s="293"/>
      <c r="K254" s="282"/>
      <c r="L254" s="277"/>
      <c r="M254" s="292"/>
      <c r="N254" s="118" t="b">
        <v>0</v>
      </c>
      <c r="O254" s="283"/>
      <c r="P254" s="284"/>
      <c r="Q254" s="285" t="b">
        <v>0</v>
      </c>
      <c r="R254" s="285" t="b">
        <v>0</v>
      </c>
      <c r="S254" s="286" t="b">
        <v>0</v>
      </c>
    </row>
    <row r="255" outlineLevel="1">
      <c r="A255" s="277"/>
      <c r="B255" s="277"/>
      <c r="C255" s="287"/>
      <c r="D255" s="277"/>
      <c r="E255" s="277"/>
      <c r="F255" s="277"/>
      <c r="G255" s="342"/>
      <c r="H255" s="277"/>
      <c r="I255" s="341"/>
      <c r="J255" s="293"/>
      <c r="K255" s="282"/>
      <c r="L255" s="277"/>
      <c r="M255" s="292"/>
      <c r="N255" s="118" t="b">
        <v>0</v>
      </c>
      <c r="O255" s="283"/>
      <c r="P255" s="284"/>
      <c r="Q255" s="285" t="b">
        <v>0</v>
      </c>
      <c r="R255" s="285" t="b">
        <v>0</v>
      </c>
      <c r="S255" s="286" t="b">
        <v>0</v>
      </c>
    </row>
    <row r="256" outlineLevel="1">
      <c r="A256" s="277"/>
      <c r="B256" s="277"/>
      <c r="C256" s="287"/>
      <c r="D256" s="277"/>
      <c r="E256" s="277"/>
      <c r="F256" s="277"/>
      <c r="G256" s="342"/>
      <c r="H256" s="277"/>
      <c r="I256" s="341"/>
      <c r="J256" s="293"/>
      <c r="K256" s="282"/>
      <c r="L256" s="277"/>
      <c r="M256" s="292"/>
      <c r="N256" s="118" t="b">
        <v>0</v>
      </c>
      <c r="O256" s="283"/>
      <c r="P256" s="284"/>
      <c r="Q256" s="285" t="b">
        <v>0</v>
      </c>
      <c r="R256" s="285" t="b">
        <v>0</v>
      </c>
      <c r="S256" s="286" t="b">
        <v>0</v>
      </c>
    </row>
    <row r="257" outlineLevel="1">
      <c r="A257" s="277"/>
      <c r="B257" s="277"/>
      <c r="C257" s="287"/>
      <c r="D257" s="277"/>
      <c r="E257" s="277"/>
      <c r="F257" s="277"/>
      <c r="G257" s="277"/>
      <c r="H257" s="277"/>
      <c r="I257" s="341"/>
      <c r="J257" s="293"/>
      <c r="K257" s="282"/>
      <c r="L257" s="277"/>
      <c r="M257" s="277"/>
      <c r="N257" s="118" t="b">
        <v>0</v>
      </c>
      <c r="O257" s="283"/>
      <c r="P257" s="284"/>
      <c r="Q257" s="285" t="b">
        <v>0</v>
      </c>
      <c r="R257" s="285" t="b">
        <v>0</v>
      </c>
      <c r="S257" s="286" t="b">
        <v>0</v>
      </c>
    </row>
    <row r="258">
      <c r="A258" s="348" t="s">
        <v>116</v>
      </c>
      <c r="B258" s="349">
        <f>COUNTIF(B4:B257,"ONLINE")+COUNTIF(B4:B257,"SEDE*")</f>
        <v>190</v>
      </c>
      <c r="C258" s="348" t="s">
        <v>116</v>
      </c>
      <c r="D258" s="349">
        <f t="shared" ref="D258:E258" si="1">COUNTIF(D4:D137, "*")+COUNTIF(D139:D257, "*")</f>
        <v>192</v>
      </c>
      <c r="E258" s="349">
        <f t="shared" si="1"/>
        <v>192</v>
      </c>
      <c r="F258" s="349">
        <f>COUNTA(F4:F137)+COUNTA(F139:F257)</f>
        <v>189</v>
      </c>
      <c r="G258" s="349">
        <f t="shared" ref="G258:H258" si="2">COUNTIF(G4:G137, "*")+COUNTIF(G139:G257, "*")</f>
        <v>189</v>
      </c>
      <c r="H258" s="349">
        <f t="shared" si="2"/>
        <v>188</v>
      </c>
      <c r="I258" s="348" t="s">
        <v>116</v>
      </c>
      <c r="J258" s="350">
        <f t="shared" ref="J258:K258" si="3">SUM(J4:J137)+SUM(J139:J257)</f>
        <v>875</v>
      </c>
      <c r="K258" s="350">
        <f t="shared" si="3"/>
        <v>3067</v>
      </c>
      <c r="L258" s="349">
        <f t="shared" ref="L258:M258" si="4">COUNTIF(L4:L137, "*")+COUNTIF(L139:L257, "*")</f>
        <v>149</v>
      </c>
      <c r="M258" s="349">
        <f t="shared" si="4"/>
        <v>192</v>
      </c>
      <c r="N258" s="349">
        <f>SUMPRODUCT(--N4:N137)+SUMPRODUCT(--N139:N257)</f>
        <v>177</v>
      </c>
      <c r="O258" s="349">
        <f t="shared" ref="O258:P258" si="5">COUNTIF(O4:O137, "*")+COUNTIF(O139:O257, "*")</f>
        <v>19</v>
      </c>
      <c r="P258" s="349">
        <f t="shared" si="5"/>
        <v>189</v>
      </c>
      <c r="Q258" s="349">
        <f t="shared" ref="Q258:S258" si="6">SUMPRODUCT(--Q4:Q137)+SUMPRODUCT(--Q139:Q257)</f>
        <v>175</v>
      </c>
      <c r="R258" s="349">
        <f t="shared" si="6"/>
        <v>0</v>
      </c>
      <c r="S258" s="349">
        <f t="shared" si="6"/>
        <v>1</v>
      </c>
    </row>
    <row r="259">
      <c r="A259" s="245" t="s">
        <v>117</v>
      </c>
      <c r="B259" s="246">
        <f>COUNTIF(B4:B137,"SEDE*")+COUNTIF(B139:B257,"SEDE*")</f>
        <v>70</v>
      </c>
      <c r="C259" s="351"/>
      <c r="D259" s="351"/>
      <c r="E259" s="352" t="s">
        <v>1596</v>
      </c>
      <c r="F259" s="353">
        <v>20.0</v>
      </c>
      <c r="G259" s="354">
        <v>0.0</v>
      </c>
      <c r="H259" s="351"/>
      <c r="I259" s="355" t="s">
        <v>121</v>
      </c>
      <c r="J259" s="356" t="str">
        <f>COUNTIFS($B$4:$B$137,"*SEDE*",$J$4:$J$137, $F$260)+COUNTIFS($B$139:$B$257,"*SEDE*",$J$139:$J$257, $F$260)&amp; " da €"&amp;$F$260</f>
        <v>2 da €25</v>
      </c>
      <c r="K259" s="357" t="str">
        <f>COUNTIFS($B$4:$B$137,"*SEDE*",$K$4:$K$137, $F$259)+COUNTIFS($B$139:$B$257,"*SEDE*",$K$139:$K$257, $F$259)&amp; " da €"&amp;$F$259</f>
        <v>66 da €20</v>
      </c>
      <c r="L259" s="358" t="s">
        <v>1597</v>
      </c>
      <c r="M259" s="359">
        <f>SUM(J260,K260)</f>
        <v>1370</v>
      </c>
      <c r="N259" s="360" t="s">
        <v>130</v>
      </c>
      <c r="O259" s="361">
        <f>SUM(J258,K258)</f>
        <v>3942</v>
      </c>
      <c r="P259" s="236" t="s">
        <v>214</v>
      </c>
      <c r="Q259" s="362">
        <f>SUMPRODUCT(--$N$4:$N$137)</f>
        <v>103</v>
      </c>
      <c r="R259" s="351"/>
      <c r="S259" s="351"/>
    </row>
    <row r="260">
      <c r="A260" s="245" t="s">
        <v>74</v>
      </c>
      <c r="B260" s="246">
        <f>COUNTIF(B4:B137, "ONLINE")+COUNTIF(B139:B257, "ONLINE")</f>
        <v>120</v>
      </c>
      <c r="C260" s="363" t="s">
        <v>134</v>
      </c>
      <c r="D260" s="198">
        <f>COUNTIF(M4:M257,"*NON TESSERATO*")</f>
        <v>22</v>
      </c>
      <c r="E260" s="364"/>
      <c r="F260" s="365">
        <v>25.0</v>
      </c>
      <c r="G260" s="366">
        <v>0.0</v>
      </c>
      <c r="H260" s="351"/>
      <c r="I260" s="367" t="s">
        <v>122</v>
      </c>
      <c r="J260" s="368">
        <f>SUMIFS($J$4:$J$137,$B$4:$B$137,"*SEDE*",$J$4:$J$137,$F$260)+SUMIFS($J$139:$J$257,$B$139:$B$257,"*SEDE*",$J$139:$J$257,$F$260)</f>
        <v>50</v>
      </c>
      <c r="K260" s="369">
        <f>SUMIFS($K$4:$K$137,$B$4:$B$137,"*SEDE*",$K$4:$K$137,$F$259)+SUMIFS($K$139:$K$257,$B$139:$B$257,"*SEDE*",$K$139:$K$257,$F$259)</f>
        <v>1320</v>
      </c>
      <c r="P260" s="243" t="s">
        <v>355</v>
      </c>
      <c r="Q260" s="370">
        <f>SUMPRODUCT(--$N$139:$N$257)</f>
        <v>74</v>
      </c>
      <c r="R260" s="351"/>
      <c r="S260" s="351"/>
    </row>
    <row r="261" ht="31.5" customHeight="1">
      <c r="A261" s="213" t="s">
        <v>133</v>
      </c>
      <c r="B261" s="371">
        <f>SUM(B259:B260)</f>
        <v>190</v>
      </c>
      <c r="C261" s="219" t="s">
        <v>136</v>
      </c>
      <c r="D261" s="372">
        <f>COUNTIF(M4:M257,"*TESSERATO*")-COUNTIF(M4:M257,"*NON TESSERATO*")</f>
        <v>170</v>
      </c>
      <c r="E261" s="364"/>
      <c r="F261" s="373">
        <v>0.0</v>
      </c>
      <c r="G261" s="374"/>
      <c r="H261" s="351"/>
      <c r="I261" s="355" t="s">
        <v>123</v>
      </c>
      <c r="J261" s="375" t="str">
        <f>COUNTIFS($B$4:$B$137,"*ONLINE*",$J$4:$J$137, $F$260)+COUNTIFS($B$139:$B$257,"*ONLINE*",$J$139:$J$257, $F$260)&amp; " da €"&amp;$F$260</f>
        <v>33 da €25</v>
      </c>
      <c r="K261" s="376" t="str">
        <f>COUNTIFS($B$4:$B$137,"*ONLINE*",$K$4:$K$137, $F$259)+COUNTIFS($B$139:$B$257,"*ONLINE*",$K$139:$K$257, $F$259)&amp; " da €"&amp;$F$259</f>
        <v>86 da €20</v>
      </c>
      <c r="L261" s="377" t="s">
        <v>1598</v>
      </c>
      <c r="M261" s="359">
        <f>SUM(J262,K262)</f>
        <v>2545</v>
      </c>
      <c r="Q261" s="245" t="s">
        <v>120</v>
      </c>
      <c r="R261" s="378" t="str">
        <f>IF(SUM(J258:K258) = SUM(M259:M262), "OK", "ERRORE")</f>
        <v>ERRORE</v>
      </c>
      <c r="S261" s="246"/>
    </row>
    <row r="262">
      <c r="A262" s="379"/>
      <c r="B262" s="379"/>
      <c r="C262" s="380"/>
      <c r="D262" s="380"/>
      <c r="E262" s="381"/>
      <c r="F262" s="382">
        <v>0.0</v>
      </c>
      <c r="G262" s="383"/>
      <c r="H262" s="380"/>
      <c r="I262" s="384" t="s">
        <v>124</v>
      </c>
      <c r="J262" s="385">
        <f>SUMIFS($J$4:$J$137,$B$4:$B$137,"*ONLINE*",$J$4:$J$137,$F$260)+SUMIFS($J$139:$J$257,$B$139:$B$257,"*ONLINE*",$J$139:$J$257,$F$260)</f>
        <v>825</v>
      </c>
      <c r="K262" s="386">
        <f>SUMIFS($K$4:$K$137,$B$4:$B$137,"*ONLINE*",$K$4:$K$137,$F$259)+SUMIFS($K$139:$K$257,$B$139:$B$257,"*ONLINE*",$K$139:$K$257,$F$259)</f>
        <v>1720</v>
      </c>
      <c r="L262" s="387"/>
      <c r="M262" s="387"/>
      <c r="N262" s="196"/>
      <c r="O262" s="387"/>
      <c r="P262" s="388"/>
      <c r="Q262" s="388"/>
      <c r="R262" s="380"/>
      <c r="S262" s="380"/>
    </row>
  </sheetData>
  <mergeCells count="12">
    <mergeCell ref="N259:N262"/>
    <mergeCell ref="O259:O262"/>
    <mergeCell ref="L259:L260"/>
    <mergeCell ref="L261:L262"/>
    <mergeCell ref="A1:O1"/>
    <mergeCell ref="Q1:S1"/>
    <mergeCell ref="A3:O3"/>
    <mergeCell ref="A138:O138"/>
    <mergeCell ref="E259:E262"/>
    <mergeCell ref="M259:M260"/>
    <mergeCell ref="G261:G262"/>
    <mergeCell ref="M261:M262"/>
  </mergeCells>
  <conditionalFormatting sqref="C65:J65 C74:J74">
    <cfRule type="expression" dxfId="0" priority="1">
      <formula>$T65</formula>
    </cfRule>
  </conditionalFormatting>
  <conditionalFormatting sqref="A4:O137 S4:S137 A139:O257 S139:S257">
    <cfRule type="expression" dxfId="0" priority="2">
      <formula>$S4</formula>
    </cfRule>
  </conditionalFormatting>
  <conditionalFormatting sqref="R261">
    <cfRule type="cellIs" dxfId="2" priority="3" operator="equal">
      <formula>"ERRORE"</formula>
    </cfRule>
  </conditionalFormatting>
  <conditionalFormatting sqref="R261">
    <cfRule type="cellIs" dxfId="0" priority="4" operator="equal">
      <formula>"OK"</formula>
    </cfRule>
  </conditionalFormatting>
  <conditionalFormatting sqref="R4:R137 Q48 R139:R257">
    <cfRule type="expression" dxfId="1" priority="5">
      <formula>$R4</formula>
    </cfRule>
  </conditionalFormatting>
  <conditionalFormatting sqref="R4:R137 Q48 R139:R257">
    <cfRule type="expression" dxfId="2" priority="6">
      <formula>$M4="DIGIT - TESSERATO"</formula>
    </cfRule>
  </conditionalFormatting>
  <conditionalFormatting sqref="Q4:Q137 Q139:Q257">
    <cfRule type="expression" dxfId="3" priority="7">
      <formula>$Q4</formula>
    </cfRule>
  </conditionalFormatting>
  <conditionalFormatting sqref="Q4:Q137 Q139:Q257">
    <cfRule type="expression" dxfId="4" priority="8">
      <formula>$M4="CASH - TESSERATO"</formula>
    </cfRule>
  </conditionalFormatting>
  <conditionalFormatting sqref="Q4:Q137 Q139:Q257">
    <cfRule type="expression" dxfId="4" priority="9">
      <formula>$M4="CASH - NON TESSERATO"</formula>
    </cfRule>
  </conditionalFormatting>
  <conditionalFormatting sqref="R4:R137 Q48 R139:R257">
    <cfRule type="expression" dxfId="2" priority="10">
      <formula>$M4="DIGIT - NON TESSERATO"</formula>
    </cfRule>
  </conditionalFormatting>
  <conditionalFormatting sqref="P4:P137 P139:P257">
    <cfRule type="expression" dxfId="0" priority="11">
      <formula>ISBLANK($P4)=FALSE</formula>
    </cfRule>
  </conditionalFormatting>
  <conditionalFormatting sqref="A4:O137 A139:O257">
    <cfRule type="expression" dxfId="5" priority="12">
      <formula>$N4</formula>
    </cfRule>
  </conditionalFormatting>
  <dataValidations>
    <dataValidation type="list" allowBlank="1" showInputMessage="1" prompt="Fai clic e immetti un valore dall'elenco di elementi" sqref="M4:M137 M139:M257">
      <formula1>"CASH - TESSERATO,CASH - NON TESSERATO,DIGIT - TESSERATO,DIGIT - NON TESSERATO"</formula1>
    </dataValidation>
    <dataValidation type="list" allowBlank="1" showInputMessage="1" showErrorMessage="1" prompt="Fai clic e immetti un valore dall'intervallo" sqref="A4:A137 A139:A257">
      <formula1>elenchi!$M$2:$M$100</formula1>
    </dataValidation>
    <dataValidation type="custom" allowBlank="1" showDropDown="1" showInputMessage="1" showErrorMessage="1" prompt="Immetti un valore che soddisfi la formula: =REGEXMATCH(TO_TEXT(J3); &quot;^[^@\s]+@[^@\s]+\.[^@\s]+$&quot;)" sqref="H36 H38">
      <formula1>REGEXMATCH(TO_TEXT(H36), "^[^@\s]+@[^@\s]+\.[^@\s]+$")</formula1>
    </dataValidation>
    <dataValidation type="list" allowBlank="1" showErrorMessage="1" sqref="L4:L137">
      <formula1>"NURA05NATALE,GIUDITTA05NATALE,ALEXANDRA05NATALE,ESTEFANY05NATALE,JOEL05NATALE,MASSI05NATALE,SANTO05NATALE,SARA05NATALE"</formula1>
    </dataValidation>
    <dataValidation type="custom" allowBlank="1" showDropDown="1" showInputMessage="1" prompt="Immetti una data valida" sqref="C4:C23 C25:C64 I4:I64 C66:C73 I66:I73 C75:C137 I75:I137 C139:C257 I139:I257">
      <formula1>OR(NOT(ISERROR(DATEVALUE(C4))), AND(ISNUMBER(C4), LEFT(CELL("format", C4))="D"))</formula1>
    </dataValidation>
    <dataValidation type="list" allowBlank="1" showErrorMessage="1" sqref="B4:B137 B139:B257">
      <formula1>"ONLINE,SEDE Estefany,SEDE Joel,SEDE Giuditta,SEDE Alexandra,SEDE Nura"</formula1>
    </dataValidation>
    <dataValidation type="list" allowBlank="1" sqref="P4:P137 P139:P257">
      <formula1>"INSERITO,CELL,EMAIL,COD FISCALE,INDIRIZZO"</formula1>
    </dataValidation>
    <dataValidation type="list" allowBlank="1" showErrorMessage="1" sqref="L139:L257">
      <formula1>"SARA05NATALE,GIUDITTA05NATALE,SANTO05NATALE,ALEXANDRA05NATALE,ESTEFANY05NATALE,MASSI05NATALE,VITTORIO05NATALE,JOEL05NATALE,NURA05NATALE,STAFF05NATALE"</formula1>
    </dataValidation>
    <dataValidation type="custom" allowBlank="1" showDropDown="1" showInputMessage="1" showErrorMessage="1" prompt="&quot;Inserire un numero di cellulare (es. 3471234567 o +393471234567) o fisso (es. 02xxxxxxx) valido&quot;" sqref="F36 F38">
      <formula1>REGEXMATCH(TO_TEXT(F36), "^(?:\+39)?(3\d{8,9}|0\d{5,})$")</formula1>
    </dataValidation>
    <dataValidation type="custom" allowBlank="1" showDropDown="1" showInputMessage="1" prompt="Immetti una data valida" sqref="C65 I65 C74 I74">
      <formula1>OR(NOT(ISERROR(DATEVALUE(C65))), AND(ISNUMBER(C65), LEFT(CELL("format", C65))="D"))</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25"/>
    <col customWidth="1" min="2" max="2" width="19.88"/>
    <col customWidth="1" min="3" max="3" width="12.38"/>
    <col customWidth="1" min="4" max="4" width="21.63"/>
    <col customWidth="1" min="5" max="5" width="15.13"/>
    <col customWidth="1" min="6" max="6" width="16.88"/>
    <col customWidth="1" min="7" max="7" width="42.63"/>
    <col customWidth="1" min="8" max="8" width="30.88"/>
    <col customWidth="1" min="9" max="9" width="14.13"/>
    <col customWidth="1" min="10" max="10" width="15.38"/>
    <col customWidth="1" min="11" max="11" width="13.88"/>
    <col customWidth="1" min="12" max="12" width="23.38"/>
    <col customWidth="1" min="13" max="13" width="33.13"/>
    <col customWidth="1" min="14" max="14" width="10.63"/>
    <col customWidth="1" min="15" max="16" width="19.88"/>
    <col customWidth="1" min="17" max="19" width="12.25"/>
  </cols>
  <sheetData>
    <row r="1">
      <c r="A1" s="269" t="s">
        <v>1599</v>
      </c>
      <c r="P1" s="269"/>
      <c r="Q1" s="269" t="s">
        <v>960</v>
      </c>
    </row>
    <row r="2">
      <c r="A2" s="270" t="s">
        <v>52</v>
      </c>
      <c r="B2" s="271" t="s">
        <v>53</v>
      </c>
      <c r="C2" s="270" t="s">
        <v>961</v>
      </c>
      <c r="D2" s="270" t="s">
        <v>56</v>
      </c>
      <c r="E2" s="270" t="s">
        <v>57</v>
      </c>
      <c r="F2" s="270" t="s">
        <v>58</v>
      </c>
      <c r="G2" s="271" t="s">
        <v>59</v>
      </c>
      <c r="H2" s="271" t="s">
        <v>60</v>
      </c>
      <c r="I2" s="272" t="s">
        <v>61</v>
      </c>
      <c r="J2" s="273" t="s">
        <v>962</v>
      </c>
      <c r="K2" s="274" t="s">
        <v>963</v>
      </c>
      <c r="L2" s="271" t="s">
        <v>63</v>
      </c>
      <c r="M2" s="232" t="s">
        <v>964</v>
      </c>
      <c r="N2" s="271" t="s">
        <v>965</v>
      </c>
      <c r="O2" s="275" t="s">
        <v>67</v>
      </c>
      <c r="P2" s="106" t="s">
        <v>68</v>
      </c>
      <c r="Q2" s="107" t="s">
        <v>69</v>
      </c>
      <c r="R2" s="108" t="s">
        <v>70</v>
      </c>
      <c r="S2" s="109" t="s">
        <v>71</v>
      </c>
    </row>
    <row r="3">
      <c r="A3" s="276" t="s">
        <v>1600</v>
      </c>
      <c r="P3" s="276"/>
      <c r="Q3" s="276"/>
      <c r="R3" s="276"/>
      <c r="S3" s="276"/>
    </row>
    <row r="4" outlineLevel="1">
      <c r="A4" s="277" t="s">
        <v>368</v>
      </c>
      <c r="B4" s="277" t="s">
        <v>369</v>
      </c>
      <c r="C4" s="287">
        <v>45973.0</v>
      </c>
      <c r="D4" s="257" t="s">
        <v>1601</v>
      </c>
      <c r="E4" s="257" t="s">
        <v>351</v>
      </c>
      <c r="F4" s="277">
        <v>3.496138832E9</v>
      </c>
      <c r="G4" s="300" t="s">
        <v>1602</v>
      </c>
      <c r="H4" s="277" t="s">
        <v>1603</v>
      </c>
      <c r="I4" s="287">
        <v>45973.0</v>
      </c>
      <c r="J4" s="281"/>
      <c r="K4" s="282">
        <v>50.0</v>
      </c>
      <c r="L4" s="277" t="s">
        <v>1003</v>
      </c>
      <c r="M4" s="277" t="s">
        <v>100</v>
      </c>
      <c r="N4" s="118" t="b">
        <v>1</v>
      </c>
      <c r="O4" s="283"/>
      <c r="P4" s="284" t="s">
        <v>81</v>
      </c>
      <c r="Q4" s="285" t="b">
        <v>1</v>
      </c>
      <c r="R4" s="285" t="b">
        <v>0</v>
      </c>
      <c r="S4" s="286" t="b">
        <v>0</v>
      </c>
    </row>
    <row r="5" outlineLevel="1">
      <c r="A5" s="277" t="s">
        <v>73</v>
      </c>
      <c r="B5" s="277" t="s">
        <v>74</v>
      </c>
      <c r="C5" s="287">
        <v>45972.0</v>
      </c>
      <c r="D5" s="257" t="s">
        <v>1604</v>
      </c>
      <c r="E5" s="257" t="s">
        <v>146</v>
      </c>
      <c r="F5" s="277">
        <v>3.49892317E9</v>
      </c>
      <c r="G5" s="300" t="s">
        <v>290</v>
      </c>
      <c r="H5" s="277" t="s">
        <v>291</v>
      </c>
      <c r="I5" s="287">
        <v>45972.0</v>
      </c>
      <c r="J5" s="281"/>
      <c r="K5" s="282">
        <v>50.0</v>
      </c>
      <c r="L5" s="277" t="s">
        <v>970</v>
      </c>
      <c r="M5" s="277" t="s">
        <v>100</v>
      </c>
      <c r="N5" s="118" t="b">
        <v>1</v>
      </c>
      <c r="O5" s="283"/>
      <c r="P5" s="284" t="s">
        <v>81</v>
      </c>
      <c r="Q5" s="285" t="b">
        <v>1</v>
      </c>
      <c r="R5" s="285" t="b">
        <v>0</v>
      </c>
      <c r="S5" s="286" t="b">
        <v>0</v>
      </c>
    </row>
    <row r="6" outlineLevel="1">
      <c r="A6" s="277" t="s">
        <v>73</v>
      </c>
      <c r="B6" s="277" t="s">
        <v>74</v>
      </c>
      <c r="C6" s="287">
        <v>45972.0</v>
      </c>
      <c r="D6" s="257" t="s">
        <v>284</v>
      </c>
      <c r="E6" s="257" t="s">
        <v>285</v>
      </c>
      <c r="F6" s="277">
        <v>3.478840176E9</v>
      </c>
      <c r="G6" s="300" t="s">
        <v>286</v>
      </c>
      <c r="H6" s="277" t="s">
        <v>287</v>
      </c>
      <c r="I6" s="287">
        <v>45972.0</v>
      </c>
      <c r="J6" s="281"/>
      <c r="K6" s="282">
        <v>50.0</v>
      </c>
      <c r="L6" s="277" t="s">
        <v>970</v>
      </c>
      <c r="M6" s="277" t="s">
        <v>100</v>
      </c>
      <c r="N6" s="118" t="b">
        <v>1</v>
      </c>
      <c r="O6" s="283"/>
      <c r="P6" s="284" t="s">
        <v>81</v>
      </c>
      <c r="Q6" s="285" t="b">
        <v>1</v>
      </c>
      <c r="R6" s="285" t="b">
        <v>0</v>
      </c>
      <c r="S6" s="286" t="b">
        <v>0</v>
      </c>
    </row>
    <row r="7" ht="18.75" customHeight="1" outlineLevel="1">
      <c r="A7" s="277" t="s">
        <v>73</v>
      </c>
      <c r="B7" s="277" t="s">
        <v>74</v>
      </c>
      <c r="C7" s="287">
        <v>45972.0</v>
      </c>
      <c r="D7" s="288" t="s">
        <v>1605</v>
      </c>
      <c r="E7" s="277" t="s">
        <v>151</v>
      </c>
      <c r="F7" s="277">
        <v>3.408671887E9</v>
      </c>
      <c r="G7" s="389" t="s">
        <v>1606</v>
      </c>
      <c r="H7" s="289" t="s">
        <v>1607</v>
      </c>
      <c r="I7" s="287">
        <v>45972.0</v>
      </c>
      <c r="J7" s="281"/>
      <c r="K7" s="282">
        <v>50.0</v>
      </c>
      <c r="L7" s="277" t="s">
        <v>970</v>
      </c>
      <c r="M7" s="277" t="s">
        <v>100</v>
      </c>
      <c r="N7" s="118" t="b">
        <v>0</v>
      </c>
      <c r="O7" s="283"/>
      <c r="P7" s="284" t="s">
        <v>81</v>
      </c>
      <c r="Q7" s="285" t="b">
        <v>1</v>
      </c>
      <c r="R7" s="285" t="b">
        <v>0</v>
      </c>
      <c r="S7" s="286" t="b">
        <v>0</v>
      </c>
    </row>
    <row r="8" outlineLevel="1">
      <c r="A8" s="277" t="s">
        <v>73</v>
      </c>
      <c r="B8" s="277" t="s">
        <v>74</v>
      </c>
      <c r="C8" s="287">
        <v>45972.0</v>
      </c>
      <c r="D8" s="288" t="s">
        <v>1608</v>
      </c>
      <c r="E8" s="277" t="s">
        <v>217</v>
      </c>
      <c r="F8" s="277">
        <v>3.479631773E9</v>
      </c>
      <c r="G8" s="300" t="s">
        <v>1609</v>
      </c>
      <c r="H8" s="277" t="s">
        <v>1610</v>
      </c>
      <c r="I8" s="287">
        <v>45972.0</v>
      </c>
      <c r="J8" s="281">
        <v>55.0</v>
      </c>
      <c r="K8" s="282"/>
      <c r="L8" s="277"/>
      <c r="M8" s="277" t="s">
        <v>100</v>
      </c>
      <c r="N8" s="118" t="b">
        <v>1</v>
      </c>
      <c r="O8" s="283"/>
      <c r="P8" s="284" t="s">
        <v>81</v>
      </c>
      <c r="Q8" s="285" t="b">
        <v>1</v>
      </c>
      <c r="R8" s="285" t="b">
        <v>0</v>
      </c>
      <c r="S8" s="286" t="b">
        <v>0</v>
      </c>
    </row>
    <row r="9" outlineLevel="1">
      <c r="A9" s="277" t="s">
        <v>239</v>
      </c>
      <c r="B9" s="277" t="s">
        <v>240</v>
      </c>
      <c r="C9" s="287">
        <v>45975.0</v>
      </c>
      <c r="D9" s="288" t="s">
        <v>1611</v>
      </c>
      <c r="E9" s="277" t="s">
        <v>1612</v>
      </c>
      <c r="F9" s="277">
        <v>3.402529202E9</v>
      </c>
      <c r="G9" s="300" t="s">
        <v>1613</v>
      </c>
      <c r="H9" s="277" t="s">
        <v>1614</v>
      </c>
      <c r="I9" s="287">
        <v>45975.0</v>
      </c>
      <c r="J9" s="281"/>
      <c r="K9" s="282">
        <v>50.0</v>
      </c>
      <c r="L9" s="277" t="s">
        <v>1012</v>
      </c>
      <c r="M9" s="277" t="s">
        <v>162</v>
      </c>
      <c r="N9" s="118" t="b">
        <v>1</v>
      </c>
      <c r="O9" s="283"/>
      <c r="P9" s="284" t="s">
        <v>81</v>
      </c>
      <c r="Q9" s="285" t="b">
        <v>1</v>
      </c>
      <c r="R9" s="285" t="b">
        <v>0</v>
      </c>
      <c r="S9" s="286" t="b">
        <v>0</v>
      </c>
    </row>
    <row r="10" outlineLevel="1">
      <c r="A10" s="277" t="s">
        <v>239</v>
      </c>
      <c r="B10" s="277" t="s">
        <v>240</v>
      </c>
      <c r="C10" s="287">
        <v>45978.0</v>
      </c>
      <c r="D10" s="288" t="s">
        <v>1615</v>
      </c>
      <c r="E10" s="277" t="s">
        <v>1616</v>
      </c>
      <c r="F10" s="277">
        <v>3.453021273E9</v>
      </c>
      <c r="G10" s="247" t="s">
        <v>1617</v>
      </c>
      <c r="H10" s="225" t="s">
        <v>1618</v>
      </c>
      <c r="I10" s="287">
        <v>45978.0</v>
      </c>
      <c r="J10" s="295"/>
      <c r="K10" s="282">
        <v>50.0</v>
      </c>
      <c r="L10" s="277" t="s">
        <v>1012</v>
      </c>
      <c r="M10" s="277" t="s">
        <v>162</v>
      </c>
      <c r="N10" s="118" t="b">
        <v>1</v>
      </c>
      <c r="O10" s="283"/>
      <c r="P10" s="284" t="s">
        <v>81</v>
      </c>
      <c r="Q10" s="285" t="b">
        <v>1</v>
      </c>
      <c r="R10" s="285" t="b">
        <v>0</v>
      </c>
      <c r="S10" s="286" t="b">
        <v>0</v>
      </c>
    </row>
    <row r="11" outlineLevel="1">
      <c r="A11" s="277" t="s">
        <v>239</v>
      </c>
      <c r="B11" s="277" t="s">
        <v>240</v>
      </c>
      <c r="C11" s="287">
        <v>45978.0</v>
      </c>
      <c r="D11" s="288" t="s">
        <v>1619</v>
      </c>
      <c r="E11" s="277" t="s">
        <v>1620</v>
      </c>
      <c r="F11" s="277">
        <v>3.202979792E9</v>
      </c>
      <c r="G11" s="300" t="s">
        <v>1621</v>
      </c>
      <c r="H11" s="277" t="s">
        <v>1622</v>
      </c>
      <c r="I11" s="287">
        <v>45978.0</v>
      </c>
      <c r="J11" s="293"/>
      <c r="K11" s="282">
        <v>50.0</v>
      </c>
      <c r="L11" s="277" t="s">
        <v>1012</v>
      </c>
      <c r="M11" s="277" t="s">
        <v>162</v>
      </c>
      <c r="N11" s="118" t="b">
        <v>1</v>
      </c>
      <c r="O11" s="283"/>
      <c r="P11" s="284" t="s">
        <v>81</v>
      </c>
      <c r="Q11" s="285" t="b">
        <v>1</v>
      </c>
      <c r="R11" s="285" t="b">
        <v>0</v>
      </c>
      <c r="S11" s="286" t="b">
        <v>0</v>
      </c>
    </row>
    <row r="12" outlineLevel="1">
      <c r="A12" s="277" t="s">
        <v>73</v>
      </c>
      <c r="B12" s="277" t="s">
        <v>74</v>
      </c>
      <c r="C12" s="287">
        <v>45973.0</v>
      </c>
      <c r="D12" s="288" t="s">
        <v>265</v>
      </c>
      <c r="E12" s="277" t="s">
        <v>266</v>
      </c>
      <c r="F12" s="277">
        <v>3.896980899E9</v>
      </c>
      <c r="G12" s="300" t="s">
        <v>267</v>
      </c>
      <c r="H12" s="277" t="s">
        <v>268</v>
      </c>
      <c r="I12" s="287">
        <v>45973.0</v>
      </c>
      <c r="J12" s="293"/>
      <c r="K12" s="282">
        <v>50.0</v>
      </c>
      <c r="L12" s="277" t="s">
        <v>986</v>
      </c>
      <c r="M12" s="277" t="s">
        <v>100</v>
      </c>
      <c r="N12" s="118" t="b">
        <v>1</v>
      </c>
      <c r="O12" s="283"/>
      <c r="P12" s="284" t="s">
        <v>81</v>
      </c>
      <c r="Q12" s="285" t="b">
        <v>1</v>
      </c>
      <c r="R12" s="285" t="b">
        <v>0</v>
      </c>
      <c r="S12" s="286" t="b">
        <v>0</v>
      </c>
    </row>
    <row r="13" outlineLevel="1">
      <c r="A13" s="277" t="s">
        <v>73</v>
      </c>
      <c r="B13" s="277" t="s">
        <v>74</v>
      </c>
      <c r="C13" s="287">
        <v>45973.0</v>
      </c>
      <c r="D13" s="288" t="s">
        <v>1623</v>
      </c>
      <c r="E13" s="277" t="s">
        <v>165</v>
      </c>
      <c r="F13" s="277">
        <v>3.931926517E9</v>
      </c>
      <c r="G13" s="300" t="s">
        <v>1624</v>
      </c>
      <c r="H13" s="277" t="s">
        <v>1625</v>
      </c>
      <c r="I13" s="287">
        <v>45973.0</v>
      </c>
      <c r="J13" s="281"/>
      <c r="K13" s="282">
        <v>50.0</v>
      </c>
      <c r="L13" s="277" t="s">
        <v>970</v>
      </c>
      <c r="M13" s="277" t="s">
        <v>100</v>
      </c>
      <c r="N13" s="118" t="b">
        <v>1</v>
      </c>
      <c r="O13" s="283"/>
      <c r="P13" s="284" t="s">
        <v>81</v>
      </c>
      <c r="Q13" s="285" t="b">
        <v>1</v>
      </c>
      <c r="R13" s="285" t="b">
        <v>0</v>
      </c>
      <c r="S13" s="286" t="b">
        <v>0</v>
      </c>
    </row>
    <row r="14" outlineLevel="1">
      <c r="A14" s="288" t="s">
        <v>73</v>
      </c>
      <c r="B14" s="288" t="s">
        <v>74</v>
      </c>
      <c r="C14" s="306">
        <v>45973.0</v>
      </c>
      <c r="D14" s="288" t="s">
        <v>1626</v>
      </c>
      <c r="E14" s="288" t="s">
        <v>1627</v>
      </c>
      <c r="F14" s="288">
        <v>3.285609091E9</v>
      </c>
      <c r="G14" s="390" t="s">
        <v>1628</v>
      </c>
      <c r="H14" s="288" t="s">
        <v>1629</v>
      </c>
      <c r="I14" s="306">
        <v>45973.0</v>
      </c>
      <c r="J14" s="281"/>
      <c r="K14" s="282">
        <v>50.0</v>
      </c>
      <c r="L14" s="288" t="s">
        <v>970</v>
      </c>
      <c r="M14" s="277" t="s">
        <v>100</v>
      </c>
      <c r="N14" s="118" t="b">
        <v>1</v>
      </c>
      <c r="O14" s="283"/>
      <c r="P14" s="284" t="s">
        <v>81</v>
      </c>
      <c r="Q14" s="285" t="b">
        <v>1</v>
      </c>
      <c r="R14" s="285" t="b">
        <v>0</v>
      </c>
      <c r="S14" s="286" t="b">
        <v>0</v>
      </c>
    </row>
    <row r="15" outlineLevel="1">
      <c r="A15" s="277" t="s">
        <v>611</v>
      </c>
      <c r="B15" s="277" t="s">
        <v>612</v>
      </c>
      <c r="C15" s="287">
        <v>45981.0</v>
      </c>
      <c r="D15" s="288" t="s">
        <v>1630</v>
      </c>
      <c r="E15" s="277" t="s">
        <v>635</v>
      </c>
      <c r="F15" s="277">
        <v>3.498409916E9</v>
      </c>
      <c r="G15" s="300" t="s">
        <v>1631</v>
      </c>
      <c r="H15" s="277" t="s">
        <v>1632</v>
      </c>
      <c r="I15" s="287">
        <v>45981.0</v>
      </c>
      <c r="J15" s="293"/>
      <c r="K15" s="282">
        <v>50.0</v>
      </c>
      <c r="L15" s="277" t="s">
        <v>1053</v>
      </c>
      <c r="M15" s="277" t="s">
        <v>100</v>
      </c>
      <c r="N15" s="118" t="b">
        <v>1</v>
      </c>
      <c r="O15" s="283"/>
      <c r="P15" s="284" t="s">
        <v>81</v>
      </c>
      <c r="Q15" s="285" t="b">
        <v>1</v>
      </c>
      <c r="R15" s="285" t="b">
        <v>0</v>
      </c>
      <c r="S15" s="286" t="b">
        <v>0</v>
      </c>
    </row>
    <row r="16" outlineLevel="1">
      <c r="A16" s="277" t="s">
        <v>73</v>
      </c>
      <c r="B16" s="277" t="s">
        <v>74</v>
      </c>
      <c r="C16" s="287">
        <v>45974.0</v>
      </c>
      <c r="D16" s="288" t="s">
        <v>1633</v>
      </c>
      <c r="E16" s="277" t="s">
        <v>1032</v>
      </c>
      <c r="F16" s="277">
        <v>3.494407921E9</v>
      </c>
      <c r="G16" s="300" t="s">
        <v>1634</v>
      </c>
      <c r="H16" s="277" t="s">
        <v>1635</v>
      </c>
      <c r="I16" s="287">
        <v>45974.0</v>
      </c>
      <c r="J16" s="293"/>
      <c r="K16" s="282">
        <v>50.0</v>
      </c>
      <c r="L16" s="277" t="s">
        <v>986</v>
      </c>
      <c r="M16" s="277" t="s">
        <v>100</v>
      </c>
      <c r="N16" s="118" t="b">
        <v>1</v>
      </c>
      <c r="O16" s="297"/>
      <c r="P16" s="284" t="s">
        <v>81</v>
      </c>
      <c r="Q16" s="285" t="b">
        <v>1</v>
      </c>
      <c r="R16" s="285" t="b">
        <v>0</v>
      </c>
      <c r="S16" s="286" t="b">
        <v>0</v>
      </c>
    </row>
    <row r="17" outlineLevel="1">
      <c r="A17" s="277" t="s">
        <v>73</v>
      </c>
      <c r="B17" s="277" t="s">
        <v>74</v>
      </c>
      <c r="C17" s="287">
        <v>45974.0</v>
      </c>
      <c r="D17" s="288" t="s">
        <v>1636</v>
      </c>
      <c r="E17" s="277" t="s">
        <v>472</v>
      </c>
      <c r="F17" s="277">
        <v>3.392078751E9</v>
      </c>
      <c r="G17" s="300" t="s">
        <v>1637</v>
      </c>
      <c r="H17" s="277" t="s">
        <v>1638</v>
      </c>
      <c r="I17" s="287">
        <v>45974.0</v>
      </c>
      <c r="J17" s="281">
        <v>55.0</v>
      </c>
      <c r="K17" s="282"/>
      <c r="L17" s="277"/>
      <c r="M17" s="277" t="s">
        <v>100</v>
      </c>
      <c r="N17" s="118" t="b">
        <v>1</v>
      </c>
      <c r="O17" s="297"/>
      <c r="P17" s="284" t="s">
        <v>81</v>
      </c>
      <c r="Q17" s="285" t="b">
        <v>1</v>
      </c>
      <c r="R17" s="285" t="b">
        <v>0</v>
      </c>
      <c r="S17" s="286" t="b">
        <v>0</v>
      </c>
    </row>
    <row r="18" outlineLevel="1">
      <c r="A18" s="277" t="s">
        <v>368</v>
      </c>
      <c r="B18" s="277" t="s">
        <v>369</v>
      </c>
      <c r="C18" s="287">
        <v>45983.0</v>
      </c>
      <c r="D18" s="288" t="s">
        <v>1639</v>
      </c>
      <c r="E18" s="277" t="s">
        <v>1640</v>
      </c>
      <c r="F18" s="277">
        <v>3.203387004E9</v>
      </c>
      <c r="G18" s="300" t="s">
        <v>1641</v>
      </c>
      <c r="H18" s="277" t="s">
        <v>1642</v>
      </c>
      <c r="I18" s="287">
        <v>45983.0</v>
      </c>
      <c r="J18" s="281"/>
      <c r="K18" s="282">
        <v>50.0</v>
      </c>
      <c r="L18" s="277" t="s">
        <v>1003</v>
      </c>
      <c r="M18" s="277" t="s">
        <v>100</v>
      </c>
      <c r="N18" s="118" t="b">
        <v>1</v>
      </c>
      <c r="O18" s="297"/>
      <c r="P18" s="284" t="s">
        <v>81</v>
      </c>
      <c r="Q18" s="285" t="b">
        <v>1</v>
      </c>
      <c r="R18" s="285" t="b">
        <v>0</v>
      </c>
      <c r="S18" s="286" t="b">
        <v>0</v>
      </c>
    </row>
    <row r="19" outlineLevel="1">
      <c r="A19" s="277" t="s">
        <v>73</v>
      </c>
      <c r="B19" s="277" t="s">
        <v>74</v>
      </c>
      <c r="C19" s="290">
        <v>45974.0</v>
      </c>
      <c r="D19" s="291" t="s">
        <v>255</v>
      </c>
      <c r="E19" s="292" t="s">
        <v>256</v>
      </c>
      <c r="F19" s="292">
        <v>3.420984354E9</v>
      </c>
      <c r="G19" s="391" t="s">
        <v>257</v>
      </c>
      <c r="H19" s="292" t="s">
        <v>258</v>
      </c>
      <c r="I19" s="392">
        <v>45974.0</v>
      </c>
      <c r="J19" s="293"/>
      <c r="K19" s="312">
        <v>50.0</v>
      </c>
      <c r="L19" s="277" t="s">
        <v>970</v>
      </c>
      <c r="M19" s="277" t="s">
        <v>100</v>
      </c>
      <c r="N19" s="118" t="b">
        <v>1</v>
      </c>
      <c r="O19" s="297"/>
      <c r="P19" s="284" t="s">
        <v>81</v>
      </c>
      <c r="Q19" s="285" t="b">
        <v>1</v>
      </c>
      <c r="R19" s="285" t="b">
        <v>0</v>
      </c>
      <c r="S19" s="286" t="b">
        <v>0</v>
      </c>
    </row>
    <row r="20" outlineLevel="1">
      <c r="A20" s="277" t="s">
        <v>73</v>
      </c>
      <c r="B20" s="277" t="s">
        <v>74</v>
      </c>
      <c r="C20" s="287">
        <v>45975.0</v>
      </c>
      <c r="D20" s="288" t="s">
        <v>1643</v>
      </c>
      <c r="E20" s="277" t="s">
        <v>1644</v>
      </c>
      <c r="F20" s="277">
        <v>3.286420424E9</v>
      </c>
      <c r="G20" s="300" t="s">
        <v>1645</v>
      </c>
      <c r="H20" s="277" t="s">
        <v>1646</v>
      </c>
      <c r="I20" s="296">
        <v>45975.0</v>
      </c>
      <c r="J20" s="293"/>
      <c r="K20" s="282">
        <v>50.0</v>
      </c>
      <c r="L20" s="277" t="s">
        <v>970</v>
      </c>
      <c r="M20" s="277" t="s">
        <v>100</v>
      </c>
      <c r="N20" s="118" t="b">
        <v>1</v>
      </c>
      <c r="O20" s="299"/>
      <c r="P20" s="284" t="s">
        <v>81</v>
      </c>
      <c r="Q20" s="285" t="b">
        <v>1</v>
      </c>
      <c r="R20" s="285" t="b">
        <v>0</v>
      </c>
      <c r="S20" s="286" t="b">
        <v>0</v>
      </c>
    </row>
    <row r="21" outlineLevel="1">
      <c r="A21" s="277" t="s">
        <v>73</v>
      </c>
      <c r="B21" s="277" t="s">
        <v>74</v>
      </c>
      <c r="C21" s="287">
        <v>45975.0</v>
      </c>
      <c r="D21" s="288" t="s">
        <v>1647</v>
      </c>
      <c r="E21" s="277" t="s">
        <v>1648</v>
      </c>
      <c r="F21" s="277">
        <v>3.331792846E9</v>
      </c>
      <c r="G21" s="300" t="s">
        <v>1649</v>
      </c>
      <c r="H21" s="298" t="s">
        <v>1650</v>
      </c>
      <c r="I21" s="287">
        <v>45975.0</v>
      </c>
      <c r="J21" s="295"/>
      <c r="K21" s="282">
        <v>50.0</v>
      </c>
      <c r="L21" s="277" t="s">
        <v>970</v>
      </c>
      <c r="M21" s="277" t="s">
        <v>100</v>
      </c>
      <c r="N21" s="118" t="b">
        <v>1</v>
      </c>
      <c r="O21" s="283"/>
      <c r="P21" s="284" t="s">
        <v>81</v>
      </c>
      <c r="Q21" s="285" t="b">
        <v>1</v>
      </c>
      <c r="R21" s="285" t="b">
        <v>0</v>
      </c>
      <c r="S21" s="286" t="b">
        <v>0</v>
      </c>
    </row>
    <row r="22" outlineLevel="1">
      <c r="A22" s="277" t="s">
        <v>73</v>
      </c>
      <c r="B22" s="277" t="s">
        <v>74</v>
      </c>
      <c r="C22" s="287">
        <v>45975.0</v>
      </c>
      <c r="D22" s="288" t="s">
        <v>1651</v>
      </c>
      <c r="E22" s="277" t="s">
        <v>1652</v>
      </c>
      <c r="F22" s="277">
        <v>3.457732801E9</v>
      </c>
      <c r="G22" s="300" t="s">
        <v>1653</v>
      </c>
      <c r="H22" s="277" t="s">
        <v>1654</v>
      </c>
      <c r="I22" s="287">
        <v>45975.0</v>
      </c>
      <c r="J22" s="293"/>
      <c r="K22" s="282">
        <v>50.0</v>
      </c>
      <c r="L22" s="277" t="s">
        <v>970</v>
      </c>
      <c r="M22" s="277" t="s">
        <v>100</v>
      </c>
      <c r="N22" s="118" t="b">
        <v>1</v>
      </c>
      <c r="O22" s="283"/>
      <c r="P22" s="284" t="s">
        <v>81</v>
      </c>
      <c r="Q22" s="285" t="b">
        <v>1</v>
      </c>
      <c r="R22" s="285" t="b">
        <v>0</v>
      </c>
      <c r="S22" s="286" t="b">
        <v>0</v>
      </c>
    </row>
    <row r="23" outlineLevel="1">
      <c r="A23" s="277" t="s">
        <v>73</v>
      </c>
      <c r="B23" s="277" t="s">
        <v>74</v>
      </c>
      <c r="C23" s="287">
        <v>45976.0</v>
      </c>
      <c r="D23" s="288" t="s">
        <v>1655</v>
      </c>
      <c r="E23" s="277" t="s">
        <v>1656</v>
      </c>
      <c r="F23" s="292">
        <v>3.333439142E9</v>
      </c>
      <c r="G23" s="391" t="s">
        <v>1657</v>
      </c>
      <c r="H23" s="292" t="s">
        <v>1658</v>
      </c>
      <c r="I23" s="287">
        <v>45976.0</v>
      </c>
      <c r="J23" s="281"/>
      <c r="K23" s="282">
        <v>50.0</v>
      </c>
      <c r="L23" s="277" t="s">
        <v>970</v>
      </c>
      <c r="M23" s="277" t="s">
        <v>100</v>
      </c>
      <c r="N23" s="118" t="b">
        <v>1</v>
      </c>
      <c r="O23" s="283"/>
      <c r="P23" s="284" t="s">
        <v>81</v>
      </c>
      <c r="Q23" s="285" t="b">
        <v>1</v>
      </c>
      <c r="R23" s="285" t="b">
        <v>0</v>
      </c>
      <c r="S23" s="286" t="b">
        <v>0</v>
      </c>
    </row>
    <row r="24" outlineLevel="1">
      <c r="A24" s="277" t="s">
        <v>73</v>
      </c>
      <c r="B24" s="277" t="s">
        <v>74</v>
      </c>
      <c r="C24" s="287">
        <v>45976.0</v>
      </c>
      <c r="D24" s="288" t="s">
        <v>1659</v>
      </c>
      <c r="E24" s="277" t="s">
        <v>643</v>
      </c>
      <c r="F24" s="277">
        <v>3.421950001E9</v>
      </c>
      <c r="G24" s="300" t="s">
        <v>1660</v>
      </c>
      <c r="H24" s="277" t="s">
        <v>1661</v>
      </c>
      <c r="I24" s="296">
        <v>45976.0</v>
      </c>
      <c r="J24" s="293"/>
      <c r="K24" s="282">
        <v>50.0</v>
      </c>
      <c r="L24" s="277" t="s">
        <v>970</v>
      </c>
      <c r="M24" s="277" t="s">
        <v>100</v>
      </c>
      <c r="N24" s="118" t="b">
        <v>1</v>
      </c>
      <c r="O24" s="283"/>
      <c r="P24" s="284" t="s">
        <v>81</v>
      </c>
      <c r="Q24" s="285" t="b">
        <v>1</v>
      </c>
      <c r="R24" s="285" t="b">
        <v>0</v>
      </c>
      <c r="S24" s="286" t="b">
        <v>0</v>
      </c>
    </row>
    <row r="25" outlineLevel="1">
      <c r="A25" s="277" t="s">
        <v>73</v>
      </c>
      <c r="B25" s="277" t="s">
        <v>74</v>
      </c>
      <c r="C25" s="287">
        <v>45977.0</v>
      </c>
      <c r="D25" s="288" t="s">
        <v>1662</v>
      </c>
      <c r="E25" s="277" t="s">
        <v>312</v>
      </c>
      <c r="F25" s="277">
        <v>3.331167649E9</v>
      </c>
      <c r="G25" s="300" t="s">
        <v>1663</v>
      </c>
      <c r="H25" s="277" t="s">
        <v>1664</v>
      </c>
      <c r="I25" s="287">
        <v>45977.0</v>
      </c>
      <c r="J25" s="281">
        <v>55.0</v>
      </c>
      <c r="K25" s="282"/>
      <c r="L25" s="277"/>
      <c r="M25" s="277" t="s">
        <v>100</v>
      </c>
      <c r="N25" s="118" t="b">
        <v>1</v>
      </c>
      <c r="O25" s="283"/>
      <c r="P25" s="284" t="s">
        <v>81</v>
      </c>
      <c r="Q25" s="285" t="b">
        <v>1</v>
      </c>
      <c r="R25" s="285" t="b">
        <v>0</v>
      </c>
      <c r="S25" s="286" t="b">
        <v>0</v>
      </c>
    </row>
    <row r="26" outlineLevel="1">
      <c r="A26" s="277" t="s">
        <v>73</v>
      </c>
      <c r="B26" s="277" t="s">
        <v>74</v>
      </c>
      <c r="C26" s="287">
        <v>45979.0</v>
      </c>
      <c r="D26" s="288" t="s">
        <v>1665</v>
      </c>
      <c r="E26" s="277" t="s">
        <v>1032</v>
      </c>
      <c r="F26" s="277">
        <v>3.482447756E9</v>
      </c>
      <c r="G26" s="300" t="s">
        <v>1666</v>
      </c>
      <c r="H26" s="277" t="s">
        <v>1667</v>
      </c>
      <c r="I26" s="287">
        <v>45979.0</v>
      </c>
      <c r="J26" s="295"/>
      <c r="K26" s="282">
        <v>50.0</v>
      </c>
      <c r="L26" s="277" t="s">
        <v>970</v>
      </c>
      <c r="M26" s="277" t="s">
        <v>100</v>
      </c>
      <c r="N26" s="118" t="b">
        <v>1</v>
      </c>
      <c r="O26" s="283"/>
      <c r="P26" s="284" t="s">
        <v>81</v>
      </c>
      <c r="Q26" s="285" t="b">
        <v>1</v>
      </c>
      <c r="R26" s="285" t="b">
        <v>0</v>
      </c>
      <c r="S26" s="286" t="b">
        <v>0</v>
      </c>
    </row>
    <row r="27" outlineLevel="1">
      <c r="A27" s="277" t="s">
        <v>73</v>
      </c>
      <c r="B27" s="277" t="s">
        <v>74</v>
      </c>
      <c r="C27" s="287">
        <v>45979.0</v>
      </c>
      <c r="D27" s="288" t="s">
        <v>1668</v>
      </c>
      <c r="E27" s="277" t="s">
        <v>1669</v>
      </c>
      <c r="F27" s="277">
        <v>3.35745485E9</v>
      </c>
      <c r="G27" s="300" t="s">
        <v>1670</v>
      </c>
      <c r="H27" s="277" t="s">
        <v>1671</v>
      </c>
      <c r="I27" s="287">
        <v>45979.0</v>
      </c>
      <c r="J27" s="281"/>
      <c r="K27" s="282">
        <v>50.0</v>
      </c>
      <c r="L27" s="277" t="s">
        <v>970</v>
      </c>
      <c r="M27" s="277" t="s">
        <v>100</v>
      </c>
      <c r="N27" s="118" t="b">
        <v>1</v>
      </c>
      <c r="O27" s="283"/>
      <c r="P27" s="284" t="s">
        <v>81</v>
      </c>
      <c r="Q27" s="285" t="b">
        <v>1</v>
      </c>
      <c r="R27" s="285" t="b">
        <v>0</v>
      </c>
      <c r="S27" s="286" t="b">
        <v>0</v>
      </c>
    </row>
    <row r="28" outlineLevel="1">
      <c r="A28" s="277" t="s">
        <v>73</v>
      </c>
      <c r="B28" s="277" t="s">
        <v>74</v>
      </c>
      <c r="C28" s="287">
        <v>45979.0</v>
      </c>
      <c r="D28" s="288" t="s">
        <v>1672</v>
      </c>
      <c r="E28" s="277" t="s">
        <v>904</v>
      </c>
      <c r="F28" s="277">
        <v>3.4532328E9</v>
      </c>
      <c r="G28" s="300" t="s">
        <v>1673</v>
      </c>
      <c r="H28" s="277" t="s">
        <v>1674</v>
      </c>
      <c r="I28" s="287">
        <v>45979.0</v>
      </c>
      <c r="J28" s="293"/>
      <c r="K28" s="282">
        <v>50.0</v>
      </c>
      <c r="L28" s="277" t="s">
        <v>970</v>
      </c>
      <c r="M28" s="277" t="s">
        <v>100</v>
      </c>
      <c r="N28" s="118" t="b">
        <v>0</v>
      </c>
      <c r="O28" s="283"/>
      <c r="P28" s="284" t="s">
        <v>81</v>
      </c>
      <c r="Q28" s="285" t="b">
        <v>1</v>
      </c>
      <c r="R28" s="285" t="b">
        <v>0</v>
      </c>
      <c r="S28" s="286" t="b">
        <v>0</v>
      </c>
    </row>
    <row r="29" outlineLevel="1">
      <c r="A29" s="277" t="s">
        <v>73</v>
      </c>
      <c r="B29" s="277" t="s">
        <v>74</v>
      </c>
      <c r="C29" s="287">
        <v>45979.0</v>
      </c>
      <c r="D29" s="288" t="s">
        <v>1675</v>
      </c>
      <c r="E29" s="277" t="s">
        <v>496</v>
      </c>
      <c r="F29" s="277">
        <v>3.408646266E9</v>
      </c>
      <c r="G29" s="300" t="s">
        <v>1676</v>
      </c>
      <c r="H29" s="277" t="s">
        <v>1677</v>
      </c>
      <c r="I29" s="287">
        <v>45979.0</v>
      </c>
      <c r="J29" s="293"/>
      <c r="K29" s="282">
        <v>50.0</v>
      </c>
      <c r="L29" s="277" t="s">
        <v>970</v>
      </c>
      <c r="M29" s="288" t="s">
        <v>100</v>
      </c>
      <c r="N29" s="118" t="b">
        <v>1</v>
      </c>
      <c r="O29" s="283"/>
      <c r="P29" s="284" t="s">
        <v>81</v>
      </c>
      <c r="Q29" s="285" t="b">
        <v>1</v>
      </c>
      <c r="R29" s="285" t="b">
        <v>0</v>
      </c>
      <c r="S29" s="286" t="b">
        <v>0</v>
      </c>
    </row>
    <row r="30" outlineLevel="1">
      <c r="A30" s="288" t="s">
        <v>73</v>
      </c>
      <c r="B30" s="288" t="s">
        <v>74</v>
      </c>
      <c r="C30" s="306">
        <v>45979.0</v>
      </c>
      <c r="D30" s="288" t="s">
        <v>1678</v>
      </c>
      <c r="E30" s="288" t="s">
        <v>1679</v>
      </c>
      <c r="F30" s="288">
        <v>3.408588139E9</v>
      </c>
      <c r="G30" s="390" t="s">
        <v>1680</v>
      </c>
      <c r="H30" s="288" t="s">
        <v>1681</v>
      </c>
      <c r="I30" s="306">
        <v>45979.0</v>
      </c>
      <c r="J30" s="281">
        <v>55.0</v>
      </c>
      <c r="K30" s="282"/>
      <c r="L30" s="277"/>
      <c r="M30" s="277" t="s">
        <v>100</v>
      </c>
      <c r="N30" s="118" t="b">
        <v>1</v>
      </c>
      <c r="O30" s="283"/>
      <c r="P30" s="284" t="s">
        <v>81</v>
      </c>
      <c r="Q30" s="285" t="b">
        <v>1</v>
      </c>
      <c r="R30" s="285" t="b">
        <v>0</v>
      </c>
      <c r="S30" s="286" t="b">
        <v>0</v>
      </c>
    </row>
    <row r="31" outlineLevel="1">
      <c r="A31" s="288" t="s">
        <v>73</v>
      </c>
      <c r="B31" s="308" t="s">
        <v>74</v>
      </c>
      <c r="C31" s="306">
        <v>45979.0</v>
      </c>
      <c r="D31" s="288" t="s">
        <v>270</v>
      </c>
      <c r="E31" s="288" t="s">
        <v>271</v>
      </c>
      <c r="F31" s="288">
        <v>3.807877826E9</v>
      </c>
      <c r="G31" s="390" t="s">
        <v>272</v>
      </c>
      <c r="H31" s="288" t="s">
        <v>273</v>
      </c>
      <c r="I31" s="306">
        <v>45979.0</v>
      </c>
      <c r="J31" s="281"/>
      <c r="K31" s="393">
        <v>50.0</v>
      </c>
      <c r="L31" s="277" t="s">
        <v>970</v>
      </c>
      <c r="M31" s="277" t="s">
        <v>100</v>
      </c>
      <c r="N31" s="118" t="b">
        <v>1</v>
      </c>
      <c r="O31" s="283"/>
      <c r="P31" s="284" t="s">
        <v>81</v>
      </c>
      <c r="Q31" s="285" t="b">
        <v>1</v>
      </c>
      <c r="R31" s="285" t="b">
        <v>0</v>
      </c>
      <c r="S31" s="286" t="b">
        <v>0</v>
      </c>
    </row>
    <row r="32" outlineLevel="1">
      <c r="A32" s="288" t="s">
        <v>73</v>
      </c>
      <c r="B32" s="288" t="s">
        <v>74</v>
      </c>
      <c r="C32" s="306">
        <v>45980.0</v>
      </c>
      <c r="D32" s="288" t="s">
        <v>1682</v>
      </c>
      <c r="E32" s="288" t="s">
        <v>351</v>
      </c>
      <c r="F32" s="288">
        <v>3.420351944E9</v>
      </c>
      <c r="G32" s="390" t="s">
        <v>1683</v>
      </c>
      <c r="H32" s="288" t="s">
        <v>1684</v>
      </c>
      <c r="I32" s="306">
        <v>45980.0</v>
      </c>
      <c r="J32" s="295"/>
      <c r="K32" s="282">
        <v>50.0</v>
      </c>
      <c r="L32" s="277" t="s">
        <v>970</v>
      </c>
      <c r="M32" s="277" t="s">
        <v>100</v>
      </c>
      <c r="N32" s="118" t="b">
        <v>1</v>
      </c>
      <c r="O32" s="283"/>
      <c r="P32" s="284" t="s">
        <v>81</v>
      </c>
      <c r="Q32" s="285" t="b">
        <v>1</v>
      </c>
      <c r="R32" s="285" t="b">
        <v>0</v>
      </c>
      <c r="S32" s="286" t="b">
        <v>0</v>
      </c>
    </row>
    <row r="33" outlineLevel="1">
      <c r="A33" s="288" t="s">
        <v>73</v>
      </c>
      <c r="B33" s="288" t="s">
        <v>74</v>
      </c>
      <c r="C33" s="306">
        <v>45980.0</v>
      </c>
      <c r="D33" s="259" t="s">
        <v>1685</v>
      </c>
      <c r="E33" s="288" t="s">
        <v>699</v>
      </c>
      <c r="F33" s="228">
        <v>3.397777534E9</v>
      </c>
      <c r="G33" s="390" t="s">
        <v>1686</v>
      </c>
      <c r="H33" s="288" t="s">
        <v>1687</v>
      </c>
      <c r="I33" s="306">
        <v>45980.0</v>
      </c>
      <c r="J33" s="281"/>
      <c r="K33" s="282">
        <v>50.0</v>
      </c>
      <c r="L33" s="277" t="s">
        <v>970</v>
      </c>
      <c r="M33" s="277" t="s">
        <v>100</v>
      </c>
      <c r="N33" s="118" t="b">
        <v>1</v>
      </c>
      <c r="O33" s="283"/>
      <c r="P33" s="284" t="s">
        <v>81</v>
      </c>
      <c r="Q33" s="285" t="b">
        <v>1</v>
      </c>
      <c r="R33" s="285" t="b">
        <v>0</v>
      </c>
      <c r="S33" s="286" t="b">
        <v>0</v>
      </c>
    </row>
    <row r="34" outlineLevel="1">
      <c r="A34" s="288" t="s">
        <v>73</v>
      </c>
      <c r="B34" s="288" t="s">
        <v>94</v>
      </c>
      <c r="C34" s="325">
        <v>45985.0</v>
      </c>
      <c r="D34" s="291" t="s">
        <v>1688</v>
      </c>
      <c r="E34" s="291" t="s">
        <v>1689</v>
      </c>
      <c r="F34" s="323">
        <v>3.497162455E9</v>
      </c>
      <c r="G34" s="394" t="s">
        <v>1690</v>
      </c>
      <c r="H34" s="323" t="s">
        <v>1691</v>
      </c>
      <c r="I34" s="322">
        <v>45985.0</v>
      </c>
      <c r="J34" s="293"/>
      <c r="K34" s="312">
        <v>50.0</v>
      </c>
      <c r="L34" s="277" t="s">
        <v>981</v>
      </c>
      <c r="M34" s="277" t="s">
        <v>100</v>
      </c>
      <c r="N34" s="118" t="b">
        <v>1</v>
      </c>
      <c r="O34" s="283"/>
      <c r="P34" s="284" t="s">
        <v>81</v>
      </c>
      <c r="Q34" s="285" t="b">
        <v>1</v>
      </c>
      <c r="R34" s="285" t="b">
        <v>0</v>
      </c>
      <c r="S34" s="286" t="b">
        <v>0</v>
      </c>
    </row>
    <row r="35" outlineLevel="1">
      <c r="A35" s="288" t="s">
        <v>73</v>
      </c>
      <c r="B35" s="288" t="s">
        <v>74</v>
      </c>
      <c r="C35" s="306">
        <v>45981.0</v>
      </c>
      <c r="D35" s="288" t="s">
        <v>1692</v>
      </c>
      <c r="E35" s="288" t="s">
        <v>472</v>
      </c>
      <c r="F35" s="288">
        <v>3.408116902E9</v>
      </c>
      <c r="G35" s="390" t="s">
        <v>1693</v>
      </c>
      <c r="H35" s="288" t="s">
        <v>1694</v>
      </c>
      <c r="I35" s="306">
        <v>45981.0</v>
      </c>
      <c r="J35" s="281"/>
      <c r="K35" s="282">
        <v>50.0</v>
      </c>
      <c r="L35" s="277" t="s">
        <v>1003</v>
      </c>
      <c r="M35" s="277" t="s">
        <v>100</v>
      </c>
      <c r="N35" s="118" t="b">
        <v>1</v>
      </c>
      <c r="O35" s="283"/>
      <c r="P35" s="284" t="s">
        <v>81</v>
      </c>
      <c r="Q35" s="285" t="b">
        <v>1</v>
      </c>
      <c r="R35" s="285" t="b">
        <v>0</v>
      </c>
      <c r="S35" s="286" t="b">
        <v>0</v>
      </c>
    </row>
    <row r="36" outlineLevel="1">
      <c r="A36" s="288" t="s">
        <v>73</v>
      </c>
      <c r="B36" s="288" t="s">
        <v>74</v>
      </c>
      <c r="C36" s="306">
        <v>45981.0</v>
      </c>
      <c r="D36" s="288" t="s">
        <v>1695</v>
      </c>
      <c r="E36" s="288" t="s">
        <v>7</v>
      </c>
      <c r="F36" s="288">
        <v>3.487123226E9</v>
      </c>
      <c r="G36" s="390" t="s">
        <v>1696</v>
      </c>
      <c r="H36" s="288" t="s">
        <v>1697</v>
      </c>
      <c r="I36" s="306">
        <v>45981.0</v>
      </c>
      <c r="J36" s="281"/>
      <c r="K36" s="282">
        <v>50.0</v>
      </c>
      <c r="L36" s="277" t="s">
        <v>970</v>
      </c>
      <c r="M36" s="277" t="s">
        <v>100</v>
      </c>
      <c r="N36" s="118" t="b">
        <v>1</v>
      </c>
      <c r="O36" s="283"/>
      <c r="P36" s="284" t="s">
        <v>81</v>
      </c>
      <c r="Q36" s="285" t="b">
        <v>1</v>
      </c>
      <c r="R36" s="285" t="b">
        <v>0</v>
      </c>
      <c r="S36" s="286" t="b">
        <v>0</v>
      </c>
    </row>
    <row r="37" outlineLevel="1">
      <c r="A37" s="288" t="s">
        <v>101</v>
      </c>
      <c r="B37" s="288" t="s">
        <v>102</v>
      </c>
      <c r="C37" s="395">
        <v>45987.0</v>
      </c>
      <c r="D37" s="288" t="s">
        <v>1698</v>
      </c>
      <c r="E37" s="288" t="s">
        <v>1699</v>
      </c>
      <c r="F37" s="288">
        <v>3.283273502E9</v>
      </c>
      <c r="G37" s="390" t="s">
        <v>1700</v>
      </c>
      <c r="H37" s="288" t="s">
        <v>1701</v>
      </c>
      <c r="I37" s="395">
        <v>45987.0</v>
      </c>
      <c r="J37" s="281"/>
      <c r="K37" s="282">
        <v>50.0</v>
      </c>
      <c r="L37" s="277" t="s">
        <v>986</v>
      </c>
      <c r="M37" s="288" t="s">
        <v>100</v>
      </c>
      <c r="N37" s="118" t="b">
        <v>1</v>
      </c>
      <c r="O37" s="283"/>
      <c r="P37" s="284" t="s">
        <v>81</v>
      </c>
      <c r="Q37" s="285" t="b">
        <v>1</v>
      </c>
      <c r="R37" s="285" t="b">
        <v>0</v>
      </c>
      <c r="S37" s="286" t="b">
        <v>0</v>
      </c>
    </row>
    <row r="38" outlineLevel="1">
      <c r="A38" s="288" t="s">
        <v>101</v>
      </c>
      <c r="B38" s="288" t="s">
        <v>102</v>
      </c>
      <c r="C38" s="306">
        <v>45988.0</v>
      </c>
      <c r="D38" s="288" t="s">
        <v>1702</v>
      </c>
      <c r="E38" s="288" t="s">
        <v>1703</v>
      </c>
      <c r="F38" s="288">
        <v>9.6170645209E10</v>
      </c>
      <c r="G38" s="390" t="s">
        <v>1704</v>
      </c>
      <c r="H38" s="288" t="s">
        <v>1705</v>
      </c>
      <c r="I38" s="306">
        <v>45987.0</v>
      </c>
      <c r="J38" s="293"/>
      <c r="K38" s="282">
        <v>50.0</v>
      </c>
      <c r="L38" s="277" t="s">
        <v>986</v>
      </c>
      <c r="M38" s="277" t="s">
        <v>100</v>
      </c>
      <c r="N38" s="118" t="b">
        <v>1</v>
      </c>
      <c r="O38" s="283" t="s">
        <v>1706</v>
      </c>
      <c r="P38" s="284" t="s">
        <v>81</v>
      </c>
      <c r="Q38" s="285" t="b">
        <v>1</v>
      </c>
      <c r="R38" s="285" t="b">
        <v>0</v>
      </c>
      <c r="S38" s="286" t="b">
        <v>0</v>
      </c>
    </row>
    <row r="39" outlineLevel="1">
      <c r="A39" s="288" t="s">
        <v>101</v>
      </c>
      <c r="B39" s="288" t="s">
        <v>102</v>
      </c>
      <c r="C39" s="306">
        <v>45988.0</v>
      </c>
      <c r="D39" s="288" t="s">
        <v>1707</v>
      </c>
      <c r="E39" s="288" t="s">
        <v>1708</v>
      </c>
      <c r="F39" s="288">
        <v>3.45045638E9</v>
      </c>
      <c r="G39" s="390" t="s">
        <v>1709</v>
      </c>
      <c r="H39" s="288" t="s">
        <v>1710</v>
      </c>
      <c r="I39" s="306">
        <v>45987.0</v>
      </c>
      <c r="J39" s="293"/>
      <c r="K39" s="282">
        <v>50.0</v>
      </c>
      <c r="L39" s="277" t="s">
        <v>986</v>
      </c>
      <c r="M39" s="277" t="s">
        <v>100</v>
      </c>
      <c r="N39" s="118" t="b">
        <v>1</v>
      </c>
      <c r="O39" s="283"/>
      <c r="P39" s="284" t="s">
        <v>81</v>
      </c>
      <c r="Q39" s="285" t="b">
        <v>1</v>
      </c>
      <c r="R39" s="285" t="b">
        <v>0</v>
      </c>
      <c r="S39" s="286" t="b">
        <v>0</v>
      </c>
    </row>
    <row r="40" outlineLevel="1">
      <c r="A40" s="288" t="s">
        <v>101</v>
      </c>
      <c r="B40" s="288" t="s">
        <v>102</v>
      </c>
      <c r="C40" s="306">
        <v>45988.0</v>
      </c>
      <c r="D40" s="288" t="s">
        <v>1711</v>
      </c>
      <c r="E40" s="288" t="s">
        <v>338</v>
      </c>
      <c r="F40" s="288">
        <v>3.669710345E9</v>
      </c>
      <c r="G40" s="390" t="s">
        <v>1712</v>
      </c>
      <c r="H40" s="288" t="s">
        <v>1713</v>
      </c>
      <c r="I40" s="306">
        <v>45987.0</v>
      </c>
      <c r="J40" s="293"/>
      <c r="K40" s="282">
        <v>50.0</v>
      </c>
      <c r="L40" s="277" t="s">
        <v>986</v>
      </c>
      <c r="M40" s="277" t="s">
        <v>100</v>
      </c>
      <c r="N40" s="118" t="b">
        <v>1</v>
      </c>
      <c r="O40" s="283"/>
      <c r="P40" s="284" t="s">
        <v>81</v>
      </c>
      <c r="Q40" s="285" t="b">
        <v>1</v>
      </c>
      <c r="R40" s="285" t="b">
        <v>0</v>
      </c>
      <c r="S40" s="286" t="b">
        <v>0</v>
      </c>
    </row>
    <row r="41" outlineLevel="1">
      <c r="A41" s="288" t="s">
        <v>73</v>
      </c>
      <c r="B41" s="288" t="s">
        <v>94</v>
      </c>
      <c r="C41" s="306">
        <v>45987.0</v>
      </c>
      <c r="D41" s="288" t="s">
        <v>1714</v>
      </c>
      <c r="E41" s="288" t="s">
        <v>165</v>
      </c>
      <c r="F41" s="288">
        <v>3.208826259E9</v>
      </c>
      <c r="G41" s="390" t="s">
        <v>1715</v>
      </c>
      <c r="H41" s="288" t="s">
        <v>1716</v>
      </c>
      <c r="I41" s="306">
        <v>45987.0</v>
      </c>
      <c r="J41" s="293"/>
      <c r="K41" s="282">
        <v>50.0</v>
      </c>
      <c r="L41" s="277" t="s">
        <v>981</v>
      </c>
      <c r="M41" s="277" t="s">
        <v>100</v>
      </c>
      <c r="N41" s="118" t="b">
        <v>1</v>
      </c>
      <c r="O41" s="283"/>
      <c r="P41" s="284" t="s">
        <v>81</v>
      </c>
      <c r="Q41" s="285" t="b">
        <v>1</v>
      </c>
      <c r="R41" s="285" t="b">
        <v>0</v>
      </c>
      <c r="S41" s="286" t="b">
        <v>0</v>
      </c>
    </row>
    <row r="42" outlineLevel="1">
      <c r="A42" s="288" t="s">
        <v>73</v>
      </c>
      <c r="B42" s="288" t="s">
        <v>74</v>
      </c>
      <c r="C42" s="325">
        <v>45985.0</v>
      </c>
      <c r="D42" s="291" t="s">
        <v>1717</v>
      </c>
      <c r="E42" s="291" t="s">
        <v>1718</v>
      </c>
      <c r="F42" s="291">
        <v>3.463182312E9</v>
      </c>
      <c r="G42" s="396" t="s">
        <v>1719</v>
      </c>
      <c r="H42" s="291" t="s">
        <v>1720</v>
      </c>
      <c r="I42" s="326">
        <v>45985.0</v>
      </c>
      <c r="J42" s="293"/>
      <c r="K42" s="312">
        <v>50.0</v>
      </c>
      <c r="L42" s="277" t="s">
        <v>970</v>
      </c>
      <c r="M42" s="277" t="s">
        <v>100</v>
      </c>
      <c r="N42" s="118" t="b">
        <v>1</v>
      </c>
      <c r="O42" s="283"/>
      <c r="P42" s="284" t="s">
        <v>81</v>
      </c>
      <c r="Q42" s="285" t="b">
        <v>1</v>
      </c>
      <c r="R42" s="285" t="b">
        <v>0</v>
      </c>
      <c r="S42" s="286" t="b">
        <v>0</v>
      </c>
    </row>
    <row r="43" outlineLevel="1">
      <c r="A43" s="288" t="s">
        <v>73</v>
      </c>
      <c r="B43" s="288" t="s">
        <v>74</v>
      </c>
      <c r="C43" s="395">
        <v>45985.0</v>
      </c>
      <c r="D43" s="277" t="s">
        <v>1721</v>
      </c>
      <c r="E43" s="225" t="s">
        <v>1722</v>
      </c>
      <c r="F43" s="288">
        <v>3.517117077E9</v>
      </c>
      <c r="G43" s="247" t="s">
        <v>1723</v>
      </c>
      <c r="H43" s="225" t="s">
        <v>1724</v>
      </c>
      <c r="I43" s="395">
        <v>45985.0</v>
      </c>
      <c r="J43" s="281">
        <v>55.0</v>
      </c>
      <c r="K43" s="282"/>
      <c r="L43" s="277"/>
      <c r="M43" s="288" t="s">
        <v>100</v>
      </c>
      <c r="N43" s="118" t="b">
        <v>1</v>
      </c>
      <c r="O43" s="283"/>
      <c r="P43" s="284" t="s">
        <v>81</v>
      </c>
      <c r="Q43" s="285" t="b">
        <v>1</v>
      </c>
      <c r="R43" s="285" t="b">
        <v>0</v>
      </c>
      <c r="S43" s="286" t="b">
        <v>0</v>
      </c>
    </row>
    <row r="44" outlineLevel="1">
      <c r="A44" s="288" t="s">
        <v>73</v>
      </c>
      <c r="B44" s="288" t="s">
        <v>74</v>
      </c>
      <c r="C44" s="325">
        <v>45985.0</v>
      </c>
      <c r="D44" s="291" t="s">
        <v>1725</v>
      </c>
      <c r="E44" s="288" t="s">
        <v>643</v>
      </c>
      <c r="F44" s="288">
        <v>3.407315896E9</v>
      </c>
      <c r="G44" s="397" t="s">
        <v>1726</v>
      </c>
      <c r="H44" s="288" t="s">
        <v>1727</v>
      </c>
      <c r="I44" s="395">
        <v>45985.0</v>
      </c>
      <c r="J44" s="281"/>
      <c r="K44" s="282">
        <v>50.0</v>
      </c>
      <c r="L44" s="277" t="s">
        <v>970</v>
      </c>
      <c r="M44" s="288" t="s">
        <v>100</v>
      </c>
      <c r="N44" s="118" t="b">
        <v>1</v>
      </c>
      <c r="O44" s="283"/>
      <c r="P44" s="284" t="s">
        <v>81</v>
      </c>
      <c r="Q44" s="285" t="b">
        <v>1</v>
      </c>
      <c r="R44" s="285" t="b">
        <v>0</v>
      </c>
      <c r="S44" s="286" t="b">
        <v>0</v>
      </c>
    </row>
    <row r="45" outlineLevel="1">
      <c r="A45" s="288" t="s">
        <v>611</v>
      </c>
      <c r="B45" s="288" t="s">
        <v>612</v>
      </c>
      <c r="C45" s="313">
        <v>45988.0</v>
      </c>
      <c r="D45" s="288" t="s">
        <v>1728</v>
      </c>
      <c r="E45" s="288" t="s">
        <v>635</v>
      </c>
      <c r="F45" s="288">
        <v>3.313585444E9</v>
      </c>
      <c r="G45" s="390" t="s">
        <v>1729</v>
      </c>
      <c r="H45" s="288" t="s">
        <v>1730</v>
      </c>
      <c r="I45" s="313">
        <v>45988.0</v>
      </c>
      <c r="J45" s="293"/>
      <c r="K45" s="282">
        <v>50.0</v>
      </c>
      <c r="L45" s="277" t="s">
        <v>1053</v>
      </c>
      <c r="M45" s="277" t="s">
        <v>100</v>
      </c>
      <c r="N45" s="118" t="b">
        <v>1</v>
      </c>
      <c r="O45" s="283"/>
      <c r="P45" s="284" t="s">
        <v>81</v>
      </c>
      <c r="Q45" s="285" t="b">
        <v>1</v>
      </c>
      <c r="R45" s="285" t="b">
        <v>0</v>
      </c>
      <c r="S45" s="286" t="b">
        <v>0</v>
      </c>
    </row>
    <row r="46" outlineLevel="1">
      <c r="A46" s="288" t="s">
        <v>368</v>
      </c>
      <c r="B46" s="288" t="s">
        <v>369</v>
      </c>
      <c r="C46" s="313">
        <v>45988.0</v>
      </c>
      <c r="D46" s="288" t="s">
        <v>660</v>
      </c>
      <c r="E46" s="288" t="s">
        <v>492</v>
      </c>
      <c r="F46" s="288">
        <v>3.883659924E9</v>
      </c>
      <c r="G46" s="390" t="s">
        <v>661</v>
      </c>
      <c r="H46" s="288" t="s">
        <v>662</v>
      </c>
      <c r="I46" s="313">
        <v>45988.0</v>
      </c>
      <c r="J46" s="281"/>
      <c r="K46" s="282">
        <v>50.0</v>
      </c>
      <c r="L46" s="277" t="s">
        <v>1003</v>
      </c>
      <c r="M46" s="288" t="s">
        <v>162</v>
      </c>
      <c r="N46" s="118" t="b">
        <v>1</v>
      </c>
      <c r="O46" s="398"/>
      <c r="P46" s="284" t="s">
        <v>81</v>
      </c>
      <c r="Q46" s="285" t="b">
        <v>1</v>
      </c>
      <c r="R46" s="285" t="b">
        <v>0</v>
      </c>
      <c r="S46" s="286" t="b">
        <v>0</v>
      </c>
    </row>
    <row r="47" outlineLevel="1">
      <c r="A47" s="288" t="s">
        <v>73</v>
      </c>
      <c r="B47" s="288" t="s">
        <v>94</v>
      </c>
      <c r="C47" s="278">
        <v>45990.0</v>
      </c>
      <c r="D47" s="137" t="s">
        <v>1731</v>
      </c>
      <c r="E47" s="137" t="s">
        <v>492</v>
      </c>
      <c r="F47" s="280">
        <v>3.347377934E9</v>
      </c>
      <c r="G47" s="399" t="s">
        <v>1732</v>
      </c>
      <c r="H47" s="137" t="s">
        <v>1733</v>
      </c>
      <c r="I47" s="315">
        <v>45990.0</v>
      </c>
      <c r="J47" s="303">
        <v>0.0</v>
      </c>
      <c r="K47" s="312"/>
      <c r="L47" s="277"/>
      <c r="M47" s="288" t="s">
        <v>162</v>
      </c>
      <c r="N47" s="118" t="b">
        <v>1</v>
      </c>
      <c r="O47" s="283" t="s">
        <v>1035</v>
      </c>
      <c r="P47" s="284" t="s">
        <v>81</v>
      </c>
      <c r="Q47" s="285" t="b">
        <v>0</v>
      </c>
      <c r="R47" s="285" t="b">
        <v>0</v>
      </c>
      <c r="S47" s="286" t="b">
        <v>0</v>
      </c>
    </row>
    <row r="48" outlineLevel="1">
      <c r="A48" s="288" t="s">
        <v>239</v>
      </c>
      <c r="B48" s="288" t="s">
        <v>240</v>
      </c>
      <c r="C48" s="400">
        <v>46002.0</v>
      </c>
      <c r="D48" s="300" t="s">
        <v>1734</v>
      </c>
      <c r="E48" s="300" t="s">
        <v>165</v>
      </c>
      <c r="F48" s="300">
        <v>3.441306079E9</v>
      </c>
      <c r="G48" s="300" t="s">
        <v>1735</v>
      </c>
      <c r="H48" s="300" t="s">
        <v>1736</v>
      </c>
      <c r="I48" s="401">
        <v>46002.0</v>
      </c>
      <c r="J48" s="402"/>
      <c r="K48" s="403">
        <v>50.0</v>
      </c>
      <c r="L48" s="277" t="s">
        <v>1012</v>
      </c>
      <c r="M48" s="288" t="s">
        <v>162</v>
      </c>
      <c r="N48" s="118" t="b">
        <v>1</v>
      </c>
      <c r="O48" s="283"/>
      <c r="P48" s="284" t="s">
        <v>81</v>
      </c>
      <c r="Q48" s="285" t="b">
        <v>1</v>
      </c>
      <c r="R48" s="285" t="b">
        <v>0</v>
      </c>
      <c r="S48" s="286" t="b">
        <v>0</v>
      </c>
    </row>
    <row r="49" outlineLevel="1">
      <c r="A49" s="288" t="s">
        <v>73</v>
      </c>
      <c r="B49" s="288" t="s">
        <v>74</v>
      </c>
      <c r="C49" s="313">
        <v>45987.0</v>
      </c>
      <c r="D49" s="300" t="s">
        <v>1737</v>
      </c>
      <c r="E49" s="300" t="s">
        <v>1738</v>
      </c>
      <c r="F49" s="300">
        <v>3.274770214E9</v>
      </c>
      <c r="G49" s="300" t="s">
        <v>1739</v>
      </c>
      <c r="H49" s="300" t="s">
        <v>1740</v>
      </c>
      <c r="I49" s="313">
        <v>45987.0</v>
      </c>
      <c r="J49" s="293"/>
      <c r="K49" s="282">
        <v>50.0</v>
      </c>
      <c r="L49" s="277" t="s">
        <v>970</v>
      </c>
      <c r="M49" s="277" t="s">
        <v>100</v>
      </c>
      <c r="N49" s="118" t="b">
        <v>1</v>
      </c>
      <c r="O49" s="283"/>
      <c r="P49" s="284" t="s">
        <v>81</v>
      </c>
      <c r="Q49" s="285" t="b">
        <v>1</v>
      </c>
      <c r="R49" s="285" t="b">
        <v>0</v>
      </c>
      <c r="S49" s="286" t="b">
        <v>0</v>
      </c>
    </row>
    <row r="50" outlineLevel="1">
      <c r="A50" s="288"/>
      <c r="B50" s="288" t="s">
        <v>102</v>
      </c>
      <c r="C50" s="306">
        <v>45992.0</v>
      </c>
      <c r="D50" s="300" t="s">
        <v>1741</v>
      </c>
      <c r="E50" s="300" t="s">
        <v>492</v>
      </c>
      <c r="F50" s="300">
        <v>3.313412949E9</v>
      </c>
      <c r="G50" s="300" t="s">
        <v>1742</v>
      </c>
      <c r="H50" s="404" t="s">
        <v>1743</v>
      </c>
      <c r="I50" s="306">
        <v>45992.0</v>
      </c>
      <c r="J50" s="293"/>
      <c r="K50" s="282">
        <v>50.0</v>
      </c>
      <c r="L50" s="277" t="s">
        <v>986</v>
      </c>
      <c r="M50" s="288" t="s">
        <v>162</v>
      </c>
      <c r="N50" s="118" t="b">
        <v>1</v>
      </c>
      <c r="O50" s="283"/>
      <c r="P50" s="284" t="s">
        <v>81</v>
      </c>
      <c r="Q50" s="285" t="b">
        <v>1</v>
      </c>
      <c r="R50" s="285" t="b">
        <v>0</v>
      </c>
      <c r="S50" s="286" t="b">
        <v>0</v>
      </c>
    </row>
    <row r="51" outlineLevel="1">
      <c r="A51" s="288" t="s">
        <v>73</v>
      </c>
      <c r="B51" s="288" t="s">
        <v>74</v>
      </c>
      <c r="C51" s="313">
        <v>45989.0</v>
      </c>
      <c r="D51" s="390" t="s">
        <v>1744</v>
      </c>
      <c r="E51" s="390" t="s">
        <v>1088</v>
      </c>
      <c r="F51" s="390">
        <v>3.890232755E9</v>
      </c>
      <c r="G51" s="390" t="s">
        <v>1745</v>
      </c>
      <c r="H51" s="390" t="s">
        <v>1746</v>
      </c>
      <c r="I51" s="405">
        <v>45989.0</v>
      </c>
      <c r="J51" s="406"/>
      <c r="K51" s="407">
        <v>50.0</v>
      </c>
      <c r="L51" s="277" t="s">
        <v>1003</v>
      </c>
      <c r="M51" s="288" t="s">
        <v>100</v>
      </c>
      <c r="N51" s="118" t="b">
        <v>1</v>
      </c>
      <c r="O51" s="283"/>
      <c r="P51" s="284" t="s">
        <v>81</v>
      </c>
      <c r="Q51" s="285" t="b">
        <v>1</v>
      </c>
      <c r="R51" s="285" t="b">
        <v>0</v>
      </c>
      <c r="S51" s="286" t="b">
        <v>0</v>
      </c>
    </row>
    <row r="52" outlineLevel="1">
      <c r="A52" s="288" t="s">
        <v>73</v>
      </c>
      <c r="B52" s="288" t="s">
        <v>94</v>
      </c>
      <c r="C52" s="408">
        <v>45994.0</v>
      </c>
      <c r="D52" s="390" t="s">
        <v>1747</v>
      </c>
      <c r="E52" s="390" t="s">
        <v>1192</v>
      </c>
      <c r="F52" s="390">
        <v>3.349981529E9</v>
      </c>
      <c r="G52" s="390" t="s">
        <v>1748</v>
      </c>
      <c r="H52" s="390" t="s">
        <v>1749</v>
      </c>
      <c r="I52" s="408">
        <v>45994.0</v>
      </c>
      <c r="J52" s="406"/>
      <c r="K52" s="407">
        <v>50.0</v>
      </c>
      <c r="L52" s="277" t="s">
        <v>981</v>
      </c>
      <c r="M52" s="288" t="s">
        <v>162</v>
      </c>
      <c r="N52" s="118" t="b">
        <v>1</v>
      </c>
      <c r="O52" s="283"/>
      <c r="P52" s="284" t="s">
        <v>81</v>
      </c>
      <c r="Q52" s="285" t="b">
        <v>1</v>
      </c>
      <c r="R52" s="285" t="b">
        <v>0</v>
      </c>
      <c r="S52" s="286" t="b">
        <v>0</v>
      </c>
    </row>
    <row r="53" outlineLevel="1">
      <c r="A53" s="288" t="s">
        <v>73</v>
      </c>
      <c r="B53" s="288" t="s">
        <v>74</v>
      </c>
      <c r="C53" s="313">
        <v>45990.0</v>
      </c>
      <c r="D53" s="390" t="s">
        <v>1750</v>
      </c>
      <c r="E53" s="390" t="s">
        <v>247</v>
      </c>
      <c r="F53" s="390">
        <v>3.663330295E9</v>
      </c>
      <c r="G53" s="390" t="s">
        <v>1751</v>
      </c>
      <c r="H53" s="390" t="s">
        <v>1752</v>
      </c>
      <c r="I53" s="405">
        <v>45990.0</v>
      </c>
      <c r="J53" s="406"/>
      <c r="K53" s="407">
        <v>50.0</v>
      </c>
      <c r="L53" s="277" t="s">
        <v>970</v>
      </c>
      <c r="M53" s="288" t="s">
        <v>100</v>
      </c>
      <c r="N53" s="118" t="b">
        <v>1</v>
      </c>
      <c r="O53" s="283"/>
      <c r="P53" s="284" t="s">
        <v>81</v>
      </c>
      <c r="Q53" s="285" t="b">
        <v>1</v>
      </c>
      <c r="R53" s="285" t="b">
        <v>0</v>
      </c>
      <c r="S53" s="286" t="b">
        <v>0</v>
      </c>
    </row>
    <row r="54" outlineLevel="1">
      <c r="A54" s="288" t="s">
        <v>73</v>
      </c>
      <c r="B54" s="288" t="s">
        <v>74</v>
      </c>
      <c r="C54" s="405">
        <v>45990.0</v>
      </c>
      <c r="D54" s="390" t="s">
        <v>322</v>
      </c>
      <c r="E54" s="390" t="s">
        <v>323</v>
      </c>
      <c r="F54" s="390">
        <v>3.333544512E9</v>
      </c>
      <c r="G54" s="390" t="s">
        <v>324</v>
      </c>
      <c r="H54" s="390" t="s">
        <v>325</v>
      </c>
      <c r="I54" s="405">
        <v>45990.0</v>
      </c>
      <c r="J54" s="406"/>
      <c r="K54" s="407">
        <v>50.0</v>
      </c>
      <c r="L54" s="277" t="s">
        <v>970</v>
      </c>
      <c r="M54" s="288" t="s">
        <v>100</v>
      </c>
      <c r="N54" s="118" t="b">
        <v>0</v>
      </c>
      <c r="O54" s="283"/>
      <c r="P54" s="284" t="s">
        <v>81</v>
      </c>
      <c r="Q54" s="285" t="b">
        <v>1</v>
      </c>
      <c r="R54" s="285" t="b">
        <v>0</v>
      </c>
      <c r="S54" s="286" t="b">
        <v>0</v>
      </c>
    </row>
    <row r="55" outlineLevel="1">
      <c r="A55" s="288" t="s">
        <v>73</v>
      </c>
      <c r="B55" s="288" t="s">
        <v>74</v>
      </c>
      <c r="C55" s="405">
        <v>45991.0</v>
      </c>
      <c r="D55" s="390" t="s">
        <v>1753</v>
      </c>
      <c r="E55" s="390" t="s">
        <v>1754</v>
      </c>
      <c r="F55" s="228">
        <v>3.467817118E9</v>
      </c>
      <c r="G55" s="390" t="s">
        <v>1755</v>
      </c>
      <c r="H55" s="390" t="s">
        <v>1756</v>
      </c>
      <c r="I55" s="405">
        <v>45991.0</v>
      </c>
      <c r="J55" s="406"/>
      <c r="K55" s="407">
        <v>50.0</v>
      </c>
      <c r="L55" s="277" t="s">
        <v>970</v>
      </c>
      <c r="M55" s="288" t="s">
        <v>100</v>
      </c>
      <c r="N55" s="118" t="b">
        <v>1</v>
      </c>
      <c r="O55" s="283"/>
      <c r="P55" s="284" t="s">
        <v>81</v>
      </c>
      <c r="Q55" s="285" t="b">
        <v>1</v>
      </c>
      <c r="R55" s="285" t="b">
        <v>0</v>
      </c>
      <c r="S55" s="286" t="b">
        <v>0</v>
      </c>
    </row>
    <row r="56" outlineLevel="1">
      <c r="A56" s="288" t="s">
        <v>73</v>
      </c>
      <c r="B56" s="288" t="s">
        <v>74</v>
      </c>
      <c r="C56" s="306">
        <v>45992.0</v>
      </c>
      <c r="D56" s="288" t="s">
        <v>1757</v>
      </c>
      <c r="E56" s="288" t="s">
        <v>151</v>
      </c>
      <c r="F56" s="288">
        <v>3.397648487E9</v>
      </c>
      <c r="G56" s="409" t="s">
        <v>1758</v>
      </c>
      <c r="H56" s="288" t="s">
        <v>1759</v>
      </c>
      <c r="I56" s="306">
        <v>45992.0</v>
      </c>
      <c r="J56" s="293"/>
      <c r="K56" s="282">
        <v>50.0</v>
      </c>
      <c r="L56" s="277" t="s">
        <v>970</v>
      </c>
      <c r="M56" s="288" t="s">
        <v>100</v>
      </c>
      <c r="N56" s="118" t="b">
        <v>0</v>
      </c>
      <c r="O56" s="283"/>
      <c r="P56" s="284" t="s">
        <v>81</v>
      </c>
      <c r="Q56" s="285" t="b">
        <v>1</v>
      </c>
      <c r="R56" s="285" t="b">
        <v>0</v>
      </c>
      <c r="S56" s="286" t="b">
        <v>0</v>
      </c>
    </row>
    <row r="57" outlineLevel="1">
      <c r="A57" s="288" t="s">
        <v>73</v>
      </c>
      <c r="B57" s="288" t="s">
        <v>74</v>
      </c>
      <c r="C57" s="306">
        <v>45992.0</v>
      </c>
      <c r="D57" s="288" t="s">
        <v>1760</v>
      </c>
      <c r="E57" s="288" t="s">
        <v>256</v>
      </c>
      <c r="F57" s="288">
        <v>3.339681747E9</v>
      </c>
      <c r="G57" s="409" t="s">
        <v>1761</v>
      </c>
      <c r="H57" s="288" t="s">
        <v>1762</v>
      </c>
      <c r="I57" s="306">
        <v>45992.0</v>
      </c>
      <c r="J57" s="293"/>
      <c r="K57" s="282">
        <v>50.0</v>
      </c>
      <c r="L57" s="277" t="s">
        <v>970</v>
      </c>
      <c r="M57" s="288" t="s">
        <v>100</v>
      </c>
      <c r="N57" s="118" t="b">
        <v>1</v>
      </c>
      <c r="O57" s="283"/>
      <c r="P57" s="284" t="s">
        <v>81</v>
      </c>
      <c r="Q57" s="285" t="b">
        <v>1</v>
      </c>
      <c r="R57" s="285" t="b">
        <v>0</v>
      </c>
      <c r="S57" s="286" t="b">
        <v>0</v>
      </c>
    </row>
    <row r="58" outlineLevel="1">
      <c r="A58" s="288" t="s">
        <v>73</v>
      </c>
      <c r="B58" s="288" t="s">
        <v>94</v>
      </c>
      <c r="C58" s="306">
        <v>46001.0</v>
      </c>
      <c r="D58" s="288" t="s">
        <v>1763</v>
      </c>
      <c r="E58" s="288" t="s">
        <v>1764</v>
      </c>
      <c r="F58" s="288">
        <v>3.382233811E9</v>
      </c>
      <c r="G58" s="409" t="s">
        <v>1765</v>
      </c>
      <c r="H58" s="288" t="s">
        <v>1766</v>
      </c>
      <c r="I58" s="313">
        <v>46001.0</v>
      </c>
      <c r="J58" s="293"/>
      <c r="K58" s="282">
        <v>50.0</v>
      </c>
      <c r="L58" s="277" t="s">
        <v>981</v>
      </c>
      <c r="M58" s="288" t="s">
        <v>162</v>
      </c>
      <c r="N58" s="118" t="b">
        <v>1</v>
      </c>
      <c r="O58" s="283"/>
      <c r="P58" s="284" t="s">
        <v>81</v>
      </c>
      <c r="Q58" s="285" t="b">
        <v>1</v>
      </c>
      <c r="R58" s="285" t="b">
        <v>0</v>
      </c>
      <c r="S58" s="286" t="b">
        <v>0</v>
      </c>
    </row>
    <row r="59" outlineLevel="1">
      <c r="A59" s="288" t="s">
        <v>73</v>
      </c>
      <c r="B59" s="288" t="s">
        <v>74</v>
      </c>
      <c r="C59" s="306">
        <v>45992.0</v>
      </c>
      <c r="D59" s="288" t="s">
        <v>1767</v>
      </c>
      <c r="E59" s="288" t="s">
        <v>1768</v>
      </c>
      <c r="F59" s="288">
        <v>3.289427767E9</v>
      </c>
      <c r="G59" s="409" t="s">
        <v>1769</v>
      </c>
      <c r="H59" s="288" t="s">
        <v>1770</v>
      </c>
      <c r="I59" s="306">
        <v>45992.0</v>
      </c>
      <c r="J59" s="293"/>
      <c r="K59" s="282">
        <v>50.0</v>
      </c>
      <c r="L59" s="277" t="s">
        <v>970</v>
      </c>
      <c r="M59" s="288" t="s">
        <v>100</v>
      </c>
      <c r="N59" s="118" t="b">
        <v>1</v>
      </c>
      <c r="O59" s="283"/>
      <c r="P59" s="284" t="s">
        <v>81</v>
      </c>
      <c r="Q59" s="285" t="b">
        <v>1</v>
      </c>
      <c r="R59" s="285" t="b">
        <v>0</v>
      </c>
      <c r="S59" s="286" t="b">
        <v>0</v>
      </c>
    </row>
    <row r="60" outlineLevel="1">
      <c r="A60" s="288" t="s">
        <v>611</v>
      </c>
      <c r="B60" s="288" t="s">
        <v>612</v>
      </c>
      <c r="C60" s="313">
        <v>46002.0</v>
      </c>
      <c r="D60" s="288" t="s">
        <v>1771</v>
      </c>
      <c r="E60" s="288" t="s">
        <v>1772</v>
      </c>
      <c r="F60" s="288">
        <v>3.347452832E9</v>
      </c>
      <c r="G60" s="257" t="s">
        <v>1773</v>
      </c>
      <c r="H60" s="288" t="s">
        <v>1774</v>
      </c>
      <c r="I60" s="313">
        <v>46002.0</v>
      </c>
      <c r="J60" s="293"/>
      <c r="K60" s="282">
        <v>50.0</v>
      </c>
      <c r="L60" s="277" t="s">
        <v>970</v>
      </c>
      <c r="M60" s="288" t="s">
        <v>100</v>
      </c>
      <c r="N60" s="118" t="b">
        <v>1</v>
      </c>
      <c r="O60" s="283" t="s">
        <v>1775</v>
      </c>
      <c r="P60" s="284" t="s">
        <v>81</v>
      </c>
      <c r="Q60" s="285" t="b">
        <v>1</v>
      </c>
      <c r="R60" s="285" t="b">
        <v>0</v>
      </c>
      <c r="S60" s="286" t="b">
        <v>0</v>
      </c>
    </row>
    <row r="61" outlineLevel="1">
      <c r="A61" s="288" t="s">
        <v>101</v>
      </c>
      <c r="B61" s="288" t="s">
        <v>102</v>
      </c>
      <c r="C61" s="313">
        <v>46004.0</v>
      </c>
      <c r="D61" s="288" t="s">
        <v>1776</v>
      </c>
      <c r="E61" s="288" t="s">
        <v>737</v>
      </c>
      <c r="F61" s="288">
        <v>3.408060442E9</v>
      </c>
      <c r="G61" s="257" t="s">
        <v>1777</v>
      </c>
      <c r="H61" s="288" t="s">
        <v>1778</v>
      </c>
      <c r="I61" s="313">
        <v>46004.0</v>
      </c>
      <c r="J61" s="293"/>
      <c r="K61" s="282">
        <v>50.0</v>
      </c>
      <c r="L61" s="277" t="s">
        <v>986</v>
      </c>
      <c r="M61" s="288" t="s">
        <v>80</v>
      </c>
      <c r="N61" s="118" t="b">
        <v>1</v>
      </c>
      <c r="O61" s="283" t="s">
        <v>1779</v>
      </c>
      <c r="P61" s="284" t="s">
        <v>81</v>
      </c>
      <c r="Q61" s="285" t="b">
        <v>0</v>
      </c>
      <c r="R61" s="285" t="b">
        <v>0</v>
      </c>
      <c r="S61" s="286" t="b">
        <v>0</v>
      </c>
    </row>
    <row r="62" outlineLevel="1">
      <c r="A62" s="288" t="s">
        <v>611</v>
      </c>
      <c r="B62" s="288" t="s">
        <v>612</v>
      </c>
      <c r="C62" s="313">
        <v>46005.0</v>
      </c>
      <c r="D62" s="288" t="s">
        <v>260</v>
      </c>
      <c r="E62" s="288" t="s">
        <v>875</v>
      </c>
      <c r="F62" s="288">
        <v>3.346013249E9</v>
      </c>
      <c r="G62" s="257" t="s">
        <v>262</v>
      </c>
      <c r="H62" s="288" t="s">
        <v>1780</v>
      </c>
      <c r="I62" s="313">
        <v>46005.0</v>
      </c>
      <c r="J62" s="293"/>
      <c r="K62" s="282">
        <v>50.0</v>
      </c>
      <c r="L62" s="277" t="s">
        <v>1053</v>
      </c>
      <c r="M62" s="288" t="s">
        <v>100</v>
      </c>
      <c r="N62" s="118" t="b">
        <v>1</v>
      </c>
      <c r="O62" s="283"/>
      <c r="P62" s="284" t="s">
        <v>81</v>
      </c>
      <c r="Q62" s="285" t="b">
        <v>1</v>
      </c>
      <c r="R62" s="285" t="b">
        <v>0</v>
      </c>
      <c r="S62" s="286" t="b">
        <v>0</v>
      </c>
    </row>
    <row r="63" outlineLevel="1">
      <c r="A63" s="288"/>
      <c r="B63" s="323"/>
      <c r="C63" s="323"/>
      <c r="D63" s="323"/>
      <c r="E63" s="323"/>
      <c r="F63" s="323"/>
      <c r="H63" s="323"/>
      <c r="I63" s="323"/>
      <c r="J63" s="293"/>
      <c r="K63" s="312"/>
      <c r="L63" s="277"/>
      <c r="M63" s="323"/>
      <c r="N63" s="118" t="b">
        <v>0</v>
      </c>
      <c r="O63" s="283"/>
      <c r="P63" s="284"/>
      <c r="Q63" s="285" t="b">
        <v>0</v>
      </c>
      <c r="R63" s="285" t="b">
        <v>0</v>
      </c>
      <c r="S63" s="286" t="b">
        <v>0</v>
      </c>
    </row>
    <row r="64" outlineLevel="1">
      <c r="A64" s="288"/>
      <c r="B64" s="323"/>
      <c r="C64" s="323"/>
      <c r="D64" s="323"/>
      <c r="E64" s="323"/>
      <c r="F64" s="323"/>
      <c r="H64" s="323"/>
      <c r="I64" s="323"/>
      <c r="J64" s="293"/>
      <c r="K64" s="312"/>
      <c r="L64" s="277"/>
      <c r="M64" s="323"/>
      <c r="N64" s="118" t="b">
        <v>0</v>
      </c>
      <c r="O64" s="283"/>
      <c r="P64" s="284"/>
      <c r="Q64" s="285" t="b">
        <v>0</v>
      </c>
      <c r="R64" s="285" t="b">
        <v>0</v>
      </c>
      <c r="S64" s="286" t="b">
        <v>0</v>
      </c>
    </row>
    <row r="65" outlineLevel="1">
      <c r="A65" s="288"/>
      <c r="B65" s="323"/>
      <c r="C65" s="323"/>
      <c r="D65" s="323"/>
      <c r="E65" s="323"/>
      <c r="F65" s="323"/>
      <c r="H65" s="323"/>
      <c r="I65" s="323"/>
      <c r="J65" s="293"/>
      <c r="K65" s="312"/>
      <c r="L65" s="277"/>
      <c r="M65" s="323"/>
      <c r="N65" s="118" t="b">
        <v>0</v>
      </c>
      <c r="O65" s="283"/>
      <c r="P65" s="284"/>
      <c r="Q65" s="285" t="b">
        <v>0</v>
      </c>
      <c r="R65" s="285" t="b">
        <v>0</v>
      </c>
      <c r="S65" s="286" t="b">
        <v>0</v>
      </c>
    </row>
    <row r="66" outlineLevel="1">
      <c r="A66" s="288"/>
      <c r="B66" s="323"/>
      <c r="C66" s="323"/>
      <c r="D66" s="323"/>
      <c r="E66" s="323"/>
      <c r="F66" s="323"/>
      <c r="H66" s="323"/>
      <c r="I66" s="323"/>
      <c r="J66" s="293"/>
      <c r="K66" s="312"/>
      <c r="L66" s="277"/>
      <c r="M66" s="323"/>
      <c r="N66" s="118" t="b">
        <v>0</v>
      </c>
      <c r="O66" s="283"/>
      <c r="P66" s="284"/>
      <c r="Q66" s="285" t="b">
        <v>0</v>
      </c>
      <c r="R66" s="285" t="b">
        <v>0</v>
      </c>
      <c r="S66" s="286" t="b">
        <v>0</v>
      </c>
    </row>
    <row r="67" outlineLevel="1">
      <c r="A67" s="288"/>
      <c r="B67" s="323"/>
      <c r="C67" s="323"/>
      <c r="D67" s="323"/>
      <c r="E67" s="323"/>
      <c r="F67" s="323"/>
      <c r="H67" s="323"/>
      <c r="I67" s="323"/>
      <c r="J67" s="293"/>
      <c r="K67" s="312"/>
      <c r="L67" s="277"/>
      <c r="M67" s="323"/>
      <c r="N67" s="118" t="b">
        <v>0</v>
      </c>
      <c r="O67" s="283"/>
      <c r="P67" s="284"/>
      <c r="Q67" s="285" t="b">
        <v>0</v>
      </c>
      <c r="R67" s="285" t="b">
        <v>0</v>
      </c>
      <c r="S67" s="286" t="b">
        <v>0</v>
      </c>
    </row>
    <row r="68" outlineLevel="1">
      <c r="A68" s="288"/>
      <c r="B68" s="323"/>
      <c r="C68" s="323"/>
      <c r="D68" s="323"/>
      <c r="E68" s="323"/>
      <c r="F68" s="323"/>
      <c r="H68" s="323"/>
      <c r="I68" s="323"/>
      <c r="J68" s="293"/>
      <c r="K68" s="312"/>
      <c r="L68" s="277"/>
      <c r="M68" s="323"/>
      <c r="N68" s="118" t="b">
        <v>0</v>
      </c>
      <c r="O68" s="283"/>
      <c r="P68" s="284"/>
      <c r="Q68" s="285" t="b">
        <v>0</v>
      </c>
      <c r="R68" s="285" t="b">
        <v>0</v>
      </c>
      <c r="S68" s="286" t="b">
        <v>0</v>
      </c>
    </row>
    <row r="69" outlineLevel="1">
      <c r="A69" s="288"/>
      <c r="B69" s="323"/>
      <c r="C69" s="323"/>
      <c r="D69" s="323"/>
      <c r="E69" s="323"/>
      <c r="F69" s="323"/>
      <c r="H69" s="323"/>
      <c r="I69" s="323"/>
      <c r="J69" s="293"/>
      <c r="K69" s="312"/>
      <c r="L69" s="277"/>
      <c r="M69" s="323"/>
      <c r="N69" s="118" t="b">
        <v>0</v>
      </c>
      <c r="O69" s="283"/>
      <c r="P69" s="284"/>
      <c r="Q69" s="285" t="b">
        <v>0</v>
      </c>
      <c r="R69" s="285" t="b">
        <v>0</v>
      </c>
      <c r="S69" s="286" t="b">
        <v>0</v>
      </c>
    </row>
    <row r="70" outlineLevel="1">
      <c r="A70" s="288"/>
      <c r="B70" s="323"/>
      <c r="C70" s="323"/>
      <c r="D70" s="323"/>
      <c r="E70" s="323"/>
      <c r="F70" s="323"/>
      <c r="H70" s="323"/>
      <c r="I70" s="323"/>
      <c r="J70" s="293"/>
      <c r="K70" s="312"/>
      <c r="L70" s="277"/>
      <c r="M70" s="323"/>
      <c r="N70" s="118" t="b">
        <v>0</v>
      </c>
      <c r="O70" s="283"/>
      <c r="P70" s="284"/>
      <c r="Q70" s="285" t="b">
        <v>0</v>
      </c>
      <c r="R70" s="285" t="b">
        <v>0</v>
      </c>
      <c r="S70" s="286" t="b">
        <v>0</v>
      </c>
    </row>
    <row r="71" outlineLevel="1">
      <c r="A71" s="288"/>
      <c r="B71" s="323"/>
      <c r="C71" s="323"/>
      <c r="D71" s="323"/>
      <c r="E71" s="323"/>
      <c r="F71" s="323"/>
      <c r="H71" s="323"/>
      <c r="I71" s="323"/>
      <c r="J71" s="293"/>
      <c r="K71" s="312"/>
      <c r="L71" s="277"/>
      <c r="M71" s="323"/>
      <c r="N71" s="118" t="b">
        <v>0</v>
      </c>
      <c r="O71" s="283"/>
      <c r="P71" s="284"/>
      <c r="Q71" s="285" t="b">
        <v>0</v>
      </c>
      <c r="R71" s="285" t="b">
        <v>0</v>
      </c>
      <c r="S71" s="286" t="b">
        <v>0</v>
      </c>
    </row>
    <row r="72" outlineLevel="1">
      <c r="A72" s="288"/>
      <c r="B72" s="323"/>
      <c r="C72" s="323"/>
      <c r="D72" s="323"/>
      <c r="E72" s="323"/>
      <c r="F72" s="323"/>
      <c r="H72" s="323"/>
      <c r="I72" s="323"/>
      <c r="J72" s="293"/>
      <c r="K72" s="312"/>
      <c r="L72" s="277"/>
      <c r="M72" s="323"/>
      <c r="N72" s="118" t="b">
        <v>0</v>
      </c>
      <c r="O72" s="283"/>
      <c r="P72" s="284"/>
      <c r="Q72" s="285" t="b">
        <v>0</v>
      </c>
      <c r="R72" s="285" t="b">
        <v>0</v>
      </c>
      <c r="S72" s="286" t="b">
        <v>0</v>
      </c>
    </row>
    <row r="73" outlineLevel="1">
      <c r="A73" s="288"/>
      <c r="B73" s="323"/>
      <c r="C73" s="323"/>
      <c r="D73" s="323"/>
      <c r="E73" s="323"/>
      <c r="F73" s="323"/>
      <c r="H73" s="323"/>
      <c r="I73" s="323"/>
      <c r="J73" s="293"/>
      <c r="K73" s="312"/>
      <c r="L73" s="277"/>
      <c r="M73" s="323"/>
      <c r="N73" s="118" t="b">
        <v>0</v>
      </c>
      <c r="O73" s="283"/>
      <c r="P73" s="284"/>
      <c r="Q73" s="285" t="b">
        <v>0</v>
      </c>
      <c r="R73" s="285" t="b">
        <v>0</v>
      </c>
      <c r="S73" s="286" t="b">
        <v>0</v>
      </c>
    </row>
    <row r="74" outlineLevel="1">
      <c r="A74" s="288"/>
      <c r="B74" s="323"/>
      <c r="C74" s="323"/>
      <c r="D74" s="323"/>
      <c r="E74" s="323"/>
      <c r="F74" s="323"/>
      <c r="H74" s="323"/>
      <c r="I74" s="323"/>
      <c r="J74" s="293"/>
      <c r="K74" s="312"/>
      <c r="L74" s="277"/>
      <c r="M74" s="323"/>
      <c r="N74" s="118" t="b">
        <v>0</v>
      </c>
      <c r="O74" s="283"/>
      <c r="P74" s="284"/>
      <c r="Q74" s="285" t="b">
        <v>0</v>
      </c>
      <c r="R74" s="285" t="b">
        <v>0</v>
      </c>
      <c r="S74" s="286" t="b">
        <v>0</v>
      </c>
    </row>
    <row r="75" outlineLevel="1">
      <c r="A75" s="288"/>
      <c r="B75" s="323"/>
      <c r="C75" s="323"/>
      <c r="D75" s="323"/>
      <c r="E75" s="323"/>
      <c r="F75" s="323"/>
      <c r="H75" s="323"/>
      <c r="I75" s="323"/>
      <c r="J75" s="293"/>
      <c r="K75" s="312"/>
      <c r="L75" s="277"/>
      <c r="M75" s="323"/>
      <c r="N75" s="118" t="b">
        <v>0</v>
      </c>
      <c r="O75" s="283"/>
      <c r="P75" s="284"/>
      <c r="Q75" s="285" t="b">
        <v>0</v>
      </c>
      <c r="R75" s="285" t="b">
        <v>0</v>
      </c>
      <c r="S75" s="286" t="b">
        <v>0</v>
      </c>
    </row>
    <row r="76" outlineLevel="1">
      <c r="A76" s="288"/>
      <c r="B76" s="323"/>
      <c r="C76" s="323"/>
      <c r="D76" s="323"/>
      <c r="E76" s="323"/>
      <c r="F76" s="323"/>
      <c r="H76" s="323"/>
      <c r="I76" s="323"/>
      <c r="J76" s="293"/>
      <c r="K76" s="312"/>
      <c r="L76" s="277"/>
      <c r="M76" s="323"/>
      <c r="N76" s="118" t="b">
        <v>0</v>
      </c>
      <c r="O76" s="283"/>
      <c r="P76" s="284"/>
      <c r="Q76" s="285" t="b">
        <v>0</v>
      </c>
      <c r="R76" s="285" t="b">
        <v>0</v>
      </c>
      <c r="S76" s="286" t="b">
        <v>0</v>
      </c>
    </row>
    <row r="77" outlineLevel="1">
      <c r="A77" s="288"/>
      <c r="B77" s="323"/>
      <c r="C77" s="323"/>
      <c r="D77" s="323"/>
      <c r="E77" s="323"/>
      <c r="F77" s="323"/>
      <c r="G77" s="323"/>
      <c r="H77" s="323"/>
      <c r="I77" s="323"/>
      <c r="J77" s="293"/>
      <c r="K77" s="312"/>
      <c r="L77" s="277"/>
      <c r="M77" s="323"/>
      <c r="N77" s="118" t="b">
        <v>0</v>
      </c>
      <c r="O77" s="283"/>
      <c r="P77" s="284"/>
      <c r="Q77" s="285" t="b">
        <v>0</v>
      </c>
      <c r="R77" s="285" t="b">
        <v>0</v>
      </c>
      <c r="S77" s="286" t="b">
        <v>0</v>
      </c>
    </row>
    <row r="78" outlineLevel="1">
      <c r="A78" s="288"/>
      <c r="B78" s="323"/>
      <c r="C78" s="323"/>
      <c r="D78" s="323"/>
      <c r="E78" s="323"/>
      <c r="F78" s="323"/>
      <c r="G78" s="323"/>
      <c r="H78" s="323"/>
      <c r="I78" s="323"/>
      <c r="J78" s="293"/>
      <c r="K78" s="312"/>
      <c r="L78" s="277"/>
      <c r="M78" s="323"/>
      <c r="N78" s="118" t="b">
        <v>0</v>
      </c>
      <c r="O78" s="283"/>
      <c r="P78" s="284"/>
      <c r="Q78" s="285" t="b">
        <v>0</v>
      </c>
      <c r="R78" s="285" t="b">
        <v>0</v>
      </c>
      <c r="S78" s="286" t="b">
        <v>0</v>
      </c>
    </row>
    <row r="79" outlineLevel="1">
      <c r="A79" s="288"/>
      <c r="B79" s="323"/>
      <c r="C79" s="323"/>
      <c r="D79" s="323"/>
      <c r="E79" s="323"/>
      <c r="F79" s="323"/>
      <c r="G79" s="323"/>
      <c r="H79" s="323"/>
      <c r="I79" s="323"/>
      <c r="J79" s="293"/>
      <c r="K79" s="312"/>
      <c r="L79" s="277"/>
      <c r="M79" s="323"/>
      <c r="N79" s="118" t="b">
        <v>0</v>
      </c>
      <c r="O79" s="283"/>
      <c r="P79" s="284"/>
      <c r="Q79" s="285" t="b">
        <v>0</v>
      </c>
      <c r="R79" s="285" t="b">
        <v>0</v>
      </c>
      <c r="S79" s="286" t="b">
        <v>0</v>
      </c>
    </row>
    <row r="80">
      <c r="A80" s="329" t="s">
        <v>1781</v>
      </c>
      <c r="P80" s="329"/>
      <c r="Q80" s="329"/>
      <c r="R80" s="329"/>
      <c r="S80" s="329"/>
    </row>
    <row r="81" outlineLevel="1">
      <c r="A81" s="277" t="s">
        <v>73</v>
      </c>
      <c r="B81" s="308" t="s">
        <v>74</v>
      </c>
      <c r="C81" s="278">
        <v>45972.0</v>
      </c>
      <c r="D81" s="279" t="s">
        <v>406</v>
      </c>
      <c r="E81" s="137" t="s">
        <v>407</v>
      </c>
      <c r="F81" s="280">
        <v>3.922808058E9</v>
      </c>
      <c r="G81" s="410" t="s">
        <v>408</v>
      </c>
      <c r="H81" s="137" t="s">
        <v>409</v>
      </c>
      <c r="I81" s="411">
        <v>45972.0</v>
      </c>
      <c r="J81" s="303"/>
      <c r="K81" s="304">
        <v>50.0</v>
      </c>
      <c r="L81" s="277" t="s">
        <v>970</v>
      </c>
      <c r="M81" s="277" t="s">
        <v>100</v>
      </c>
      <c r="N81" s="118" t="b">
        <v>1</v>
      </c>
      <c r="O81" s="283"/>
      <c r="P81" s="284" t="s">
        <v>81</v>
      </c>
      <c r="Q81" s="285" t="b">
        <v>1</v>
      </c>
      <c r="R81" s="285" t="b">
        <v>0</v>
      </c>
      <c r="S81" s="286" t="b">
        <v>0</v>
      </c>
    </row>
    <row r="82" outlineLevel="1">
      <c r="A82" s="277" t="s">
        <v>73</v>
      </c>
      <c r="B82" s="277" t="s">
        <v>74</v>
      </c>
      <c r="C82" s="287">
        <v>45972.0</v>
      </c>
      <c r="D82" s="277" t="s">
        <v>1782</v>
      </c>
      <c r="E82" s="277" t="s">
        <v>1450</v>
      </c>
      <c r="F82" s="277">
        <v>3.485211126E9</v>
      </c>
      <c r="G82" s="412" t="s">
        <v>1783</v>
      </c>
      <c r="H82" s="277" t="s">
        <v>1784</v>
      </c>
      <c r="I82" s="287">
        <v>45972.0</v>
      </c>
      <c r="J82" s="293"/>
      <c r="K82" s="282">
        <v>50.0</v>
      </c>
      <c r="L82" s="277" t="s">
        <v>970</v>
      </c>
      <c r="M82" s="277" t="s">
        <v>100</v>
      </c>
      <c r="N82" s="118" t="b">
        <v>1</v>
      </c>
      <c r="O82" s="283"/>
      <c r="P82" s="284" t="s">
        <v>81</v>
      </c>
      <c r="Q82" s="285" t="b">
        <v>1</v>
      </c>
      <c r="R82" s="285" t="b">
        <v>0</v>
      </c>
      <c r="S82" s="286" t="b">
        <v>0</v>
      </c>
    </row>
    <row r="83" outlineLevel="1">
      <c r="A83" s="277" t="s">
        <v>101</v>
      </c>
      <c r="B83" s="277" t="s">
        <v>102</v>
      </c>
      <c r="C83" s="287">
        <v>45975.0</v>
      </c>
      <c r="D83" s="288" t="s">
        <v>1785</v>
      </c>
      <c r="E83" s="277" t="s">
        <v>96</v>
      </c>
      <c r="F83" s="277">
        <v>3.405272813E9</v>
      </c>
      <c r="G83" s="412" t="s">
        <v>1786</v>
      </c>
      <c r="H83" s="277" t="s">
        <v>1787</v>
      </c>
      <c r="I83" s="287">
        <v>45975.0</v>
      </c>
      <c r="J83" s="293"/>
      <c r="K83" s="282">
        <v>50.0</v>
      </c>
      <c r="L83" s="277" t="s">
        <v>986</v>
      </c>
      <c r="M83" s="277" t="s">
        <v>100</v>
      </c>
      <c r="N83" s="118" t="b">
        <v>1</v>
      </c>
      <c r="O83" s="283"/>
      <c r="P83" s="284" t="s">
        <v>81</v>
      </c>
      <c r="Q83" s="285" t="b">
        <v>1</v>
      </c>
      <c r="R83" s="285" t="b">
        <v>0</v>
      </c>
      <c r="S83" s="286" t="b">
        <v>0</v>
      </c>
    </row>
    <row r="84" outlineLevel="1">
      <c r="A84" s="277" t="s">
        <v>101</v>
      </c>
      <c r="B84" s="277" t="s">
        <v>102</v>
      </c>
      <c r="C84" s="287">
        <v>45975.0</v>
      </c>
      <c r="D84" s="277" t="s">
        <v>1788</v>
      </c>
      <c r="E84" s="277" t="s">
        <v>12</v>
      </c>
      <c r="F84" s="277">
        <v>3.342291027E9</v>
      </c>
      <c r="G84" s="300" t="s">
        <v>1789</v>
      </c>
      <c r="H84" s="277" t="s">
        <v>1790</v>
      </c>
      <c r="I84" s="287">
        <v>45975.0</v>
      </c>
      <c r="J84" s="281"/>
      <c r="K84" s="282">
        <v>50.0</v>
      </c>
      <c r="L84" s="277" t="s">
        <v>986</v>
      </c>
      <c r="M84" s="277" t="s">
        <v>100</v>
      </c>
      <c r="N84" s="118" t="b">
        <v>1</v>
      </c>
      <c r="O84" s="283"/>
      <c r="P84" s="284" t="s">
        <v>81</v>
      </c>
      <c r="Q84" s="285" t="b">
        <v>1</v>
      </c>
      <c r="R84" s="285" t="b">
        <v>0</v>
      </c>
      <c r="S84" s="286" t="b">
        <v>0</v>
      </c>
    </row>
    <row r="85" outlineLevel="1">
      <c r="A85" s="277" t="s">
        <v>101</v>
      </c>
      <c r="B85" s="277" t="s">
        <v>102</v>
      </c>
      <c r="C85" s="287">
        <v>45977.0</v>
      </c>
      <c r="D85" s="277" t="s">
        <v>1791</v>
      </c>
      <c r="E85" s="277" t="s">
        <v>1422</v>
      </c>
      <c r="F85" s="277">
        <v>3.402875597E9</v>
      </c>
      <c r="G85" s="300" t="s">
        <v>1792</v>
      </c>
      <c r="H85" s="277" t="s">
        <v>1793</v>
      </c>
      <c r="I85" s="287">
        <v>45977.0</v>
      </c>
      <c r="J85" s="281"/>
      <c r="K85" s="282">
        <v>50.0</v>
      </c>
      <c r="L85" s="277" t="s">
        <v>986</v>
      </c>
      <c r="M85" s="277" t="s">
        <v>100</v>
      </c>
      <c r="N85" s="118" t="b">
        <v>1</v>
      </c>
      <c r="O85" s="283"/>
      <c r="P85" s="284" t="s">
        <v>81</v>
      </c>
      <c r="Q85" s="285" t="b">
        <v>1</v>
      </c>
      <c r="R85" s="285" t="b">
        <v>0</v>
      </c>
      <c r="S85" s="286" t="b">
        <v>0</v>
      </c>
    </row>
    <row r="86" outlineLevel="1">
      <c r="A86" s="277" t="s">
        <v>239</v>
      </c>
      <c r="B86" s="277" t="s">
        <v>240</v>
      </c>
      <c r="C86" s="287">
        <v>45978.0</v>
      </c>
      <c r="D86" s="277" t="s">
        <v>1794</v>
      </c>
      <c r="E86" s="277" t="s">
        <v>1795</v>
      </c>
      <c r="F86" s="277">
        <v>3.398145258E9</v>
      </c>
      <c r="G86" s="300" t="s">
        <v>1796</v>
      </c>
      <c r="H86" s="277" t="s">
        <v>1797</v>
      </c>
      <c r="I86" s="287">
        <v>45978.0</v>
      </c>
      <c r="J86" s="281"/>
      <c r="K86" s="282">
        <v>50.0</v>
      </c>
      <c r="L86" s="277" t="s">
        <v>1012</v>
      </c>
      <c r="M86" s="277" t="s">
        <v>100</v>
      </c>
      <c r="N86" s="118" t="b">
        <v>1</v>
      </c>
      <c r="O86" s="283"/>
      <c r="P86" s="284" t="s">
        <v>81</v>
      </c>
      <c r="Q86" s="285" t="b">
        <v>1</v>
      </c>
      <c r="R86" s="285" t="b">
        <v>0</v>
      </c>
      <c r="S86" s="286" t="b">
        <v>0</v>
      </c>
    </row>
    <row r="87" outlineLevel="1">
      <c r="A87" s="277" t="s">
        <v>368</v>
      </c>
      <c r="B87" s="277" t="s">
        <v>369</v>
      </c>
      <c r="C87" s="287">
        <v>45980.0</v>
      </c>
      <c r="D87" s="277" t="s">
        <v>1798</v>
      </c>
      <c r="E87" s="277" t="s">
        <v>1799</v>
      </c>
      <c r="F87" s="277">
        <v>3.484629091E9</v>
      </c>
      <c r="G87" s="300" t="s">
        <v>1800</v>
      </c>
      <c r="H87" s="277" t="s">
        <v>1801</v>
      </c>
      <c r="I87" s="287">
        <v>45980.0</v>
      </c>
      <c r="J87" s="281"/>
      <c r="K87" s="282">
        <v>50.0</v>
      </c>
      <c r="L87" s="277" t="s">
        <v>1003</v>
      </c>
      <c r="M87" s="277" t="s">
        <v>100</v>
      </c>
      <c r="N87" s="118" t="b">
        <v>1</v>
      </c>
      <c r="O87" s="283"/>
      <c r="P87" s="284" t="s">
        <v>81</v>
      </c>
      <c r="Q87" s="285" t="b">
        <v>1</v>
      </c>
      <c r="R87" s="285" t="b">
        <v>0</v>
      </c>
      <c r="S87" s="286" t="b">
        <v>0</v>
      </c>
    </row>
    <row r="88" outlineLevel="1">
      <c r="A88" s="277" t="s">
        <v>73</v>
      </c>
      <c r="B88" s="277" t="s">
        <v>94</v>
      </c>
      <c r="C88" s="287">
        <v>45981.0</v>
      </c>
      <c r="D88" s="277" t="s">
        <v>1802</v>
      </c>
      <c r="E88" s="277" t="s">
        <v>365</v>
      </c>
      <c r="F88" s="277">
        <v>3.240845855E9</v>
      </c>
      <c r="G88" s="300" t="s">
        <v>1803</v>
      </c>
      <c r="H88" s="277" t="s">
        <v>1804</v>
      </c>
      <c r="I88" s="287">
        <v>45981.0</v>
      </c>
      <c r="J88" s="281"/>
      <c r="K88" s="282"/>
      <c r="L88" s="277"/>
      <c r="M88" s="277"/>
      <c r="N88" s="118" t="b">
        <v>1</v>
      </c>
      <c r="O88" s="297"/>
      <c r="P88" s="284" t="s">
        <v>81</v>
      </c>
      <c r="Q88" s="285" t="b">
        <v>0</v>
      </c>
      <c r="R88" s="285" t="b">
        <v>0</v>
      </c>
      <c r="S88" s="286" t="b">
        <v>0</v>
      </c>
    </row>
    <row r="89" outlineLevel="1">
      <c r="A89" s="277" t="s">
        <v>73</v>
      </c>
      <c r="B89" s="277" t="s">
        <v>74</v>
      </c>
      <c r="C89" s="287">
        <v>45975.0</v>
      </c>
      <c r="D89" s="277" t="s">
        <v>1805</v>
      </c>
      <c r="E89" s="277" t="s">
        <v>1806</v>
      </c>
      <c r="F89" s="277">
        <v>3.498242478E9</v>
      </c>
      <c r="G89" s="300" t="s">
        <v>1807</v>
      </c>
      <c r="H89" s="277" t="s">
        <v>1808</v>
      </c>
      <c r="I89" s="413">
        <v>45975.0</v>
      </c>
      <c r="J89" s="281"/>
      <c r="K89" s="282">
        <v>50.0</v>
      </c>
      <c r="L89" s="277" t="s">
        <v>970</v>
      </c>
      <c r="M89" s="277" t="s">
        <v>100</v>
      </c>
      <c r="N89" s="118" t="b">
        <v>1</v>
      </c>
      <c r="O89" s="297"/>
      <c r="P89" s="284" t="s">
        <v>81</v>
      </c>
      <c r="Q89" s="285" t="b">
        <v>1</v>
      </c>
      <c r="R89" s="285" t="b">
        <v>0</v>
      </c>
      <c r="S89" s="286" t="b">
        <v>0</v>
      </c>
    </row>
    <row r="90" outlineLevel="1">
      <c r="A90" s="277" t="s">
        <v>73</v>
      </c>
      <c r="B90" s="277" t="s">
        <v>74</v>
      </c>
      <c r="C90" s="287">
        <v>45975.0</v>
      </c>
      <c r="D90" s="277" t="s">
        <v>1809</v>
      </c>
      <c r="E90" s="277" t="s">
        <v>890</v>
      </c>
      <c r="F90" s="277">
        <v>3.339070011E9</v>
      </c>
      <c r="G90" s="414" t="s">
        <v>1810</v>
      </c>
      <c r="H90" s="277" t="s">
        <v>1811</v>
      </c>
      <c r="I90" s="413">
        <v>45975.0</v>
      </c>
      <c r="J90" s="281"/>
      <c r="K90" s="282">
        <v>50.0</v>
      </c>
      <c r="L90" s="277" t="s">
        <v>970</v>
      </c>
      <c r="M90" s="277" t="s">
        <v>100</v>
      </c>
      <c r="N90" s="118" t="b">
        <v>1</v>
      </c>
      <c r="O90" s="297"/>
      <c r="P90" s="284" t="s">
        <v>81</v>
      </c>
      <c r="Q90" s="285" t="b">
        <v>1</v>
      </c>
      <c r="R90" s="285" t="b">
        <v>0</v>
      </c>
      <c r="S90" s="286" t="b">
        <v>0</v>
      </c>
    </row>
    <row r="91" outlineLevel="1">
      <c r="A91" s="277" t="s">
        <v>73</v>
      </c>
      <c r="B91" s="277" t="s">
        <v>74</v>
      </c>
      <c r="C91" s="287">
        <v>45975.0</v>
      </c>
      <c r="D91" s="277" t="s">
        <v>1812</v>
      </c>
      <c r="E91" s="277" t="s">
        <v>1454</v>
      </c>
      <c r="F91" s="277">
        <v>3.917517001E9</v>
      </c>
      <c r="G91" s="300" t="s">
        <v>1813</v>
      </c>
      <c r="H91" s="277" t="s">
        <v>1814</v>
      </c>
      <c r="I91" s="413">
        <v>45975.0</v>
      </c>
      <c r="J91" s="281"/>
      <c r="K91" s="282">
        <v>50.0</v>
      </c>
      <c r="L91" s="277" t="s">
        <v>1053</v>
      </c>
      <c r="M91" s="277" t="s">
        <v>100</v>
      </c>
      <c r="N91" s="118" t="b">
        <v>1</v>
      </c>
      <c r="O91" s="297"/>
      <c r="P91" s="284" t="s">
        <v>81</v>
      </c>
      <c r="Q91" s="285" t="b">
        <v>1</v>
      </c>
      <c r="R91" s="285" t="b">
        <v>0</v>
      </c>
      <c r="S91" s="286" t="b">
        <v>0</v>
      </c>
    </row>
    <row r="92" outlineLevel="1">
      <c r="A92" s="277" t="s">
        <v>73</v>
      </c>
      <c r="B92" s="277" t="s">
        <v>74</v>
      </c>
      <c r="C92" s="287">
        <v>45977.0</v>
      </c>
      <c r="D92" s="277" t="s">
        <v>1815</v>
      </c>
      <c r="E92" s="277" t="s">
        <v>1816</v>
      </c>
      <c r="F92" s="277">
        <v>3.477135947E9</v>
      </c>
      <c r="G92" s="300" t="s">
        <v>1817</v>
      </c>
      <c r="H92" s="277" t="s">
        <v>1818</v>
      </c>
      <c r="I92" s="296">
        <v>45977.0</v>
      </c>
      <c r="J92" s="281"/>
      <c r="K92" s="282">
        <v>50.0</v>
      </c>
      <c r="L92" s="277" t="s">
        <v>986</v>
      </c>
      <c r="M92" s="277" t="s">
        <v>100</v>
      </c>
      <c r="N92" s="118" t="b">
        <v>1</v>
      </c>
      <c r="O92" s="283"/>
      <c r="P92" s="284" t="s">
        <v>81</v>
      </c>
      <c r="Q92" s="285" t="b">
        <v>1</v>
      </c>
      <c r="R92" s="285" t="b">
        <v>0</v>
      </c>
      <c r="S92" s="286" t="b">
        <v>0</v>
      </c>
    </row>
    <row r="93" outlineLevel="1">
      <c r="A93" s="277" t="s">
        <v>73</v>
      </c>
      <c r="B93" s="277" t="s">
        <v>74</v>
      </c>
      <c r="C93" s="287">
        <v>45978.0</v>
      </c>
      <c r="D93" s="277" t="s">
        <v>1819</v>
      </c>
      <c r="E93" s="277" t="s">
        <v>171</v>
      </c>
      <c r="F93" s="277">
        <v>3.401866792E9</v>
      </c>
      <c r="G93" s="300" t="s">
        <v>438</v>
      </c>
      <c r="H93" s="277" t="s">
        <v>439</v>
      </c>
      <c r="I93" s="413">
        <v>45978.0</v>
      </c>
      <c r="J93" s="281"/>
      <c r="K93" s="282">
        <v>50.0</v>
      </c>
      <c r="L93" s="277" t="s">
        <v>970</v>
      </c>
      <c r="M93" s="277" t="s">
        <v>100</v>
      </c>
      <c r="N93" s="118" t="b">
        <v>1</v>
      </c>
      <c r="O93" s="283"/>
      <c r="P93" s="284" t="s">
        <v>81</v>
      </c>
      <c r="Q93" s="285" t="b">
        <v>1</v>
      </c>
      <c r="R93" s="285" t="b">
        <v>0</v>
      </c>
      <c r="S93" s="286" t="b">
        <v>0</v>
      </c>
    </row>
    <row r="94" outlineLevel="1">
      <c r="A94" s="277" t="s">
        <v>73</v>
      </c>
      <c r="B94" s="277" t="s">
        <v>74</v>
      </c>
      <c r="C94" s="287">
        <v>45978.0</v>
      </c>
      <c r="D94" s="277" t="s">
        <v>1820</v>
      </c>
      <c r="E94" s="277" t="s">
        <v>1821</v>
      </c>
      <c r="F94" s="277">
        <v>3.473123328E9</v>
      </c>
      <c r="G94" s="300" t="s">
        <v>1822</v>
      </c>
      <c r="H94" s="277" t="s">
        <v>1823</v>
      </c>
      <c r="I94" s="339">
        <v>45978.0</v>
      </c>
      <c r="J94" s="281">
        <v>55.0</v>
      </c>
      <c r="K94" s="415"/>
      <c r="L94" s="292"/>
      <c r="M94" s="277" t="s">
        <v>100</v>
      </c>
      <c r="N94" s="118" t="b">
        <v>1</v>
      </c>
      <c r="O94" s="283"/>
      <c r="P94" s="284" t="s">
        <v>81</v>
      </c>
      <c r="Q94" s="285" t="b">
        <v>1</v>
      </c>
      <c r="R94" s="285" t="b">
        <v>0</v>
      </c>
      <c r="S94" s="286" t="b">
        <v>0</v>
      </c>
    </row>
    <row r="95" outlineLevel="1">
      <c r="A95" s="277" t="s">
        <v>73</v>
      </c>
      <c r="B95" s="277" t="s">
        <v>74</v>
      </c>
      <c r="C95" s="287">
        <v>45979.0</v>
      </c>
      <c r="D95" s="277" t="s">
        <v>1824</v>
      </c>
      <c r="E95" s="277" t="s">
        <v>1825</v>
      </c>
      <c r="F95" s="277">
        <v>3.486441328E9</v>
      </c>
      <c r="G95" s="300" t="s">
        <v>1826</v>
      </c>
      <c r="H95" s="277" t="s">
        <v>1827</v>
      </c>
      <c r="I95" s="339">
        <v>45979.0</v>
      </c>
      <c r="J95" s="293"/>
      <c r="K95" s="282">
        <v>50.0</v>
      </c>
      <c r="L95" s="277" t="s">
        <v>970</v>
      </c>
      <c r="M95" s="277" t="s">
        <v>100</v>
      </c>
      <c r="N95" s="118" t="b">
        <v>1</v>
      </c>
      <c r="O95" s="283"/>
      <c r="P95" s="284" t="s">
        <v>81</v>
      </c>
      <c r="Q95" s="285" t="b">
        <v>1</v>
      </c>
      <c r="R95" s="285" t="b">
        <v>0</v>
      </c>
      <c r="S95" s="286" t="b">
        <v>0</v>
      </c>
    </row>
    <row r="96" outlineLevel="1">
      <c r="A96" s="277" t="s">
        <v>73</v>
      </c>
      <c r="B96" s="277" t="s">
        <v>74</v>
      </c>
      <c r="C96" s="287">
        <v>45979.0</v>
      </c>
      <c r="D96" s="277" t="s">
        <v>1828</v>
      </c>
      <c r="E96" s="277" t="s">
        <v>840</v>
      </c>
      <c r="F96" s="277">
        <v>3.358251592E9</v>
      </c>
      <c r="G96" s="300" t="s">
        <v>1829</v>
      </c>
      <c r="H96" s="277" t="s">
        <v>1830</v>
      </c>
      <c r="I96" s="413">
        <v>45979.0</v>
      </c>
      <c r="J96" s="281"/>
      <c r="K96" s="282">
        <v>50.0</v>
      </c>
      <c r="L96" s="277" t="s">
        <v>970</v>
      </c>
      <c r="M96" s="277" t="s">
        <v>100</v>
      </c>
      <c r="N96" s="118" t="b">
        <v>1</v>
      </c>
      <c r="O96" s="283"/>
      <c r="P96" s="284" t="s">
        <v>81</v>
      </c>
      <c r="Q96" s="285" t="b">
        <v>1</v>
      </c>
      <c r="R96" s="285" t="b">
        <v>0</v>
      </c>
      <c r="S96" s="286" t="b">
        <v>0</v>
      </c>
    </row>
    <row r="97" outlineLevel="1">
      <c r="A97" s="277" t="s">
        <v>73</v>
      </c>
      <c r="B97" s="277" t="s">
        <v>74</v>
      </c>
      <c r="C97" s="287">
        <v>45979.0</v>
      </c>
      <c r="D97" s="277" t="s">
        <v>1831</v>
      </c>
      <c r="E97" s="277" t="s">
        <v>421</v>
      </c>
      <c r="F97" s="277">
        <v>3.396016274E9</v>
      </c>
      <c r="G97" s="300" t="s">
        <v>1832</v>
      </c>
      <c r="H97" s="277" t="s">
        <v>1833</v>
      </c>
      <c r="I97" s="413">
        <v>45979.0</v>
      </c>
      <c r="J97" s="293"/>
      <c r="K97" s="282">
        <v>50.0</v>
      </c>
      <c r="L97" s="277" t="s">
        <v>986</v>
      </c>
      <c r="M97" s="277" t="s">
        <v>100</v>
      </c>
      <c r="N97" s="118" t="b">
        <v>1</v>
      </c>
      <c r="O97" s="283"/>
      <c r="P97" s="284" t="s">
        <v>81</v>
      </c>
      <c r="Q97" s="285" t="b">
        <v>1</v>
      </c>
      <c r="R97" s="285" t="b">
        <v>0</v>
      </c>
      <c r="S97" s="286" t="b">
        <v>0</v>
      </c>
    </row>
    <row r="98" outlineLevel="1">
      <c r="A98" s="277" t="s">
        <v>73</v>
      </c>
      <c r="B98" s="277" t="s">
        <v>74</v>
      </c>
      <c r="C98" s="287">
        <v>45979.0</v>
      </c>
      <c r="D98" s="277" t="s">
        <v>1834</v>
      </c>
      <c r="E98" s="277" t="s">
        <v>407</v>
      </c>
      <c r="F98" s="277">
        <v>3.49224458E9</v>
      </c>
      <c r="G98" s="300" t="s">
        <v>1835</v>
      </c>
      <c r="H98" s="277" t="s">
        <v>1836</v>
      </c>
      <c r="I98" s="413">
        <v>45979.0</v>
      </c>
      <c r="J98" s="293"/>
      <c r="K98" s="282">
        <v>50.0</v>
      </c>
      <c r="L98" s="277" t="s">
        <v>970</v>
      </c>
      <c r="M98" s="277" t="s">
        <v>100</v>
      </c>
      <c r="N98" s="118" t="b">
        <v>1</v>
      </c>
      <c r="O98" s="283"/>
      <c r="P98" s="284" t="s">
        <v>81</v>
      </c>
      <c r="Q98" s="285" t="b">
        <v>1</v>
      </c>
      <c r="R98" s="285" t="b">
        <v>0</v>
      </c>
      <c r="S98" s="286" t="b">
        <v>0</v>
      </c>
    </row>
    <row r="99" outlineLevel="1">
      <c r="A99" s="277" t="s">
        <v>73</v>
      </c>
      <c r="B99" s="277" t="s">
        <v>74</v>
      </c>
      <c r="C99" s="287">
        <v>45979.0</v>
      </c>
      <c r="D99" s="277" t="s">
        <v>1837</v>
      </c>
      <c r="E99" s="277" t="s">
        <v>427</v>
      </c>
      <c r="F99" s="277">
        <v>3.35745485E9</v>
      </c>
      <c r="G99" s="416" t="s">
        <v>1838</v>
      </c>
      <c r="H99" s="298" t="s">
        <v>1671</v>
      </c>
      <c r="I99" s="296">
        <v>45979.0</v>
      </c>
      <c r="J99" s="281"/>
      <c r="K99" s="282">
        <v>50.0</v>
      </c>
      <c r="L99" s="277" t="s">
        <v>970</v>
      </c>
      <c r="M99" s="277" t="s">
        <v>100</v>
      </c>
      <c r="N99" s="118" t="b">
        <v>1</v>
      </c>
      <c r="O99" s="283"/>
      <c r="P99" s="284" t="s">
        <v>81</v>
      </c>
      <c r="Q99" s="285" t="b">
        <v>1</v>
      </c>
      <c r="R99" s="285" t="b">
        <v>0</v>
      </c>
      <c r="S99" s="286" t="b">
        <v>0</v>
      </c>
    </row>
    <row r="100" outlineLevel="1">
      <c r="A100" s="277" t="s">
        <v>611</v>
      </c>
      <c r="B100" s="277" t="s">
        <v>612</v>
      </c>
      <c r="C100" s="287">
        <v>45985.0</v>
      </c>
      <c r="D100" s="277" t="s">
        <v>1839</v>
      </c>
      <c r="E100" s="277" t="s">
        <v>1005</v>
      </c>
      <c r="F100" s="277">
        <v>3.920285659E9</v>
      </c>
      <c r="G100" s="300" t="s">
        <v>1840</v>
      </c>
      <c r="H100" s="277" t="s">
        <v>1841</v>
      </c>
      <c r="I100" s="296">
        <v>45985.0</v>
      </c>
      <c r="J100" s="293"/>
      <c r="K100" s="282">
        <v>50.0</v>
      </c>
      <c r="L100" s="277" t="s">
        <v>1053</v>
      </c>
      <c r="M100" s="277" t="s">
        <v>100</v>
      </c>
      <c r="N100" s="118" t="b">
        <v>1</v>
      </c>
      <c r="O100" s="283"/>
      <c r="P100" s="284" t="s">
        <v>81</v>
      </c>
      <c r="Q100" s="285" t="b">
        <v>1</v>
      </c>
      <c r="R100" s="285" t="b">
        <v>0</v>
      </c>
      <c r="S100" s="286" t="b">
        <v>0</v>
      </c>
    </row>
    <row r="101" outlineLevel="1">
      <c r="A101" s="277" t="s">
        <v>73</v>
      </c>
      <c r="B101" s="277" t="s">
        <v>74</v>
      </c>
      <c r="C101" s="287">
        <v>45981.0</v>
      </c>
      <c r="D101" s="277" t="s">
        <v>1842</v>
      </c>
      <c r="E101" s="277" t="s">
        <v>1454</v>
      </c>
      <c r="F101" s="277">
        <v>3.474491191E9</v>
      </c>
      <c r="G101" s="300" t="s">
        <v>1843</v>
      </c>
      <c r="H101" s="277" t="s">
        <v>1844</v>
      </c>
      <c r="I101" s="287">
        <v>45981.0</v>
      </c>
      <c r="J101" s="293"/>
      <c r="K101" s="282">
        <v>50.0</v>
      </c>
      <c r="L101" s="277" t="s">
        <v>1003</v>
      </c>
      <c r="M101" s="277" t="s">
        <v>100</v>
      </c>
      <c r="N101" s="118" t="b">
        <v>1</v>
      </c>
      <c r="O101" s="283"/>
      <c r="P101" s="284" t="s">
        <v>81</v>
      </c>
      <c r="Q101" s="285" t="b">
        <v>1</v>
      </c>
      <c r="R101" s="285" t="b">
        <v>0</v>
      </c>
      <c r="S101" s="286" t="b">
        <v>0</v>
      </c>
    </row>
    <row r="102" outlineLevel="1">
      <c r="A102" s="277" t="s">
        <v>73</v>
      </c>
      <c r="B102" s="277" t="s">
        <v>74</v>
      </c>
      <c r="C102" s="287">
        <v>45982.0</v>
      </c>
      <c r="D102" s="277" t="s">
        <v>426</v>
      </c>
      <c r="E102" s="277" t="s">
        <v>427</v>
      </c>
      <c r="F102" s="277">
        <v>3.465001112E9</v>
      </c>
      <c r="G102" s="300" t="s">
        <v>428</v>
      </c>
      <c r="H102" s="277" t="s">
        <v>429</v>
      </c>
      <c r="I102" s="296">
        <v>45982.0</v>
      </c>
      <c r="J102" s="281">
        <v>55.0</v>
      </c>
      <c r="K102" s="282"/>
      <c r="L102" s="277"/>
      <c r="M102" s="277" t="s">
        <v>100</v>
      </c>
      <c r="N102" s="118" t="b">
        <v>1</v>
      </c>
      <c r="O102" s="283"/>
      <c r="P102" s="284" t="s">
        <v>81</v>
      </c>
      <c r="Q102" s="285" t="b">
        <v>1</v>
      </c>
      <c r="R102" s="285" t="b">
        <v>0</v>
      </c>
      <c r="S102" s="286" t="b">
        <v>0</v>
      </c>
    </row>
    <row r="103" outlineLevel="1">
      <c r="A103" s="277" t="s">
        <v>101</v>
      </c>
      <c r="B103" s="277" t="s">
        <v>102</v>
      </c>
      <c r="C103" s="287">
        <v>45988.0</v>
      </c>
      <c r="D103" s="277" t="s">
        <v>1845</v>
      </c>
      <c r="E103" s="277" t="s">
        <v>1846</v>
      </c>
      <c r="F103" s="277">
        <v>3.248120374E9</v>
      </c>
      <c r="G103" s="300" t="s">
        <v>1847</v>
      </c>
      <c r="H103" s="277" t="s">
        <v>1848</v>
      </c>
      <c r="I103" s="287">
        <v>45987.0</v>
      </c>
      <c r="J103" s="281"/>
      <c r="K103" s="282">
        <v>50.0</v>
      </c>
      <c r="L103" s="277" t="s">
        <v>986</v>
      </c>
      <c r="M103" s="277" t="s">
        <v>100</v>
      </c>
      <c r="N103" s="118" t="b">
        <v>1</v>
      </c>
      <c r="O103" s="283"/>
      <c r="P103" s="284" t="s">
        <v>81</v>
      </c>
      <c r="Q103" s="285" t="b">
        <v>1</v>
      </c>
      <c r="R103" s="285" t="b">
        <v>0</v>
      </c>
      <c r="S103" s="286" t="b">
        <v>0</v>
      </c>
    </row>
    <row r="104" outlineLevel="1">
      <c r="A104" s="277" t="s">
        <v>101</v>
      </c>
      <c r="B104" s="277" t="s">
        <v>102</v>
      </c>
      <c r="C104" s="287">
        <v>45988.0</v>
      </c>
      <c r="D104" s="277" t="s">
        <v>377</v>
      </c>
      <c r="E104" s="277" t="s">
        <v>378</v>
      </c>
      <c r="F104" s="277">
        <v>3.273653268E9</v>
      </c>
      <c r="G104" s="300" t="s">
        <v>379</v>
      </c>
      <c r="H104" s="277" t="s">
        <v>380</v>
      </c>
      <c r="I104" s="287">
        <v>45987.0</v>
      </c>
      <c r="J104" s="293"/>
      <c r="K104" s="282">
        <v>50.0</v>
      </c>
      <c r="L104" s="277" t="s">
        <v>986</v>
      </c>
      <c r="M104" s="277" t="s">
        <v>100</v>
      </c>
      <c r="N104" s="118" t="b">
        <v>1</v>
      </c>
      <c r="O104" s="283"/>
      <c r="P104" s="284" t="s">
        <v>81</v>
      </c>
      <c r="Q104" s="285" t="b">
        <v>1</v>
      </c>
      <c r="R104" s="285" t="b">
        <v>0</v>
      </c>
      <c r="S104" s="286" t="b">
        <v>0</v>
      </c>
    </row>
    <row r="105" outlineLevel="1">
      <c r="A105" s="277" t="s">
        <v>101</v>
      </c>
      <c r="B105" s="277" t="s">
        <v>102</v>
      </c>
      <c r="C105" s="287">
        <v>45988.0</v>
      </c>
      <c r="D105" s="277" t="s">
        <v>1849</v>
      </c>
      <c r="E105" s="277" t="s">
        <v>1850</v>
      </c>
      <c r="F105" s="277">
        <v>3.338188465E9</v>
      </c>
      <c r="G105" s="300" t="s">
        <v>1851</v>
      </c>
      <c r="H105" s="277" t="s">
        <v>1852</v>
      </c>
      <c r="I105" s="287">
        <v>45987.0</v>
      </c>
      <c r="J105" s="293"/>
      <c r="K105" s="282">
        <v>50.0</v>
      </c>
      <c r="L105" s="277" t="s">
        <v>986</v>
      </c>
      <c r="M105" s="277" t="s">
        <v>100</v>
      </c>
      <c r="N105" s="118" t="b">
        <v>1</v>
      </c>
      <c r="O105" s="283" t="s">
        <v>1853</v>
      </c>
      <c r="P105" s="284" t="s">
        <v>81</v>
      </c>
      <c r="Q105" s="285" t="b">
        <v>1</v>
      </c>
      <c r="R105" s="285" t="b">
        <v>0</v>
      </c>
      <c r="S105" s="286" t="b">
        <v>0</v>
      </c>
    </row>
    <row r="106" outlineLevel="1">
      <c r="A106" s="277" t="s">
        <v>101</v>
      </c>
      <c r="B106" s="277" t="s">
        <v>102</v>
      </c>
      <c r="C106" s="306">
        <v>45987.0</v>
      </c>
      <c r="D106" s="277" t="s">
        <v>1854</v>
      </c>
      <c r="E106" s="277" t="s">
        <v>1855</v>
      </c>
      <c r="F106" s="277">
        <v>3.516916231E9</v>
      </c>
      <c r="G106" s="417" t="s">
        <v>1856</v>
      </c>
      <c r="H106" s="277" t="s">
        <v>1705</v>
      </c>
      <c r="I106" s="287">
        <v>45987.0</v>
      </c>
      <c r="J106" s="418"/>
      <c r="K106" s="282">
        <v>50.0</v>
      </c>
      <c r="L106" s="277" t="s">
        <v>986</v>
      </c>
      <c r="M106" s="277" t="s">
        <v>100</v>
      </c>
      <c r="N106" s="118" t="b">
        <v>1</v>
      </c>
      <c r="O106" s="283" t="s">
        <v>1857</v>
      </c>
      <c r="P106" s="284" t="s">
        <v>81</v>
      </c>
      <c r="Q106" s="285" t="b">
        <v>1</v>
      </c>
      <c r="R106" s="285" t="b">
        <v>0</v>
      </c>
      <c r="S106" s="286" t="b">
        <v>0</v>
      </c>
    </row>
    <row r="107" outlineLevel="1">
      <c r="A107" s="277" t="s">
        <v>73</v>
      </c>
      <c r="B107" s="277" t="s">
        <v>94</v>
      </c>
      <c r="C107" s="306">
        <v>45987.0</v>
      </c>
      <c r="D107" s="277" t="s">
        <v>1858</v>
      </c>
      <c r="E107" s="277" t="s">
        <v>1462</v>
      </c>
      <c r="F107" s="277">
        <v>3.407468704E9</v>
      </c>
      <c r="G107" s="300" t="s">
        <v>1859</v>
      </c>
      <c r="H107" s="277" t="s">
        <v>1860</v>
      </c>
      <c r="I107" s="287">
        <v>45987.0</v>
      </c>
      <c r="J107" s="293"/>
      <c r="K107" s="393">
        <v>50.0</v>
      </c>
      <c r="L107" s="277" t="s">
        <v>981</v>
      </c>
      <c r="M107" s="277" t="s">
        <v>100</v>
      </c>
      <c r="N107" s="118" t="b">
        <v>1</v>
      </c>
      <c r="O107" s="283"/>
      <c r="P107" s="284" t="s">
        <v>81</v>
      </c>
      <c r="Q107" s="285" t="b">
        <v>1</v>
      </c>
      <c r="R107" s="285" t="b">
        <v>0</v>
      </c>
      <c r="S107" s="286" t="b">
        <v>0</v>
      </c>
    </row>
    <row r="108" outlineLevel="1">
      <c r="A108" s="277" t="s">
        <v>73</v>
      </c>
      <c r="B108" s="277" t="s">
        <v>74</v>
      </c>
      <c r="C108" s="306">
        <v>45984.0</v>
      </c>
      <c r="D108" s="277" t="s">
        <v>401</v>
      </c>
      <c r="E108" s="277" t="s">
        <v>402</v>
      </c>
      <c r="F108" s="277">
        <v>3.3829622E9</v>
      </c>
      <c r="G108" s="300" t="s">
        <v>403</v>
      </c>
      <c r="H108" s="277" t="s">
        <v>1861</v>
      </c>
      <c r="I108" s="341">
        <v>45984.0</v>
      </c>
      <c r="J108" s="281"/>
      <c r="K108" s="282">
        <v>50.0</v>
      </c>
      <c r="L108" s="277" t="s">
        <v>970</v>
      </c>
      <c r="M108" s="277" t="s">
        <v>100</v>
      </c>
      <c r="N108" s="118" t="b">
        <v>1</v>
      </c>
      <c r="O108" s="283"/>
      <c r="P108" s="284" t="s">
        <v>81</v>
      </c>
      <c r="Q108" s="285" t="b">
        <v>1</v>
      </c>
      <c r="R108" s="285" t="b">
        <v>0</v>
      </c>
      <c r="S108" s="286" t="b">
        <v>0</v>
      </c>
    </row>
    <row r="109" outlineLevel="1">
      <c r="A109" s="277" t="s">
        <v>73</v>
      </c>
      <c r="B109" s="277" t="s">
        <v>74</v>
      </c>
      <c r="C109" s="306">
        <v>45985.0</v>
      </c>
      <c r="D109" s="277" t="s">
        <v>1862</v>
      </c>
      <c r="E109" s="277" t="s">
        <v>1863</v>
      </c>
      <c r="F109" s="277">
        <v>3.496749917E9</v>
      </c>
      <c r="G109" s="300" t="s">
        <v>1864</v>
      </c>
      <c r="H109" s="277" t="s">
        <v>1865</v>
      </c>
      <c r="I109" s="341">
        <v>45985.0</v>
      </c>
      <c r="J109" s="281"/>
      <c r="K109" s="282">
        <v>50.0</v>
      </c>
      <c r="L109" s="277" t="s">
        <v>970</v>
      </c>
      <c r="M109" s="277" t="s">
        <v>100</v>
      </c>
      <c r="N109" s="118" t="b">
        <v>1</v>
      </c>
      <c r="O109" s="283"/>
      <c r="P109" s="284" t="s">
        <v>81</v>
      </c>
      <c r="Q109" s="285" t="b">
        <v>1</v>
      </c>
      <c r="R109" s="285" t="b">
        <v>0</v>
      </c>
      <c r="S109" s="286" t="b">
        <v>0</v>
      </c>
    </row>
    <row r="110" outlineLevel="1">
      <c r="A110" s="277" t="s">
        <v>73</v>
      </c>
      <c r="B110" s="277" t="s">
        <v>74</v>
      </c>
      <c r="C110" s="287">
        <v>45986.0</v>
      </c>
      <c r="D110" s="277" t="s">
        <v>1866</v>
      </c>
      <c r="E110" s="331" t="s">
        <v>1454</v>
      </c>
      <c r="F110" s="277">
        <v>3.475725927E9</v>
      </c>
      <c r="G110" s="343" t="s">
        <v>1867</v>
      </c>
      <c r="H110" s="277" t="s">
        <v>1868</v>
      </c>
      <c r="I110" s="341">
        <v>45986.0</v>
      </c>
      <c r="J110" s="281"/>
      <c r="K110" s="282">
        <v>50.0</v>
      </c>
      <c r="L110" s="277" t="s">
        <v>1003</v>
      </c>
      <c r="M110" s="277" t="s">
        <v>100</v>
      </c>
      <c r="N110" s="118" t="b">
        <v>1</v>
      </c>
      <c r="O110" s="283"/>
      <c r="P110" s="284" t="s">
        <v>81</v>
      </c>
      <c r="Q110" s="285" t="b">
        <v>1</v>
      </c>
      <c r="R110" s="285" t="b">
        <v>0</v>
      </c>
      <c r="S110" s="286" t="b">
        <v>0</v>
      </c>
    </row>
    <row r="111" outlineLevel="1">
      <c r="A111" s="277" t="s">
        <v>239</v>
      </c>
      <c r="B111" s="277" t="s">
        <v>240</v>
      </c>
      <c r="C111" s="287">
        <v>45989.0</v>
      </c>
      <c r="D111" s="277" t="s">
        <v>1869</v>
      </c>
      <c r="E111" s="277" t="s">
        <v>397</v>
      </c>
      <c r="F111" s="277">
        <v>3.925942165E9</v>
      </c>
      <c r="G111" s="343" t="s">
        <v>1870</v>
      </c>
      <c r="H111" s="277" t="s">
        <v>1871</v>
      </c>
      <c r="I111" s="341">
        <v>45989.0</v>
      </c>
      <c r="J111" s="281"/>
      <c r="K111" s="282">
        <v>50.0</v>
      </c>
      <c r="L111" s="277" t="s">
        <v>1012</v>
      </c>
      <c r="M111" s="277" t="s">
        <v>162</v>
      </c>
      <c r="N111" s="118" t="b">
        <v>1</v>
      </c>
      <c r="O111" s="283"/>
      <c r="P111" s="284" t="s">
        <v>81</v>
      </c>
      <c r="Q111" s="285" t="b">
        <v>1</v>
      </c>
      <c r="R111" s="285" t="b">
        <v>0</v>
      </c>
      <c r="S111" s="286" t="b">
        <v>0</v>
      </c>
    </row>
    <row r="112" outlineLevel="1">
      <c r="A112" s="277" t="s">
        <v>73</v>
      </c>
      <c r="B112" s="277" t="s">
        <v>74</v>
      </c>
      <c r="C112" s="287">
        <v>45987.0</v>
      </c>
      <c r="D112" s="277" t="s">
        <v>1872</v>
      </c>
      <c r="E112" s="277" t="s">
        <v>1873</v>
      </c>
      <c r="F112" s="277">
        <v>3.805554444E9</v>
      </c>
      <c r="G112" s="343" t="s">
        <v>1874</v>
      </c>
      <c r="H112" s="277" t="s">
        <v>1875</v>
      </c>
      <c r="I112" s="341">
        <v>45987.0</v>
      </c>
      <c r="J112" s="281">
        <v>55.0</v>
      </c>
      <c r="K112" s="282"/>
      <c r="L112" s="277"/>
      <c r="M112" s="277" t="s">
        <v>100</v>
      </c>
      <c r="N112" s="118" t="b">
        <v>1</v>
      </c>
      <c r="O112" s="283"/>
      <c r="P112" s="284" t="s">
        <v>81</v>
      </c>
      <c r="Q112" s="285" t="b">
        <v>1</v>
      </c>
      <c r="R112" s="285" t="b">
        <v>0</v>
      </c>
      <c r="S112" s="286" t="b">
        <v>0</v>
      </c>
    </row>
    <row r="113" outlineLevel="1">
      <c r="A113" s="277" t="s">
        <v>611</v>
      </c>
      <c r="B113" s="277" t="s">
        <v>612</v>
      </c>
      <c r="C113" s="287">
        <v>45992.0</v>
      </c>
      <c r="D113" s="277" t="s">
        <v>172</v>
      </c>
      <c r="E113" s="277" t="s">
        <v>742</v>
      </c>
      <c r="F113" s="277">
        <v>3.471494044E9</v>
      </c>
      <c r="G113" s="343" t="s">
        <v>1876</v>
      </c>
      <c r="H113" s="277" t="s">
        <v>1877</v>
      </c>
      <c r="I113" s="341">
        <v>45992.0</v>
      </c>
      <c r="J113" s="281"/>
      <c r="K113" s="282">
        <v>50.0</v>
      </c>
      <c r="L113" s="277" t="s">
        <v>1053</v>
      </c>
      <c r="M113" s="277" t="s">
        <v>162</v>
      </c>
      <c r="N113" s="118" t="b">
        <v>1</v>
      </c>
      <c r="O113" s="283"/>
      <c r="P113" s="284" t="s">
        <v>81</v>
      </c>
      <c r="Q113" s="285" t="b">
        <v>1</v>
      </c>
      <c r="R113" s="285" t="b">
        <v>0</v>
      </c>
      <c r="S113" s="286" t="b">
        <v>0</v>
      </c>
    </row>
    <row r="114" outlineLevel="1">
      <c r="A114" s="277" t="s">
        <v>73</v>
      </c>
      <c r="B114" s="277" t="s">
        <v>94</v>
      </c>
      <c r="C114" s="287">
        <v>45992.0</v>
      </c>
      <c r="D114" s="277" t="s">
        <v>1013</v>
      </c>
      <c r="E114" s="277" t="s">
        <v>1878</v>
      </c>
      <c r="F114" s="277">
        <v>3.382826724E9</v>
      </c>
      <c r="G114" s="343" t="s">
        <v>1879</v>
      </c>
      <c r="H114" s="277" t="s">
        <v>1016</v>
      </c>
      <c r="I114" s="341">
        <v>45992.0</v>
      </c>
      <c r="J114" s="281"/>
      <c r="K114" s="282">
        <v>50.0</v>
      </c>
      <c r="L114" s="277" t="s">
        <v>1053</v>
      </c>
      <c r="M114" s="277" t="s">
        <v>100</v>
      </c>
      <c r="N114" s="118" t="b">
        <v>1</v>
      </c>
      <c r="O114" s="283"/>
      <c r="P114" s="284" t="s">
        <v>81</v>
      </c>
      <c r="Q114" s="285" t="b">
        <v>1</v>
      </c>
      <c r="R114" s="285" t="b">
        <v>0</v>
      </c>
      <c r="S114" s="286" t="b">
        <v>0</v>
      </c>
    </row>
    <row r="115" outlineLevel="1">
      <c r="A115" s="277" t="s">
        <v>101</v>
      </c>
      <c r="B115" s="277" t="s">
        <v>102</v>
      </c>
      <c r="C115" s="306">
        <v>45992.0</v>
      </c>
      <c r="D115" s="277" t="s">
        <v>1741</v>
      </c>
      <c r="E115" s="277" t="s">
        <v>1406</v>
      </c>
      <c r="F115" s="277">
        <v>3.668177645E9</v>
      </c>
      <c r="G115" s="343" t="s">
        <v>1880</v>
      </c>
      <c r="H115" s="277" t="s">
        <v>1881</v>
      </c>
      <c r="I115" s="341">
        <v>45992.0</v>
      </c>
      <c r="J115" s="281"/>
      <c r="K115" s="282">
        <v>50.0</v>
      </c>
      <c r="L115" s="277" t="s">
        <v>986</v>
      </c>
      <c r="M115" s="277" t="s">
        <v>162</v>
      </c>
      <c r="N115" s="118" t="b">
        <v>1</v>
      </c>
      <c r="O115" s="283"/>
      <c r="P115" s="284" t="s">
        <v>81</v>
      </c>
      <c r="Q115" s="285" t="b">
        <v>1</v>
      </c>
      <c r="R115" s="285" t="b">
        <v>0</v>
      </c>
      <c r="S115" s="286" t="b">
        <v>0</v>
      </c>
    </row>
    <row r="116" outlineLevel="1">
      <c r="A116" s="277" t="s">
        <v>73</v>
      </c>
      <c r="B116" s="277" t="s">
        <v>74</v>
      </c>
      <c r="C116" s="306">
        <v>45988.0</v>
      </c>
      <c r="D116" s="277" t="s">
        <v>1882</v>
      </c>
      <c r="E116" s="277" t="s">
        <v>885</v>
      </c>
      <c r="F116" s="277">
        <v>3.46427687E9</v>
      </c>
      <c r="G116" s="343" t="s">
        <v>1883</v>
      </c>
      <c r="H116" s="277" t="s">
        <v>1884</v>
      </c>
      <c r="I116" s="341">
        <v>45988.0</v>
      </c>
      <c r="J116" s="281"/>
      <c r="K116" s="282">
        <v>50.0</v>
      </c>
      <c r="L116" s="277" t="s">
        <v>970</v>
      </c>
      <c r="M116" s="277" t="s">
        <v>100</v>
      </c>
      <c r="N116" s="118" t="b">
        <v>1</v>
      </c>
      <c r="O116" s="283"/>
      <c r="P116" s="284" t="s">
        <v>81</v>
      </c>
      <c r="Q116" s="285" t="b">
        <v>1</v>
      </c>
      <c r="R116" s="285" t="b">
        <v>0</v>
      </c>
      <c r="S116" s="286" t="b">
        <v>0</v>
      </c>
    </row>
    <row r="117" outlineLevel="1">
      <c r="A117" s="277" t="s">
        <v>73</v>
      </c>
      <c r="B117" s="277" t="s">
        <v>74</v>
      </c>
      <c r="C117" s="287">
        <v>45990.0</v>
      </c>
      <c r="D117" s="277" t="s">
        <v>1885</v>
      </c>
      <c r="E117" s="277" t="s">
        <v>96</v>
      </c>
      <c r="F117" s="277">
        <v>3.884669524E9</v>
      </c>
      <c r="G117" s="343" t="s">
        <v>1886</v>
      </c>
      <c r="H117" s="277" t="s">
        <v>1887</v>
      </c>
      <c r="I117" s="341">
        <v>45990.0</v>
      </c>
      <c r="J117" s="281"/>
      <c r="K117" s="282">
        <v>50.0</v>
      </c>
      <c r="L117" s="277" t="s">
        <v>970</v>
      </c>
      <c r="M117" s="277" t="s">
        <v>100</v>
      </c>
      <c r="N117" s="118" t="b">
        <v>1</v>
      </c>
      <c r="O117" s="283"/>
      <c r="P117" s="284" t="s">
        <v>81</v>
      </c>
      <c r="Q117" s="285" t="b">
        <v>1</v>
      </c>
      <c r="R117" s="285" t="b">
        <v>0</v>
      </c>
      <c r="S117" s="286" t="b">
        <v>0</v>
      </c>
    </row>
    <row r="118" outlineLevel="1">
      <c r="A118" s="277" t="s">
        <v>73</v>
      </c>
      <c r="B118" s="277" t="s">
        <v>74</v>
      </c>
      <c r="C118" s="287">
        <v>45991.0</v>
      </c>
      <c r="D118" s="277" t="s">
        <v>1888</v>
      </c>
      <c r="E118" s="277" t="s">
        <v>421</v>
      </c>
      <c r="F118" s="277">
        <v>3.299285413E9</v>
      </c>
      <c r="G118" s="343" t="s">
        <v>422</v>
      </c>
      <c r="H118" s="277" t="s">
        <v>423</v>
      </c>
      <c r="I118" s="341">
        <v>45991.0</v>
      </c>
      <c r="J118" s="281"/>
      <c r="K118" s="282">
        <v>50.0</v>
      </c>
      <c r="L118" s="277" t="s">
        <v>970</v>
      </c>
      <c r="M118" s="277" t="s">
        <v>100</v>
      </c>
      <c r="N118" s="118" t="b">
        <v>1</v>
      </c>
      <c r="O118" s="283"/>
      <c r="P118" s="284" t="s">
        <v>81</v>
      </c>
      <c r="Q118" s="285" t="b">
        <v>1</v>
      </c>
      <c r="R118" s="285" t="b">
        <v>0</v>
      </c>
      <c r="S118" s="286" t="b">
        <v>0</v>
      </c>
    </row>
    <row r="119" outlineLevel="1">
      <c r="A119" s="277" t="s">
        <v>73</v>
      </c>
      <c r="B119" s="277" t="s">
        <v>74</v>
      </c>
      <c r="C119" s="287">
        <v>45991.0</v>
      </c>
      <c r="D119" s="277" t="s">
        <v>1889</v>
      </c>
      <c r="E119" s="277" t="s">
        <v>468</v>
      </c>
      <c r="F119" s="277">
        <v>3.470790676E9</v>
      </c>
      <c r="G119" s="343" t="s">
        <v>1890</v>
      </c>
      <c r="H119" s="277" t="s">
        <v>1891</v>
      </c>
      <c r="I119" s="341">
        <v>45991.0</v>
      </c>
      <c r="J119" s="281"/>
      <c r="K119" s="282">
        <v>50.0</v>
      </c>
      <c r="L119" s="277" t="s">
        <v>1003</v>
      </c>
      <c r="M119" s="277" t="s">
        <v>100</v>
      </c>
      <c r="N119" s="118" t="b">
        <v>1</v>
      </c>
      <c r="O119" s="283"/>
      <c r="P119" s="284" t="s">
        <v>81</v>
      </c>
      <c r="Q119" s="285" t="b">
        <v>1</v>
      </c>
      <c r="R119" s="285" t="b">
        <v>0</v>
      </c>
      <c r="S119" s="286" t="b">
        <v>0</v>
      </c>
    </row>
    <row r="120" outlineLevel="1">
      <c r="A120" s="277" t="s">
        <v>73</v>
      </c>
      <c r="B120" s="277" t="s">
        <v>74</v>
      </c>
      <c r="C120" s="287">
        <v>45992.0</v>
      </c>
      <c r="D120" s="277" t="s">
        <v>1544</v>
      </c>
      <c r="E120" s="277" t="s">
        <v>1892</v>
      </c>
      <c r="F120" s="277">
        <v>3.311836977E9</v>
      </c>
      <c r="G120" s="343" t="s">
        <v>1893</v>
      </c>
      <c r="H120" s="277" t="s">
        <v>1894</v>
      </c>
      <c r="I120" s="341">
        <v>45992.0</v>
      </c>
      <c r="J120" s="281"/>
      <c r="K120" s="282">
        <v>50.0</v>
      </c>
      <c r="L120" s="277" t="s">
        <v>970</v>
      </c>
      <c r="M120" s="277" t="s">
        <v>100</v>
      </c>
      <c r="N120" s="118" t="b">
        <v>1</v>
      </c>
      <c r="O120" s="283"/>
      <c r="P120" s="284" t="s">
        <v>81</v>
      </c>
      <c r="Q120" s="285" t="b">
        <v>1</v>
      </c>
      <c r="R120" s="285" t="b">
        <v>0</v>
      </c>
      <c r="S120" s="286" t="b">
        <v>0</v>
      </c>
    </row>
    <row r="121" outlineLevel="1">
      <c r="A121" s="277" t="s">
        <v>1036</v>
      </c>
      <c r="B121" s="277" t="s">
        <v>94</v>
      </c>
      <c r="C121" s="287">
        <v>45994.0</v>
      </c>
      <c r="D121" s="277" t="s">
        <v>1895</v>
      </c>
      <c r="E121" s="277" t="s">
        <v>1825</v>
      </c>
      <c r="F121" s="277">
        <v>3.496114193E9</v>
      </c>
      <c r="G121" s="344" t="s">
        <v>1896</v>
      </c>
      <c r="H121" s="277" t="s">
        <v>1897</v>
      </c>
      <c r="I121" s="341">
        <v>45994.0</v>
      </c>
      <c r="J121" s="281"/>
      <c r="K121" s="282">
        <v>50.0</v>
      </c>
      <c r="L121" s="277" t="s">
        <v>970</v>
      </c>
      <c r="M121" s="277" t="s">
        <v>100</v>
      </c>
      <c r="N121" s="118" t="b">
        <v>1</v>
      </c>
      <c r="O121" s="283"/>
      <c r="P121" s="284" t="s">
        <v>81</v>
      </c>
      <c r="Q121" s="285" t="b">
        <v>1</v>
      </c>
      <c r="R121" s="285" t="b">
        <v>0</v>
      </c>
      <c r="S121" s="286" t="b">
        <v>0</v>
      </c>
    </row>
    <row r="122" outlineLevel="1">
      <c r="A122" s="277" t="s">
        <v>101</v>
      </c>
      <c r="B122" s="277" t="s">
        <v>102</v>
      </c>
      <c r="C122" s="287">
        <v>45994.0</v>
      </c>
      <c r="D122" s="277" t="s">
        <v>364</v>
      </c>
      <c r="E122" s="277" t="s">
        <v>365</v>
      </c>
      <c r="F122" s="277">
        <v>3.51804266E8</v>
      </c>
      <c r="G122" s="344"/>
      <c r="H122" s="277"/>
      <c r="I122" s="341"/>
      <c r="J122" s="281"/>
      <c r="K122" s="282">
        <v>50.0</v>
      </c>
      <c r="L122" s="277" t="s">
        <v>986</v>
      </c>
      <c r="M122" s="277" t="s">
        <v>100</v>
      </c>
      <c r="N122" s="118" t="b">
        <v>1</v>
      </c>
      <c r="O122" s="283"/>
      <c r="P122" s="284" t="s">
        <v>81</v>
      </c>
      <c r="Q122" s="285" t="b">
        <v>1</v>
      </c>
      <c r="R122" s="285" t="b">
        <v>0</v>
      </c>
      <c r="S122" s="286" t="b">
        <v>0</v>
      </c>
    </row>
    <row r="123" outlineLevel="1">
      <c r="A123" s="277" t="s">
        <v>239</v>
      </c>
      <c r="B123" s="277" t="s">
        <v>240</v>
      </c>
      <c r="C123" s="287">
        <v>45995.0</v>
      </c>
      <c r="D123" s="277" t="s">
        <v>1898</v>
      </c>
      <c r="E123" s="277" t="s">
        <v>1899</v>
      </c>
      <c r="F123" s="277">
        <v>3.403144168E9</v>
      </c>
      <c r="G123" s="344" t="s">
        <v>1900</v>
      </c>
      <c r="H123" s="277" t="s">
        <v>1901</v>
      </c>
      <c r="I123" s="341">
        <v>45995.0</v>
      </c>
      <c r="J123" s="281"/>
      <c r="K123" s="282">
        <v>50.0</v>
      </c>
      <c r="L123" s="277" t="s">
        <v>1012</v>
      </c>
      <c r="M123" s="277" t="s">
        <v>162</v>
      </c>
      <c r="N123" s="118" t="b">
        <v>1</v>
      </c>
      <c r="O123" s="283"/>
      <c r="P123" s="284" t="s">
        <v>81</v>
      </c>
      <c r="Q123" s="285" t="b">
        <v>1</v>
      </c>
      <c r="R123" s="285" t="b">
        <v>0</v>
      </c>
      <c r="S123" s="286" t="b">
        <v>0</v>
      </c>
    </row>
    <row r="124" outlineLevel="1">
      <c r="A124" s="336" t="s">
        <v>239</v>
      </c>
      <c r="B124" s="336" t="s">
        <v>240</v>
      </c>
      <c r="C124" s="419">
        <v>45995.0</v>
      </c>
      <c r="D124" s="336" t="s">
        <v>1902</v>
      </c>
      <c r="E124" s="336" t="s">
        <v>12</v>
      </c>
      <c r="F124" s="420">
        <v>3.270213803E9</v>
      </c>
      <c r="G124" s="421" t="s">
        <v>1903</v>
      </c>
      <c r="H124" s="336" t="s">
        <v>1904</v>
      </c>
      <c r="I124" s="422">
        <v>45995.0</v>
      </c>
      <c r="J124" s="281"/>
      <c r="K124" s="282">
        <v>50.0</v>
      </c>
      <c r="L124" s="336" t="s">
        <v>1012</v>
      </c>
      <c r="M124" s="336" t="s">
        <v>162</v>
      </c>
      <c r="N124" s="118" t="b">
        <v>1</v>
      </c>
      <c r="O124" s="283"/>
      <c r="P124" s="284" t="s">
        <v>81</v>
      </c>
      <c r="Q124" s="285" t="b">
        <v>1</v>
      </c>
      <c r="R124" s="285" t="b">
        <v>0</v>
      </c>
      <c r="S124" s="286" t="b">
        <v>0</v>
      </c>
    </row>
    <row r="125" outlineLevel="1">
      <c r="A125" s="277" t="s">
        <v>368</v>
      </c>
      <c r="B125" s="277" t="s">
        <v>369</v>
      </c>
      <c r="C125" s="306">
        <v>45995.0</v>
      </c>
      <c r="D125" s="390" t="s">
        <v>1453</v>
      </c>
      <c r="E125" s="390" t="s">
        <v>1454</v>
      </c>
      <c r="F125" s="288">
        <v>3.494305901E9</v>
      </c>
      <c r="G125" s="423" t="s">
        <v>1455</v>
      </c>
      <c r="H125" s="288" t="s">
        <v>1456</v>
      </c>
      <c r="I125" s="313">
        <v>45995.0</v>
      </c>
      <c r="J125" s="281"/>
      <c r="K125" s="282">
        <v>25.0</v>
      </c>
      <c r="L125" s="277" t="s">
        <v>1003</v>
      </c>
      <c r="M125" s="277" t="s">
        <v>162</v>
      </c>
      <c r="N125" s="118" t="b">
        <v>1</v>
      </c>
      <c r="O125" s="283" t="s">
        <v>1905</v>
      </c>
      <c r="P125" s="284" t="s">
        <v>81</v>
      </c>
      <c r="Q125" s="285" t="b">
        <v>1</v>
      </c>
      <c r="R125" s="285" t="b">
        <v>0</v>
      </c>
      <c r="S125" s="286" t="b">
        <v>0</v>
      </c>
    </row>
    <row r="126" outlineLevel="1">
      <c r="A126" s="277" t="s">
        <v>101</v>
      </c>
      <c r="B126" s="277" t="s">
        <v>102</v>
      </c>
      <c r="C126" s="306">
        <v>45996.0</v>
      </c>
      <c r="D126" s="390" t="s">
        <v>1906</v>
      </c>
      <c r="E126" s="390" t="s">
        <v>1907</v>
      </c>
      <c r="F126" s="390">
        <v>3.465704391E9</v>
      </c>
      <c r="G126" s="423" t="s">
        <v>1908</v>
      </c>
      <c r="H126" s="390" t="s">
        <v>1909</v>
      </c>
      <c r="I126" s="405">
        <v>45996.0</v>
      </c>
      <c r="J126" s="281"/>
      <c r="K126" s="282">
        <v>50.0</v>
      </c>
      <c r="L126" s="277" t="s">
        <v>986</v>
      </c>
      <c r="M126" s="277" t="s">
        <v>100</v>
      </c>
      <c r="N126" s="118" t="b">
        <v>1</v>
      </c>
      <c r="O126" s="283"/>
      <c r="P126" s="284" t="s">
        <v>81</v>
      </c>
      <c r="Q126" s="285" t="b">
        <v>1</v>
      </c>
      <c r="R126" s="285" t="b">
        <v>0</v>
      </c>
      <c r="S126" s="286" t="b">
        <v>0</v>
      </c>
    </row>
    <row r="127" outlineLevel="1">
      <c r="A127" s="277" t="s">
        <v>101</v>
      </c>
      <c r="B127" s="277" t="s">
        <v>102</v>
      </c>
      <c r="C127" s="287">
        <v>45996.0</v>
      </c>
      <c r="D127" s="277" t="s">
        <v>1910</v>
      </c>
      <c r="E127" s="277" t="s">
        <v>421</v>
      </c>
      <c r="F127" s="277">
        <v>3.341831546E9</v>
      </c>
      <c r="G127" s="344" t="s">
        <v>1911</v>
      </c>
      <c r="H127" s="277" t="s">
        <v>1912</v>
      </c>
      <c r="I127" s="341">
        <v>45996.0</v>
      </c>
      <c r="J127" s="281"/>
      <c r="K127" s="282">
        <v>50.0</v>
      </c>
      <c r="L127" s="277" t="s">
        <v>970</v>
      </c>
      <c r="M127" s="277" t="s">
        <v>100</v>
      </c>
      <c r="N127" s="118" t="b">
        <v>1</v>
      </c>
      <c r="O127" s="283" t="s">
        <v>1913</v>
      </c>
      <c r="P127" s="284" t="s">
        <v>81</v>
      </c>
      <c r="Q127" s="285" t="b">
        <v>1</v>
      </c>
      <c r="R127" s="285" t="b">
        <v>0</v>
      </c>
      <c r="S127" s="286" t="b">
        <v>0</v>
      </c>
    </row>
    <row r="128" outlineLevel="1">
      <c r="A128" s="277" t="s">
        <v>101</v>
      </c>
      <c r="B128" s="277" t="s">
        <v>102</v>
      </c>
      <c r="C128" s="287">
        <v>46001.0</v>
      </c>
      <c r="D128" s="277" t="s">
        <v>1914</v>
      </c>
      <c r="E128" s="277" t="s">
        <v>1907</v>
      </c>
      <c r="F128" s="277">
        <v>3.92155264E9</v>
      </c>
      <c r="G128" s="343" t="s">
        <v>1915</v>
      </c>
      <c r="H128" s="277" t="s">
        <v>1916</v>
      </c>
      <c r="I128" s="341">
        <v>46001.0</v>
      </c>
      <c r="J128" s="281"/>
      <c r="K128" s="282">
        <v>50.0</v>
      </c>
      <c r="L128" s="277" t="s">
        <v>986</v>
      </c>
      <c r="M128" s="277" t="s">
        <v>80</v>
      </c>
      <c r="N128" s="118" t="b">
        <v>1</v>
      </c>
      <c r="O128" s="283"/>
      <c r="P128" s="284" t="s">
        <v>81</v>
      </c>
      <c r="Q128" s="285" t="b">
        <v>1</v>
      </c>
      <c r="R128" s="285" t="b">
        <v>0</v>
      </c>
      <c r="S128" s="286" t="b">
        <v>0</v>
      </c>
    </row>
    <row r="129" outlineLevel="1">
      <c r="A129" s="277" t="s">
        <v>101</v>
      </c>
      <c r="B129" s="277" t="s">
        <v>102</v>
      </c>
      <c r="C129" s="287">
        <v>46001.0</v>
      </c>
      <c r="D129" s="277" t="s">
        <v>1917</v>
      </c>
      <c r="E129" s="277" t="s">
        <v>1918</v>
      </c>
      <c r="F129" s="277">
        <v>3.500424065E9</v>
      </c>
      <c r="G129" s="343" t="s">
        <v>1919</v>
      </c>
      <c r="H129" s="277" t="s">
        <v>1916</v>
      </c>
      <c r="I129" s="341">
        <v>46001.0</v>
      </c>
      <c r="J129" s="281"/>
      <c r="K129" s="282">
        <v>50.0</v>
      </c>
      <c r="L129" s="277" t="s">
        <v>986</v>
      </c>
      <c r="M129" s="277" t="s">
        <v>80</v>
      </c>
      <c r="N129" s="118" t="b">
        <v>1</v>
      </c>
      <c r="O129" s="283"/>
      <c r="P129" s="284" t="s">
        <v>81</v>
      </c>
      <c r="Q129" s="285" t="b">
        <v>1</v>
      </c>
      <c r="R129" s="285" t="b">
        <v>0</v>
      </c>
      <c r="S129" s="286" t="b">
        <v>0</v>
      </c>
    </row>
    <row r="130" outlineLevel="1">
      <c r="A130" s="277" t="s">
        <v>101</v>
      </c>
      <c r="B130" s="277" t="s">
        <v>102</v>
      </c>
      <c r="C130" s="287">
        <v>46003.0</v>
      </c>
      <c r="D130" s="277" t="s">
        <v>1920</v>
      </c>
      <c r="E130" s="277" t="s">
        <v>1531</v>
      </c>
      <c r="F130" s="277">
        <v>3.347225245E9</v>
      </c>
      <c r="G130" s="342" t="s">
        <v>1921</v>
      </c>
      <c r="H130" s="277" t="s">
        <v>1922</v>
      </c>
      <c r="I130" s="341">
        <v>46003.0</v>
      </c>
      <c r="J130" s="281"/>
      <c r="K130" s="282">
        <v>50.0</v>
      </c>
      <c r="L130" s="277" t="s">
        <v>986</v>
      </c>
      <c r="M130" s="277" t="s">
        <v>80</v>
      </c>
      <c r="N130" s="118" t="b">
        <v>1</v>
      </c>
      <c r="O130" s="283"/>
      <c r="P130" s="284" t="s">
        <v>81</v>
      </c>
      <c r="Q130" s="285" t="b">
        <v>1</v>
      </c>
      <c r="R130" s="285" t="b">
        <v>0</v>
      </c>
      <c r="S130" s="286" t="b">
        <v>0</v>
      </c>
    </row>
    <row r="131" outlineLevel="1">
      <c r="A131" s="277" t="s">
        <v>73</v>
      </c>
      <c r="B131" s="277" t="s">
        <v>94</v>
      </c>
      <c r="C131" s="287">
        <v>46001.0</v>
      </c>
      <c r="D131" s="277" t="s">
        <v>1923</v>
      </c>
      <c r="E131" s="277" t="s">
        <v>1924</v>
      </c>
      <c r="F131" s="277">
        <v>3.466684354E9</v>
      </c>
      <c r="G131" s="324" t="s">
        <v>1925</v>
      </c>
      <c r="H131" s="277" t="s">
        <v>1926</v>
      </c>
      <c r="I131" s="341">
        <v>46001.0</v>
      </c>
      <c r="J131" s="281"/>
      <c r="K131" s="282">
        <v>50.0</v>
      </c>
      <c r="L131" s="277" t="s">
        <v>981</v>
      </c>
      <c r="M131" s="277" t="s">
        <v>100</v>
      </c>
      <c r="N131" s="118" t="b">
        <v>1</v>
      </c>
      <c r="O131" s="283"/>
      <c r="P131" s="284" t="s">
        <v>81</v>
      </c>
      <c r="Q131" s="285" t="b">
        <v>1</v>
      </c>
      <c r="R131" s="285" t="b">
        <v>0</v>
      </c>
      <c r="S131" s="286" t="b">
        <v>0</v>
      </c>
    </row>
    <row r="132" outlineLevel="1">
      <c r="A132" s="277" t="s">
        <v>611</v>
      </c>
      <c r="B132" s="277" t="s">
        <v>612</v>
      </c>
      <c r="C132" s="287">
        <v>46002.0</v>
      </c>
      <c r="D132" s="277" t="s">
        <v>1927</v>
      </c>
      <c r="E132" s="277" t="s">
        <v>365</v>
      </c>
      <c r="F132" s="277">
        <v>3.891366354E9</v>
      </c>
      <c r="G132" s="324" t="s">
        <v>1928</v>
      </c>
      <c r="H132" s="277" t="s">
        <v>1774</v>
      </c>
      <c r="I132" s="341">
        <v>46002.0</v>
      </c>
      <c r="J132" s="281"/>
      <c r="K132" s="282">
        <v>50.0</v>
      </c>
      <c r="L132" s="277" t="s">
        <v>970</v>
      </c>
      <c r="M132" s="277" t="s">
        <v>100</v>
      </c>
      <c r="N132" s="118" t="b">
        <v>1</v>
      </c>
      <c r="O132" s="283"/>
      <c r="P132" s="284" t="s">
        <v>81</v>
      </c>
      <c r="Q132" s="285" t="b">
        <v>1</v>
      </c>
      <c r="R132" s="285" t="b">
        <v>0</v>
      </c>
      <c r="S132" s="286" t="b">
        <v>0</v>
      </c>
    </row>
    <row r="133" outlineLevel="1">
      <c r="A133" s="277" t="s">
        <v>611</v>
      </c>
      <c r="B133" s="277" t="s">
        <v>612</v>
      </c>
      <c r="C133" s="287">
        <v>46004.0</v>
      </c>
      <c r="D133" s="277" t="s">
        <v>1929</v>
      </c>
      <c r="E133" s="277" t="s">
        <v>1930</v>
      </c>
      <c r="F133" s="277">
        <v>3.20879039E9</v>
      </c>
      <c r="G133" s="324" t="s">
        <v>1931</v>
      </c>
      <c r="H133" s="277" t="s">
        <v>1932</v>
      </c>
      <c r="I133" s="341">
        <v>46004.0</v>
      </c>
      <c r="J133" s="281"/>
      <c r="K133" s="282">
        <v>50.0</v>
      </c>
      <c r="L133" s="277" t="s">
        <v>970</v>
      </c>
      <c r="M133" s="277" t="s">
        <v>162</v>
      </c>
      <c r="N133" s="118" t="b">
        <v>1</v>
      </c>
      <c r="O133" s="283"/>
      <c r="P133" s="284" t="s">
        <v>81</v>
      </c>
      <c r="Q133" s="285" t="b">
        <v>1</v>
      </c>
      <c r="R133" s="285" t="b">
        <v>0</v>
      </c>
      <c r="S133" s="286" t="b">
        <v>0</v>
      </c>
    </row>
    <row r="134" outlineLevel="1">
      <c r="A134" s="277" t="s">
        <v>611</v>
      </c>
      <c r="B134" s="277" t="s">
        <v>612</v>
      </c>
      <c r="C134" s="287">
        <v>46004.0</v>
      </c>
      <c r="D134" s="277" t="s">
        <v>1933</v>
      </c>
      <c r="E134" s="277" t="s">
        <v>1846</v>
      </c>
      <c r="F134" s="277">
        <v>3.277981881E9</v>
      </c>
      <c r="G134" s="342" t="s">
        <v>1934</v>
      </c>
      <c r="H134" s="277" t="s">
        <v>1935</v>
      </c>
      <c r="I134" s="341">
        <v>46004.0</v>
      </c>
      <c r="J134" s="281"/>
      <c r="K134" s="282">
        <v>50.0</v>
      </c>
      <c r="L134" s="277" t="s">
        <v>970</v>
      </c>
      <c r="M134" s="277" t="s">
        <v>162</v>
      </c>
      <c r="N134" s="118" t="b">
        <v>1</v>
      </c>
      <c r="O134" s="283"/>
      <c r="P134" s="284" t="s">
        <v>81</v>
      </c>
      <c r="Q134" s="285" t="b">
        <v>1</v>
      </c>
      <c r="R134" s="285" t="b">
        <v>0</v>
      </c>
      <c r="S134" s="286" t="b">
        <v>0</v>
      </c>
    </row>
    <row r="135" outlineLevel="1">
      <c r="A135" s="277"/>
      <c r="B135" s="277"/>
      <c r="C135" s="287"/>
      <c r="D135" s="277"/>
      <c r="E135" s="277"/>
      <c r="F135" s="277"/>
      <c r="G135" s="342"/>
      <c r="H135" s="277"/>
      <c r="I135" s="341"/>
      <c r="J135" s="281"/>
      <c r="K135" s="282"/>
      <c r="L135" s="277"/>
      <c r="M135" s="277"/>
      <c r="N135" s="118" t="b">
        <v>0</v>
      </c>
      <c r="O135" s="283"/>
      <c r="P135" s="284"/>
      <c r="Q135" s="285" t="b">
        <v>0</v>
      </c>
      <c r="R135" s="285" t="b">
        <v>0</v>
      </c>
      <c r="S135" s="286" t="b">
        <v>0</v>
      </c>
    </row>
    <row r="136" outlineLevel="1">
      <c r="A136" s="277"/>
      <c r="B136" s="277"/>
      <c r="C136" s="287"/>
      <c r="D136" s="277"/>
      <c r="E136" s="277"/>
      <c r="F136" s="277"/>
      <c r="G136" s="342"/>
      <c r="H136" s="277"/>
      <c r="I136" s="341"/>
      <c r="J136" s="281"/>
      <c r="K136" s="282"/>
      <c r="L136" s="277"/>
      <c r="M136" s="292"/>
      <c r="N136" s="118" t="b">
        <v>0</v>
      </c>
      <c r="O136" s="283"/>
      <c r="P136" s="284"/>
      <c r="Q136" s="285" t="b">
        <v>0</v>
      </c>
      <c r="R136" s="285" t="b">
        <v>0</v>
      </c>
      <c r="S136" s="286" t="b">
        <v>0</v>
      </c>
    </row>
    <row r="137" outlineLevel="1">
      <c r="A137" s="277"/>
      <c r="B137" s="277"/>
      <c r="C137" s="287"/>
      <c r="D137" s="277"/>
      <c r="E137" s="277"/>
      <c r="F137" s="277"/>
      <c r="G137" s="342"/>
      <c r="H137" s="277"/>
      <c r="I137" s="341"/>
      <c r="J137" s="281"/>
      <c r="K137" s="282"/>
      <c r="L137" s="277"/>
      <c r="M137" s="292"/>
      <c r="N137" s="118" t="b">
        <v>0</v>
      </c>
      <c r="O137" s="283"/>
      <c r="P137" s="284"/>
      <c r="Q137" s="285" t="b">
        <v>0</v>
      </c>
      <c r="R137" s="285" t="b">
        <v>0</v>
      </c>
      <c r="S137" s="286" t="b">
        <v>0</v>
      </c>
    </row>
    <row r="138" outlineLevel="1">
      <c r="A138" s="277"/>
      <c r="B138" s="277"/>
      <c r="C138" s="287"/>
      <c r="D138" s="277"/>
      <c r="E138" s="277"/>
      <c r="F138" s="277"/>
      <c r="G138" s="342"/>
      <c r="H138" s="277"/>
      <c r="I138" s="341"/>
      <c r="J138" s="281"/>
      <c r="K138" s="282"/>
      <c r="L138" s="277"/>
      <c r="M138" s="292"/>
      <c r="N138" s="118" t="b">
        <v>0</v>
      </c>
      <c r="O138" s="283"/>
      <c r="P138" s="284"/>
      <c r="Q138" s="285" t="b">
        <v>0</v>
      </c>
      <c r="R138" s="285" t="b">
        <v>0</v>
      </c>
      <c r="S138" s="286" t="b">
        <v>0</v>
      </c>
    </row>
    <row r="139" outlineLevel="1">
      <c r="A139" s="277"/>
      <c r="B139" s="277"/>
      <c r="C139" s="287"/>
      <c r="D139" s="277"/>
      <c r="E139" s="277"/>
      <c r="F139" s="277"/>
      <c r="G139" s="342"/>
      <c r="H139" s="277"/>
      <c r="I139" s="341"/>
      <c r="J139" s="281"/>
      <c r="K139" s="282"/>
      <c r="L139" s="277"/>
      <c r="M139" s="292"/>
      <c r="N139" s="118" t="b">
        <v>0</v>
      </c>
      <c r="O139" s="283"/>
      <c r="P139" s="284"/>
      <c r="Q139" s="285" t="b">
        <v>0</v>
      </c>
      <c r="R139" s="285" t="b">
        <v>0</v>
      </c>
      <c r="S139" s="286" t="b">
        <v>0</v>
      </c>
    </row>
    <row r="140" outlineLevel="1">
      <c r="A140" s="277"/>
      <c r="B140" s="277"/>
      <c r="C140" s="287"/>
      <c r="D140" s="277"/>
      <c r="E140" s="277"/>
      <c r="F140" s="277"/>
      <c r="G140" s="342"/>
      <c r="H140" s="277"/>
      <c r="I140" s="341"/>
      <c r="J140" s="281"/>
      <c r="K140" s="282"/>
      <c r="L140" s="277"/>
      <c r="M140" s="292"/>
      <c r="N140" s="118" t="b">
        <v>0</v>
      </c>
      <c r="O140" s="283"/>
      <c r="P140" s="284"/>
      <c r="Q140" s="285" t="b">
        <v>0</v>
      </c>
      <c r="R140" s="285" t="b">
        <v>0</v>
      </c>
      <c r="S140" s="286" t="b">
        <v>0</v>
      </c>
    </row>
    <row r="141" outlineLevel="1">
      <c r="A141" s="277"/>
      <c r="B141" s="277"/>
      <c r="C141" s="287"/>
      <c r="D141" s="277"/>
      <c r="E141" s="277"/>
      <c r="F141" s="277"/>
      <c r="G141" s="342"/>
      <c r="H141" s="277"/>
      <c r="I141" s="341"/>
      <c r="J141" s="281"/>
      <c r="K141" s="282"/>
      <c r="L141" s="277"/>
      <c r="M141" s="292"/>
      <c r="N141" s="118" t="b">
        <v>0</v>
      </c>
      <c r="O141" s="283"/>
      <c r="P141" s="284"/>
      <c r="Q141" s="285" t="b">
        <v>0</v>
      </c>
      <c r="R141" s="285" t="b">
        <v>0</v>
      </c>
      <c r="S141" s="286" t="b">
        <v>0</v>
      </c>
    </row>
    <row r="142" outlineLevel="1">
      <c r="A142" s="277"/>
      <c r="B142" s="277"/>
      <c r="C142" s="287"/>
      <c r="D142" s="277"/>
      <c r="E142" s="277"/>
      <c r="F142" s="277"/>
      <c r="G142" s="342"/>
      <c r="H142" s="277"/>
      <c r="I142" s="341"/>
      <c r="J142" s="281"/>
      <c r="K142" s="282"/>
      <c r="L142" s="277"/>
      <c r="M142" s="292"/>
      <c r="N142" s="118" t="b">
        <v>0</v>
      </c>
      <c r="O142" s="283"/>
      <c r="P142" s="284"/>
      <c r="Q142" s="285" t="b">
        <v>0</v>
      </c>
      <c r="R142" s="285" t="b">
        <v>0</v>
      </c>
      <c r="S142" s="286" t="b">
        <v>0</v>
      </c>
    </row>
    <row r="143" outlineLevel="1">
      <c r="A143" s="277"/>
      <c r="B143" s="277"/>
      <c r="C143" s="287"/>
      <c r="D143" s="277"/>
      <c r="E143" s="277"/>
      <c r="F143" s="277"/>
      <c r="G143" s="342"/>
      <c r="H143" s="277"/>
      <c r="I143" s="341"/>
      <c r="J143" s="281"/>
      <c r="K143" s="282"/>
      <c r="L143" s="277"/>
      <c r="M143" s="292"/>
      <c r="N143" s="118" t="b">
        <v>0</v>
      </c>
      <c r="O143" s="283"/>
      <c r="P143" s="284"/>
      <c r="Q143" s="285" t="b">
        <v>0</v>
      </c>
      <c r="R143" s="285" t="b">
        <v>0</v>
      </c>
      <c r="S143" s="286" t="b">
        <v>0</v>
      </c>
    </row>
    <row r="144" outlineLevel="1">
      <c r="A144" s="277"/>
      <c r="B144" s="277"/>
      <c r="C144" s="287"/>
      <c r="D144" s="277"/>
      <c r="E144" s="277"/>
      <c r="F144" s="277"/>
      <c r="G144" s="342"/>
      <c r="H144" s="277"/>
      <c r="I144" s="341"/>
      <c r="J144" s="281"/>
      <c r="K144" s="282"/>
      <c r="L144" s="277"/>
      <c r="M144" s="292"/>
      <c r="N144" s="118" t="b">
        <v>0</v>
      </c>
      <c r="O144" s="283"/>
      <c r="P144" s="284"/>
      <c r="Q144" s="285" t="b">
        <v>0</v>
      </c>
      <c r="R144" s="285" t="b">
        <v>0</v>
      </c>
      <c r="S144" s="286" t="b">
        <v>0</v>
      </c>
    </row>
    <row r="145" outlineLevel="1">
      <c r="A145" s="277"/>
      <c r="B145" s="277"/>
      <c r="C145" s="287"/>
      <c r="D145" s="424"/>
      <c r="E145" s="424"/>
      <c r="F145" s="424"/>
      <c r="G145" s="424"/>
      <c r="H145" s="424"/>
      <c r="I145" s="341"/>
      <c r="J145" s="293"/>
      <c r="K145" s="282"/>
      <c r="L145" s="277"/>
      <c r="M145" s="424"/>
      <c r="N145" s="118" t="b">
        <v>0</v>
      </c>
      <c r="O145" s="283"/>
      <c r="P145" s="284"/>
      <c r="Q145" s="285" t="b">
        <v>0</v>
      </c>
      <c r="R145" s="285" t="b">
        <v>0</v>
      </c>
      <c r="S145" s="286" t="b">
        <v>0</v>
      </c>
    </row>
    <row r="146">
      <c r="A146" s="348" t="s">
        <v>116</v>
      </c>
      <c r="B146" s="349">
        <f>COUNTIF(B4:B79,"ONLINE")+COUNTIF(B4:B79,"SEDE*")+COUNTIF(B81:B145,"ONLINE")+COUNTIF(B81:B145,"SEDE*")</f>
        <v>113</v>
      </c>
      <c r="C146" s="348" t="s">
        <v>116</v>
      </c>
      <c r="D146" s="349">
        <f t="shared" ref="D146:E146" si="1">COUNTIF(D4:D79, "*")+COUNTIF(D81:D145, "*")</f>
        <v>113</v>
      </c>
      <c r="E146" s="349">
        <f t="shared" si="1"/>
        <v>113</v>
      </c>
      <c r="F146" s="349">
        <f>COUNTA(F4:F79)+COUNTA(F81:F145)</f>
        <v>113</v>
      </c>
      <c r="G146" s="349">
        <f t="shared" ref="G146:H146" si="2">COUNTIF(G4:G79, "*")+COUNTIF(G81:G145, "*")</f>
        <v>112</v>
      </c>
      <c r="H146" s="349">
        <f t="shared" si="2"/>
        <v>112</v>
      </c>
      <c r="I146" s="348" t="s">
        <v>116</v>
      </c>
      <c r="J146" s="350">
        <f t="shared" ref="J146:K146" si="3">SUM(J4:J79)+SUM(J81:J145)</f>
        <v>440</v>
      </c>
      <c r="K146" s="350">
        <f t="shared" si="3"/>
        <v>5125</v>
      </c>
      <c r="L146" s="349">
        <f t="shared" ref="L146:M146" si="4">COUNTIF(L4:L79, "*")+COUNTIF(L81:L145, "*")</f>
        <v>103</v>
      </c>
      <c r="M146" s="349">
        <f t="shared" si="4"/>
        <v>112</v>
      </c>
      <c r="N146" s="349">
        <f>SUMPRODUCT(--N4:N79)+SUMPRODUCT(--N81:N145)</f>
        <v>109</v>
      </c>
      <c r="O146" s="349">
        <f t="shared" ref="O146:P146" si="5">COUNTIF(O4:O79, "*")+COUNTIF(O81:O145, "*")</f>
        <v>8</v>
      </c>
      <c r="P146" s="349">
        <f t="shared" si="5"/>
        <v>113</v>
      </c>
      <c r="Q146" s="349">
        <f t="shared" ref="Q146:S146" si="6">SUMPRODUCT(--Q4:Q79)+SUMPRODUCT(--Q81:Q145)</f>
        <v>110</v>
      </c>
      <c r="R146" s="349">
        <f t="shared" si="6"/>
        <v>0</v>
      </c>
      <c r="S146" s="349">
        <f t="shared" si="6"/>
        <v>0</v>
      </c>
    </row>
    <row r="147">
      <c r="A147" s="245" t="s">
        <v>117</v>
      </c>
      <c r="B147" s="246">
        <f>COUNTIF(B4:B145,"SEDE*")</f>
        <v>52</v>
      </c>
      <c r="C147" s="351"/>
      <c r="D147" s="351"/>
      <c r="E147" s="351"/>
      <c r="F147" s="351"/>
      <c r="G147" s="351"/>
      <c r="H147" s="351"/>
      <c r="I147" s="355" t="s">
        <v>121</v>
      </c>
      <c r="J147" s="356" t="str">
        <f>COUNTIFS($B$4:$B$79,"*SEDE*",$J$4:$J$79, $F$173)+COUNTIFS($B$81:$B$145,"*SEDE*",$J$81:$J$145, $F$173)&amp; " da €"&amp;$F$173</f>
        <v>0 da €55</v>
      </c>
      <c r="K147" s="357" t="str">
        <f>COUNTIFS($B$4:$B$79,"*SEDE*",$K$4:$K$79, $F$172)+COUNTIFS($B$81:$B$145,"*SEDE*",$K$81:$K$145, $F$172)&amp; " da €"&amp;$F$172</f>
        <v>49 da €50</v>
      </c>
      <c r="L147" s="425" t="s">
        <v>40</v>
      </c>
      <c r="M147" s="426">
        <f>SUM(J148,K148)</f>
        <v>2450</v>
      </c>
      <c r="N147" s="236" t="s">
        <v>214</v>
      </c>
      <c r="O147" s="362">
        <f>SUMPRODUCT(--$N$4:$N$79)</f>
        <v>55</v>
      </c>
      <c r="P147" s="351"/>
      <c r="Q147" s="351"/>
      <c r="R147" s="351"/>
      <c r="S147" s="351"/>
    </row>
    <row r="148">
      <c r="A148" s="245" t="s">
        <v>74</v>
      </c>
      <c r="B148" s="246">
        <f>COUNTIF(B4:B145, "ONLINE")</f>
        <v>61</v>
      </c>
      <c r="C148" s="351"/>
      <c r="D148" s="351"/>
      <c r="E148" s="351"/>
      <c r="F148" s="351"/>
      <c r="G148" s="351"/>
      <c r="H148" s="351"/>
      <c r="I148" s="367" t="s">
        <v>122</v>
      </c>
      <c r="J148" s="368">
        <f>SUMIFS($J$4:$J$79,$B$4:$B$79,"*SEDE*",$J$4:$J$79,$F$173)+SUMIFS($J$81:$J$145,$B$81:$B$145,"*SEDE*",$J$81:$J$145,$F$173)</f>
        <v>0</v>
      </c>
      <c r="K148" s="369">
        <f>SUMIFS($K$4:$K$79,$B$4:$B$79,"*SEDE*",$K$4:$K$79,$F$172)+SUMIFS($K$81:$K$145,$B$81:$B$145,"*SEDE*",$K$81:$K$145,$F$172)</f>
        <v>2450</v>
      </c>
      <c r="N148" s="243" t="s">
        <v>355</v>
      </c>
      <c r="O148" s="370">
        <f>SUMPRODUCT(--$N$81:$N$145)</f>
        <v>54</v>
      </c>
      <c r="P148" s="351"/>
      <c r="Q148" s="351"/>
      <c r="R148" s="351"/>
      <c r="S148" s="351"/>
    </row>
    <row r="149">
      <c r="A149" s="245"/>
      <c r="B149" s="246"/>
      <c r="C149" s="351"/>
      <c r="D149" s="351"/>
      <c r="E149" s="351"/>
      <c r="F149" s="351"/>
      <c r="G149" s="351"/>
      <c r="H149" s="351"/>
      <c r="I149" s="355" t="s">
        <v>123</v>
      </c>
      <c r="J149" s="375" t="str">
        <f>COUNTIFS($B$4:$B$79,"*ONLINE*",$J$4:$J$79, $F$173)+COUNTIFS($B$81:$B$145,"*ONLINE*",$J$81:$J$145, $F$173)&amp; " da €"&amp;$F$173</f>
        <v>8 da €55</v>
      </c>
      <c r="K149" s="376" t="str">
        <f>COUNTIFS($B$4:$B$79,"*ONLINE*",$K$4:$K$79, $F$172)+COUNTIFS($B$81:$B$145,"*ONLINE*",$K$81:$K$145, $F$172)&amp; " da €"&amp;$F$172</f>
        <v>53 da €50</v>
      </c>
      <c r="L149" s="425" t="s">
        <v>40</v>
      </c>
      <c r="M149" s="426">
        <f>SUM(J150,K150)</f>
        <v>3090</v>
      </c>
      <c r="N149" s="351"/>
      <c r="O149" s="183"/>
      <c r="P149" s="245" t="s">
        <v>120</v>
      </c>
      <c r="Q149" s="378" t="str">
        <f>IF(SUM(J146:K146) = SUM(M147:M150), "OK", "ERRORE")</f>
        <v>ERRORE</v>
      </c>
      <c r="R149" s="351"/>
      <c r="S149" s="351"/>
    </row>
    <row r="150">
      <c r="A150" s="379"/>
      <c r="B150" s="379"/>
      <c r="C150" s="380"/>
      <c r="D150" s="380"/>
      <c r="E150" s="380"/>
      <c r="F150" s="380"/>
      <c r="G150" s="380"/>
      <c r="H150" s="380"/>
      <c r="I150" s="384" t="s">
        <v>124</v>
      </c>
      <c r="J150" s="385">
        <f>SUMIFS($J$4:$J$79,$B$4:$B$79,"*ONLINE*",$J$4:$J$79,$F$173)+SUMIFS($J$81:$J$145,$B$81:$B$145,"*ONLINE*",$J$81:$J$145,$F$173)</f>
        <v>440</v>
      </c>
      <c r="K150" s="386">
        <f>SUMIFS($K$4:$K$79,$B$4:$B$79,"*ONLINE*",$K$4:$K$79,$F$172)+SUMIFS($K$81:$K$145,$B$81:$B$145,"*ONLINE*",$K$81:$K$145,"50")</f>
        <v>2650</v>
      </c>
      <c r="L150" s="196"/>
      <c r="M150" s="196"/>
      <c r="N150" s="380"/>
      <c r="O150" s="427"/>
      <c r="P150" s="380"/>
      <c r="Q150" s="380"/>
      <c r="R150" s="380"/>
      <c r="S150" s="351"/>
    </row>
    <row r="151" ht="26.25" customHeight="1" collapsed="1">
      <c r="A151" s="428" t="s">
        <v>1936</v>
      </c>
      <c r="Q151" s="429"/>
      <c r="R151" s="429"/>
      <c r="S151" s="430"/>
    </row>
    <row r="152" hidden="1" outlineLevel="1">
      <c r="A152" s="317"/>
      <c r="B152" s="317"/>
      <c r="C152" s="316"/>
      <c r="D152" s="336"/>
      <c r="E152" s="336"/>
      <c r="F152" s="420"/>
      <c r="G152" s="317"/>
      <c r="H152" s="317"/>
      <c r="I152" s="318"/>
      <c r="J152" s="319"/>
      <c r="K152" s="431"/>
      <c r="L152" s="277"/>
      <c r="M152" s="317"/>
      <c r="N152" s="118" t="b">
        <v>0</v>
      </c>
      <c r="O152" s="116"/>
      <c r="P152" s="284"/>
      <c r="Q152" s="285" t="b">
        <v>0</v>
      </c>
      <c r="R152" s="285" t="b">
        <v>0</v>
      </c>
      <c r="S152" s="286" t="b">
        <v>0</v>
      </c>
    </row>
    <row r="153" hidden="1" outlineLevel="1">
      <c r="A153" s="432"/>
      <c r="B153" s="432"/>
      <c r="C153" s="433"/>
      <c r="D153" s="432"/>
      <c r="E153" s="432"/>
      <c r="F153" s="432"/>
      <c r="G153" s="432"/>
      <c r="H153" s="432"/>
      <c r="I153" s="434"/>
      <c r="J153" s="435"/>
      <c r="K153" s="436"/>
      <c r="L153" s="292"/>
      <c r="M153" s="432"/>
      <c r="N153" s="118" t="b">
        <v>0</v>
      </c>
      <c r="O153" s="437"/>
      <c r="P153" s="438"/>
      <c r="Q153" s="285" t="b">
        <v>0</v>
      </c>
      <c r="R153" s="285" t="b">
        <v>0</v>
      </c>
      <c r="S153" s="286" t="b">
        <v>0</v>
      </c>
    </row>
    <row r="154" hidden="1" outlineLevel="1">
      <c r="A154" s="317"/>
      <c r="B154" s="317"/>
      <c r="C154" s="316"/>
      <c r="D154" s="317"/>
      <c r="E154" s="317"/>
      <c r="F154" s="317"/>
      <c r="G154" s="320"/>
      <c r="H154" s="320"/>
      <c r="I154" s="439"/>
      <c r="J154" s="319"/>
      <c r="K154" s="431"/>
      <c r="L154" s="277"/>
      <c r="M154" s="317"/>
      <c r="N154" s="118" t="b">
        <v>0</v>
      </c>
      <c r="O154" s="116"/>
      <c r="P154" s="284"/>
      <c r="Q154" s="285" t="b">
        <v>0</v>
      </c>
      <c r="R154" s="285" t="b">
        <v>0</v>
      </c>
      <c r="S154" s="286" t="b">
        <v>0</v>
      </c>
    </row>
    <row r="155" hidden="1" outlineLevel="1">
      <c r="A155" s="317"/>
      <c r="B155" s="317"/>
      <c r="C155" s="316"/>
      <c r="D155" s="317"/>
      <c r="E155" s="317"/>
      <c r="F155" s="317"/>
      <c r="G155" s="317"/>
      <c r="H155" s="317"/>
      <c r="I155" s="318"/>
      <c r="J155" s="319"/>
      <c r="K155" s="436"/>
      <c r="L155" s="277"/>
      <c r="M155" s="317"/>
      <c r="N155" s="118" t="b">
        <v>0</v>
      </c>
      <c r="O155" s="183"/>
      <c r="P155" s="284"/>
      <c r="Q155" s="285" t="b">
        <v>0</v>
      </c>
      <c r="R155" s="285" t="b">
        <v>0</v>
      </c>
      <c r="S155" s="286" t="b">
        <v>0</v>
      </c>
    </row>
    <row r="156" hidden="1" outlineLevel="1">
      <c r="A156" s="317"/>
      <c r="B156" s="317"/>
      <c r="C156" s="316"/>
      <c r="D156" s="317"/>
      <c r="E156" s="317"/>
      <c r="F156" s="317"/>
      <c r="G156" s="317"/>
      <c r="H156" s="317"/>
      <c r="I156" s="318"/>
      <c r="J156" s="319"/>
      <c r="K156" s="436"/>
      <c r="L156" s="277"/>
      <c r="M156" s="317"/>
      <c r="N156" s="118" t="b">
        <v>0</v>
      </c>
      <c r="O156" s="116"/>
      <c r="P156" s="284"/>
      <c r="Q156" s="285" t="b">
        <v>0</v>
      </c>
      <c r="R156" s="285" t="b">
        <v>0</v>
      </c>
      <c r="S156" s="286" t="b">
        <v>0</v>
      </c>
    </row>
    <row r="157" hidden="1" outlineLevel="1">
      <c r="A157" s="317"/>
      <c r="B157" s="317"/>
      <c r="C157" s="316"/>
      <c r="D157" s="317"/>
      <c r="E157" s="317"/>
      <c r="F157" s="317"/>
      <c r="G157" s="317"/>
      <c r="H157" s="317"/>
      <c r="I157" s="318"/>
      <c r="J157" s="319"/>
      <c r="K157" s="436"/>
      <c r="L157" s="277"/>
      <c r="M157" s="317"/>
      <c r="N157" s="118" t="b">
        <v>0</v>
      </c>
      <c r="O157" s="116"/>
      <c r="P157" s="284"/>
      <c r="Q157" s="285" t="b">
        <v>0</v>
      </c>
      <c r="R157" s="285" t="b">
        <v>0</v>
      </c>
      <c r="S157" s="286" t="b">
        <v>0</v>
      </c>
    </row>
    <row r="158" hidden="1" outlineLevel="1">
      <c r="A158" s="432"/>
      <c r="B158" s="432"/>
      <c r="C158" s="440"/>
      <c r="D158" s="432"/>
      <c r="E158" s="432"/>
      <c r="F158" s="432"/>
      <c r="G158" s="432"/>
      <c r="H158" s="432"/>
      <c r="I158" s="441"/>
      <c r="J158" s="319"/>
      <c r="K158" s="436"/>
      <c r="L158" s="291"/>
      <c r="M158" s="432"/>
      <c r="N158" s="442" t="b">
        <v>0</v>
      </c>
      <c r="O158" s="116"/>
      <c r="P158" s="438"/>
      <c r="Q158" s="285" t="b">
        <v>0</v>
      </c>
      <c r="R158" s="285" t="b">
        <v>0</v>
      </c>
      <c r="S158" s="286" t="b">
        <v>0</v>
      </c>
    </row>
    <row r="159" hidden="1" outlineLevel="1">
      <c r="A159" s="432"/>
      <c r="B159" s="432"/>
      <c r="C159" s="433"/>
      <c r="D159" s="432"/>
      <c r="E159" s="432"/>
      <c r="F159" s="432"/>
      <c r="G159" s="432"/>
      <c r="H159" s="351"/>
      <c r="I159" s="434"/>
      <c r="J159" s="319"/>
      <c r="K159" s="436"/>
      <c r="L159" s="291"/>
      <c r="M159" s="432"/>
      <c r="N159" s="118" t="b">
        <v>0</v>
      </c>
      <c r="O159" s="437"/>
      <c r="P159" s="284"/>
      <c r="Q159" s="285" t="b">
        <v>0</v>
      </c>
      <c r="R159" s="285" t="b">
        <v>0</v>
      </c>
      <c r="S159" s="286" t="b">
        <v>0</v>
      </c>
    </row>
    <row r="160" hidden="1" outlineLevel="1">
      <c r="A160" s="432"/>
      <c r="B160" s="432"/>
      <c r="C160" s="433"/>
      <c r="D160" s="432"/>
      <c r="E160" s="432"/>
      <c r="F160" s="432"/>
      <c r="G160" s="432"/>
      <c r="H160" s="432"/>
      <c r="I160" s="434"/>
      <c r="J160" s="319"/>
      <c r="K160" s="436"/>
      <c r="L160" s="291"/>
      <c r="M160" s="432"/>
      <c r="N160" s="442" t="b">
        <v>0</v>
      </c>
      <c r="O160" s="437"/>
      <c r="P160" s="284"/>
      <c r="Q160" s="285" t="b">
        <v>0</v>
      </c>
      <c r="R160" s="285" t="b">
        <v>0</v>
      </c>
      <c r="S160" s="286" t="b">
        <v>0</v>
      </c>
    </row>
    <row r="161" hidden="1" outlineLevel="1">
      <c r="A161" s="317"/>
      <c r="B161" s="317"/>
      <c r="C161" s="316"/>
      <c r="D161" s="317"/>
      <c r="E161" s="317"/>
      <c r="F161" s="317"/>
      <c r="G161" s="317"/>
      <c r="H161" s="317"/>
      <c r="I161" s="443"/>
      <c r="J161" s="319"/>
      <c r="K161" s="436"/>
      <c r="L161" s="288"/>
      <c r="M161" s="317"/>
      <c r="N161" s="118" t="b">
        <v>0</v>
      </c>
      <c r="O161" s="437"/>
      <c r="P161" s="284"/>
      <c r="Q161" s="285" t="b">
        <v>0</v>
      </c>
      <c r="R161" s="285" t="b">
        <v>0</v>
      </c>
      <c r="S161" s="286" t="b">
        <v>0</v>
      </c>
    </row>
    <row r="162" hidden="1" outlineLevel="1">
      <c r="A162" s="317"/>
      <c r="B162" s="317"/>
      <c r="C162" s="316"/>
      <c r="D162" s="317"/>
      <c r="E162" s="317"/>
      <c r="F162" s="317"/>
      <c r="G162" s="317"/>
      <c r="H162" s="317"/>
      <c r="I162" s="318"/>
      <c r="J162" s="435"/>
      <c r="K162" s="431"/>
      <c r="L162" s="277"/>
      <c r="M162" s="317"/>
      <c r="N162" s="118" t="b">
        <v>0</v>
      </c>
      <c r="O162" s="183"/>
      <c r="P162" s="284"/>
      <c r="Q162" s="285" t="b">
        <v>0</v>
      </c>
      <c r="R162" s="285" t="b">
        <v>0</v>
      </c>
      <c r="S162" s="286" t="b">
        <v>0</v>
      </c>
    </row>
    <row r="163" hidden="1" outlineLevel="1">
      <c r="A163" s="317"/>
      <c r="B163" s="317"/>
      <c r="C163" s="316"/>
      <c r="D163" s="317"/>
      <c r="E163" s="317"/>
      <c r="F163" s="317"/>
      <c r="G163" s="317"/>
      <c r="H163" s="317"/>
      <c r="I163" s="318"/>
      <c r="J163" s="319"/>
      <c r="K163" s="436"/>
      <c r="L163" s="277"/>
      <c r="M163" s="317"/>
      <c r="N163" s="118" t="b">
        <v>0</v>
      </c>
      <c r="O163" s="183"/>
      <c r="P163" s="284"/>
      <c r="Q163" s="285" t="b">
        <v>0</v>
      </c>
      <c r="R163" s="285" t="b">
        <v>0</v>
      </c>
      <c r="S163" s="286" t="b">
        <v>0</v>
      </c>
    </row>
    <row r="164" hidden="1" outlineLevel="1">
      <c r="A164" s="317"/>
      <c r="B164" s="317"/>
      <c r="C164" s="316"/>
      <c r="D164" s="317"/>
      <c r="E164" s="317"/>
      <c r="F164" s="317"/>
      <c r="G164" s="317"/>
      <c r="H164" s="317"/>
      <c r="I164" s="318"/>
      <c r="J164" s="319"/>
      <c r="K164" s="436"/>
      <c r="L164" s="277"/>
      <c r="M164" s="317"/>
      <c r="N164" s="118" t="b">
        <v>0</v>
      </c>
      <c r="O164" s="183"/>
      <c r="P164" s="284"/>
      <c r="Q164" s="285" t="b">
        <v>0</v>
      </c>
      <c r="R164" s="285" t="b">
        <v>0</v>
      </c>
      <c r="S164" s="286" t="b">
        <v>0</v>
      </c>
    </row>
    <row r="165" hidden="1" outlineLevel="1">
      <c r="A165" s="432"/>
      <c r="B165" s="432"/>
      <c r="C165" s="440"/>
      <c r="D165" s="432"/>
      <c r="E165" s="432"/>
      <c r="F165" s="432"/>
      <c r="G165" s="432"/>
      <c r="H165" s="351"/>
      <c r="I165" s="441"/>
      <c r="J165" s="435"/>
      <c r="K165" s="436"/>
      <c r="L165" s="277"/>
      <c r="M165" s="317"/>
      <c r="N165" s="118" t="b">
        <v>0</v>
      </c>
      <c r="O165" s="183"/>
      <c r="P165" s="284"/>
      <c r="Q165" s="285" t="b">
        <v>0</v>
      </c>
      <c r="R165" s="285" t="b">
        <v>0</v>
      </c>
      <c r="S165" s="286" t="b">
        <v>0</v>
      </c>
    </row>
    <row r="166" hidden="1" outlineLevel="1">
      <c r="A166" s="317"/>
      <c r="B166" s="317"/>
      <c r="C166" s="316"/>
      <c r="D166" s="317"/>
      <c r="E166" s="317"/>
      <c r="F166" s="317"/>
      <c r="G166" s="317"/>
      <c r="H166" s="317"/>
      <c r="I166" s="318"/>
      <c r="J166" s="319"/>
      <c r="K166" s="436"/>
      <c r="L166" s="277"/>
      <c r="M166" s="317"/>
      <c r="N166" s="118" t="b">
        <v>0</v>
      </c>
      <c r="O166" s="116"/>
      <c r="P166" s="284"/>
      <c r="Q166" s="285" t="b">
        <v>0</v>
      </c>
      <c r="R166" s="285" t="b">
        <v>0</v>
      </c>
      <c r="S166" s="286" t="b">
        <v>0</v>
      </c>
    </row>
    <row r="167" hidden="1" outlineLevel="1">
      <c r="A167" s="317"/>
      <c r="B167" s="317"/>
      <c r="C167" s="444"/>
      <c r="D167" s="317"/>
      <c r="E167" s="317"/>
      <c r="F167" s="317"/>
      <c r="G167" s="317"/>
      <c r="H167" s="317"/>
      <c r="I167" s="318"/>
      <c r="J167" s="319"/>
      <c r="K167" s="436"/>
      <c r="L167" s="277"/>
      <c r="M167" s="317"/>
      <c r="N167" s="118" t="b">
        <v>0</v>
      </c>
      <c r="O167" s="183"/>
      <c r="P167" s="284"/>
      <c r="Q167" s="285" t="b">
        <v>0</v>
      </c>
      <c r="R167" s="285" t="b">
        <v>0</v>
      </c>
      <c r="S167" s="286" t="b">
        <v>0</v>
      </c>
    </row>
    <row r="168" hidden="1" outlineLevel="1">
      <c r="A168" s="317"/>
      <c r="B168" s="317"/>
      <c r="C168" s="316"/>
      <c r="D168" s="317"/>
      <c r="E168" s="317"/>
      <c r="F168" s="445"/>
      <c r="G168" s="317"/>
      <c r="H168" s="317"/>
      <c r="I168" s="318"/>
      <c r="J168" s="435"/>
      <c r="K168" s="431"/>
      <c r="L168" s="277"/>
      <c r="M168" s="317"/>
      <c r="N168" s="118" t="b">
        <v>0</v>
      </c>
      <c r="O168" s="183"/>
      <c r="P168" s="284"/>
      <c r="Q168" s="285" t="b">
        <v>0</v>
      </c>
      <c r="R168" s="285" t="b">
        <v>0</v>
      </c>
      <c r="S168" s="286" t="b">
        <v>0</v>
      </c>
    </row>
    <row r="169">
      <c r="A169" s="446" t="s">
        <v>116</v>
      </c>
      <c r="B169" s="447">
        <f>COUNTIF(B152:B168,"ONLINE")+COUNTIF(B152:B168,"SEDE*")</f>
        <v>0</v>
      </c>
      <c r="C169" s="446" t="s">
        <v>116</v>
      </c>
      <c r="D169" s="447">
        <f t="shared" ref="D169:E169" si="7">COUNTIF(D152:D168, "*")</f>
        <v>0</v>
      </c>
      <c r="E169" s="447">
        <f t="shared" si="7"/>
        <v>0</v>
      </c>
      <c r="F169" s="447">
        <f>COUNTA(F152:F168)</f>
        <v>0</v>
      </c>
      <c r="G169" s="447">
        <f t="shared" ref="G169:H169" si="8">COUNTIF(G152:G168, "*")</f>
        <v>0</v>
      </c>
      <c r="H169" s="447">
        <f t="shared" si="8"/>
        <v>0</v>
      </c>
      <c r="I169" s="446" t="s">
        <v>116</v>
      </c>
      <c r="J169" s="448">
        <f t="shared" ref="J169:K169" si="9">SUM(J152:J168)</f>
        <v>0</v>
      </c>
      <c r="K169" s="449">
        <f t="shared" si="9"/>
        <v>0</v>
      </c>
      <c r="L169" s="447">
        <f t="shared" ref="L169:M169" si="10">COUNTIF(L152:L168, "*")</f>
        <v>0</v>
      </c>
      <c r="M169" s="447">
        <f t="shared" si="10"/>
        <v>0</v>
      </c>
      <c r="N169" s="447">
        <f>SUMPRODUCT(--N152:N168)</f>
        <v>0</v>
      </c>
      <c r="O169" s="447">
        <f t="shared" ref="O169:P169" si="11">COUNTIF(O152:O168, "*")</f>
        <v>0</v>
      </c>
      <c r="P169" s="447">
        <f t="shared" si="11"/>
        <v>0</v>
      </c>
      <c r="Q169" s="447">
        <f t="shared" ref="Q169:S169" si="12">SUMPRODUCT(--Q152:Q168)</f>
        <v>0</v>
      </c>
      <c r="R169" s="447">
        <f t="shared" si="12"/>
        <v>0</v>
      </c>
      <c r="S169" s="447">
        <f t="shared" si="12"/>
        <v>0</v>
      </c>
    </row>
    <row r="170">
      <c r="A170" s="245" t="s">
        <v>117</v>
      </c>
      <c r="B170" s="246">
        <f>COUNTIF(B152:B168,"SEDE*")</f>
        <v>0</v>
      </c>
      <c r="C170" s="351"/>
      <c r="D170" s="351"/>
      <c r="E170" s="351"/>
      <c r="F170" s="351"/>
      <c r="G170" s="351"/>
      <c r="H170" s="351"/>
      <c r="I170" s="355" t="s">
        <v>121</v>
      </c>
      <c r="J170" s="356" t="str">
        <f>COUNTIFS($B$152:$B$168,"*SEDE*",$J$152:$J$168, $F$173)&amp; " da €"&amp;$F$173</f>
        <v>0 da €55</v>
      </c>
      <c r="K170" s="357" t="str">
        <f>COUNTIFS($B$152:$B$168,"*SEDE*",$K$152:$K$168, $F$172)&amp; " da €"&amp;$F$172</f>
        <v>0 da €50</v>
      </c>
      <c r="L170" s="425" t="s">
        <v>40</v>
      </c>
      <c r="M170" s="426">
        <f>SUM(J171,K171)</f>
        <v>0</v>
      </c>
      <c r="N170" s="351"/>
      <c r="O170" s="183"/>
      <c r="P170" s="351"/>
      <c r="Q170" s="351"/>
      <c r="R170" s="351"/>
      <c r="S170" s="351"/>
    </row>
    <row r="171">
      <c r="A171" s="245" t="s">
        <v>74</v>
      </c>
      <c r="B171" s="246">
        <f>COUNTIF(B152:B168, "ONLINE")</f>
        <v>0</v>
      </c>
      <c r="C171" s="351"/>
      <c r="D171" s="351"/>
      <c r="E171" s="351"/>
      <c r="F171" s="351"/>
      <c r="G171" s="351"/>
      <c r="H171" s="351"/>
      <c r="I171" s="367" t="s">
        <v>122</v>
      </c>
      <c r="J171" s="368">
        <f>SUMIFS($J$152:$J$168,$B$152:$B$168,"*SEDE*",$J$152:$J$168,$F$173)</f>
        <v>0</v>
      </c>
      <c r="K171" s="369">
        <f>SUMIFS($K$152:$K$168,$B$152:$B$168,"*SEDE*",$K$152:$K$168,$F$172)</f>
        <v>0</v>
      </c>
      <c r="N171" s="351"/>
      <c r="O171" s="183"/>
      <c r="P171" s="351"/>
      <c r="Q171" s="351"/>
      <c r="R171" s="351"/>
      <c r="S171" s="351"/>
    </row>
    <row r="172">
      <c r="A172" s="450" t="s">
        <v>127</v>
      </c>
      <c r="B172" s="451">
        <f t="shared" ref="B172:B173" si="13">SUM(B147,B170)</f>
        <v>52</v>
      </c>
      <c r="C172" s="452"/>
      <c r="D172" s="452"/>
      <c r="E172" s="352" t="s">
        <v>1596</v>
      </c>
      <c r="F172" s="353">
        <v>50.0</v>
      </c>
      <c r="G172" s="354">
        <v>0.0</v>
      </c>
      <c r="H172" s="351"/>
      <c r="I172" s="355" t="s">
        <v>123</v>
      </c>
      <c r="J172" s="375" t="str">
        <f>COUNTIFS($B$152:$B$168,"*ONLINE*",$J$152:$J$168, $F$173)&amp; " da €"&amp;$F$173</f>
        <v>0 da €55</v>
      </c>
      <c r="K172" s="376" t="str">
        <f>COUNTIFS($B$152:$B$168,"*ONLINE*",$K$152:$K$168, $F$172)&amp; " da €"&amp;$F$172</f>
        <v>0 da €50</v>
      </c>
      <c r="L172" s="425" t="s">
        <v>40</v>
      </c>
      <c r="M172" s="426">
        <f>SUM(J173,K173)</f>
        <v>0</v>
      </c>
      <c r="N172" s="351"/>
      <c r="O172" s="183"/>
      <c r="P172" s="245" t="s">
        <v>120</v>
      </c>
      <c r="Q172" s="378" t="str">
        <f>IF(SUM(J169:K169) = SUM(M170:M173), "OK", "ERRORE")</f>
        <v>OK</v>
      </c>
      <c r="R172" s="351"/>
      <c r="S172" s="351"/>
    </row>
    <row r="173">
      <c r="A173" s="453" t="s">
        <v>131</v>
      </c>
      <c r="B173" s="454">
        <f t="shared" si="13"/>
        <v>61</v>
      </c>
      <c r="C173" s="363" t="s">
        <v>134</v>
      </c>
      <c r="D173" s="198">
        <f>COUNTIF(M4:M168,"*NON TESSERATO*")</f>
        <v>4</v>
      </c>
      <c r="E173" s="364"/>
      <c r="F173" s="365">
        <v>55.0</v>
      </c>
      <c r="G173" s="366">
        <v>0.0</v>
      </c>
      <c r="H173" s="380"/>
      <c r="I173" s="384" t="s">
        <v>124</v>
      </c>
      <c r="J173" s="385">
        <f>SUMIFS($J$152:$J$168,$B$152:$B$168,"*ONLINE*",$J$152:$J$168,$F$173)</f>
        <v>0</v>
      </c>
      <c r="K173" s="386">
        <f>SUMIFS($K$152:$K$168,$B$152:$B$168,"*ONLINE*",$K$152:$K$168,$F$172)</f>
        <v>0</v>
      </c>
      <c r="L173" s="196"/>
      <c r="M173" s="196"/>
      <c r="N173" s="380"/>
      <c r="O173" s="427"/>
      <c r="P173" s="380"/>
      <c r="Q173" s="380"/>
      <c r="R173" s="380"/>
      <c r="S173" s="380"/>
    </row>
    <row r="174">
      <c r="A174" s="213" t="s">
        <v>133</v>
      </c>
      <c r="B174" s="371">
        <f>SUM(B172:B173)</f>
        <v>113</v>
      </c>
      <c r="C174" s="219" t="s">
        <v>136</v>
      </c>
      <c r="D174" s="372">
        <f>COUNTIF(M4:M168,"*TESSERATO*")-COUNTIF(M4:M168,"*NON TESSERATO*")</f>
        <v>108</v>
      </c>
      <c r="E174" s="364"/>
      <c r="F174" s="373">
        <v>0.0</v>
      </c>
      <c r="G174" s="374"/>
      <c r="H174" s="172" t="s">
        <v>1937</v>
      </c>
      <c r="J174" s="455">
        <f t="shared" ref="J174:K174" si="14">SUM(J148,J171)</f>
        <v>0</v>
      </c>
      <c r="K174" s="456">
        <f t="shared" si="14"/>
        <v>2450</v>
      </c>
      <c r="L174" s="358" t="s">
        <v>1938</v>
      </c>
      <c r="M174" s="359">
        <f t="shared" ref="M174:M175" si="16">SUM(J174,K174)</f>
        <v>2450</v>
      </c>
      <c r="N174" s="457" t="s">
        <v>1939</v>
      </c>
      <c r="O174" s="361">
        <f>SUM(J146,K146,J169,K169)</f>
        <v>5565</v>
      </c>
      <c r="Q174" s="351"/>
      <c r="R174" s="351"/>
      <c r="S174" s="351"/>
    </row>
    <row r="175">
      <c r="C175" s="351"/>
      <c r="D175" s="351"/>
      <c r="E175" s="381"/>
      <c r="F175" s="382">
        <v>0.0</v>
      </c>
      <c r="G175" s="383"/>
      <c r="H175" s="172" t="s">
        <v>1940</v>
      </c>
      <c r="J175" s="455">
        <f t="shared" ref="J175:K175" si="15">SUM(J150,J173)</f>
        <v>440</v>
      </c>
      <c r="K175" s="456">
        <f t="shared" si="15"/>
        <v>2650</v>
      </c>
      <c r="L175" s="358" t="s">
        <v>1941</v>
      </c>
      <c r="M175" s="359">
        <f t="shared" si="16"/>
        <v>3090</v>
      </c>
      <c r="Q175" s="458"/>
      <c r="R175" s="458"/>
      <c r="S175" s="458"/>
    </row>
  </sheetData>
  <mergeCells count="19">
    <mergeCell ref="A1:O1"/>
    <mergeCell ref="Q1:S1"/>
    <mergeCell ref="A3:O3"/>
    <mergeCell ref="A80:O80"/>
    <mergeCell ref="L147:L148"/>
    <mergeCell ref="M147:M148"/>
    <mergeCell ref="L149:L150"/>
    <mergeCell ref="G174:G175"/>
    <mergeCell ref="H174:I174"/>
    <mergeCell ref="H175:I175"/>
    <mergeCell ref="N174:N175"/>
    <mergeCell ref="O174:O175"/>
    <mergeCell ref="M149:M150"/>
    <mergeCell ref="A151:P151"/>
    <mergeCell ref="L170:L171"/>
    <mergeCell ref="M170:M171"/>
    <mergeCell ref="E172:E175"/>
    <mergeCell ref="L172:L173"/>
    <mergeCell ref="M172:M173"/>
  </mergeCells>
  <conditionalFormatting sqref="A4:O79 S4:S79 A81:O145 S81:S145 A152:O168 S152:S168">
    <cfRule type="expression" dxfId="0" priority="1">
      <formula>$S4</formula>
    </cfRule>
  </conditionalFormatting>
  <conditionalFormatting sqref="Q149 Q172">
    <cfRule type="cellIs" dxfId="2" priority="2" operator="equal">
      <formula>"ERRORE"</formula>
    </cfRule>
  </conditionalFormatting>
  <conditionalFormatting sqref="Q149 Q172">
    <cfRule type="cellIs" dxfId="0" priority="3" operator="equal">
      <formula>"OK"</formula>
    </cfRule>
  </conditionalFormatting>
  <conditionalFormatting sqref="R4:R79 R81:R145 R152:R168">
    <cfRule type="expression" dxfId="1" priority="4">
      <formula>$R4</formula>
    </cfRule>
  </conditionalFormatting>
  <conditionalFormatting sqref="R4:R79 R81:R145 R152:R168">
    <cfRule type="expression" dxfId="2" priority="5">
      <formula>$M4="DIGIT - TESSERATO"</formula>
    </cfRule>
  </conditionalFormatting>
  <conditionalFormatting sqref="Q4:Q79 Q81:Q145 Q152:Q168">
    <cfRule type="expression" dxfId="3" priority="6">
      <formula>$Q4</formula>
    </cfRule>
  </conditionalFormatting>
  <conditionalFormatting sqref="Q4:Q79 Q81:Q145 Q152:Q168">
    <cfRule type="expression" dxfId="4" priority="7">
      <formula>$M4="CASH - TESSERATO"</formula>
    </cfRule>
  </conditionalFormatting>
  <conditionalFormatting sqref="Q4:Q79 Q81:Q145 Q152:Q168">
    <cfRule type="expression" dxfId="4" priority="8">
      <formula>$M4="CASH - NON TESSERATO"</formula>
    </cfRule>
  </conditionalFormatting>
  <conditionalFormatting sqref="R4:R79 R81:R145 R152:R168">
    <cfRule type="expression" dxfId="2" priority="9">
      <formula>$M4="DIGIT - NON TESSERATO"</formula>
    </cfRule>
  </conditionalFormatting>
  <conditionalFormatting sqref="P4:P79 P81:P145 P152:P168">
    <cfRule type="expression" dxfId="0" priority="10">
      <formula>ISBLANK($P4)=FALSE</formula>
    </cfRule>
  </conditionalFormatting>
  <conditionalFormatting sqref="A4:O79 A81:O145 A152:O168">
    <cfRule type="expression" dxfId="5" priority="11">
      <formula>$N4</formula>
    </cfRule>
  </conditionalFormatting>
  <dataValidations>
    <dataValidation type="list" allowBlank="1" showInputMessage="1" prompt="Fai clic e immetti un valore dall'elenco di elementi" sqref="M4:M79 M81:M145 M152:M168">
      <formula1>"CASH - TESSERATO,CASH - NON TESSERATO,DIGIT - TESSERATO,DIGIT - NON TESSERATO"</formula1>
    </dataValidation>
    <dataValidation type="custom" allowBlank="1" showDropDown="1" showInputMessage="1" showErrorMessage="1" prompt="&quot;Inserire un codice fiscale valido di 16 caratteri in maiuscolo, es. RSSMRA85M01H501U&quot;" sqref="G10 G43">
      <formula1>REGEXMATCH(TO_TEXT(G10), "^[A-Z]{6}[0-9]{2}[A-EHLMPRST]{1}[0-9]{2}[A-Z]{1}[0-9]{3}[A-Z]{1}$")</formula1>
    </dataValidation>
    <dataValidation type="list" allowBlank="1" showInputMessage="1" showErrorMessage="1" prompt="Fai clic e immetti un valore dall'intervallo" sqref="A4:A79 A81:A145 A152:A168">
      <formula1>elenchi!$M$2:$M$100</formula1>
    </dataValidation>
    <dataValidation type="custom" allowBlank="1" showDropDown="1" showInputMessage="1" showErrorMessage="1" prompt="Immetti un valore che soddisfi la formula: =REGEXMATCH(TO_TEXT(J3); &quot;^[^@\s]+@[^@\s]+\.[^@\s]+$&quot;)" sqref="H10 H43">
      <formula1>REGEXMATCH(TO_TEXT(H10), "^[^@\s]+@[^@\s]+\.[^@\s]+$")</formula1>
    </dataValidation>
    <dataValidation type="custom" allowBlank="1" showDropDown="1" showInputMessage="1" prompt="Immetti una data valida" sqref="C4:C79 I4:I79 C81:C123 I81:I123 C125:C145 I125:I145">
      <formula1>OR(NOT(ISERROR(DATEVALUE(C4))), AND(ISNUMBER(C4), LEFT(CELL("format", C4))="D"))</formula1>
    </dataValidation>
    <dataValidation type="list" allowBlank="1" showErrorMessage="1" sqref="L4:L79 L81:L145 L152:L168">
      <formula1>"NURA05NATALE,GIUDITTA05NATALE,ALEXANDRA05NATALE,ESTEFANY05NATALE,JOEL05NATALE,MASSI05NATALE,SANTO05NATALE,SARA05NATALE,GIULIA05NATALE"</formula1>
    </dataValidation>
    <dataValidation type="list" allowBlank="1" showErrorMessage="1" sqref="B4:B79 B81:B123 B125:B145">
      <formula1>"ONLINE,SEDE Estefany,SEDE Joel,SEDE Giuditta,SEDE Alexandra,SEDE Nura"</formula1>
    </dataValidation>
    <dataValidation type="list" allowBlank="1" sqref="P4:P79 P81:P145 P152:P168">
      <formula1>"INSERITO,CELL,EMAIL,COD FISCALE,INDIRIZZO"</formula1>
    </dataValidation>
    <dataValidation type="list" allowBlank="1" showErrorMessage="1" sqref="B124 B152:B168">
      <formula1>"ONLINE,SEDE Estefany,SEDE Giuditta,SEDE Alexandra,SEDE Nura,SEDE Vittorio,SEDE Joel"</formula1>
    </dataValidation>
    <dataValidation type="custom" allowBlank="1" showDropDown="1" showInputMessage="1" prompt="Immetti una data valida" sqref="C124 I124 C152:C168 I152:I168">
      <formula1>OR(NOT(ISERROR(DATEVALUE(C124))), AND(ISNUMBER(C124), LEFT(CELL("format", C124))="D"))</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1942</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1944</v>
      </c>
      <c r="R3" s="464" t="s">
        <v>1945</v>
      </c>
      <c r="S3" s="464"/>
      <c r="T3" s="464"/>
    </row>
    <row r="4" outlineLevel="1">
      <c r="A4" s="320"/>
      <c r="B4" s="320"/>
      <c r="C4" s="465"/>
      <c r="D4" s="320"/>
      <c r="E4" s="320"/>
      <c r="F4" s="320"/>
      <c r="G4" s="320"/>
      <c r="H4" s="320"/>
      <c r="I4" s="439"/>
      <c r="J4" s="365"/>
      <c r="K4" s="431"/>
      <c r="L4" s="317"/>
      <c r="M4" s="320"/>
      <c r="N4" s="118" t="b">
        <v>0</v>
      </c>
      <c r="O4" s="119"/>
      <c r="Q4" s="284"/>
      <c r="R4" s="285" t="b">
        <v>0</v>
      </c>
      <c r="S4" s="285" t="b">
        <v>0</v>
      </c>
      <c r="T4" s="286" t="b">
        <v>0</v>
      </c>
    </row>
    <row r="5" outlineLevel="1">
      <c r="A5" s="320"/>
      <c r="B5" s="320"/>
      <c r="C5" s="465"/>
      <c r="D5" s="320"/>
      <c r="E5" s="320"/>
      <c r="F5" s="320"/>
      <c r="G5" s="320"/>
      <c r="H5" s="320"/>
      <c r="I5" s="439"/>
      <c r="J5" s="365"/>
      <c r="K5" s="431"/>
      <c r="L5" s="317"/>
      <c r="M5" s="320"/>
      <c r="N5" s="118" t="b">
        <v>0</v>
      </c>
      <c r="O5" s="119"/>
      <c r="Q5" s="284"/>
      <c r="R5" s="285" t="b">
        <v>0</v>
      </c>
      <c r="S5" s="285" t="b">
        <v>0</v>
      </c>
      <c r="T5" s="286" t="b">
        <v>0</v>
      </c>
    </row>
    <row r="6" outlineLevel="1">
      <c r="A6" s="320"/>
      <c r="B6" s="320"/>
      <c r="C6" s="465"/>
      <c r="D6" s="320"/>
      <c r="E6" s="320"/>
      <c r="F6" s="320"/>
      <c r="G6" s="111"/>
      <c r="H6" s="320"/>
      <c r="I6" s="466"/>
      <c r="J6" s="365"/>
      <c r="K6" s="431"/>
      <c r="L6" s="317"/>
      <c r="M6" s="320"/>
      <c r="N6" s="118" t="b">
        <v>0</v>
      </c>
      <c r="O6" s="119"/>
      <c r="Q6" s="284"/>
      <c r="R6" s="285" t="b">
        <v>0</v>
      </c>
      <c r="S6" s="285" t="b">
        <v>0</v>
      </c>
      <c r="T6" s="286" t="b">
        <v>0</v>
      </c>
    </row>
    <row r="7" outlineLevel="1">
      <c r="A7" s="320"/>
      <c r="B7" s="320"/>
      <c r="C7" s="465"/>
      <c r="D7" s="320"/>
      <c r="E7" s="320"/>
      <c r="F7" s="320"/>
      <c r="G7" s="111"/>
      <c r="H7" s="320"/>
      <c r="I7" s="439"/>
      <c r="J7" s="365"/>
      <c r="K7" s="431"/>
      <c r="L7" s="317"/>
      <c r="M7" s="320"/>
      <c r="N7" s="118" t="b">
        <v>0</v>
      </c>
      <c r="O7" s="119"/>
      <c r="Q7" s="284"/>
      <c r="R7" s="285" t="b">
        <v>0</v>
      </c>
      <c r="S7" s="285" t="b">
        <v>0</v>
      </c>
      <c r="T7" s="286" t="b">
        <v>0</v>
      </c>
    </row>
    <row r="8" outlineLevel="1">
      <c r="A8" s="320"/>
      <c r="B8" s="320"/>
      <c r="C8" s="465"/>
      <c r="D8" s="320"/>
      <c r="E8" s="320"/>
      <c r="F8" s="320"/>
      <c r="G8" s="320"/>
      <c r="H8" s="320"/>
      <c r="I8" s="439"/>
      <c r="J8" s="365"/>
      <c r="K8" s="431"/>
      <c r="L8" s="317"/>
      <c r="M8" s="320"/>
      <c r="N8" s="118" t="b">
        <v>0</v>
      </c>
      <c r="O8" s="467"/>
      <c r="Q8" s="284"/>
      <c r="R8" s="285" t="b">
        <v>0</v>
      </c>
      <c r="S8" s="285" t="b">
        <v>0</v>
      </c>
      <c r="T8" s="286" t="b">
        <v>0</v>
      </c>
    </row>
    <row r="9" outlineLevel="1">
      <c r="A9" s="320"/>
      <c r="B9" s="320"/>
      <c r="C9" s="465"/>
      <c r="D9" s="320"/>
      <c r="E9" s="320"/>
      <c r="F9" s="320"/>
      <c r="G9" s="320"/>
      <c r="H9" s="320"/>
      <c r="I9" s="465"/>
      <c r="J9" s="365"/>
      <c r="K9" s="431"/>
      <c r="L9" s="317"/>
      <c r="M9" s="320"/>
      <c r="N9" s="118" t="b">
        <v>0</v>
      </c>
      <c r="O9" s="119"/>
      <c r="Q9" s="284"/>
      <c r="R9" s="285" t="b">
        <v>0</v>
      </c>
      <c r="S9" s="285" t="b">
        <v>0</v>
      </c>
      <c r="T9" s="286" t="b">
        <v>0</v>
      </c>
    </row>
    <row r="10" outlineLevel="1">
      <c r="A10" s="320"/>
      <c r="B10" s="320"/>
      <c r="C10" s="465"/>
      <c r="D10" s="320"/>
      <c r="E10" s="320"/>
      <c r="F10" s="320"/>
      <c r="G10" s="468"/>
      <c r="H10" s="320"/>
      <c r="I10" s="439"/>
      <c r="J10" s="365"/>
      <c r="K10" s="431"/>
      <c r="L10" s="317"/>
      <c r="M10" s="320"/>
      <c r="N10" s="118" t="b">
        <v>0</v>
      </c>
      <c r="O10" s="119"/>
      <c r="Q10" s="284"/>
      <c r="R10" s="285" t="b">
        <v>0</v>
      </c>
      <c r="S10" s="285" t="b">
        <v>0</v>
      </c>
      <c r="T10" s="286" t="b">
        <v>0</v>
      </c>
    </row>
    <row r="11" outlineLevel="1">
      <c r="A11" s="320"/>
      <c r="B11" s="320"/>
      <c r="C11" s="465"/>
      <c r="D11" s="320"/>
      <c r="E11" s="320"/>
      <c r="F11" s="320"/>
      <c r="G11" s="320"/>
      <c r="H11" s="320"/>
      <c r="I11" s="439"/>
      <c r="J11" s="365"/>
      <c r="K11" s="431"/>
      <c r="L11" s="317"/>
      <c r="M11" s="320"/>
      <c r="N11" s="118" t="b">
        <v>0</v>
      </c>
      <c r="O11" s="119"/>
      <c r="Q11" s="284"/>
      <c r="R11" s="285" t="b">
        <v>0</v>
      </c>
      <c r="S11" s="285" t="b">
        <v>0</v>
      </c>
      <c r="T11" s="286" t="b">
        <v>0</v>
      </c>
    </row>
    <row r="12" outlineLevel="1">
      <c r="A12" s="320"/>
      <c r="B12" s="320"/>
      <c r="C12" s="465"/>
      <c r="D12" s="320"/>
      <c r="E12" s="320"/>
      <c r="F12" s="320"/>
      <c r="G12" s="320"/>
      <c r="H12" s="320"/>
      <c r="I12" s="439"/>
      <c r="J12" s="365"/>
      <c r="K12" s="431"/>
      <c r="L12" s="317"/>
      <c r="M12" s="320"/>
      <c r="N12" s="118" t="b">
        <v>0</v>
      </c>
      <c r="O12" s="119"/>
      <c r="Q12" s="284"/>
      <c r="R12" s="285" t="b">
        <v>0</v>
      </c>
      <c r="S12" s="285" t="b">
        <v>0</v>
      </c>
      <c r="T12" s="286" t="b">
        <v>0</v>
      </c>
    </row>
    <row r="13" outlineLevel="1">
      <c r="A13" s="320"/>
      <c r="B13" s="320"/>
      <c r="C13" s="465"/>
      <c r="D13" s="320"/>
      <c r="E13" s="320"/>
      <c r="F13" s="445"/>
      <c r="G13" s="320"/>
      <c r="H13" s="320"/>
      <c r="I13" s="439"/>
      <c r="J13" s="365"/>
      <c r="K13" s="431"/>
      <c r="L13" s="317"/>
      <c r="M13" s="320"/>
      <c r="N13" s="118" t="b">
        <v>0</v>
      </c>
      <c r="O13" s="119"/>
      <c r="Q13" s="284"/>
      <c r="R13" s="285" t="b">
        <v>0</v>
      </c>
      <c r="S13" s="285" t="b">
        <v>0</v>
      </c>
      <c r="T13" s="286" t="b">
        <v>0</v>
      </c>
    </row>
    <row r="14" outlineLevel="1">
      <c r="A14" s="317"/>
      <c r="B14" s="317"/>
      <c r="C14" s="316"/>
      <c r="D14" s="116"/>
      <c r="E14" s="116"/>
      <c r="F14" s="317"/>
      <c r="G14" s="317"/>
      <c r="H14" s="317"/>
      <c r="I14" s="135"/>
      <c r="J14" s="365"/>
      <c r="K14" s="431"/>
      <c r="L14" s="317"/>
      <c r="M14" s="320"/>
      <c r="N14" s="118" t="b">
        <v>0</v>
      </c>
      <c r="O14" s="119"/>
      <c r="Q14" s="284"/>
      <c r="R14" s="285" t="b">
        <v>0</v>
      </c>
      <c r="S14" s="285" t="b">
        <v>0</v>
      </c>
      <c r="T14" s="286" t="b">
        <v>0</v>
      </c>
    </row>
    <row r="15" outlineLevel="1">
      <c r="A15" s="317"/>
      <c r="B15" s="317"/>
      <c r="C15" s="316"/>
      <c r="D15" s="317"/>
      <c r="E15" s="317"/>
      <c r="F15" s="317"/>
      <c r="G15" s="317"/>
      <c r="H15" s="317"/>
      <c r="I15" s="443"/>
      <c r="J15" s="365"/>
      <c r="K15" s="431"/>
      <c r="L15" s="317"/>
      <c r="M15" s="320"/>
      <c r="N15" s="118" t="b">
        <v>0</v>
      </c>
      <c r="O15" s="119"/>
      <c r="Q15" s="284"/>
      <c r="R15" s="285" t="b">
        <v>0</v>
      </c>
      <c r="S15" s="285" t="b">
        <v>0</v>
      </c>
      <c r="T15" s="286" t="b">
        <v>0</v>
      </c>
    </row>
    <row r="16" outlineLevel="1">
      <c r="A16" s="320"/>
      <c r="B16" s="320"/>
      <c r="C16" s="316"/>
      <c r="D16" s="320"/>
      <c r="E16" s="320"/>
      <c r="F16" s="320"/>
      <c r="G16" s="320"/>
      <c r="H16" s="320"/>
      <c r="I16" s="443"/>
      <c r="J16" s="365"/>
      <c r="K16" s="431"/>
      <c r="L16" s="317"/>
      <c r="M16" s="320"/>
      <c r="N16" s="118" t="b">
        <v>0</v>
      </c>
      <c r="O16" s="119"/>
      <c r="Q16" s="284"/>
      <c r="R16" s="285" t="b">
        <v>0</v>
      </c>
      <c r="S16" s="285" t="b">
        <v>0</v>
      </c>
      <c r="T16" s="286" t="b">
        <v>0</v>
      </c>
    </row>
    <row r="17" outlineLevel="1">
      <c r="A17" s="320"/>
      <c r="B17" s="320"/>
      <c r="C17" s="316"/>
      <c r="D17" s="320"/>
      <c r="E17" s="320"/>
      <c r="F17" s="320"/>
      <c r="G17" s="320"/>
      <c r="H17" s="320"/>
      <c r="I17" s="443"/>
      <c r="J17" s="365"/>
      <c r="K17" s="431"/>
      <c r="L17" s="317"/>
      <c r="M17" s="320"/>
      <c r="N17" s="118" t="b">
        <v>0</v>
      </c>
      <c r="O17" s="119"/>
      <c r="Q17" s="284"/>
      <c r="R17" s="285" t="b">
        <v>0</v>
      </c>
      <c r="S17" s="285" t="b">
        <v>0</v>
      </c>
      <c r="T17" s="286" t="b">
        <v>0</v>
      </c>
    </row>
    <row r="18" outlineLevel="1">
      <c r="A18" s="317"/>
      <c r="B18" s="317"/>
      <c r="C18" s="316"/>
      <c r="D18" s="317"/>
      <c r="E18" s="317"/>
      <c r="F18" s="317"/>
      <c r="G18" s="317"/>
      <c r="H18" s="317"/>
      <c r="I18" s="135"/>
      <c r="J18" s="365"/>
      <c r="K18" s="431"/>
      <c r="L18" s="317"/>
      <c r="M18" s="320"/>
      <c r="N18" s="118" t="b">
        <v>0</v>
      </c>
      <c r="O18" s="119"/>
      <c r="Q18" s="284"/>
      <c r="R18" s="285" t="b">
        <v>0</v>
      </c>
      <c r="S18" s="285" t="b">
        <v>0</v>
      </c>
      <c r="T18" s="286" t="b">
        <v>0</v>
      </c>
    </row>
    <row r="19" outlineLevel="1">
      <c r="A19" s="317"/>
      <c r="B19" s="317"/>
      <c r="C19" s="316"/>
      <c r="D19" s="317"/>
      <c r="E19" s="317"/>
      <c r="F19" s="317"/>
      <c r="G19" s="317"/>
      <c r="H19" s="317"/>
      <c r="I19" s="443"/>
      <c r="J19" s="365"/>
      <c r="K19" s="431"/>
      <c r="L19" s="317"/>
      <c r="M19" s="320"/>
      <c r="N19" s="118" t="b">
        <v>0</v>
      </c>
      <c r="O19" s="119"/>
      <c r="Q19" s="284"/>
      <c r="R19" s="285" t="b">
        <v>0</v>
      </c>
      <c r="S19" s="285" t="b">
        <v>0</v>
      </c>
      <c r="T19" s="286" t="b">
        <v>0</v>
      </c>
    </row>
    <row r="20" outlineLevel="1">
      <c r="A20" s="317"/>
      <c r="B20" s="317"/>
      <c r="C20" s="316"/>
      <c r="D20" s="317"/>
      <c r="E20" s="317"/>
      <c r="F20" s="317"/>
      <c r="G20" s="317"/>
      <c r="H20" s="317"/>
      <c r="I20" s="443"/>
      <c r="J20" s="365"/>
      <c r="K20" s="431"/>
      <c r="L20" s="317"/>
      <c r="M20" s="317"/>
      <c r="N20" s="118" t="b">
        <v>0</v>
      </c>
      <c r="O20" s="119"/>
      <c r="Q20" s="284"/>
      <c r="R20" s="285" t="b">
        <v>0</v>
      </c>
      <c r="S20" s="285" t="b">
        <v>0</v>
      </c>
      <c r="T20" s="286" t="b">
        <v>0</v>
      </c>
    </row>
    <row r="21" outlineLevel="1">
      <c r="A21" s="317"/>
      <c r="B21" s="317"/>
      <c r="C21" s="316"/>
      <c r="D21" s="317"/>
      <c r="E21" s="317"/>
      <c r="F21" s="317"/>
      <c r="G21" s="317"/>
      <c r="H21" s="317"/>
      <c r="I21" s="135"/>
      <c r="J21" s="365"/>
      <c r="K21" s="431"/>
      <c r="L21" s="317"/>
      <c r="M21" s="320"/>
      <c r="N21" s="118" t="b">
        <v>0</v>
      </c>
      <c r="O21" s="119"/>
      <c r="Q21" s="284"/>
      <c r="R21" s="285" t="b">
        <v>0</v>
      </c>
      <c r="S21" s="285" t="b">
        <v>0</v>
      </c>
      <c r="T21" s="286" t="b">
        <v>0</v>
      </c>
    </row>
    <row r="22" outlineLevel="1">
      <c r="A22" s="320"/>
      <c r="B22" s="320"/>
      <c r="C22" s="316"/>
      <c r="D22" s="320"/>
      <c r="E22" s="320"/>
      <c r="F22" s="320"/>
      <c r="G22" s="416"/>
      <c r="H22" s="416"/>
      <c r="I22" s="439"/>
      <c r="J22" s="365"/>
      <c r="K22" s="431"/>
      <c r="L22" s="317"/>
      <c r="M22" s="320"/>
      <c r="N22" s="118" t="b">
        <v>0</v>
      </c>
      <c r="O22" s="119"/>
      <c r="Q22" s="284"/>
      <c r="R22" s="285" t="b">
        <v>0</v>
      </c>
      <c r="S22" s="285" t="b">
        <v>0</v>
      </c>
      <c r="T22" s="286" t="b">
        <v>0</v>
      </c>
    </row>
    <row r="23" outlineLevel="1">
      <c r="A23" s="317"/>
      <c r="B23" s="317"/>
      <c r="C23" s="316"/>
      <c r="D23" s="317"/>
      <c r="E23" s="317"/>
      <c r="F23" s="317"/>
      <c r="G23" s="317"/>
      <c r="H23" s="317"/>
      <c r="I23" s="443"/>
      <c r="J23" s="365"/>
      <c r="K23" s="431"/>
      <c r="L23" s="317"/>
      <c r="M23" s="320"/>
      <c r="N23" s="118" t="b">
        <v>0</v>
      </c>
      <c r="O23" s="119"/>
      <c r="Q23" s="284"/>
      <c r="R23" s="285" t="b">
        <v>0</v>
      </c>
      <c r="S23" s="285" t="b">
        <v>0</v>
      </c>
      <c r="T23" s="286" t="b">
        <v>0</v>
      </c>
    </row>
    <row r="24" outlineLevel="1">
      <c r="A24" s="317"/>
      <c r="B24" s="317"/>
      <c r="C24" s="316"/>
      <c r="D24" s="317"/>
      <c r="E24" s="317"/>
      <c r="F24" s="317"/>
      <c r="G24" s="317"/>
      <c r="H24" s="317"/>
      <c r="I24" s="318"/>
      <c r="J24" s="365"/>
      <c r="K24" s="431"/>
      <c r="L24" s="317"/>
      <c r="M24" s="320"/>
      <c r="N24" s="118" t="b">
        <v>0</v>
      </c>
      <c r="O24" s="119"/>
      <c r="Q24" s="284"/>
      <c r="R24" s="285" t="b">
        <v>0</v>
      </c>
      <c r="S24" s="285" t="b">
        <v>0</v>
      </c>
      <c r="T24" s="286" t="b">
        <v>0</v>
      </c>
    </row>
    <row r="25" outlineLevel="1">
      <c r="A25" s="317"/>
      <c r="B25" s="317"/>
      <c r="C25" s="316"/>
      <c r="D25" s="317"/>
      <c r="E25" s="317"/>
      <c r="F25" s="317"/>
      <c r="G25" s="317"/>
      <c r="H25" s="317"/>
      <c r="I25" s="318"/>
      <c r="J25" s="365"/>
      <c r="K25" s="431"/>
      <c r="L25" s="317"/>
      <c r="M25" s="320"/>
      <c r="N25" s="118" t="b">
        <v>0</v>
      </c>
      <c r="O25" s="119"/>
      <c r="Q25" s="284"/>
      <c r="R25" s="285" t="b">
        <v>0</v>
      </c>
      <c r="S25" s="285" t="b">
        <v>0</v>
      </c>
      <c r="T25" s="286" t="b">
        <v>0</v>
      </c>
    </row>
    <row r="26" outlineLevel="1">
      <c r="A26" s="317"/>
      <c r="B26" s="317"/>
      <c r="C26" s="316"/>
      <c r="D26" s="317"/>
      <c r="E26" s="317"/>
      <c r="F26" s="317"/>
      <c r="G26" s="317"/>
      <c r="H26" s="317"/>
      <c r="I26" s="318"/>
      <c r="J26" s="365"/>
      <c r="K26" s="431"/>
      <c r="L26" s="317"/>
      <c r="M26" s="320"/>
      <c r="N26" s="118" t="b">
        <v>0</v>
      </c>
      <c r="O26" s="119"/>
      <c r="Q26" s="284"/>
      <c r="R26" s="285" t="b">
        <v>0</v>
      </c>
      <c r="S26" s="285" t="b">
        <v>0</v>
      </c>
      <c r="T26" s="286" t="b">
        <v>0</v>
      </c>
    </row>
    <row r="27" outlineLevel="1">
      <c r="A27" s="317"/>
      <c r="B27" s="317"/>
      <c r="C27" s="316"/>
      <c r="D27" s="317"/>
      <c r="E27" s="317"/>
      <c r="F27" s="317"/>
      <c r="G27" s="317"/>
      <c r="H27" s="317"/>
      <c r="I27" s="318"/>
      <c r="J27" s="365"/>
      <c r="K27" s="436"/>
      <c r="L27" s="317"/>
      <c r="M27" s="320"/>
      <c r="N27" s="118" t="b">
        <v>0</v>
      </c>
      <c r="O27" s="119"/>
      <c r="Q27" s="284"/>
      <c r="R27" s="285" t="b">
        <v>0</v>
      </c>
      <c r="S27" s="285" t="b">
        <v>0</v>
      </c>
      <c r="T27" s="286" t="b">
        <v>0</v>
      </c>
    </row>
    <row r="28" outlineLevel="1">
      <c r="A28" s="317"/>
      <c r="B28" s="317"/>
      <c r="C28" s="316"/>
      <c r="D28" s="317"/>
      <c r="E28" s="317"/>
      <c r="F28" s="317"/>
      <c r="G28" s="469"/>
      <c r="H28" s="469"/>
      <c r="I28" s="318"/>
      <c r="J28" s="365"/>
      <c r="K28" s="436"/>
      <c r="L28" s="432"/>
      <c r="M28" s="320"/>
      <c r="N28" s="118" t="b">
        <v>0</v>
      </c>
      <c r="O28" s="119"/>
      <c r="Q28" s="284"/>
      <c r="R28" s="285" t="b">
        <v>0</v>
      </c>
      <c r="S28" s="285" t="b">
        <v>0</v>
      </c>
      <c r="T28" s="286" t="b">
        <v>0</v>
      </c>
    </row>
    <row r="29" outlineLevel="1">
      <c r="A29" s="317"/>
      <c r="B29" s="317"/>
      <c r="C29" s="316"/>
      <c r="D29" s="317"/>
      <c r="E29" s="317"/>
      <c r="F29" s="317"/>
      <c r="G29" s="317"/>
      <c r="H29" s="317"/>
      <c r="I29" s="318"/>
      <c r="J29" s="365"/>
      <c r="K29" s="431"/>
      <c r="L29" s="317"/>
      <c r="M29" s="320"/>
      <c r="N29" s="118" t="b">
        <v>0</v>
      </c>
      <c r="O29" s="119"/>
      <c r="Q29" s="284"/>
      <c r="R29" s="285" t="b">
        <v>0</v>
      </c>
      <c r="S29" s="285" t="b">
        <v>0</v>
      </c>
      <c r="T29" s="286" t="b">
        <v>0</v>
      </c>
    </row>
    <row r="30" outlineLevel="1">
      <c r="A30" s="317"/>
      <c r="B30" s="317"/>
      <c r="C30" s="316"/>
      <c r="D30" s="317"/>
      <c r="E30" s="317"/>
      <c r="F30" s="317"/>
      <c r="G30" s="317"/>
      <c r="H30" s="317"/>
      <c r="I30" s="318"/>
      <c r="J30" s="365"/>
      <c r="K30" s="431"/>
      <c r="L30" s="317"/>
      <c r="M30" s="320"/>
      <c r="N30" s="118" t="b">
        <v>0</v>
      </c>
      <c r="O30" s="119"/>
      <c r="Q30" s="284"/>
      <c r="R30" s="285" t="b">
        <v>0</v>
      </c>
      <c r="S30" s="285" t="b">
        <v>0</v>
      </c>
      <c r="T30" s="286" t="b">
        <v>0</v>
      </c>
    </row>
    <row r="31" outlineLevel="1">
      <c r="A31" s="320"/>
      <c r="B31" s="320"/>
      <c r="C31" s="465"/>
      <c r="D31" s="320"/>
      <c r="E31" s="320"/>
      <c r="F31" s="320"/>
      <c r="G31" s="111"/>
      <c r="H31" s="320"/>
      <c r="I31" s="439"/>
      <c r="J31" s="365"/>
      <c r="K31" s="431"/>
      <c r="L31" s="317"/>
      <c r="M31" s="320"/>
      <c r="N31" s="118" t="b">
        <v>0</v>
      </c>
      <c r="O31" s="119"/>
      <c r="Q31" s="284"/>
      <c r="R31" s="285" t="b">
        <v>0</v>
      </c>
      <c r="S31" s="285" t="b">
        <v>0</v>
      </c>
      <c r="T31" s="286" t="b">
        <v>0</v>
      </c>
    </row>
    <row r="32" outlineLevel="1">
      <c r="A32" s="317"/>
      <c r="B32" s="317"/>
      <c r="C32" s="316"/>
      <c r="D32" s="317"/>
      <c r="E32" s="317"/>
      <c r="F32" s="317"/>
      <c r="G32" s="317"/>
      <c r="H32" s="317"/>
      <c r="I32" s="318"/>
      <c r="J32" s="365"/>
      <c r="K32" s="431"/>
      <c r="L32" s="317"/>
      <c r="M32" s="320"/>
      <c r="N32" s="118" t="b">
        <v>0</v>
      </c>
      <c r="O32" s="119"/>
      <c r="Q32" s="284"/>
      <c r="R32" s="285" t="b">
        <v>0</v>
      </c>
      <c r="S32" s="285" t="b">
        <v>0</v>
      </c>
      <c r="T32" s="286" t="b">
        <v>0</v>
      </c>
    </row>
    <row r="33" outlineLevel="1">
      <c r="A33" s="317"/>
      <c r="B33" s="317"/>
      <c r="C33" s="316"/>
      <c r="D33" s="317"/>
      <c r="E33" s="317"/>
      <c r="F33" s="317"/>
      <c r="G33" s="317"/>
      <c r="H33" s="317"/>
      <c r="I33" s="318"/>
      <c r="J33" s="365"/>
      <c r="K33" s="431"/>
      <c r="L33" s="317"/>
      <c r="M33" s="320"/>
      <c r="N33" s="118" t="b">
        <v>0</v>
      </c>
      <c r="O33" s="119"/>
      <c r="Q33" s="284"/>
      <c r="R33" s="285" t="b">
        <v>0</v>
      </c>
      <c r="S33" s="285" t="b">
        <v>0</v>
      </c>
      <c r="T33" s="286" t="b">
        <v>0</v>
      </c>
    </row>
    <row r="34" outlineLevel="1">
      <c r="A34" s="317"/>
      <c r="B34" s="317"/>
      <c r="C34" s="316"/>
      <c r="D34" s="317"/>
      <c r="E34" s="317"/>
      <c r="F34" s="317"/>
      <c r="G34" s="317"/>
      <c r="H34" s="317"/>
      <c r="I34" s="443"/>
      <c r="J34" s="365"/>
      <c r="K34" s="431"/>
      <c r="L34" s="317"/>
      <c r="M34" s="320"/>
      <c r="N34" s="118" t="b">
        <v>0</v>
      </c>
      <c r="O34" s="119"/>
      <c r="Q34" s="284"/>
      <c r="R34" s="285" t="b">
        <v>0</v>
      </c>
      <c r="S34" s="285" t="b">
        <v>0</v>
      </c>
      <c r="T34" s="286" t="b">
        <v>0</v>
      </c>
    </row>
    <row r="35" outlineLevel="1">
      <c r="A35" s="317"/>
      <c r="B35" s="317"/>
      <c r="C35" s="316"/>
      <c r="D35" s="317"/>
      <c r="E35" s="317"/>
      <c r="F35" s="317"/>
      <c r="G35" s="317"/>
      <c r="H35" s="317"/>
      <c r="I35" s="443"/>
      <c r="J35" s="365"/>
      <c r="K35" s="431"/>
      <c r="L35" s="317"/>
      <c r="M35" s="320"/>
      <c r="N35" s="118" t="b">
        <v>0</v>
      </c>
      <c r="O35" s="119"/>
      <c r="Q35" s="284"/>
      <c r="R35" s="285" t="b">
        <v>0</v>
      </c>
      <c r="S35" s="285" t="b">
        <v>0</v>
      </c>
      <c r="T35" s="286" t="b">
        <v>0</v>
      </c>
    </row>
    <row r="36" outlineLevel="1">
      <c r="A36" s="317"/>
      <c r="B36" s="317"/>
      <c r="C36" s="316"/>
      <c r="D36" s="317"/>
      <c r="E36" s="317"/>
      <c r="F36" s="317"/>
      <c r="G36" s="317"/>
      <c r="H36" s="317"/>
      <c r="I36" s="443"/>
      <c r="J36" s="365"/>
      <c r="K36" s="431"/>
      <c r="L36" s="317"/>
      <c r="M36" s="320"/>
      <c r="N36" s="118" t="b">
        <v>0</v>
      </c>
      <c r="O36" s="119"/>
      <c r="Q36" s="284"/>
      <c r="R36" s="285" t="b">
        <v>0</v>
      </c>
      <c r="S36" s="285" t="b">
        <v>0</v>
      </c>
      <c r="T36" s="286" t="b">
        <v>0</v>
      </c>
    </row>
    <row r="37" outlineLevel="1">
      <c r="A37" s="317"/>
      <c r="B37" s="317"/>
      <c r="C37" s="316"/>
      <c r="D37" s="317"/>
      <c r="E37" s="317"/>
      <c r="F37" s="317"/>
      <c r="G37" s="317"/>
      <c r="H37" s="317"/>
      <c r="I37" s="443"/>
      <c r="J37" s="365"/>
      <c r="K37" s="431"/>
      <c r="L37" s="317"/>
      <c r="M37" s="320"/>
      <c r="N37" s="118" t="b">
        <v>0</v>
      </c>
      <c r="O37" s="119"/>
      <c r="Q37" s="284"/>
      <c r="R37" s="285" t="b">
        <v>0</v>
      </c>
      <c r="S37" s="285" t="b">
        <v>0</v>
      </c>
      <c r="T37" s="286" t="b">
        <v>0</v>
      </c>
    </row>
    <row r="38" outlineLevel="1">
      <c r="A38" s="317"/>
      <c r="B38" s="317"/>
      <c r="C38" s="316"/>
      <c r="D38" s="317"/>
      <c r="E38" s="317"/>
      <c r="F38" s="317"/>
      <c r="G38" s="317"/>
      <c r="H38" s="317"/>
      <c r="I38" s="443"/>
      <c r="J38" s="365"/>
      <c r="K38" s="431"/>
      <c r="L38" s="317"/>
      <c r="M38" s="320"/>
      <c r="N38" s="118" t="b">
        <v>0</v>
      </c>
      <c r="O38" s="119"/>
      <c r="Q38" s="284"/>
      <c r="R38" s="285" t="b">
        <v>0</v>
      </c>
      <c r="S38" s="285" t="b">
        <v>0</v>
      </c>
      <c r="T38" s="286" t="b">
        <v>0</v>
      </c>
    </row>
    <row r="39" outlineLevel="1">
      <c r="A39" s="317"/>
      <c r="B39" s="317"/>
      <c r="C39" s="316"/>
      <c r="D39" s="317"/>
      <c r="E39" s="317"/>
      <c r="F39" s="317"/>
      <c r="G39" s="317"/>
      <c r="H39" s="317"/>
      <c r="I39" s="318"/>
      <c r="J39" s="365"/>
      <c r="K39" s="431"/>
      <c r="L39" s="317"/>
      <c r="M39" s="320"/>
      <c r="N39" s="118" t="b">
        <v>0</v>
      </c>
      <c r="O39" s="119"/>
      <c r="Q39" s="284"/>
      <c r="R39" s="285" t="b">
        <v>0</v>
      </c>
      <c r="S39" s="285" t="b">
        <v>0</v>
      </c>
      <c r="T39" s="286" t="b">
        <v>0</v>
      </c>
    </row>
    <row r="40" outlineLevel="1">
      <c r="A40" s="317"/>
      <c r="B40" s="317"/>
      <c r="C40" s="316"/>
      <c r="D40" s="317"/>
      <c r="E40" s="317"/>
      <c r="F40" s="317"/>
      <c r="G40" s="317"/>
      <c r="H40" s="317"/>
      <c r="I40" s="318"/>
      <c r="J40" s="365"/>
      <c r="K40" s="431"/>
      <c r="L40" s="317"/>
      <c r="M40" s="320"/>
      <c r="N40" s="118" t="b">
        <v>0</v>
      </c>
      <c r="O40" s="119"/>
      <c r="Q40" s="284"/>
      <c r="R40" s="285" t="b">
        <v>0</v>
      </c>
      <c r="S40" s="285" t="b">
        <v>0</v>
      </c>
      <c r="T40" s="286" t="b">
        <v>0</v>
      </c>
    </row>
    <row r="41" outlineLevel="1">
      <c r="A41" s="317"/>
      <c r="B41" s="317"/>
      <c r="C41" s="316"/>
      <c r="D41" s="317"/>
      <c r="E41" s="317"/>
      <c r="F41" s="317"/>
      <c r="G41" s="317"/>
      <c r="H41" s="317"/>
      <c r="I41" s="318"/>
      <c r="J41" s="365"/>
      <c r="K41" s="431"/>
      <c r="L41" s="317"/>
      <c r="M41" s="317"/>
      <c r="N41" s="118" t="b">
        <v>0</v>
      </c>
      <c r="O41" s="119"/>
      <c r="Q41" s="284"/>
      <c r="R41" s="285" t="b">
        <v>0</v>
      </c>
      <c r="S41" s="285" t="b">
        <v>0</v>
      </c>
      <c r="T41" s="286" t="b">
        <v>0</v>
      </c>
    </row>
    <row r="42" outlineLevel="1">
      <c r="A42" s="317"/>
      <c r="B42" s="317"/>
      <c r="C42" s="316"/>
      <c r="D42" s="320"/>
      <c r="E42" s="317"/>
      <c r="F42" s="317"/>
      <c r="G42" s="317"/>
      <c r="H42" s="317"/>
      <c r="I42" s="318"/>
      <c r="J42" s="365"/>
      <c r="K42" s="431"/>
      <c r="L42" s="317"/>
      <c r="M42" s="317"/>
      <c r="N42" s="118" t="b">
        <v>0</v>
      </c>
      <c r="O42" s="119"/>
      <c r="Q42" s="284"/>
      <c r="R42" s="285" t="b">
        <v>0</v>
      </c>
      <c r="S42" s="285" t="b">
        <v>0</v>
      </c>
      <c r="T42" s="286" t="b">
        <v>0</v>
      </c>
    </row>
    <row r="43" outlineLevel="1">
      <c r="A43" s="317"/>
      <c r="B43" s="317"/>
      <c r="C43" s="316"/>
      <c r="D43" s="320"/>
      <c r="E43" s="317"/>
      <c r="F43" s="317"/>
      <c r="G43" s="317"/>
      <c r="H43" s="317"/>
      <c r="I43" s="318"/>
      <c r="J43" s="365"/>
      <c r="K43" s="431"/>
      <c r="L43" s="317"/>
      <c r="M43" s="320"/>
      <c r="N43" s="118" t="b">
        <v>0</v>
      </c>
      <c r="O43" s="119"/>
      <c r="Q43" s="284"/>
      <c r="R43" s="285" t="b">
        <v>0</v>
      </c>
      <c r="S43" s="285" t="b">
        <v>0</v>
      </c>
      <c r="T43" s="286" t="b">
        <v>0</v>
      </c>
    </row>
    <row r="44" outlineLevel="1">
      <c r="A44" s="432"/>
      <c r="B44" s="432"/>
      <c r="C44" s="317"/>
      <c r="D44" s="317"/>
      <c r="E44" s="432"/>
      <c r="F44" s="432"/>
      <c r="G44" s="470"/>
      <c r="H44" s="432"/>
      <c r="I44" s="441"/>
      <c r="J44" s="365"/>
      <c r="K44" s="431"/>
      <c r="L44" s="432"/>
      <c r="M44" s="432"/>
      <c r="N44" s="118" t="b">
        <v>0</v>
      </c>
      <c r="O44" s="119"/>
      <c r="Q44" s="284"/>
      <c r="R44" s="285" t="b">
        <v>0</v>
      </c>
      <c r="S44" s="285" t="b">
        <v>0</v>
      </c>
      <c r="T44" s="286" t="b">
        <v>0</v>
      </c>
    </row>
    <row r="45" outlineLevel="1">
      <c r="A45" s="317"/>
      <c r="B45" s="317"/>
      <c r="C45" s="316"/>
      <c r="D45" s="317"/>
      <c r="E45" s="317"/>
      <c r="F45" s="317"/>
      <c r="G45" s="317"/>
      <c r="H45" s="317"/>
      <c r="I45" s="318"/>
      <c r="J45" s="365"/>
      <c r="K45" s="431"/>
      <c r="L45" s="317"/>
      <c r="M45" s="320"/>
      <c r="N45" s="118" t="b">
        <v>0</v>
      </c>
      <c r="O45" s="119"/>
      <c r="Q45" s="284"/>
      <c r="R45" s="285" t="b">
        <v>0</v>
      </c>
      <c r="S45" s="285" t="b">
        <v>0</v>
      </c>
      <c r="T45" s="286" t="b">
        <v>0</v>
      </c>
    </row>
    <row r="46" outlineLevel="1">
      <c r="A46" s="317"/>
      <c r="B46" s="317"/>
      <c r="C46" s="316"/>
      <c r="D46" s="317"/>
      <c r="E46" s="317"/>
      <c r="F46" s="317"/>
      <c r="G46" s="471"/>
      <c r="H46" s="317"/>
      <c r="I46" s="443"/>
      <c r="J46" s="368"/>
      <c r="K46" s="431"/>
      <c r="L46" s="317"/>
      <c r="M46" s="317"/>
      <c r="N46" s="118" t="b">
        <v>0</v>
      </c>
      <c r="O46" s="119"/>
      <c r="Q46" s="284"/>
      <c r="R46" s="285" t="b">
        <v>0</v>
      </c>
      <c r="S46" s="285" t="b">
        <v>0</v>
      </c>
      <c r="T46" s="286" t="b">
        <v>0</v>
      </c>
    </row>
    <row r="47" outlineLevel="1">
      <c r="A47" s="317"/>
      <c r="B47" s="317"/>
      <c r="C47" s="316"/>
      <c r="D47" s="317"/>
      <c r="E47" s="317"/>
      <c r="F47" s="317"/>
      <c r="G47" s="317"/>
      <c r="H47" s="317"/>
      <c r="I47" s="443"/>
      <c r="J47" s="368"/>
      <c r="K47" s="431"/>
      <c r="L47" s="317"/>
      <c r="M47" s="317"/>
      <c r="N47" s="118" t="b">
        <v>0</v>
      </c>
      <c r="O47" s="119"/>
      <c r="Q47" s="284"/>
      <c r="R47" s="285" t="b">
        <v>0</v>
      </c>
      <c r="S47" s="285" t="b">
        <v>0</v>
      </c>
      <c r="T47" s="286" t="b">
        <v>0</v>
      </c>
    </row>
    <row r="48" outlineLevel="1">
      <c r="A48" s="317"/>
      <c r="B48" s="317"/>
      <c r="C48" s="316"/>
      <c r="D48" s="317"/>
      <c r="E48" s="317"/>
      <c r="F48" s="317"/>
      <c r="G48" s="317"/>
      <c r="H48" s="317"/>
      <c r="I48" s="443"/>
      <c r="J48" s="365"/>
      <c r="K48" s="431"/>
      <c r="L48" s="317"/>
      <c r="M48" s="317"/>
      <c r="N48" s="118" t="b">
        <v>0</v>
      </c>
      <c r="O48" s="119"/>
      <c r="Q48" s="284"/>
      <c r="R48" s="285" t="b">
        <v>0</v>
      </c>
      <c r="S48" s="285" t="b">
        <v>0</v>
      </c>
      <c r="T48" s="286" t="b">
        <v>0</v>
      </c>
    </row>
    <row r="49" outlineLevel="1">
      <c r="A49" s="317"/>
      <c r="B49" s="317"/>
      <c r="C49" s="316"/>
      <c r="D49" s="317"/>
      <c r="E49" s="317"/>
      <c r="F49" s="317"/>
      <c r="G49" s="317"/>
      <c r="H49" s="317"/>
      <c r="I49" s="443"/>
      <c r="J49" s="368"/>
      <c r="K49" s="431"/>
      <c r="L49" s="317"/>
      <c r="M49" s="317"/>
      <c r="N49" s="118" t="b">
        <v>0</v>
      </c>
      <c r="O49" s="119"/>
      <c r="Q49" s="284"/>
      <c r="R49" s="285" t="b">
        <v>0</v>
      </c>
      <c r="S49" s="285" t="b">
        <v>0</v>
      </c>
      <c r="T49" s="286" t="b">
        <v>0</v>
      </c>
    </row>
    <row r="50" outlineLevel="1">
      <c r="A50" s="317"/>
      <c r="B50" s="317"/>
      <c r="C50" s="472"/>
      <c r="D50" s="317"/>
      <c r="E50" s="317"/>
      <c r="F50" s="317"/>
      <c r="G50" s="317"/>
      <c r="H50" s="317"/>
      <c r="I50" s="439"/>
      <c r="J50" s="365"/>
      <c r="K50" s="431"/>
      <c r="L50" s="317"/>
      <c r="M50" s="320"/>
      <c r="N50" s="118" t="b">
        <v>0</v>
      </c>
      <c r="O50" s="119"/>
      <c r="Q50" s="284"/>
      <c r="R50" s="285" t="b">
        <v>0</v>
      </c>
      <c r="S50" s="285" t="b">
        <v>0</v>
      </c>
      <c r="T50" s="286" t="b">
        <v>0</v>
      </c>
    </row>
    <row r="51" outlineLevel="1">
      <c r="A51" s="317"/>
      <c r="B51" s="317"/>
      <c r="C51" s="472"/>
      <c r="D51" s="317"/>
      <c r="E51" s="317"/>
      <c r="F51" s="317"/>
      <c r="G51" s="317"/>
      <c r="H51" s="317"/>
      <c r="I51" s="439"/>
      <c r="J51" s="365"/>
      <c r="K51" s="431"/>
      <c r="L51" s="317"/>
      <c r="M51" s="320"/>
      <c r="N51" s="118" t="b">
        <v>0</v>
      </c>
      <c r="O51" s="119"/>
      <c r="Q51" s="284"/>
      <c r="R51" s="285" t="b">
        <v>0</v>
      </c>
      <c r="S51" s="285" t="b">
        <v>0</v>
      </c>
      <c r="T51" s="286" t="b">
        <v>0</v>
      </c>
    </row>
    <row r="52" outlineLevel="1">
      <c r="A52" s="317"/>
      <c r="B52" s="317"/>
      <c r="C52" s="472"/>
      <c r="D52" s="317"/>
      <c r="E52" s="317"/>
      <c r="F52" s="317"/>
      <c r="G52" s="317"/>
      <c r="H52" s="317"/>
      <c r="I52" s="439"/>
      <c r="J52" s="365"/>
      <c r="K52" s="431"/>
      <c r="L52" s="317"/>
      <c r="M52" s="320"/>
      <c r="N52" s="118" t="b">
        <v>0</v>
      </c>
      <c r="O52" s="119"/>
      <c r="Q52" s="284"/>
      <c r="R52" s="285" t="b">
        <v>0</v>
      </c>
      <c r="S52" s="285" t="b">
        <v>0</v>
      </c>
      <c r="T52" s="286" t="b">
        <v>0</v>
      </c>
    </row>
    <row r="53" outlineLevel="1">
      <c r="A53" s="317"/>
      <c r="B53" s="317"/>
      <c r="C53" s="473"/>
      <c r="D53" s="320"/>
      <c r="E53" s="320"/>
      <c r="F53" s="320"/>
      <c r="G53" s="320"/>
      <c r="H53" s="320"/>
      <c r="I53" s="439"/>
      <c r="J53" s="365"/>
      <c r="K53" s="431"/>
      <c r="L53" s="317"/>
      <c r="M53" s="320"/>
      <c r="N53" s="118" t="b">
        <v>0</v>
      </c>
      <c r="O53" s="119"/>
      <c r="Q53" s="284"/>
      <c r="R53" s="285" t="b">
        <v>0</v>
      </c>
      <c r="S53" s="285" t="b">
        <v>0</v>
      </c>
      <c r="T53" s="286" t="b">
        <v>0</v>
      </c>
    </row>
    <row r="54" outlineLevel="1">
      <c r="A54" s="432"/>
      <c r="B54" s="432"/>
      <c r="C54" s="474"/>
      <c r="D54" s="131"/>
      <c r="E54" s="432"/>
      <c r="F54" s="432"/>
      <c r="G54" s="432"/>
      <c r="H54" s="432"/>
      <c r="I54" s="441"/>
      <c r="J54" s="365"/>
      <c r="K54" s="431"/>
      <c r="L54" s="432"/>
      <c r="M54" s="432"/>
      <c r="N54" s="118" t="b">
        <v>0</v>
      </c>
      <c r="O54" s="119"/>
      <c r="Q54" s="438"/>
      <c r="R54" s="285" t="b">
        <v>0</v>
      </c>
      <c r="S54" s="285" t="b">
        <v>0</v>
      </c>
      <c r="T54" s="286" t="b">
        <v>0</v>
      </c>
    </row>
    <row r="55" outlineLevel="1">
      <c r="A55" s="317"/>
      <c r="B55" s="317"/>
      <c r="C55" s="473"/>
      <c r="D55" s="317"/>
      <c r="E55" s="317"/>
      <c r="F55" s="317"/>
      <c r="G55" s="317"/>
      <c r="H55" s="317"/>
      <c r="I55" s="439"/>
      <c r="J55" s="365"/>
      <c r="K55" s="431"/>
      <c r="L55" s="317"/>
      <c r="M55" s="320"/>
      <c r="N55" s="118" t="b">
        <v>0</v>
      </c>
      <c r="O55" s="119"/>
      <c r="Q55" s="284"/>
      <c r="R55" s="285" t="b">
        <v>0</v>
      </c>
      <c r="S55" s="285" t="b">
        <v>0</v>
      </c>
      <c r="T55" s="286" t="b">
        <v>0</v>
      </c>
    </row>
    <row r="56" outlineLevel="1">
      <c r="A56" s="317"/>
      <c r="B56" s="317"/>
      <c r="C56" s="472"/>
      <c r="D56" s="317"/>
      <c r="E56" s="317"/>
      <c r="F56" s="317"/>
      <c r="G56" s="317"/>
      <c r="H56" s="317"/>
      <c r="I56" s="439"/>
      <c r="J56" s="368"/>
      <c r="K56" s="431"/>
      <c r="L56" s="317"/>
      <c r="M56" s="320"/>
      <c r="N56" s="118" t="b">
        <v>0</v>
      </c>
      <c r="O56" s="119"/>
      <c r="Q56" s="284"/>
      <c r="R56" s="285" t="b">
        <v>0</v>
      </c>
      <c r="S56" s="285" t="b">
        <v>0</v>
      </c>
      <c r="T56" s="286" t="b">
        <v>0</v>
      </c>
    </row>
    <row r="57" outlineLevel="1">
      <c r="A57" s="317"/>
      <c r="B57" s="317"/>
      <c r="C57" s="472"/>
      <c r="D57" s="317"/>
      <c r="E57" s="317"/>
      <c r="F57" s="317"/>
      <c r="G57" s="475"/>
      <c r="H57" s="317"/>
      <c r="I57" s="439"/>
      <c r="J57" s="368"/>
      <c r="K57" s="431"/>
      <c r="L57" s="317"/>
      <c r="M57" s="317"/>
      <c r="N57" s="118" t="b">
        <v>0</v>
      </c>
      <c r="O57" s="119"/>
      <c r="Q57" s="284"/>
      <c r="R57" s="285" t="b">
        <v>0</v>
      </c>
      <c r="S57" s="285" t="b">
        <v>0</v>
      </c>
      <c r="T57" s="286" t="b">
        <v>0</v>
      </c>
    </row>
    <row r="58" outlineLevel="1">
      <c r="A58" s="432"/>
      <c r="B58" s="432"/>
      <c r="C58" s="440"/>
      <c r="D58" s="432"/>
      <c r="E58" s="432"/>
      <c r="F58" s="432"/>
      <c r="G58" s="476"/>
      <c r="H58" s="432"/>
      <c r="I58" s="477"/>
      <c r="J58" s="368"/>
      <c r="K58" s="436"/>
      <c r="L58" s="317"/>
      <c r="M58" s="432"/>
      <c r="N58" s="118" t="b">
        <v>0</v>
      </c>
      <c r="O58" s="119"/>
      <c r="Q58" s="284"/>
      <c r="R58" s="285" t="b">
        <v>0</v>
      </c>
      <c r="S58" s="285" t="b">
        <v>0</v>
      </c>
      <c r="T58" s="286" t="b">
        <v>0</v>
      </c>
    </row>
    <row r="59" outlineLevel="1">
      <c r="A59" s="432"/>
      <c r="B59" s="432"/>
      <c r="C59" s="440"/>
      <c r="D59" s="432"/>
      <c r="E59" s="432"/>
      <c r="F59" s="432"/>
      <c r="G59" s="476"/>
      <c r="H59" s="432"/>
      <c r="I59" s="477"/>
      <c r="J59" s="368"/>
      <c r="K59" s="436"/>
      <c r="L59" s="317"/>
      <c r="M59" s="432"/>
      <c r="N59" s="118" t="b">
        <v>0</v>
      </c>
      <c r="O59" s="119"/>
      <c r="Q59" s="284"/>
      <c r="R59" s="285" t="b">
        <v>0</v>
      </c>
      <c r="S59" s="285" t="b">
        <v>0</v>
      </c>
      <c r="T59" s="286" t="b">
        <v>0</v>
      </c>
    </row>
    <row r="60" outlineLevel="1">
      <c r="A60" s="432"/>
      <c r="B60" s="432"/>
      <c r="C60" s="440"/>
      <c r="D60" s="432"/>
      <c r="E60" s="432"/>
      <c r="F60" s="432"/>
      <c r="G60" s="476"/>
      <c r="H60" s="432"/>
      <c r="I60" s="477"/>
      <c r="J60" s="368"/>
      <c r="K60" s="436"/>
      <c r="L60" s="317"/>
      <c r="M60" s="432"/>
      <c r="N60" s="118" t="b">
        <v>0</v>
      </c>
      <c r="O60" s="119"/>
      <c r="Q60" s="284"/>
      <c r="R60" s="285" t="b">
        <v>0</v>
      </c>
      <c r="S60" s="285" t="b">
        <v>0</v>
      </c>
      <c r="T60" s="286" t="b">
        <v>0</v>
      </c>
    </row>
    <row r="61" outlineLevel="1">
      <c r="A61" s="432"/>
      <c r="B61" s="432"/>
      <c r="C61" s="440"/>
      <c r="D61" s="432"/>
      <c r="E61" s="432"/>
      <c r="F61" s="432"/>
      <c r="G61" s="476"/>
      <c r="H61" s="432"/>
      <c r="I61" s="477"/>
      <c r="J61" s="368"/>
      <c r="K61" s="436"/>
      <c r="L61" s="317"/>
      <c r="M61" s="432"/>
      <c r="N61" s="118" t="b">
        <v>0</v>
      </c>
      <c r="O61" s="119"/>
      <c r="Q61" s="284"/>
      <c r="R61" s="285" t="b">
        <v>0</v>
      </c>
      <c r="S61" s="285" t="b">
        <v>0</v>
      </c>
      <c r="T61" s="286" t="b">
        <v>0</v>
      </c>
    </row>
    <row r="62" outlineLevel="1">
      <c r="A62" s="317"/>
      <c r="B62" s="317"/>
      <c r="C62" s="316"/>
      <c r="D62" s="317"/>
      <c r="E62" s="317"/>
      <c r="F62" s="317"/>
      <c r="G62" s="475"/>
      <c r="H62" s="317"/>
      <c r="I62" s="318"/>
      <c r="J62" s="368"/>
      <c r="K62" s="431"/>
      <c r="L62" s="317"/>
      <c r="M62" s="317"/>
      <c r="N62" s="118" t="b">
        <v>0</v>
      </c>
      <c r="O62" s="119"/>
      <c r="Q62" s="284"/>
      <c r="R62" s="285" t="b">
        <v>0</v>
      </c>
      <c r="S62" s="285" t="b">
        <v>0</v>
      </c>
      <c r="T62" s="286" t="b">
        <v>0</v>
      </c>
    </row>
    <row r="63" outlineLevel="1">
      <c r="A63" s="317"/>
      <c r="B63" s="317"/>
      <c r="C63" s="316"/>
      <c r="D63" s="317"/>
      <c r="E63" s="317"/>
      <c r="F63" s="317"/>
      <c r="G63" s="475"/>
      <c r="H63" s="317"/>
      <c r="I63" s="318"/>
      <c r="J63" s="368"/>
      <c r="K63" s="431"/>
      <c r="L63" s="317"/>
      <c r="M63" s="317"/>
      <c r="N63" s="118" t="b">
        <v>0</v>
      </c>
      <c r="O63" s="119"/>
      <c r="Q63" s="284"/>
      <c r="R63" s="285" t="b">
        <v>0</v>
      </c>
      <c r="S63" s="285" t="b">
        <v>0</v>
      </c>
      <c r="T63" s="286" t="b">
        <v>0</v>
      </c>
    </row>
    <row r="64" outlineLevel="1">
      <c r="A64" s="317"/>
      <c r="B64" s="317"/>
      <c r="C64" s="316"/>
      <c r="D64" s="317"/>
      <c r="E64" s="317"/>
      <c r="F64" s="317"/>
      <c r="G64" s="475"/>
      <c r="H64" s="317"/>
      <c r="I64" s="318"/>
      <c r="J64" s="368"/>
      <c r="K64" s="431"/>
      <c r="L64" s="317"/>
      <c r="M64" s="317"/>
      <c r="N64" s="118" t="b">
        <v>0</v>
      </c>
      <c r="O64" s="119"/>
      <c r="Q64" s="284"/>
      <c r="R64" s="285" t="b">
        <v>0</v>
      </c>
      <c r="S64" s="285" t="b">
        <v>0</v>
      </c>
      <c r="T64" s="286" t="b">
        <v>0</v>
      </c>
    </row>
    <row r="65" outlineLevel="1">
      <c r="A65" s="320"/>
      <c r="B65" s="317"/>
      <c r="C65" s="465"/>
      <c r="D65" s="320"/>
      <c r="E65" s="320"/>
      <c r="F65" s="320"/>
      <c r="G65" s="471"/>
      <c r="H65" s="320"/>
      <c r="I65" s="478"/>
      <c r="J65" s="365"/>
      <c r="K65" s="431"/>
      <c r="L65" s="317"/>
      <c r="M65" s="320"/>
      <c r="N65" s="154" t="b">
        <v>0</v>
      </c>
      <c r="O65" s="119"/>
      <c r="Q65" s="284"/>
      <c r="R65" s="285" t="b">
        <v>0</v>
      </c>
      <c r="S65" s="285" t="b">
        <v>0</v>
      </c>
      <c r="T65" s="286" t="b">
        <v>0</v>
      </c>
    </row>
    <row r="66" outlineLevel="1">
      <c r="A66" s="317"/>
      <c r="B66" s="317"/>
      <c r="C66" s="316"/>
      <c r="D66" s="317"/>
      <c r="E66" s="317"/>
      <c r="F66" s="317"/>
      <c r="G66" s="475"/>
      <c r="H66" s="317"/>
      <c r="I66" s="443"/>
      <c r="J66" s="368"/>
      <c r="K66" s="431"/>
      <c r="L66" s="317"/>
      <c r="M66" s="317"/>
      <c r="N66" s="118" t="b">
        <v>0</v>
      </c>
      <c r="O66" s="119"/>
      <c r="Q66" s="284"/>
      <c r="R66" s="285" t="b">
        <v>0</v>
      </c>
      <c r="S66" s="285" t="b">
        <v>0</v>
      </c>
      <c r="T66" s="286" t="b">
        <v>0</v>
      </c>
    </row>
    <row r="67" outlineLevel="1">
      <c r="A67" s="317"/>
      <c r="B67" s="317"/>
      <c r="C67" s="316"/>
      <c r="D67" s="317"/>
      <c r="E67" s="317"/>
      <c r="F67" s="317"/>
      <c r="G67" s="475"/>
      <c r="H67" s="317"/>
      <c r="I67" s="443"/>
      <c r="J67" s="365"/>
      <c r="K67" s="431"/>
      <c r="L67" s="317"/>
      <c r="M67" s="317"/>
      <c r="N67" s="118" t="b">
        <v>0</v>
      </c>
      <c r="O67" s="119"/>
      <c r="Q67" s="284"/>
      <c r="R67" s="285" t="b">
        <v>0</v>
      </c>
      <c r="S67" s="285" t="b">
        <v>0</v>
      </c>
      <c r="T67" s="286" t="b">
        <v>0</v>
      </c>
    </row>
    <row r="68" outlineLevel="1">
      <c r="A68" s="317"/>
      <c r="B68" s="317"/>
      <c r="C68" s="316"/>
      <c r="D68" s="317"/>
      <c r="E68" s="317"/>
      <c r="F68" s="317"/>
      <c r="G68" s="475"/>
      <c r="H68" s="317"/>
      <c r="I68" s="316"/>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419"/>
      <c r="D70" s="336"/>
      <c r="E70" s="336"/>
      <c r="F70" s="420"/>
      <c r="G70" s="336"/>
      <c r="H70" s="336"/>
      <c r="I70" s="479"/>
      <c r="J70" s="365"/>
      <c r="K70" s="431"/>
      <c r="L70" s="317"/>
      <c r="M70" s="317"/>
      <c r="N70" s="118" t="b">
        <v>0</v>
      </c>
      <c r="O70" s="119"/>
      <c r="Q70" s="284"/>
      <c r="R70" s="285" t="b">
        <v>0</v>
      </c>
      <c r="S70" s="285" t="b">
        <v>0</v>
      </c>
      <c r="T70" s="286" t="b">
        <v>0</v>
      </c>
    </row>
    <row r="71">
      <c r="A71" s="348" t="s">
        <v>116</v>
      </c>
      <c r="B71" s="349">
        <f>COUNTIF(B4:B70,"ONLINE")+COUNTIF(B4:B70,"SEDE*")</f>
        <v>0</v>
      </c>
      <c r="C71" s="348" t="s">
        <v>116</v>
      </c>
      <c r="D71" s="349">
        <f t="shared" ref="D71:E71" si="1">COUNTIF(D4:D70, "*")</f>
        <v>0</v>
      </c>
      <c r="E71" s="349">
        <f t="shared" si="1"/>
        <v>0</v>
      </c>
      <c r="F71" s="480">
        <f>COUNTA(F4:F70)</f>
        <v>0</v>
      </c>
      <c r="G71" s="349">
        <f t="shared" ref="G71:H71" si="2">COUNTIF(G4:G70, "*")</f>
        <v>0</v>
      </c>
      <c r="H71" s="349">
        <f t="shared" si="2"/>
        <v>0</v>
      </c>
      <c r="I71" s="348" t="s">
        <v>116</v>
      </c>
      <c r="J71" s="481">
        <f t="shared" ref="J71:K71" si="3">SUM(J4:J70)</f>
        <v>0</v>
      </c>
      <c r="K71" s="482">
        <f t="shared" si="3"/>
        <v>0</v>
      </c>
      <c r="L71" s="349">
        <f t="shared" ref="L71:M71" si="4">COUNTIF(L4:L70, "*")</f>
        <v>0</v>
      </c>
      <c r="M71" s="349">
        <f t="shared" si="4"/>
        <v>0</v>
      </c>
      <c r="N71" s="349">
        <f>SUMPRODUCT(--N4:N70)</f>
        <v>0</v>
      </c>
      <c r="O71" s="349">
        <f t="shared" ref="O71:Q71" si="5">COUNTIF(O4:O70, "*")</f>
        <v>0</v>
      </c>
      <c r="P71" s="349">
        <f t="shared" si="5"/>
        <v>0</v>
      </c>
      <c r="Q71" s="349">
        <f t="shared" si="5"/>
        <v>0</v>
      </c>
      <c r="R71" s="349">
        <f t="shared" ref="R71:T71" si="6">SUMPRODUCT(--R4:R70)</f>
        <v>0</v>
      </c>
      <c r="S71" s="349">
        <f t="shared" si="6"/>
        <v>0</v>
      </c>
      <c r="T71" s="349">
        <f t="shared" si="6"/>
        <v>0</v>
      </c>
    </row>
    <row r="72">
      <c r="A72" s="245" t="s">
        <v>117</v>
      </c>
      <c r="B72" s="246">
        <f>COUNTIF(B4:B70, "SEDE*")</f>
        <v>0</v>
      </c>
      <c r="C72" s="351"/>
      <c r="D72" s="351"/>
      <c r="E72" s="351"/>
      <c r="F72" s="351"/>
      <c r="G72" s="351"/>
      <c r="H72" s="245" t="s">
        <v>1946</v>
      </c>
      <c r="I72" s="355" t="s">
        <v>121</v>
      </c>
      <c r="J72" s="483" t="str">
        <f>COUNTIFS($B$4:$B$70,"*SEDE*",$J$4:$J$70, $F$154)&amp; " da €"&amp;$F$154</f>
        <v>0 da €27</v>
      </c>
      <c r="K72" s="484" t="str">
        <f>COUNTIFS($B$4:$B$70,"*SEDE*",$K$4:$K$70, $F$153)&amp; " da €"&amp;$F$153</f>
        <v>0 da €25</v>
      </c>
      <c r="L72" s="483" t="str">
        <f>COUNTIFS($B$4:$B$70,"*SEDE*",$J$4:$J$70, $F$156)&amp; " da €"&amp;$F$156</f>
        <v>0 da €32</v>
      </c>
      <c r="M72" s="484" t="str">
        <f>COUNTIFS($B$4:$B$70,"*SEDE*",$K$4:$K$70, $F$155)&amp; " da €"&amp;$F$155</f>
        <v>0 da €30</v>
      </c>
      <c r="N72" s="483" t="str">
        <f>COUNTIFS($B$4:$B$70,"*SEDE*",$J$4:$J$70, $G$154)&amp; " da €"&amp;$G$154</f>
        <v>0 da €37</v>
      </c>
      <c r="O72" s="484" t="str">
        <f>COUNTIFS($B$4:$B$70,"*SEDE*",$K$4:$K$70, $G$153)&amp; " da €"&amp;$G$153</f>
        <v>0 da €35</v>
      </c>
      <c r="P72" s="485" t="s">
        <v>40</v>
      </c>
      <c r="Q72" s="486">
        <f>SUM(J73,K73,L73,M73,N73,O73)</f>
        <v>0</v>
      </c>
      <c r="R72" s="351"/>
      <c r="S72" s="351"/>
      <c r="T72" s="351"/>
    </row>
    <row r="73">
      <c r="A73" s="245" t="s">
        <v>74</v>
      </c>
      <c r="B73" s="246">
        <f>COUNTIF(B4:B70, "ONLINE")</f>
        <v>0</v>
      </c>
      <c r="C73" s="351"/>
      <c r="D73" s="351"/>
      <c r="E73" s="351"/>
      <c r="F73" s="351"/>
      <c r="G73" s="351"/>
      <c r="I73" s="355" t="s">
        <v>122</v>
      </c>
      <c r="J73" s="483">
        <f>SUMIFS($J$4:$J$70,$B$4:$B$70,"*SEDE*",$J$4:$J$70,$F$154)</f>
        <v>0</v>
      </c>
      <c r="K73" s="369">
        <f>SUMIFS($K$4:$K$70,$B$4:$B$70,"*SEDE*",$K$4:$K$70,$F$153)</f>
        <v>0</v>
      </c>
      <c r="L73" s="368">
        <f>SUMIFS($J$4:$J$70,$B$4:$B$70,"*SEDE*",$J$4:$J$70,$F$156)</f>
        <v>0</v>
      </c>
      <c r="M73" s="369">
        <f>SUMIFS($K$4:$K$70,$B$4:$B$70,"*SEDE*",$K$4:$K$70,$F$155)</f>
        <v>0</v>
      </c>
      <c r="N73" s="368">
        <f>SUMIFS($J$4:$J$70,$B$4:$B$70,"*SEDE*",$J$4:$J$70,$G$154)</f>
        <v>0</v>
      </c>
      <c r="O73" s="369">
        <f>SUMIFS($K$4:$K$70,$B$4:$B$70,"*SEDE*",$K$4:$K$70,$G$153)</f>
        <v>0</v>
      </c>
      <c r="R73" s="351"/>
      <c r="S73" s="351"/>
      <c r="T73" s="351"/>
    </row>
    <row r="74">
      <c r="A74" s="245"/>
      <c r="B74" s="246"/>
      <c r="C74" s="351"/>
      <c r="D74" s="351"/>
      <c r="E74" s="351"/>
      <c r="F74" s="351"/>
      <c r="G74" s="351"/>
      <c r="I74" s="355" t="s">
        <v>123</v>
      </c>
      <c r="J74" s="368" t="str">
        <f>COUNTIFS($B$4:$B$70,"*ONLINE*",$J$4:$J$70, $F$154)&amp; " da €"&amp;$F$154</f>
        <v>0 da €27</v>
      </c>
      <c r="K74" s="484" t="str">
        <f>COUNTIFS($B$4:$B$70,"*ONLINE*",$K$4:$K$70, $F$153)&amp; " da €"&amp;$F$153</f>
        <v>0 da €25</v>
      </c>
      <c r="L74" s="368" t="str">
        <f>COUNTIFS($B$4:$B$70,"*ONLINE*",$J$4:$J$70, $F$156)&amp; " da €"&amp;$F$156</f>
        <v>0 da €32</v>
      </c>
      <c r="M74" s="369" t="str">
        <f>COUNTIFS($B$4:$B$70,"*ONLINE*",$K$4:$K$70, $F$155)&amp; " da €"&amp;$F$155</f>
        <v>0 da €30</v>
      </c>
      <c r="N74" s="368" t="str">
        <f>COUNTIFS($B$4:$B$70,"*ONLINE*",$J$4:$J$70, $G$154)&amp; " da €"&amp;$G$154</f>
        <v>0 da €37</v>
      </c>
      <c r="O74" s="369" t="str">
        <f>COUNTIFS($B$4:$B$70,"*ONLINE*",$K$4:$K$70, $G$153)&amp; " da €"&amp;$G$153</f>
        <v>0 da €35</v>
      </c>
      <c r="P74" s="425" t="s">
        <v>40</v>
      </c>
      <c r="Q74" s="486">
        <f>SUM(J75,K75,L75,M75,N75,O75)</f>
        <v>0</v>
      </c>
      <c r="R74" s="351"/>
      <c r="S74" s="351"/>
      <c r="T74" s="351"/>
    </row>
    <row r="75">
      <c r="A75" s="245"/>
      <c r="B75" s="246"/>
      <c r="C75" s="351"/>
      <c r="D75" s="351"/>
      <c r="E75" s="351"/>
      <c r="F75" s="351"/>
      <c r="G75" s="351"/>
      <c r="I75" s="355" t="s">
        <v>124</v>
      </c>
      <c r="J75" s="483">
        <f>SUMIFS($J$4:$J$70,$B$4:$B$70,"*ONLINE*",$J$4:$J$70,$F$154)</f>
        <v>0</v>
      </c>
      <c r="K75" s="484">
        <f>SUMIFS($K$4:$K$70,$B$4:$B$70,"*ONLINE*",$K$4:$K$70,$F$153)</f>
        <v>0</v>
      </c>
      <c r="L75" s="483">
        <f>SUMIFS($J$4:$J$70,$B$4:$B$70,"*ONLINE*",$J$4:$J$70,$F$156)</f>
        <v>0</v>
      </c>
      <c r="M75" s="369">
        <f>SUMIFS($K$4:$K$70,$B$4:$B$70,"*ONLINE*",$K$4:$K$70,$F$155)</f>
        <v>0</v>
      </c>
      <c r="N75" s="483">
        <f>SUMIFS($J$4:$J$70,$B$4:$B$70,"*ONLINE*",$J$4:$J$70,$G$154)</f>
        <v>0</v>
      </c>
      <c r="O75" s="369">
        <f>SUMIFS($K$4:$K$70,$B$4:$B$70,"*ONLINE*",$K$4:$K$70,$G$153)</f>
        <v>0</v>
      </c>
      <c r="R75" s="245" t="s">
        <v>120</v>
      </c>
      <c r="S75" s="378" t="str">
        <f>IF(SUM(J71:K71) = SUM(Q72:Q75), "OK", "ERRORE")</f>
        <v>OK</v>
      </c>
      <c r="T75" s="351"/>
    </row>
    <row r="76" ht="26.25" customHeight="1">
      <c r="A76" s="428" t="s">
        <v>1947</v>
      </c>
      <c r="R76" s="429"/>
      <c r="S76" s="429"/>
      <c r="T76" s="429"/>
    </row>
    <row r="77" outlineLevel="1">
      <c r="A77" s="317" t="s">
        <v>73</v>
      </c>
      <c r="B77" s="317" t="s">
        <v>74</v>
      </c>
      <c r="C77" s="316">
        <v>45971.0</v>
      </c>
      <c r="D77" s="336" t="s">
        <v>1230</v>
      </c>
      <c r="E77" s="336" t="s">
        <v>1231</v>
      </c>
      <c r="F77" s="420">
        <v>3.312035454E9</v>
      </c>
      <c r="G77" s="317" t="s">
        <v>1232</v>
      </c>
      <c r="H77" s="317" t="s">
        <v>1233</v>
      </c>
      <c r="I77" s="318">
        <v>45971.0</v>
      </c>
      <c r="J77" s="319"/>
      <c r="K77" s="431">
        <v>25.0</v>
      </c>
      <c r="L77" s="317" t="s">
        <v>106</v>
      </c>
      <c r="M77" s="317" t="s">
        <v>100</v>
      </c>
      <c r="N77" s="118" t="b">
        <v>1</v>
      </c>
      <c r="O77" s="487"/>
      <c r="Q77" s="284" t="s">
        <v>81</v>
      </c>
      <c r="R77" s="285" t="b">
        <v>1</v>
      </c>
      <c r="S77" s="285" t="b">
        <v>0</v>
      </c>
      <c r="T77" s="286" t="b">
        <v>0</v>
      </c>
    </row>
    <row r="78" outlineLevel="1">
      <c r="A78" s="317" t="s">
        <v>239</v>
      </c>
      <c r="B78" s="317" t="s">
        <v>240</v>
      </c>
      <c r="C78" s="440">
        <v>45971.0</v>
      </c>
      <c r="D78" s="432" t="s">
        <v>293</v>
      </c>
      <c r="E78" s="432" t="s">
        <v>294</v>
      </c>
      <c r="F78" s="432">
        <v>3.286790381E9</v>
      </c>
      <c r="G78" s="432" t="s">
        <v>295</v>
      </c>
      <c r="H78" s="432" t="s">
        <v>296</v>
      </c>
      <c r="I78" s="477">
        <v>45971.0</v>
      </c>
      <c r="J78" s="319"/>
      <c r="K78" s="431">
        <v>25.0</v>
      </c>
      <c r="L78" s="317" t="s">
        <v>245</v>
      </c>
      <c r="M78" s="317" t="s">
        <v>162</v>
      </c>
      <c r="N78" s="118" t="b">
        <v>1</v>
      </c>
      <c r="O78" s="487"/>
      <c r="Q78" s="284" t="s">
        <v>81</v>
      </c>
      <c r="R78" s="285" t="b">
        <v>1</v>
      </c>
      <c r="S78" s="285" t="b">
        <v>0</v>
      </c>
      <c r="T78" s="286" t="b">
        <v>0</v>
      </c>
    </row>
    <row r="79" outlineLevel="1">
      <c r="A79" s="317" t="s">
        <v>73</v>
      </c>
      <c r="B79" s="317" t="s">
        <v>74</v>
      </c>
      <c r="C79" s="440">
        <v>45990.0</v>
      </c>
      <c r="D79" s="432" t="s">
        <v>1948</v>
      </c>
      <c r="E79" s="432" t="s">
        <v>251</v>
      </c>
      <c r="F79" s="432">
        <v>3.898782476E9</v>
      </c>
      <c r="G79" s="488" t="s">
        <v>1949</v>
      </c>
      <c r="H79" s="488" t="s">
        <v>1950</v>
      </c>
      <c r="I79" s="489">
        <v>45990.0</v>
      </c>
      <c r="J79" s="435">
        <v>32.0</v>
      </c>
      <c r="K79" s="431"/>
      <c r="L79" s="317"/>
      <c r="M79" s="317" t="s">
        <v>80</v>
      </c>
      <c r="N79" s="118" t="b">
        <v>1</v>
      </c>
      <c r="O79" s="487"/>
      <c r="Q79" s="284" t="s">
        <v>81</v>
      </c>
      <c r="R79" s="285" t="b">
        <v>0</v>
      </c>
      <c r="S79" s="285" t="b">
        <v>0</v>
      </c>
      <c r="T79" s="286" t="b">
        <v>0</v>
      </c>
    </row>
    <row r="80" outlineLevel="1">
      <c r="A80" s="317" t="s">
        <v>73</v>
      </c>
      <c r="B80" s="317" t="s">
        <v>74</v>
      </c>
      <c r="C80" s="316">
        <v>45995.0</v>
      </c>
      <c r="D80" s="317" t="s">
        <v>1162</v>
      </c>
      <c r="E80" s="317" t="s">
        <v>464</v>
      </c>
      <c r="F80" s="317">
        <v>3.348264949E9</v>
      </c>
      <c r="G80" s="317" t="s">
        <v>1163</v>
      </c>
      <c r="H80" s="317" t="s">
        <v>1164</v>
      </c>
      <c r="I80" s="318">
        <v>45995.0</v>
      </c>
      <c r="J80" s="319">
        <v>32.0</v>
      </c>
      <c r="K80" s="431"/>
      <c r="L80" s="317"/>
      <c r="M80" s="317" t="s">
        <v>100</v>
      </c>
      <c r="N80" s="118" t="b">
        <v>1</v>
      </c>
      <c r="O80" s="487"/>
      <c r="Q80" s="284" t="s">
        <v>81</v>
      </c>
      <c r="R80" s="285" t="b">
        <v>1</v>
      </c>
      <c r="S80" s="285" t="b">
        <v>0</v>
      </c>
      <c r="T80" s="286" t="b">
        <v>0</v>
      </c>
    </row>
    <row r="81" outlineLevel="1">
      <c r="A81" s="317" t="s">
        <v>73</v>
      </c>
      <c r="B81" s="317" t="s">
        <v>74</v>
      </c>
      <c r="C81" s="316">
        <v>46000.0</v>
      </c>
      <c r="D81" s="317" t="s">
        <v>1188</v>
      </c>
      <c r="E81" s="317" t="s">
        <v>737</v>
      </c>
      <c r="F81" s="317">
        <v>3.314719792E9</v>
      </c>
      <c r="G81" s="317" t="s">
        <v>1189</v>
      </c>
      <c r="H81" s="317" t="s">
        <v>1190</v>
      </c>
      <c r="I81" s="318">
        <v>46000.0</v>
      </c>
      <c r="J81" s="319">
        <v>32.0</v>
      </c>
      <c r="K81" s="431"/>
      <c r="L81" s="317"/>
      <c r="M81" s="317" t="s">
        <v>100</v>
      </c>
      <c r="N81" s="118" t="b">
        <v>1</v>
      </c>
      <c r="O81" s="487"/>
      <c r="Q81" s="284" t="s">
        <v>81</v>
      </c>
      <c r="R81" s="285" t="b">
        <v>1</v>
      </c>
      <c r="S81" s="285" t="b">
        <v>0</v>
      </c>
      <c r="T81" s="286" t="b">
        <v>0</v>
      </c>
    </row>
    <row r="82" outlineLevel="1">
      <c r="A82" s="317" t="s">
        <v>73</v>
      </c>
      <c r="B82" s="317" t="s">
        <v>74</v>
      </c>
      <c r="C82" s="490">
        <v>45963.0</v>
      </c>
      <c r="D82" s="488" t="s">
        <v>1205</v>
      </c>
      <c r="E82" s="488" t="s">
        <v>151</v>
      </c>
      <c r="F82" s="488">
        <v>3.405699436E9</v>
      </c>
      <c r="G82" s="488" t="s">
        <v>1206</v>
      </c>
      <c r="H82" s="488" t="s">
        <v>1207</v>
      </c>
      <c r="I82" s="441">
        <v>45963.0</v>
      </c>
      <c r="J82" s="435">
        <v>27.0</v>
      </c>
      <c r="K82" s="436"/>
      <c r="L82" s="432"/>
      <c r="M82" s="432" t="s">
        <v>100</v>
      </c>
      <c r="N82" s="118" t="b">
        <v>1</v>
      </c>
      <c r="O82" s="487"/>
      <c r="Q82" s="438" t="s">
        <v>81</v>
      </c>
      <c r="R82" s="491" t="b">
        <v>1</v>
      </c>
      <c r="S82" s="491" t="b">
        <v>0</v>
      </c>
      <c r="T82" s="492" t="b">
        <v>1</v>
      </c>
    </row>
    <row r="83" outlineLevel="1">
      <c r="A83" s="317" t="s">
        <v>101</v>
      </c>
      <c r="B83" s="317" t="s">
        <v>102</v>
      </c>
      <c r="C83" s="465">
        <v>45974.0</v>
      </c>
      <c r="D83" s="320" t="s">
        <v>1951</v>
      </c>
      <c r="E83" s="320" t="s">
        <v>496</v>
      </c>
      <c r="F83" s="320">
        <v>3.332914279E9</v>
      </c>
      <c r="G83" s="320" t="s">
        <v>1952</v>
      </c>
      <c r="H83" s="320" t="s">
        <v>1953</v>
      </c>
      <c r="I83" s="478">
        <v>45974.0</v>
      </c>
      <c r="J83" s="319"/>
      <c r="K83" s="431">
        <v>25.0</v>
      </c>
      <c r="L83" s="317" t="s">
        <v>106</v>
      </c>
      <c r="M83" s="317" t="s">
        <v>100</v>
      </c>
      <c r="N83" s="118" t="b">
        <v>1</v>
      </c>
      <c r="O83" s="493"/>
      <c r="Q83" s="284" t="s">
        <v>81</v>
      </c>
      <c r="R83" s="285" t="b">
        <v>1</v>
      </c>
      <c r="S83" s="285" t="b">
        <v>0</v>
      </c>
      <c r="T83" s="286" t="b">
        <v>1</v>
      </c>
    </row>
    <row r="84" outlineLevel="1">
      <c r="A84" s="317" t="s">
        <v>73</v>
      </c>
      <c r="B84" s="317" t="s">
        <v>74</v>
      </c>
      <c r="C84" s="465">
        <v>45995.0</v>
      </c>
      <c r="D84" s="320" t="s">
        <v>1954</v>
      </c>
      <c r="E84" s="320" t="s">
        <v>1955</v>
      </c>
      <c r="F84" s="320">
        <v>3.273652309E9</v>
      </c>
      <c r="G84" s="320" t="s">
        <v>1956</v>
      </c>
      <c r="H84" s="320" t="s">
        <v>1957</v>
      </c>
      <c r="I84" s="439">
        <v>45995.0</v>
      </c>
      <c r="J84" s="319"/>
      <c r="K84" s="431">
        <v>30.0</v>
      </c>
      <c r="L84" s="317" t="s">
        <v>106</v>
      </c>
      <c r="M84" s="317" t="s">
        <v>100</v>
      </c>
      <c r="N84" s="118" t="b">
        <v>1</v>
      </c>
      <c r="O84" s="487"/>
      <c r="Q84" s="284" t="s">
        <v>81</v>
      </c>
      <c r="R84" s="285" t="b">
        <v>1</v>
      </c>
      <c r="S84" s="285" t="b">
        <v>0</v>
      </c>
      <c r="T84" s="286" t="b">
        <v>0</v>
      </c>
    </row>
    <row r="85" outlineLevel="1">
      <c r="A85" s="317" t="s">
        <v>73</v>
      </c>
      <c r="B85" s="317" t="s">
        <v>74</v>
      </c>
      <c r="C85" s="465">
        <v>45963.0</v>
      </c>
      <c r="D85" s="320" t="s">
        <v>1958</v>
      </c>
      <c r="E85" s="320" t="s">
        <v>1959</v>
      </c>
      <c r="F85" s="320">
        <v>3.318029687E9</v>
      </c>
      <c r="G85" s="320" t="s">
        <v>1960</v>
      </c>
      <c r="H85" s="320" t="s">
        <v>1961</v>
      </c>
      <c r="I85" s="439">
        <v>45963.0</v>
      </c>
      <c r="J85" s="319">
        <v>27.0</v>
      </c>
      <c r="K85" s="431"/>
      <c r="L85" s="317"/>
      <c r="M85" s="317" t="s">
        <v>80</v>
      </c>
      <c r="N85" s="118" t="b">
        <v>0</v>
      </c>
      <c r="O85" s="487"/>
      <c r="Q85" s="284" t="s">
        <v>81</v>
      </c>
      <c r="R85" s="285" t="b">
        <v>0</v>
      </c>
      <c r="S85" s="285" t="b">
        <v>1</v>
      </c>
      <c r="T85" s="286" t="b">
        <v>1</v>
      </c>
    </row>
    <row r="86" outlineLevel="1">
      <c r="A86" s="317" t="s">
        <v>73</v>
      </c>
      <c r="B86" s="317" t="s">
        <v>74</v>
      </c>
      <c r="C86" s="465">
        <v>46001.0</v>
      </c>
      <c r="D86" s="317" t="s">
        <v>1345</v>
      </c>
      <c r="E86" s="317" t="s">
        <v>1962</v>
      </c>
      <c r="F86" s="317">
        <v>3.897868627E9</v>
      </c>
      <c r="G86" s="317" t="s">
        <v>1963</v>
      </c>
      <c r="H86" s="317" t="s">
        <v>1964</v>
      </c>
      <c r="I86" s="318">
        <v>45972.0</v>
      </c>
      <c r="J86" s="319"/>
      <c r="K86" s="431">
        <v>30.0</v>
      </c>
      <c r="L86" s="317" t="s">
        <v>1965</v>
      </c>
      <c r="M86" s="317" t="s">
        <v>100</v>
      </c>
      <c r="N86" s="118" t="b">
        <v>1</v>
      </c>
      <c r="O86" s="487"/>
      <c r="Q86" s="284" t="s">
        <v>81</v>
      </c>
      <c r="R86" s="285" t="b">
        <v>1</v>
      </c>
      <c r="S86" s="285" t="b">
        <v>0</v>
      </c>
      <c r="T86" s="286" t="b">
        <v>0</v>
      </c>
    </row>
    <row r="87" outlineLevel="1">
      <c r="A87" s="317" t="s">
        <v>73</v>
      </c>
      <c r="B87" s="317" t="s">
        <v>94</v>
      </c>
      <c r="C87" s="465">
        <v>46002.0</v>
      </c>
      <c r="D87" s="320" t="s">
        <v>103</v>
      </c>
      <c r="E87" s="320" t="s">
        <v>7</v>
      </c>
      <c r="F87" s="320">
        <v>3.497813495E9</v>
      </c>
      <c r="G87" s="320" t="s">
        <v>104</v>
      </c>
      <c r="H87" s="320" t="s">
        <v>1966</v>
      </c>
      <c r="I87" s="439">
        <v>46002.0</v>
      </c>
      <c r="J87" s="319"/>
      <c r="K87" s="431">
        <v>30.0</v>
      </c>
      <c r="L87" s="317" t="s">
        <v>99</v>
      </c>
      <c r="M87" s="317" t="s">
        <v>162</v>
      </c>
      <c r="N87" s="118" t="b">
        <v>1</v>
      </c>
      <c r="O87" s="487"/>
      <c r="Q87" s="284" t="s">
        <v>81</v>
      </c>
      <c r="R87" s="285" t="b">
        <v>1</v>
      </c>
      <c r="S87" s="285" t="b">
        <v>0</v>
      </c>
      <c r="T87" s="286" t="b">
        <v>0</v>
      </c>
    </row>
    <row r="88" outlineLevel="1">
      <c r="A88" s="317" t="s">
        <v>73</v>
      </c>
      <c r="B88" s="317" t="s">
        <v>74</v>
      </c>
      <c r="C88" s="490">
        <v>45987.0</v>
      </c>
      <c r="D88" s="494" t="s">
        <v>221</v>
      </c>
      <c r="E88" s="488" t="s">
        <v>222</v>
      </c>
      <c r="F88" s="488">
        <v>3.34605149E9</v>
      </c>
      <c r="G88" s="495" t="s">
        <v>223</v>
      </c>
      <c r="H88" s="488" t="s">
        <v>224</v>
      </c>
      <c r="I88" s="489">
        <v>45987.0</v>
      </c>
      <c r="J88" s="319">
        <v>52.0</v>
      </c>
      <c r="K88" s="436"/>
      <c r="L88" s="432"/>
      <c r="M88" s="317" t="s">
        <v>100</v>
      </c>
      <c r="N88" s="118" t="b">
        <v>1</v>
      </c>
      <c r="O88" s="493" t="s">
        <v>1967</v>
      </c>
      <c r="Q88" s="284" t="s">
        <v>81</v>
      </c>
      <c r="R88" s="285" t="b">
        <v>1</v>
      </c>
      <c r="S88" s="285" t="b">
        <v>0</v>
      </c>
      <c r="T88" s="286" t="b">
        <v>0</v>
      </c>
    </row>
    <row r="89" outlineLevel="1">
      <c r="A89" s="317" t="s">
        <v>101</v>
      </c>
      <c r="B89" s="317" t="s">
        <v>102</v>
      </c>
      <c r="C89" s="465">
        <v>46004.0</v>
      </c>
      <c r="D89" s="320" t="s">
        <v>346</v>
      </c>
      <c r="E89" s="320" t="s">
        <v>737</v>
      </c>
      <c r="F89" s="320">
        <v>3.35615795E9</v>
      </c>
      <c r="G89" s="320" t="s">
        <v>1968</v>
      </c>
      <c r="H89" s="320" t="s">
        <v>1969</v>
      </c>
      <c r="I89" s="439">
        <v>46004.0</v>
      </c>
      <c r="J89" s="319"/>
      <c r="K89" s="431">
        <v>30.0</v>
      </c>
      <c r="L89" s="317" t="s">
        <v>106</v>
      </c>
      <c r="M89" s="317" t="s">
        <v>100</v>
      </c>
      <c r="N89" s="118" t="b">
        <v>1</v>
      </c>
      <c r="O89" s="487"/>
      <c r="Q89" s="284" t="s">
        <v>81</v>
      </c>
      <c r="R89" s="285" t="b">
        <v>1</v>
      </c>
      <c r="S89" s="285" t="b">
        <v>0</v>
      </c>
      <c r="T89" s="286" t="b">
        <v>0</v>
      </c>
    </row>
    <row r="90" outlineLevel="1">
      <c r="A90" s="317" t="s">
        <v>611</v>
      </c>
      <c r="B90" s="317" t="s">
        <v>74</v>
      </c>
      <c r="C90" s="465">
        <v>46005.0</v>
      </c>
      <c r="D90" s="320" t="s">
        <v>1970</v>
      </c>
      <c r="E90" s="320" t="s">
        <v>1971</v>
      </c>
      <c r="F90" s="320">
        <v>3.38846095E9</v>
      </c>
      <c r="G90" s="320" t="s">
        <v>1972</v>
      </c>
      <c r="H90" s="320" t="s">
        <v>1973</v>
      </c>
      <c r="I90" s="439">
        <v>46005.0</v>
      </c>
      <c r="J90" s="319"/>
      <c r="K90" s="431">
        <v>30.0</v>
      </c>
      <c r="L90" s="317" t="s">
        <v>79</v>
      </c>
      <c r="M90" s="317" t="s">
        <v>80</v>
      </c>
      <c r="N90" s="118" t="b">
        <v>1</v>
      </c>
      <c r="O90" s="487"/>
      <c r="Q90" s="284" t="s">
        <v>81</v>
      </c>
      <c r="R90" s="285" t="b">
        <v>1</v>
      </c>
      <c r="S90" s="285" t="b">
        <v>0</v>
      </c>
      <c r="T90" s="286" t="b">
        <v>0</v>
      </c>
    </row>
    <row r="91" outlineLevel="1">
      <c r="A91" s="317"/>
      <c r="B91" s="317"/>
      <c r="C91" s="465"/>
      <c r="D91" s="320"/>
      <c r="E91" s="320"/>
      <c r="F91" s="320"/>
      <c r="G91" s="320"/>
      <c r="H91" s="320"/>
      <c r="I91" s="439"/>
      <c r="J91" s="319"/>
      <c r="K91" s="431"/>
      <c r="L91" s="317"/>
      <c r="M91" s="317"/>
      <c r="N91" s="118" t="b">
        <v>0</v>
      </c>
      <c r="O91" s="487"/>
      <c r="Q91" s="284"/>
      <c r="R91" s="285" t="b">
        <v>0</v>
      </c>
      <c r="S91" s="285" t="b">
        <v>0</v>
      </c>
      <c r="T91" s="286" t="b">
        <v>0</v>
      </c>
    </row>
    <row r="92"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outlineLevel="1">
      <c r="A93" s="432"/>
      <c r="B93" s="432"/>
      <c r="C93" s="490"/>
      <c r="D93" s="488"/>
      <c r="E93" s="488"/>
      <c r="F93" s="488"/>
      <c r="G93" s="488"/>
      <c r="H93" s="488"/>
      <c r="I93" s="489"/>
      <c r="J93" s="435"/>
      <c r="K93" s="436"/>
      <c r="L93" s="432"/>
      <c r="M93" s="432"/>
      <c r="N93" s="118" t="b">
        <v>0</v>
      </c>
      <c r="O93" s="487"/>
      <c r="Q93" s="438"/>
      <c r="R93" s="285" t="b">
        <v>0</v>
      </c>
      <c r="S93" s="285" t="b">
        <v>0</v>
      </c>
      <c r="T93" s="286" t="b">
        <v>0</v>
      </c>
    </row>
    <row r="94" outlineLevel="1">
      <c r="A94" s="317"/>
      <c r="B94" s="317"/>
      <c r="C94" s="465"/>
      <c r="D94" s="320"/>
      <c r="E94" s="320"/>
      <c r="F94" s="320"/>
      <c r="G94" s="320"/>
      <c r="H94" s="320"/>
      <c r="I94" s="439"/>
      <c r="J94" s="319"/>
      <c r="K94" s="431"/>
      <c r="L94" s="317"/>
      <c r="M94" s="317"/>
      <c r="N94" s="118" t="b">
        <v>0</v>
      </c>
      <c r="O94" s="487"/>
      <c r="Q94" s="284"/>
      <c r="R94" s="285" t="b">
        <v>0</v>
      </c>
      <c r="S94" s="285" t="b">
        <v>0</v>
      </c>
      <c r="T94" s="286" t="b">
        <v>0</v>
      </c>
    </row>
    <row r="95"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outlineLevel="1">
      <c r="A100" s="317"/>
      <c r="B100" s="317"/>
      <c r="C100" s="316"/>
      <c r="D100" s="317"/>
      <c r="E100" s="317"/>
      <c r="F100" s="317"/>
      <c r="G100" s="317"/>
      <c r="H100" s="317"/>
      <c r="I100" s="318"/>
      <c r="J100" s="319"/>
      <c r="K100" s="436"/>
      <c r="L100" s="317"/>
      <c r="M100" s="317"/>
      <c r="N100" s="118" t="b">
        <v>0</v>
      </c>
      <c r="O100" s="487"/>
      <c r="Q100" s="284"/>
      <c r="R100" s="285" t="b">
        <v>0</v>
      </c>
      <c r="S100" s="285" t="b">
        <v>0</v>
      </c>
      <c r="T100" s="286" t="b">
        <v>0</v>
      </c>
    </row>
    <row r="101" outlineLevel="1">
      <c r="A101" s="317"/>
      <c r="B101" s="317"/>
      <c r="C101" s="316"/>
      <c r="D101" s="317"/>
      <c r="E101" s="317"/>
      <c r="F101" s="317"/>
      <c r="G101" s="342"/>
      <c r="H101" s="317"/>
      <c r="I101" s="318"/>
      <c r="J101" s="319"/>
      <c r="K101" s="436"/>
      <c r="L101" s="317"/>
      <c r="M101" s="317"/>
      <c r="N101" s="118" t="b">
        <v>0</v>
      </c>
      <c r="O101" s="487"/>
      <c r="Q101" s="284"/>
      <c r="R101" s="285" t="b">
        <v>0</v>
      </c>
      <c r="S101" s="285" t="b">
        <v>0</v>
      </c>
      <c r="T101" s="286" t="b">
        <v>0</v>
      </c>
    </row>
    <row r="102" outlineLevel="1">
      <c r="A102" s="317"/>
      <c r="B102" s="317"/>
      <c r="C102" s="316"/>
      <c r="D102" s="317"/>
      <c r="E102" s="317"/>
      <c r="F102" s="317"/>
      <c r="G102" s="317"/>
      <c r="H102" s="317"/>
      <c r="I102" s="318"/>
      <c r="J102" s="319"/>
      <c r="K102" s="436"/>
      <c r="L102" s="317"/>
      <c r="M102" s="317"/>
      <c r="N102" s="118" t="b">
        <v>0</v>
      </c>
      <c r="O102" s="487"/>
      <c r="Q102" s="284"/>
      <c r="R102" s="285" t="b">
        <v>0</v>
      </c>
      <c r="S102" s="285" t="b">
        <v>0</v>
      </c>
      <c r="T102" s="286" t="b">
        <v>0</v>
      </c>
    </row>
    <row r="103" outlineLevel="1">
      <c r="A103" s="317"/>
      <c r="B103" s="317"/>
      <c r="C103" s="316"/>
      <c r="D103" s="317"/>
      <c r="E103" s="317"/>
      <c r="F103" s="317"/>
      <c r="G103" s="317"/>
      <c r="H103" s="317"/>
      <c r="I103" s="443"/>
      <c r="J103" s="319"/>
      <c r="K103" s="431"/>
      <c r="L103" s="317"/>
      <c r="M103" s="317"/>
      <c r="N103" s="118" t="b">
        <v>0</v>
      </c>
      <c r="O103" s="487"/>
      <c r="Q103" s="284"/>
      <c r="R103" s="285" t="b">
        <v>0</v>
      </c>
      <c r="S103" s="285" t="b">
        <v>0</v>
      </c>
      <c r="T103" s="286" t="b">
        <v>0</v>
      </c>
    </row>
    <row r="104" outlineLevel="1">
      <c r="A104" s="317"/>
      <c r="B104" s="317"/>
      <c r="C104" s="316"/>
      <c r="D104" s="317"/>
      <c r="E104" s="317"/>
      <c r="F104" s="317"/>
      <c r="G104" s="317"/>
      <c r="H104" s="317"/>
      <c r="I104" s="318"/>
      <c r="J104" s="319"/>
      <c r="K104" s="431"/>
      <c r="L104" s="317"/>
      <c r="M104" s="317"/>
      <c r="N104" s="118" t="b">
        <v>0</v>
      </c>
      <c r="O104" s="487"/>
      <c r="Q104" s="284"/>
      <c r="R104" s="285" t="b">
        <v>0</v>
      </c>
      <c r="S104" s="285" t="b">
        <v>0</v>
      </c>
      <c r="T104" s="286" t="b">
        <v>0</v>
      </c>
    </row>
    <row r="105" outlineLevel="1">
      <c r="A105" s="317"/>
      <c r="B105" s="317"/>
      <c r="C105" s="316"/>
      <c r="D105" s="317"/>
      <c r="E105" s="317"/>
      <c r="F105" s="317"/>
      <c r="G105" s="317"/>
      <c r="H105" s="317"/>
      <c r="I105" s="496"/>
      <c r="J105" s="319"/>
      <c r="K105" s="431"/>
      <c r="L105" s="317"/>
      <c r="M105" s="317"/>
      <c r="N105" s="118" t="b">
        <v>0</v>
      </c>
      <c r="O105" s="487"/>
      <c r="Q105" s="284"/>
      <c r="R105" s="285" t="b">
        <v>0</v>
      </c>
      <c r="S105" s="285" t="b">
        <v>0</v>
      </c>
      <c r="T105" s="286" t="b">
        <v>0</v>
      </c>
    </row>
    <row r="106"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outlineLevel="1">
      <c r="A107" s="317"/>
      <c r="B107" s="317"/>
      <c r="C107" s="316"/>
      <c r="D107" s="317"/>
      <c r="E107" s="317"/>
      <c r="F107" s="317"/>
      <c r="G107" s="317"/>
      <c r="H107" s="317"/>
      <c r="I107" s="316"/>
      <c r="J107" s="319"/>
      <c r="K107" s="431"/>
      <c r="L107" s="317"/>
      <c r="M107" s="317"/>
      <c r="N107" s="118" t="b">
        <v>0</v>
      </c>
      <c r="O107" s="487"/>
      <c r="Q107" s="284"/>
      <c r="R107" s="285" t="b">
        <v>0</v>
      </c>
      <c r="S107" s="285" t="b">
        <v>0</v>
      </c>
      <c r="T107" s="286" t="b">
        <v>0</v>
      </c>
    </row>
    <row r="108" outlineLevel="1">
      <c r="A108" s="317"/>
      <c r="B108" s="317"/>
      <c r="C108" s="496"/>
      <c r="D108" s="317"/>
      <c r="E108" s="317"/>
      <c r="F108" s="317"/>
      <c r="G108" s="317"/>
      <c r="H108" s="317"/>
      <c r="I108" s="318"/>
      <c r="J108" s="319"/>
      <c r="K108" s="431"/>
      <c r="L108" s="317"/>
      <c r="M108" s="317"/>
      <c r="N108" s="118" t="b">
        <v>0</v>
      </c>
      <c r="O108" s="487"/>
      <c r="Q108" s="284"/>
      <c r="R108" s="285" t="b">
        <v>0</v>
      </c>
      <c r="S108" s="285" t="b">
        <v>0</v>
      </c>
      <c r="T108" s="286" t="b">
        <v>0</v>
      </c>
    </row>
    <row r="109" outlineLevel="1">
      <c r="A109" s="317"/>
      <c r="B109" s="317"/>
      <c r="C109" s="316"/>
      <c r="D109" s="317"/>
      <c r="E109" s="317"/>
      <c r="F109" s="317"/>
      <c r="G109" s="342"/>
      <c r="H109" s="317"/>
      <c r="I109" s="316"/>
      <c r="J109" s="319"/>
      <c r="K109" s="436"/>
      <c r="L109" s="317"/>
      <c r="M109" s="317"/>
      <c r="N109" s="118" t="b">
        <v>0</v>
      </c>
      <c r="O109" s="487"/>
      <c r="Q109" s="284"/>
      <c r="R109" s="285" t="b">
        <v>0</v>
      </c>
      <c r="S109" s="285" t="b">
        <v>0</v>
      </c>
      <c r="T109" s="286" t="b">
        <v>0</v>
      </c>
    </row>
    <row r="110" outlineLevel="1">
      <c r="A110" s="317"/>
      <c r="B110" s="317"/>
      <c r="C110" s="316"/>
      <c r="D110" s="317"/>
      <c r="E110" s="317"/>
      <c r="F110" s="317"/>
      <c r="G110" s="317"/>
      <c r="H110" s="317"/>
      <c r="I110" s="316"/>
      <c r="J110" s="319"/>
      <c r="K110" s="436"/>
      <c r="L110" s="317"/>
      <c r="M110" s="317"/>
      <c r="N110" s="118" t="b">
        <v>0</v>
      </c>
      <c r="O110" s="487"/>
      <c r="Q110" s="284"/>
      <c r="R110" s="285" t="b">
        <v>0</v>
      </c>
      <c r="S110" s="285" t="b">
        <v>0</v>
      </c>
      <c r="T110" s="286" t="b">
        <v>0</v>
      </c>
    </row>
    <row r="111" outlineLevel="1">
      <c r="A111" s="432"/>
      <c r="B111" s="432"/>
      <c r="C111" s="497"/>
      <c r="D111" s="432"/>
      <c r="E111" s="432"/>
      <c r="F111" s="432"/>
      <c r="G111" s="432"/>
      <c r="H111" s="432"/>
      <c r="I111" s="441"/>
      <c r="J111" s="435"/>
      <c r="K111" s="436"/>
      <c r="L111" s="432"/>
      <c r="M111" s="432"/>
      <c r="N111" s="118" t="b">
        <v>0</v>
      </c>
      <c r="O111" s="487"/>
      <c r="Q111" s="438"/>
      <c r="R111" s="285" t="b">
        <v>0</v>
      </c>
      <c r="S111" s="285" t="b">
        <v>0</v>
      </c>
      <c r="T111" s="286" t="b">
        <v>0</v>
      </c>
    </row>
    <row r="112" outlineLevel="1">
      <c r="A112" s="432"/>
      <c r="B112" s="432"/>
      <c r="C112" s="497"/>
      <c r="D112" s="131"/>
      <c r="E112" s="432"/>
      <c r="F112" s="317"/>
      <c r="G112" s="317"/>
      <c r="H112" s="317"/>
      <c r="I112" s="318"/>
      <c r="J112" s="319"/>
      <c r="K112" s="436"/>
      <c r="L112" s="432"/>
      <c r="M112" s="317"/>
      <c r="N112" s="118" t="b">
        <v>0</v>
      </c>
      <c r="O112" s="487"/>
      <c r="Q112" s="284"/>
      <c r="R112" s="285" t="b">
        <v>0</v>
      </c>
      <c r="S112" s="285" t="b">
        <v>0</v>
      </c>
      <c r="T112" s="286" t="b">
        <v>0</v>
      </c>
    </row>
    <row r="113" outlineLevel="1">
      <c r="A113" s="432"/>
      <c r="B113" s="432"/>
      <c r="C113" s="477"/>
      <c r="D113" s="432"/>
      <c r="E113" s="432"/>
      <c r="F113" s="432"/>
      <c r="G113" s="432"/>
      <c r="H113" s="351"/>
      <c r="I113" s="441"/>
      <c r="J113" s="435"/>
      <c r="K113" s="436"/>
      <c r="L113" s="432"/>
      <c r="M113" s="432"/>
      <c r="N113" s="118" t="b">
        <v>0</v>
      </c>
      <c r="O113" s="487"/>
      <c r="Q113" s="438"/>
      <c r="R113" s="285" t="b">
        <v>0</v>
      </c>
      <c r="S113" s="285" t="b">
        <v>0</v>
      </c>
      <c r="T113" s="286" t="b">
        <v>0</v>
      </c>
    </row>
    <row r="114" outlineLevel="1">
      <c r="A114" s="317"/>
      <c r="B114" s="317"/>
      <c r="C114" s="496"/>
      <c r="D114" s="317"/>
      <c r="E114" s="317"/>
      <c r="F114" s="317"/>
      <c r="G114" s="317"/>
      <c r="H114" s="317"/>
      <c r="I114" s="318"/>
      <c r="J114" s="319"/>
      <c r="K114" s="431"/>
      <c r="L114" s="317"/>
      <c r="M114" s="317"/>
      <c r="N114" s="118" t="b">
        <v>0</v>
      </c>
      <c r="O114" s="487"/>
      <c r="Q114" s="284"/>
      <c r="R114" s="285" t="b">
        <v>0</v>
      </c>
      <c r="S114" s="285" t="b">
        <v>0</v>
      </c>
      <c r="T114" s="286" t="b">
        <v>0</v>
      </c>
    </row>
    <row r="115" outlineLevel="1">
      <c r="A115" s="317"/>
      <c r="B115" s="317"/>
      <c r="C115" s="316"/>
      <c r="D115" s="317"/>
      <c r="E115" s="317"/>
      <c r="F115" s="324"/>
      <c r="G115" s="317"/>
      <c r="H115" s="317"/>
      <c r="I115" s="318"/>
      <c r="J115" s="319"/>
      <c r="K115" s="436"/>
      <c r="L115" s="317"/>
      <c r="M115" s="317"/>
      <c r="N115" s="118" t="b">
        <v>0</v>
      </c>
      <c r="O115" s="487"/>
      <c r="Q115" s="284"/>
      <c r="R115" s="285" t="b">
        <v>0</v>
      </c>
      <c r="S115" s="285" t="b">
        <v>0</v>
      </c>
      <c r="T115" s="286" t="b">
        <v>0</v>
      </c>
    </row>
    <row r="116" outlineLevel="1">
      <c r="A116" s="317"/>
      <c r="B116" s="317"/>
      <c r="C116" s="316"/>
      <c r="D116" s="317"/>
      <c r="E116" s="317"/>
      <c r="F116" s="317"/>
      <c r="G116" s="317"/>
      <c r="H116" s="317"/>
      <c r="I116" s="318"/>
      <c r="J116" s="319"/>
      <c r="K116" s="436"/>
      <c r="L116" s="317"/>
      <c r="M116" s="317"/>
      <c r="N116" s="118" t="b">
        <v>0</v>
      </c>
      <c r="O116" s="487"/>
      <c r="Q116" s="284"/>
      <c r="R116" s="285" t="b">
        <v>0</v>
      </c>
      <c r="S116" s="285" t="b">
        <v>0</v>
      </c>
      <c r="T116" s="286" t="b">
        <v>0</v>
      </c>
    </row>
    <row r="117"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outlineLevel="1">
      <c r="A118" s="432"/>
      <c r="B118" s="432"/>
      <c r="C118" s="440"/>
      <c r="D118" s="432"/>
      <c r="E118" s="432"/>
      <c r="F118" s="432"/>
      <c r="G118" s="432"/>
      <c r="H118" s="432"/>
      <c r="I118" s="441"/>
      <c r="J118" s="435"/>
      <c r="K118" s="436"/>
      <c r="L118" s="432"/>
      <c r="M118" s="317"/>
      <c r="N118" s="118" t="b">
        <v>0</v>
      </c>
      <c r="O118" s="487"/>
      <c r="Q118" s="284"/>
      <c r="R118" s="285" t="b">
        <v>0</v>
      </c>
      <c r="S118" s="285" t="b">
        <v>0</v>
      </c>
      <c r="T118" s="286" t="b">
        <v>0</v>
      </c>
    </row>
    <row r="119" outlineLevel="1">
      <c r="A119" s="317"/>
      <c r="B119" s="317"/>
      <c r="C119" s="316"/>
      <c r="D119" s="317"/>
      <c r="E119" s="317"/>
      <c r="F119" s="317"/>
      <c r="G119" s="317"/>
      <c r="H119" s="317"/>
      <c r="I119" s="318"/>
      <c r="J119" s="319"/>
      <c r="K119" s="431"/>
      <c r="L119" s="317"/>
      <c r="M119" s="317"/>
      <c r="N119" s="118" t="b">
        <v>0</v>
      </c>
      <c r="O119" s="487"/>
      <c r="Q119" s="284"/>
      <c r="R119" s="285" t="b">
        <v>0</v>
      </c>
      <c r="S119" s="285" t="b">
        <v>0</v>
      </c>
      <c r="T119" s="286" t="b">
        <v>0</v>
      </c>
    </row>
    <row r="120" outlineLevel="1">
      <c r="A120" s="317"/>
      <c r="B120" s="317"/>
      <c r="C120" s="440"/>
      <c r="D120" s="432"/>
      <c r="E120" s="432"/>
      <c r="F120" s="432"/>
      <c r="G120" s="432"/>
      <c r="H120" s="432"/>
      <c r="I120" s="441"/>
      <c r="J120" s="435"/>
      <c r="K120" s="436"/>
      <c r="L120" s="432"/>
      <c r="M120" s="432"/>
      <c r="N120" s="118" t="b">
        <v>0</v>
      </c>
      <c r="O120" s="487"/>
      <c r="Q120" s="438"/>
      <c r="R120" s="285" t="b">
        <v>0</v>
      </c>
      <c r="S120" s="285" t="b">
        <v>0</v>
      </c>
      <c r="T120" s="286" t="b">
        <v>0</v>
      </c>
    </row>
    <row r="121" outlineLevel="1">
      <c r="A121" s="432"/>
      <c r="B121" s="432"/>
      <c r="C121" s="440"/>
      <c r="D121" s="432"/>
      <c r="E121" s="432"/>
      <c r="F121" s="432"/>
      <c r="G121" s="432"/>
      <c r="H121" s="432"/>
      <c r="I121" s="441"/>
      <c r="J121" s="435"/>
      <c r="K121" s="436"/>
      <c r="L121" s="432"/>
      <c r="M121" s="317"/>
      <c r="N121" s="118" t="b">
        <v>0</v>
      </c>
      <c r="O121" s="487"/>
      <c r="Q121" s="438"/>
      <c r="R121" s="285" t="b">
        <v>0</v>
      </c>
      <c r="S121" s="285" t="b">
        <v>0</v>
      </c>
      <c r="T121" s="286" t="b">
        <v>0</v>
      </c>
    </row>
    <row r="122" outlineLevel="1">
      <c r="A122" s="317"/>
      <c r="B122" s="317"/>
      <c r="C122" s="316"/>
      <c r="D122" s="317"/>
      <c r="E122" s="317"/>
      <c r="F122" s="317"/>
      <c r="G122" s="317"/>
      <c r="H122" s="317"/>
      <c r="I122" s="318"/>
      <c r="J122" s="319"/>
      <c r="K122" s="436"/>
      <c r="L122" s="317"/>
      <c r="M122" s="317"/>
      <c r="N122" s="118" t="b">
        <v>0</v>
      </c>
      <c r="O122" s="487"/>
      <c r="Q122" s="284"/>
      <c r="R122" s="285" t="b">
        <v>0</v>
      </c>
      <c r="S122" s="285" t="b">
        <v>0</v>
      </c>
      <c r="T122" s="286" t="b">
        <v>0</v>
      </c>
    </row>
    <row r="123" outlineLevel="1">
      <c r="A123" s="317"/>
      <c r="B123" s="317"/>
      <c r="C123" s="316"/>
      <c r="D123" s="317"/>
      <c r="E123" s="317"/>
      <c r="F123" s="317"/>
      <c r="G123" s="317"/>
      <c r="H123" s="317"/>
      <c r="I123" s="318"/>
      <c r="J123" s="319"/>
      <c r="K123" s="431"/>
      <c r="L123" s="317"/>
      <c r="M123" s="317"/>
      <c r="N123" s="118" t="b">
        <v>0</v>
      </c>
      <c r="O123" s="487"/>
      <c r="Q123" s="284"/>
      <c r="R123" s="285" t="b">
        <v>0</v>
      </c>
      <c r="S123" s="285" t="b">
        <v>0</v>
      </c>
      <c r="T123" s="286" t="b">
        <v>0</v>
      </c>
    </row>
    <row r="124" outlineLevel="1">
      <c r="A124" s="317"/>
      <c r="B124" s="317"/>
      <c r="C124" s="316"/>
      <c r="D124" s="317"/>
      <c r="E124" s="317"/>
      <c r="F124" s="317"/>
      <c r="G124" s="317"/>
      <c r="H124" s="317"/>
      <c r="I124" s="318"/>
      <c r="J124" s="319"/>
      <c r="K124" s="436"/>
      <c r="L124" s="317"/>
      <c r="M124" s="317"/>
      <c r="N124" s="118" t="b">
        <v>0</v>
      </c>
      <c r="O124" s="487"/>
      <c r="Q124" s="284"/>
      <c r="R124" s="285" t="b">
        <v>0</v>
      </c>
      <c r="S124" s="285" t="b">
        <v>0</v>
      </c>
      <c r="T124" s="286" t="b">
        <v>0</v>
      </c>
    </row>
    <row r="125" outlineLevel="1">
      <c r="A125" s="317"/>
      <c r="B125" s="317"/>
      <c r="C125" s="316"/>
      <c r="D125" s="317"/>
      <c r="E125" s="317"/>
      <c r="F125" s="317"/>
      <c r="G125" s="317"/>
      <c r="H125" s="317"/>
      <c r="I125" s="318"/>
      <c r="J125" s="319"/>
      <c r="K125" s="431"/>
      <c r="L125" s="317"/>
      <c r="M125" s="317"/>
      <c r="N125" s="118" t="b">
        <v>0</v>
      </c>
      <c r="O125" s="487"/>
      <c r="Q125" s="284"/>
      <c r="R125" s="285" t="b">
        <v>0</v>
      </c>
      <c r="S125" s="285" t="b">
        <v>0</v>
      </c>
      <c r="T125" s="286" t="b">
        <v>0</v>
      </c>
    </row>
    <row r="126"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outlineLevel="1">
      <c r="A129" s="317"/>
      <c r="B129" s="317"/>
      <c r="C129" s="316"/>
      <c r="D129" s="317"/>
      <c r="E129" s="317"/>
      <c r="F129" s="317"/>
      <c r="G129" s="317"/>
      <c r="H129" s="317"/>
      <c r="I129" s="318"/>
      <c r="J129" s="435"/>
      <c r="K129" s="431"/>
      <c r="L129" s="317"/>
      <c r="M129" s="317"/>
      <c r="N129" s="118" t="b">
        <v>0</v>
      </c>
      <c r="O129" s="487"/>
      <c r="Q129" s="284"/>
      <c r="R129" s="285" t="b">
        <v>0</v>
      </c>
      <c r="S129" s="285" t="b">
        <v>0</v>
      </c>
      <c r="T129" s="286" t="b">
        <v>0</v>
      </c>
    </row>
    <row r="130" outlineLevel="1">
      <c r="A130" s="317"/>
      <c r="B130" s="317"/>
      <c r="C130" s="316"/>
      <c r="D130" s="317"/>
      <c r="E130" s="317"/>
      <c r="F130" s="317"/>
      <c r="G130" s="317"/>
      <c r="H130" s="317"/>
      <c r="I130" s="318"/>
      <c r="J130" s="319"/>
      <c r="K130" s="436"/>
      <c r="L130" s="317"/>
      <c r="M130" s="317"/>
      <c r="N130" s="118" t="b">
        <v>0</v>
      </c>
      <c r="O130" s="487"/>
      <c r="Q130" s="284"/>
      <c r="R130" s="285" t="b">
        <v>0</v>
      </c>
      <c r="S130" s="285" t="b">
        <v>0</v>
      </c>
      <c r="T130" s="286" t="b">
        <v>0</v>
      </c>
    </row>
    <row r="13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outlineLevel="1">
      <c r="A132" s="317"/>
      <c r="B132" s="317"/>
      <c r="C132" s="444"/>
      <c r="D132" s="317"/>
      <c r="E132" s="317"/>
      <c r="F132" s="317"/>
      <c r="G132" s="317"/>
      <c r="H132" s="317"/>
      <c r="I132" s="318"/>
      <c r="J132" s="319"/>
      <c r="K132" s="436"/>
      <c r="L132" s="317"/>
      <c r="M132" s="317"/>
      <c r="N132" s="118" t="b">
        <v>0</v>
      </c>
      <c r="O132" s="487"/>
      <c r="Q132" s="284"/>
      <c r="R132" s="285" t="b">
        <v>0</v>
      </c>
      <c r="S132" s="285" t="b">
        <v>0</v>
      </c>
      <c r="T132" s="286" t="b">
        <v>0</v>
      </c>
    </row>
    <row r="133"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outlineLevel="1">
      <c r="A138" s="317"/>
      <c r="B138" s="317"/>
      <c r="C138" s="444"/>
      <c r="D138" s="317"/>
      <c r="E138" s="317"/>
      <c r="F138" s="317"/>
      <c r="G138" s="317"/>
      <c r="H138" s="317"/>
      <c r="I138" s="318"/>
      <c r="J138" s="435"/>
      <c r="K138" s="431"/>
      <c r="L138" s="317"/>
      <c r="M138" s="317"/>
      <c r="N138" s="118" t="b">
        <v>0</v>
      </c>
      <c r="O138" s="487"/>
      <c r="Q138" s="284"/>
      <c r="R138" s="285" t="b">
        <v>0</v>
      </c>
      <c r="S138" s="285" t="b">
        <v>0</v>
      </c>
      <c r="T138" s="286" t="b">
        <v>0</v>
      </c>
    </row>
    <row r="139"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outlineLevel="1">
      <c r="A140" s="317"/>
      <c r="B140" s="317"/>
      <c r="C140" s="444"/>
      <c r="D140" s="317"/>
      <c r="E140" s="317"/>
      <c r="F140" s="317"/>
      <c r="G140" s="317"/>
      <c r="H140" s="317"/>
      <c r="I140" s="318"/>
      <c r="J140" s="319"/>
      <c r="K140" s="436"/>
      <c r="L140" s="317"/>
      <c r="M140" s="317"/>
      <c r="N140" s="118" t="b">
        <v>0</v>
      </c>
      <c r="O140" s="487"/>
      <c r="Q140" s="284"/>
      <c r="R140" s="285" t="b">
        <v>0</v>
      </c>
      <c r="S140" s="285" t="b">
        <v>0</v>
      </c>
      <c r="T140" s="286" t="b">
        <v>0</v>
      </c>
    </row>
    <row r="14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outlineLevel="1">
      <c r="A142" s="317"/>
      <c r="B142" s="317"/>
      <c r="C142" s="498"/>
      <c r="D142" s="336"/>
      <c r="E142" s="336"/>
      <c r="F142" s="420"/>
      <c r="G142" s="317"/>
      <c r="H142" s="317"/>
      <c r="I142" s="318"/>
      <c r="J142" s="319"/>
      <c r="K142" s="431"/>
      <c r="L142" s="317"/>
      <c r="M142" s="317"/>
      <c r="N142" s="118" t="b">
        <v>0</v>
      </c>
      <c r="O142" s="487"/>
      <c r="Q142" s="284"/>
      <c r="R142" s="285" t="b">
        <v>0</v>
      </c>
      <c r="S142" s="285" t="b">
        <v>0</v>
      </c>
      <c r="T142" s="286" t="b">
        <v>0</v>
      </c>
    </row>
    <row r="143" outlineLevel="1">
      <c r="A143" s="317"/>
      <c r="B143" s="317"/>
      <c r="C143" s="498"/>
      <c r="D143" s="279"/>
      <c r="E143" s="279"/>
      <c r="F143" s="346"/>
      <c r="G143" s="317"/>
      <c r="H143" s="317"/>
      <c r="I143" s="318"/>
      <c r="J143" s="319"/>
      <c r="K143" s="431"/>
      <c r="L143" s="317"/>
      <c r="M143" s="317"/>
      <c r="N143" s="118" t="b">
        <v>0</v>
      </c>
      <c r="O143" s="487"/>
      <c r="Q143" s="284"/>
      <c r="R143" s="285" t="b">
        <v>0</v>
      </c>
      <c r="S143" s="285" t="b">
        <v>0</v>
      </c>
      <c r="T143" s="286" t="b">
        <v>0</v>
      </c>
    </row>
    <row r="144" outlineLevel="1">
      <c r="A144" s="432"/>
      <c r="B144" s="432"/>
      <c r="C144" s="440"/>
      <c r="D144" s="432"/>
      <c r="E144" s="432"/>
      <c r="F144" s="432"/>
      <c r="G144" s="432"/>
      <c r="H144" s="351"/>
      <c r="I144" s="441"/>
      <c r="J144" s="319"/>
      <c r="K144" s="436"/>
      <c r="L144" s="317"/>
      <c r="M144" s="432"/>
      <c r="N144" s="118" t="b">
        <v>0</v>
      </c>
      <c r="O144" s="487"/>
      <c r="Q144" s="284"/>
      <c r="R144" s="285" t="b">
        <v>0</v>
      </c>
      <c r="S144" s="285" t="b">
        <v>0</v>
      </c>
      <c r="T144" s="286" t="b">
        <v>0</v>
      </c>
    </row>
    <row r="145" outlineLevel="1">
      <c r="A145" s="317"/>
      <c r="B145" s="317"/>
      <c r="C145" s="316"/>
      <c r="D145" s="317"/>
      <c r="E145" s="317"/>
      <c r="F145" s="317"/>
      <c r="G145" s="317"/>
      <c r="H145" s="317"/>
      <c r="I145" s="318"/>
      <c r="J145" s="319"/>
      <c r="K145" s="436"/>
      <c r="L145" s="317"/>
      <c r="M145" s="317"/>
      <c r="N145" s="118" t="b">
        <v>0</v>
      </c>
      <c r="O145" s="487"/>
      <c r="Q145" s="284"/>
      <c r="R145" s="285" t="b">
        <v>0</v>
      </c>
      <c r="S145" s="285" t="b">
        <v>0</v>
      </c>
      <c r="T145" s="286" t="b">
        <v>0</v>
      </c>
    </row>
    <row r="146"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outlineLevel="1">
      <c r="A147" s="317"/>
      <c r="B147" s="317"/>
      <c r="C147" s="316"/>
      <c r="D147" s="317"/>
      <c r="E147" s="317"/>
      <c r="F147" s="445"/>
      <c r="G147" s="317"/>
      <c r="H147" s="317"/>
      <c r="I147" s="318"/>
      <c r="J147" s="435"/>
      <c r="K147" s="431"/>
      <c r="L147" s="317"/>
      <c r="M147" s="317"/>
      <c r="N147" s="118" t="b">
        <v>0</v>
      </c>
      <c r="O147" s="487"/>
      <c r="Q147" s="284"/>
      <c r="R147" s="285" t="b">
        <v>0</v>
      </c>
      <c r="S147" s="285" t="b">
        <v>0</v>
      </c>
      <c r="T147" s="286" t="b">
        <v>0</v>
      </c>
    </row>
    <row r="148">
      <c r="A148" s="348" t="s">
        <v>116</v>
      </c>
      <c r="B148" s="349">
        <f>COUNTIF(B77:B147,"ONLINE")+COUNTIF(B77:B147,"SEDE*")</f>
        <v>14</v>
      </c>
      <c r="C148" s="348" t="s">
        <v>116</v>
      </c>
      <c r="D148" s="349">
        <f t="shared" ref="D148:E148" si="7">COUNTIF(D77:D147, "*")</f>
        <v>14</v>
      </c>
      <c r="E148" s="349">
        <f t="shared" si="7"/>
        <v>14</v>
      </c>
      <c r="F148" s="480">
        <f>COUNTA(F77:F147)</f>
        <v>14</v>
      </c>
      <c r="G148" s="349">
        <f t="shared" ref="G148:H148" si="8">COUNTIF(G77:G147, "*")</f>
        <v>14</v>
      </c>
      <c r="H148" s="349">
        <f t="shared" si="8"/>
        <v>14</v>
      </c>
      <c r="I148" s="348" t="s">
        <v>116</v>
      </c>
      <c r="J148" s="481">
        <f t="shared" ref="J148:K148" si="9">SUM(J77:J147)</f>
        <v>202</v>
      </c>
      <c r="K148" s="482">
        <f t="shared" si="9"/>
        <v>225</v>
      </c>
      <c r="L148" s="349">
        <f t="shared" ref="L148:M148" si="10">COUNTIF(L77:L147, "*")</f>
        <v>8</v>
      </c>
      <c r="M148" s="349">
        <f t="shared" si="10"/>
        <v>14</v>
      </c>
      <c r="N148" s="349">
        <f>SUMPRODUCT(--N77:N147)</f>
        <v>13</v>
      </c>
      <c r="O148" s="349">
        <f t="shared" ref="O148:Q148" si="11">COUNTIF(O77:O147, "*")</f>
        <v>1</v>
      </c>
      <c r="P148" s="349">
        <f t="shared" si="11"/>
        <v>0</v>
      </c>
      <c r="Q148" s="349">
        <f t="shared" si="11"/>
        <v>14</v>
      </c>
      <c r="R148" s="349">
        <f t="shared" ref="R148:T148" si="12">SUMPRODUCT(--R77:R147)</f>
        <v>12</v>
      </c>
      <c r="S148" s="349">
        <f t="shared" si="12"/>
        <v>1</v>
      </c>
      <c r="T148" s="349">
        <f t="shared" si="12"/>
        <v>3</v>
      </c>
    </row>
    <row r="149">
      <c r="A149" s="245" t="s">
        <v>117</v>
      </c>
      <c r="B149" s="246">
        <f>COUNTIF(B77:B147, "SEDE*")</f>
        <v>4</v>
      </c>
      <c r="C149" s="351"/>
      <c r="D149" s="351"/>
      <c r="E149" s="351"/>
      <c r="F149" s="351"/>
      <c r="G149" s="351"/>
      <c r="H149" s="245" t="s">
        <v>1974</v>
      </c>
      <c r="I149" s="355" t="s">
        <v>121</v>
      </c>
      <c r="J149" s="483" t="str">
        <f>COUNTIFS($B$77:$B$147,"*SEDE*",$J$77:$J$147, $F$154)&amp; " da €"&amp;$F$154</f>
        <v>0 da €27</v>
      </c>
      <c r="K149" s="484" t="str">
        <f>COUNTIFS($B$77:$B$147,"*SEDE*",$K$77:$K$147, $F$153)&amp; " da €"&amp;$F$153</f>
        <v>2 da €25</v>
      </c>
      <c r="L149" s="368" t="str">
        <f>COUNTIFS($B$77:$B$147,"*SEDE*",$J$77:$J$147, $F$156)&amp; " da €"&amp;$F$156</f>
        <v>0 da €32</v>
      </c>
      <c r="M149" s="369" t="str">
        <f>COUNTIFS($B$77:$B$147,"*SEDE*",$K$77:$K$147, $F$155)&amp; " da €"&amp;$F$155</f>
        <v>2 da €30</v>
      </c>
      <c r="N149" s="365" t="str">
        <f>COUNTIFS($B$77:$B$147,"*SEDE*",$J$77:$J$147, $G$154)&amp; " da €"&amp;$G$154</f>
        <v>0 da €37</v>
      </c>
      <c r="O149" s="373" t="str">
        <f>COUNTIFS($B$77:$B$147,"*SEDE*",$K$77:$K$147, $G$153)&amp; " da €"&amp;$G$153</f>
        <v>0 da €35</v>
      </c>
      <c r="P149" s="499" t="s">
        <v>40</v>
      </c>
      <c r="Q149" s="486">
        <f>SUM(J150,K150,L150,M150,N150,O150)</f>
        <v>110</v>
      </c>
      <c r="R149" s="500"/>
      <c r="S149" s="351"/>
      <c r="T149" s="351"/>
    </row>
    <row r="150">
      <c r="A150" s="245" t="s">
        <v>74</v>
      </c>
      <c r="B150" s="246">
        <f>COUNTIF(B77:B147, "ONLINE")</f>
        <v>10</v>
      </c>
      <c r="C150" s="245"/>
      <c r="D150" s="317"/>
      <c r="E150" s="351"/>
      <c r="I150" s="367" t="s">
        <v>122</v>
      </c>
      <c r="J150" s="368">
        <f>SUMIFS($J$77:$J$147,$B$77:$B$147,"*SEDE*",$J$77:$J$147,$F$154)</f>
        <v>0</v>
      </c>
      <c r="K150" s="436">
        <f>SUMIFS($K$77:$K$147,$B$77:$B$147,"*SEDE*",$K$77:$K$147,$F$153)</f>
        <v>50</v>
      </c>
      <c r="L150" s="368">
        <f>SUMIFS($J$77:$J$147,$B$77:$B$147,"*SEDE*",$J$77:$J$147,$F$156)</f>
        <v>0</v>
      </c>
      <c r="M150" s="436">
        <f>SUMIFS($K$77:$K$147,$B$77:$B$147,"*SEDE*",$K$77:$K$147,$F$155)</f>
        <v>60</v>
      </c>
      <c r="N150" s="501">
        <f>SUMIFS($J$77:$J$147,$B$77:$B$147,"*SEDE*",$J$77:$J$147,$G$154)</f>
        <v>0</v>
      </c>
      <c r="O150" s="436">
        <f>SUMIFS($K$77:$K$147,$B$77:$B$147,"*SEDE*",$K$77:$K$147,$G$153)</f>
        <v>0</v>
      </c>
      <c r="R150" s="500"/>
      <c r="S150" s="351"/>
      <c r="T150" s="351"/>
    </row>
    <row r="151">
      <c r="A151" s="245"/>
      <c r="B151" s="246"/>
      <c r="C151" s="245"/>
      <c r="D151" s="351"/>
      <c r="E151" s="351"/>
      <c r="F151" s="502"/>
      <c r="G151" s="503"/>
      <c r="I151" s="355" t="s">
        <v>123</v>
      </c>
      <c r="J151" s="368" t="str">
        <f>COUNTIFS($B$77:$B$147,"*ONLINE*",$J$77:$J$147, $F$154)&amp; " da €"&amp;$F$154</f>
        <v>2 da €27</v>
      </c>
      <c r="K151" s="484" t="str">
        <f>COUNTIFS($B$77:$B$147,"*ONLINE*",$K$77:$K$147, $F$153)&amp; " da €"&amp;$F$153</f>
        <v>1 da €25</v>
      </c>
      <c r="L151" s="368" t="str">
        <f>COUNTIFS($B$77:$B$147,"*ONLINE*",$J$77:$J$147, $F$156)&amp; " da €"&amp;$F$156</f>
        <v>3 da €32</v>
      </c>
      <c r="M151" s="369" t="str">
        <f>COUNTIFS($B$77:$B$147,"*ONLINE*",$K$77:$K$147, $F$155)&amp; " da €"&amp;$F$155</f>
        <v>3 da €30</v>
      </c>
      <c r="N151" s="483" t="str">
        <f>COUNTIFS($B$77:$B$147,"*ONLINE*",$J$77:$J$147, $G$154)&amp; " da €"&amp;$G$154</f>
        <v>0 da €37</v>
      </c>
      <c r="O151" s="484" t="str">
        <f>COUNTIFS($B$77:$B$147,"*ONLINE*",$K$77:$K$147, $G$153)&amp; " da €"&amp;$G$153</f>
        <v>0 da €35</v>
      </c>
      <c r="P151" s="485" t="s">
        <v>40</v>
      </c>
      <c r="Q151" s="486">
        <f>SUM(J152,K152,L152,M152,N152,O152)</f>
        <v>265</v>
      </c>
      <c r="R151" s="500"/>
      <c r="S151" s="351"/>
      <c r="T151" s="351"/>
    </row>
    <row r="152">
      <c r="A152" s="379"/>
      <c r="B152" s="379"/>
      <c r="C152" s="245"/>
      <c r="D152" s="351"/>
      <c r="E152" s="351"/>
      <c r="F152" s="502"/>
      <c r="G152" s="503"/>
      <c r="H152" s="196"/>
      <c r="I152" s="355" t="s">
        <v>124</v>
      </c>
      <c r="J152" s="483">
        <f>SUMIFS($J$77:$J$147,$B$77:$B$147,"*ONLINE*",$J$77:$J$147,$F$154)</f>
        <v>54</v>
      </c>
      <c r="K152" s="484">
        <f>SUMIFS($K$77:$K$147,$B$77:$B$147,"*ONLINE*",$K$77:$K$147,$F$153)</f>
        <v>25</v>
      </c>
      <c r="L152" s="368">
        <f>SUMIFS($J$77:$J$147,$B$77:$B$147,"*ONLINE*",$J$77:$J$147,$F$156)</f>
        <v>96</v>
      </c>
      <c r="M152" s="436">
        <f>SUMIFS($K$77:$K$147,$B$77:$B$147,"*ONLINE*",$K$77:$K$147,$F$155)</f>
        <v>90</v>
      </c>
      <c r="N152" s="365">
        <f>SUMIFS($J$77:$J$147,$B$77:$B$147,"*ONLINE*",$J$77:$J$147,$G$154)</f>
        <v>0</v>
      </c>
      <c r="O152" s="436">
        <f>SUMIFS($K$77:$K$147,$B$77:$B$147,"*ONLINE*",$K$77:$K$147,$G$153)</f>
        <v>0</v>
      </c>
      <c r="P152" s="196"/>
      <c r="Q152" s="196"/>
      <c r="R152" s="245" t="s">
        <v>120</v>
      </c>
      <c r="S152" s="378" t="str">
        <f>IF(SUM(J148:K148) = SUM(Q149:Q152), "OK", "ERRORE")</f>
        <v>ERRORE</v>
      </c>
      <c r="T152" s="351"/>
    </row>
    <row r="153">
      <c r="A153" s="208" t="s">
        <v>127</v>
      </c>
      <c r="B153" s="504">
        <f t="shared" ref="B153:B154" si="13">SUM(B72,B149)</f>
        <v>4</v>
      </c>
      <c r="C153" s="505"/>
      <c r="D153" s="452"/>
      <c r="E153" s="506" t="s">
        <v>1596</v>
      </c>
      <c r="F153" s="353">
        <v>25.0</v>
      </c>
      <c r="G153" s="507">
        <v>35.0</v>
      </c>
      <c r="H153" s="508" t="s">
        <v>1975</v>
      </c>
      <c r="I153" s="509" t="s">
        <v>132</v>
      </c>
      <c r="J153" s="510" t="str">
        <f>COUNTIFS($B$4:$B$70,"*SEDE*",$J$4:$J$70, $F$154)+COUNTIFS($B$77:$B$147,"*SEDE*",$J$77:$J$147, $F$154)&amp; " da €"&amp;$F$154</f>
        <v>0 da €27</v>
      </c>
      <c r="K153" s="511" t="str">
        <f>COUNTIFS($B$4:$B$70,"*SEDE*",$K$4:$K$70, $F$153)+COUNTIFS($B$77:$B$147,"*SEDE*",$K$77:$K$147, $F$153)&amp; " da €"&amp;$F$153</f>
        <v>2 da €25</v>
      </c>
      <c r="L153" s="510" t="str">
        <f>COUNTIFS($B$4:$B$70,"*SEDE*",$J$4:$J$70, $F$156)+COUNTIFS($B$77:$B$147,"*SEDE*",$J$77:$J$147, $F$156)&amp; " da €"&amp;$F$156</f>
        <v>0 da €32</v>
      </c>
      <c r="M153" s="511" t="str">
        <f>COUNTIFS($B$4:$B$70,"*SEDE*",$K$4:$K$70, $F$155)+COUNTIFS($B$77:$B$147,"*SEDE*",$K$77:$K$147, $F$155)&amp; " da €"&amp;$F$155</f>
        <v>2 da €30</v>
      </c>
      <c r="N153" s="510" t="str">
        <f>COUNTIFS($B$4:$B$70,"*SEDE*",$J$4:$J$70, $G$154)+COUNTIFS($B$77:$B$147,"*SEDE*",$J$77:$J$147, $G$154)&amp; " da €"&amp;$G$154</f>
        <v>0 da €37</v>
      </c>
      <c r="O153" s="511" t="str">
        <f>COUNTIFS($B$4:$B$70,"*SEDE*",$K$4:$K$70, $G$153)+COUNTIFS($B$77:$B$147,"*SEDE*",$K$77:$K$147, $G$153)&amp; " da €"&amp;$G$153</f>
        <v>0 da €35</v>
      </c>
      <c r="P153" s="512" t="s">
        <v>127</v>
      </c>
      <c r="Q153" s="359">
        <f>SUM(J154,K154,L154,M154,N154,O154)</f>
        <v>110</v>
      </c>
      <c r="R153" s="205" t="s">
        <v>130</v>
      </c>
      <c r="S153" s="513">
        <f>SUM(J71,K71,J148,K148)</f>
        <v>427</v>
      </c>
      <c r="T153" s="207"/>
    </row>
    <row r="154">
      <c r="A154" s="208" t="s">
        <v>131</v>
      </c>
      <c r="B154" s="504">
        <f t="shared" si="13"/>
        <v>10</v>
      </c>
      <c r="C154" s="245"/>
      <c r="D154" s="351"/>
      <c r="E154" s="514"/>
      <c r="F154" s="365">
        <v>27.0</v>
      </c>
      <c r="G154" s="319">
        <v>37.0</v>
      </c>
      <c r="I154" s="515" t="s">
        <v>122</v>
      </c>
      <c r="J154" s="455">
        <f t="shared" ref="J154:O154" si="14">SUM(J73,J150)</f>
        <v>0</v>
      </c>
      <c r="K154" s="456">
        <f t="shared" si="14"/>
        <v>50</v>
      </c>
      <c r="L154" s="455">
        <f t="shared" si="14"/>
        <v>0</v>
      </c>
      <c r="M154" s="456">
        <f t="shared" si="14"/>
        <v>60</v>
      </c>
      <c r="N154" s="455">
        <f t="shared" si="14"/>
        <v>0</v>
      </c>
      <c r="O154" s="456">
        <f t="shared" si="14"/>
        <v>0</v>
      </c>
    </row>
    <row r="155">
      <c r="A155" s="213" t="s">
        <v>133</v>
      </c>
      <c r="B155" s="371">
        <f>SUM(B153:B154)</f>
        <v>14</v>
      </c>
      <c r="C155" s="245"/>
      <c r="D155" s="351"/>
      <c r="E155" s="514"/>
      <c r="F155" s="373">
        <v>30.0</v>
      </c>
      <c r="G155" s="431">
        <v>0.0</v>
      </c>
      <c r="I155" s="515" t="s">
        <v>135</v>
      </c>
      <c r="J155" s="483" t="str">
        <f>COUNTIFS($B$4:$B$70,"*ONLINE*",$J$4:$J$70, $F$154)+COUNTIFS($B$77:$B$147,"*ONLINE*",$J$77:$J$147, $F$154)&amp; " da €"&amp;$F$154</f>
        <v>2 da €27</v>
      </c>
      <c r="K155" s="92" t="str">
        <f>COUNTIFS($B$4:$B$70,"*ONLINE*",$K$4:$K$70, $F$153)+COUNTIFS($B$77:$B$147,"*ONLINE*",$K$77:$K$147, $F$153)&amp; " da €"&amp;$F$153</f>
        <v>1 da €25</v>
      </c>
      <c r="L155" s="516" t="str">
        <f>COUNTIFS($B$4:$B$70,"*ONLINE*",$J$4:$J$70, $F$156)+COUNTIFS($B$77:$B$147,"*ONLINE*",$J$77:$J$147, $F$156)&amp; " da €"&amp;$F$156</f>
        <v>3 da €32</v>
      </c>
      <c r="M155" s="92" t="str">
        <f>COUNTIFS($B$4:$B$70,"*ONLINE*",$K$4:$K$70, $F$155)+COUNTIFS($B$77:$B$147,"*ONLINE*",$K$77:$K$147, $F$155)&amp; " da €"&amp;$F$155</f>
        <v>3 da €30</v>
      </c>
      <c r="N155" s="516" t="str">
        <f>COUNTIFS($B$4:$B$70,"*ONLINE*",$J$4:$J$70, $G$154)+COUNTIFS($B$77:$B$147,"*ONLINE*",$J$77:$J$147, $G$154)&amp; " da €"&amp;$G$154</f>
        <v>0 da €37</v>
      </c>
      <c r="O155" s="92" t="str">
        <f>COUNTIFS($B$4:$B$70,"*ONLINE*",$K$4:$K$70, $G$153)+COUNTIFS($B$77:$B$147,"*ONLINE*",$K$77:$K$147, $G$153)&amp; " da €"&amp;$G$153</f>
        <v>0 da €35</v>
      </c>
      <c r="P155" s="512" t="s">
        <v>131</v>
      </c>
      <c r="Q155" s="359">
        <f>SUM(J156,K156,L156,M156,N156,O156)</f>
        <v>265</v>
      </c>
    </row>
    <row r="156">
      <c r="A156" s="517" t="s">
        <v>134</v>
      </c>
      <c r="B156" s="518">
        <f>COUNTIF(M4:M147,"*NON TESSERATO*")</f>
        <v>3</v>
      </c>
      <c r="C156" s="245"/>
      <c r="D156" s="351"/>
      <c r="E156" s="519"/>
      <c r="F156" s="382">
        <v>32.0</v>
      </c>
      <c r="G156" s="520">
        <v>0.0</v>
      </c>
      <c r="H156" s="196"/>
      <c r="I156" s="521" t="s">
        <v>124</v>
      </c>
      <c r="J156" s="522">
        <f t="shared" ref="J156:O156" si="15">SUM(J75,J152)</f>
        <v>54</v>
      </c>
      <c r="K156" s="523">
        <f t="shared" si="15"/>
        <v>25</v>
      </c>
      <c r="L156" s="522">
        <f t="shared" si="15"/>
        <v>96</v>
      </c>
      <c r="M156" s="523">
        <f t="shared" si="15"/>
        <v>90</v>
      </c>
      <c r="N156" s="522">
        <f t="shared" si="15"/>
        <v>0</v>
      </c>
      <c r="O156" s="523">
        <f t="shared" si="15"/>
        <v>0</v>
      </c>
      <c r="P156" s="196"/>
      <c r="Q156" s="196"/>
      <c r="R156" s="196"/>
      <c r="S156" s="196"/>
      <c r="T156" s="196"/>
    </row>
    <row r="157">
      <c r="A157" s="524" t="s">
        <v>136</v>
      </c>
      <c r="B157" s="525">
        <f>COUNTIF(M4:M147,"*TESSERATO*")-COUNTIF(M4:M147,"*NON TESSERATO*")</f>
        <v>11</v>
      </c>
      <c r="C157" s="245"/>
      <c r="D157" s="351"/>
      <c r="E157" s="526"/>
      <c r="F157" s="485"/>
      <c r="G157" s="527"/>
      <c r="H157" s="508"/>
      <c r="I157" s="515"/>
      <c r="J157" s="528"/>
      <c r="K157" s="528"/>
      <c r="L157" s="528"/>
      <c r="M157" s="528"/>
      <c r="N157" s="528"/>
      <c r="O157" s="528"/>
      <c r="P157" s="529"/>
      <c r="Q157" s="530"/>
      <c r="R157" s="531"/>
      <c r="S157" s="530"/>
      <c r="T157"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70:P70"/>
    <mergeCell ref="H72:H75"/>
    <mergeCell ref="P72:P73"/>
    <mergeCell ref="Q72:Q73"/>
    <mergeCell ref="P74:P75"/>
    <mergeCell ref="Q74:Q75"/>
    <mergeCell ref="A76:Q76"/>
    <mergeCell ref="O63:P63"/>
    <mergeCell ref="O64:P64"/>
    <mergeCell ref="O65:P65"/>
    <mergeCell ref="O66:P66"/>
    <mergeCell ref="O67:P67"/>
    <mergeCell ref="O68:P68"/>
    <mergeCell ref="O69:P69"/>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P151:P152"/>
    <mergeCell ref="P153:P154"/>
    <mergeCell ref="Q153:Q154"/>
    <mergeCell ref="R153:R156"/>
    <mergeCell ref="S153:T156"/>
    <mergeCell ref="Q155:Q156"/>
    <mergeCell ref="O147:P147"/>
    <mergeCell ref="H149:H152"/>
    <mergeCell ref="P149:P150"/>
    <mergeCell ref="Q149:Q150"/>
    <mergeCell ref="Q151:Q152"/>
    <mergeCell ref="E153:E156"/>
    <mergeCell ref="H153:H156"/>
    <mergeCell ref="P155:P156"/>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s>
  <conditionalFormatting sqref="A4:P70 T4:T70 A77:P147 T77:T147">
    <cfRule type="expression" dxfId="0" priority="1">
      <formula>$T4</formula>
    </cfRule>
  </conditionalFormatting>
  <conditionalFormatting sqref="S75 S152">
    <cfRule type="cellIs" dxfId="2" priority="2" operator="equal">
      <formula>"ERRORE"</formula>
    </cfRule>
  </conditionalFormatting>
  <conditionalFormatting sqref="S75 S152">
    <cfRule type="cellIs" dxfId="0" priority="3" operator="equal">
      <formula>"OK"</formula>
    </cfRule>
  </conditionalFormatting>
  <conditionalFormatting sqref="S4:S70 S77:S147">
    <cfRule type="expression" dxfId="1" priority="4">
      <formula>$S4</formula>
    </cfRule>
  </conditionalFormatting>
  <conditionalFormatting sqref="S4:S70 S77:S147">
    <cfRule type="expression" dxfId="2" priority="5">
      <formula>$M4="DIGIT - TESSERATO"</formula>
    </cfRule>
  </conditionalFormatting>
  <conditionalFormatting sqref="R4:R70 R77:R147">
    <cfRule type="expression" dxfId="3" priority="6">
      <formula>$R4</formula>
    </cfRule>
  </conditionalFormatting>
  <conditionalFormatting sqref="R4:R70 R77:R147">
    <cfRule type="expression" dxfId="4" priority="7">
      <formula>$M4="CASH - TESSERATO"</formula>
    </cfRule>
  </conditionalFormatting>
  <conditionalFormatting sqref="R4:R70 R77:R147">
    <cfRule type="expression" dxfId="4" priority="8">
      <formula>$M4="CASH - NON TESSERATO"</formula>
    </cfRule>
  </conditionalFormatting>
  <conditionalFormatting sqref="S4:S70 S77:S147">
    <cfRule type="expression" dxfId="2" priority="9">
      <formula>$M4="DIGIT - NON TESSERATO"</formula>
    </cfRule>
  </conditionalFormatting>
  <conditionalFormatting sqref="Q4:Q70 Q77:Q147">
    <cfRule type="expression" dxfId="0" priority="10">
      <formula>ISBLANK($Q4)=FALSE</formula>
    </cfRule>
  </conditionalFormatting>
  <conditionalFormatting sqref="A4:P70 A77:P147">
    <cfRule type="expression" dxfId="5" priority="11">
      <formula>$N4</formula>
    </cfRule>
  </conditionalFormatting>
  <dataValidations>
    <dataValidation type="list" allowBlank="1" showInputMessage="1" prompt="Fai clic e immetti un valore dall'elenco di elementi" sqref="M4:M70 M77:M147">
      <formula1>"CASH - TESSERATO,CASH - NON TESSERATO,DIGIT - TESSERATO,DIGIT - NON TESSERATO"</formula1>
    </dataValidation>
    <dataValidation type="list" allowBlank="1" showInputMessage="1" showErrorMessage="1" prompt="Fai clic e immetti un valore dall'intervallo" sqref="A4:A70 A77:A147">
      <formula1>elenchi!$M$2:$M$99</formula1>
    </dataValidation>
    <dataValidation type="list" allowBlank="1" showErrorMessage="1" sqref="B4:B70 B77:B147">
      <formula1>"ONLINE,SEDE Estefany,SEDE Giuditta,SEDE Alexandra,SEDE Nura,SEDE Joel"</formula1>
    </dataValidation>
    <dataValidation type="list" allowBlank="1" showErrorMessage="1" sqref="L4 L6:L70 L77:L147">
      <formula1>"NURA02WS,GIUDITTA02WS,ALEXANDRA02WS,ESTEFANY02WS,JOEL02WS,MASSI02WS,SANTO02WS,SARA02WS,OMAGGIO100"</formula1>
    </dataValidation>
    <dataValidation type="list" allowBlank="1" sqref="Q4:Q70 Q77:Q147">
      <formula1>"INSERITO,CELL,EMAIL,COD FISCALE,INDIRIZZO"</formula1>
    </dataValidation>
    <dataValidation type="custom" allowBlank="1" showDropDown="1" showInputMessage="1" prompt="Immetti una data valida" sqref="I4:I5 C4:C70 I7:I70 C77:C147 I77:I147">
      <formula1>OR(NOT(ISERROR(DATEVALUE(C4))), AND(ISNUMBER(C4), LEFT(CELL("format", C4))="D"))</formula1>
    </dataValidation>
  </dataValidations>
  <hyperlinks>
    <hyperlink r:id="rId4" location="gid=1590755031"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1976</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1977</v>
      </c>
      <c r="R3" s="464" t="s">
        <v>1945</v>
      </c>
      <c r="S3" s="464"/>
      <c r="T3" s="464"/>
    </row>
    <row r="4" outlineLevel="1">
      <c r="A4" s="320" t="s">
        <v>73</v>
      </c>
      <c r="B4" s="320" t="s">
        <v>74</v>
      </c>
      <c r="C4" s="465">
        <v>45912.0</v>
      </c>
      <c r="D4" s="320" t="s">
        <v>1978</v>
      </c>
      <c r="E4" s="320" t="s">
        <v>1979</v>
      </c>
      <c r="F4" s="320">
        <v>3.421403685E9</v>
      </c>
      <c r="G4" s="320" t="s">
        <v>1980</v>
      </c>
      <c r="H4" s="320" t="s">
        <v>1981</v>
      </c>
      <c r="I4" s="478">
        <v>45912.0</v>
      </c>
      <c r="J4" s="365">
        <v>27.0</v>
      </c>
      <c r="K4" s="431"/>
      <c r="L4" s="317"/>
      <c r="M4" s="320" t="s">
        <v>80</v>
      </c>
      <c r="N4" s="118" t="b">
        <v>1</v>
      </c>
      <c r="O4" s="119"/>
      <c r="Q4" s="284" t="s">
        <v>81</v>
      </c>
      <c r="R4" s="285" t="b">
        <v>0</v>
      </c>
      <c r="S4" s="285" t="b">
        <v>1</v>
      </c>
      <c r="T4" s="286" t="b">
        <v>1</v>
      </c>
    </row>
    <row r="5" outlineLevel="1">
      <c r="A5" s="320" t="s">
        <v>73</v>
      </c>
      <c r="B5" s="320" t="s">
        <v>74</v>
      </c>
      <c r="C5" s="465">
        <v>45915.0</v>
      </c>
      <c r="D5" s="320" t="s">
        <v>241</v>
      </c>
      <c r="E5" s="320" t="s">
        <v>294</v>
      </c>
      <c r="F5" s="320">
        <v>3.492411844E9</v>
      </c>
      <c r="G5" s="320" t="s">
        <v>1982</v>
      </c>
      <c r="H5" s="320" t="s">
        <v>1983</v>
      </c>
      <c r="I5" s="439">
        <v>45915.0</v>
      </c>
      <c r="J5" s="365">
        <v>27.0</v>
      </c>
      <c r="K5" s="431"/>
      <c r="L5" s="317"/>
      <c r="M5" s="320" t="s">
        <v>80</v>
      </c>
      <c r="N5" s="118" t="b">
        <v>1</v>
      </c>
      <c r="O5" s="119"/>
      <c r="Q5" s="284" t="s">
        <v>81</v>
      </c>
      <c r="R5" s="285" t="b">
        <v>0</v>
      </c>
      <c r="S5" s="285" t="b">
        <v>1</v>
      </c>
      <c r="T5" s="286" t="b">
        <v>1</v>
      </c>
    </row>
    <row r="6" outlineLevel="1">
      <c r="A6" s="320" t="s">
        <v>611</v>
      </c>
      <c r="B6" s="320" t="s">
        <v>612</v>
      </c>
      <c r="C6" s="465">
        <v>45934.0</v>
      </c>
      <c r="D6" s="320" t="s">
        <v>1984</v>
      </c>
      <c r="E6" s="320" t="s">
        <v>912</v>
      </c>
      <c r="F6" s="320">
        <v>3.275917501E9</v>
      </c>
      <c r="G6" s="111" t="s">
        <v>1985</v>
      </c>
      <c r="H6" s="320" t="s">
        <v>1986</v>
      </c>
      <c r="I6" s="466">
        <v>45934.0</v>
      </c>
      <c r="J6" s="365"/>
      <c r="K6" s="431">
        <v>25.0</v>
      </c>
      <c r="L6" s="317" t="s">
        <v>394</v>
      </c>
      <c r="M6" s="320" t="s">
        <v>162</v>
      </c>
      <c r="N6" s="118" t="b">
        <v>0</v>
      </c>
      <c r="O6" s="119"/>
      <c r="Q6" s="284" t="s">
        <v>81</v>
      </c>
      <c r="R6" s="285" t="b">
        <v>1</v>
      </c>
      <c r="S6" s="285" t="b">
        <v>0</v>
      </c>
      <c r="T6" s="286" t="b">
        <v>1</v>
      </c>
    </row>
    <row r="7" outlineLevel="1">
      <c r="A7" s="320" t="s">
        <v>101</v>
      </c>
      <c r="B7" s="320" t="s">
        <v>102</v>
      </c>
      <c r="C7" s="465">
        <v>45937.0</v>
      </c>
      <c r="D7" s="320" t="s">
        <v>1987</v>
      </c>
      <c r="E7" s="320" t="s">
        <v>1988</v>
      </c>
      <c r="F7" s="320">
        <v>3.398667133E9</v>
      </c>
      <c r="G7" s="111" t="s">
        <v>1989</v>
      </c>
      <c r="H7" s="320" t="s">
        <v>1990</v>
      </c>
      <c r="I7" s="439">
        <v>45937.0</v>
      </c>
      <c r="J7" s="365">
        <v>27.0</v>
      </c>
      <c r="K7" s="431"/>
      <c r="L7" s="317"/>
      <c r="M7" s="320" t="s">
        <v>162</v>
      </c>
      <c r="N7" s="118" t="b">
        <v>1</v>
      </c>
      <c r="O7" s="119"/>
      <c r="Q7" s="284" t="s">
        <v>81</v>
      </c>
      <c r="R7" s="285" t="b">
        <v>1</v>
      </c>
      <c r="S7" s="285" t="b">
        <v>0</v>
      </c>
      <c r="T7" s="286" t="b">
        <v>1</v>
      </c>
    </row>
    <row r="8" outlineLevel="1">
      <c r="A8" s="320" t="s">
        <v>73</v>
      </c>
      <c r="B8" s="320" t="s">
        <v>74</v>
      </c>
      <c r="C8" s="465">
        <v>45922.0</v>
      </c>
      <c r="D8" s="320" t="s">
        <v>270</v>
      </c>
      <c r="E8" s="320" t="s">
        <v>1991</v>
      </c>
      <c r="F8" s="320">
        <v>3.80787782E8</v>
      </c>
      <c r="G8" s="320" t="s">
        <v>272</v>
      </c>
      <c r="H8" s="320" t="s">
        <v>273</v>
      </c>
      <c r="I8" s="439">
        <v>45922.0</v>
      </c>
      <c r="J8" s="365"/>
      <c r="K8" s="431">
        <v>25.0</v>
      </c>
      <c r="L8" s="317" t="s">
        <v>79</v>
      </c>
      <c r="M8" s="320" t="s">
        <v>100</v>
      </c>
      <c r="N8" s="118" t="b">
        <v>1</v>
      </c>
      <c r="O8" s="467"/>
      <c r="Q8" s="284" t="s">
        <v>81</v>
      </c>
      <c r="R8" s="285" t="b">
        <v>1</v>
      </c>
      <c r="S8" s="285" t="b">
        <v>0</v>
      </c>
      <c r="T8" s="286" t="b">
        <v>1</v>
      </c>
    </row>
    <row r="9" outlineLevel="1">
      <c r="A9" s="320" t="s">
        <v>73</v>
      </c>
      <c r="B9" s="320" t="s">
        <v>74</v>
      </c>
      <c r="C9" s="465">
        <v>45925.0</v>
      </c>
      <c r="D9" s="320" t="s">
        <v>1992</v>
      </c>
      <c r="E9" s="320" t="s">
        <v>777</v>
      </c>
      <c r="F9" s="320">
        <v>3.3376137E9</v>
      </c>
      <c r="G9" s="320" t="s">
        <v>1993</v>
      </c>
      <c r="H9" s="320" t="s">
        <v>1994</v>
      </c>
      <c r="I9" s="465">
        <v>45925.0</v>
      </c>
      <c r="J9" s="365">
        <v>27.0</v>
      </c>
      <c r="K9" s="431"/>
      <c r="L9" s="317"/>
      <c r="M9" s="320" t="s">
        <v>80</v>
      </c>
      <c r="N9" s="118" t="b">
        <v>0</v>
      </c>
      <c r="O9" s="119" t="s">
        <v>1995</v>
      </c>
      <c r="Q9" s="284" t="s">
        <v>81</v>
      </c>
      <c r="R9" s="285" t="b">
        <v>0</v>
      </c>
      <c r="S9" s="285" t="b">
        <v>1</v>
      </c>
      <c r="T9" s="286" t="b">
        <v>1</v>
      </c>
    </row>
    <row r="10" outlineLevel="1">
      <c r="A10" s="320" t="s">
        <v>73</v>
      </c>
      <c r="B10" s="320" t="s">
        <v>74</v>
      </c>
      <c r="C10" s="465">
        <v>45925.0</v>
      </c>
      <c r="D10" s="532" t="s">
        <v>1992</v>
      </c>
      <c r="E10" s="532" t="s">
        <v>777</v>
      </c>
      <c r="F10" s="320">
        <v>3.3376137E9</v>
      </c>
      <c r="G10" s="468" t="s">
        <v>1993</v>
      </c>
      <c r="H10" s="320" t="s">
        <v>1994</v>
      </c>
      <c r="I10" s="478">
        <v>45925.0</v>
      </c>
      <c r="J10" s="365">
        <v>27.0</v>
      </c>
      <c r="K10" s="431"/>
      <c r="L10" s="317"/>
      <c r="M10" s="320" t="s">
        <v>80</v>
      </c>
      <c r="N10" s="118" t="b">
        <v>0</v>
      </c>
      <c r="O10" s="119"/>
      <c r="Q10" s="284" t="s">
        <v>81</v>
      </c>
      <c r="R10" s="285" t="b">
        <v>0</v>
      </c>
      <c r="S10" s="285" t="b">
        <v>1</v>
      </c>
      <c r="T10" s="286" t="b">
        <v>1</v>
      </c>
    </row>
    <row r="11" outlineLevel="1">
      <c r="A11" s="320" t="s">
        <v>611</v>
      </c>
      <c r="B11" s="320" t="s">
        <v>74</v>
      </c>
      <c r="C11" s="465">
        <v>45937.0</v>
      </c>
      <c r="D11" s="320" t="s">
        <v>216</v>
      </c>
      <c r="E11" s="320" t="s">
        <v>1996</v>
      </c>
      <c r="F11" s="320">
        <v>3.396859611E9</v>
      </c>
      <c r="G11" s="320" t="s">
        <v>218</v>
      </c>
      <c r="H11" s="320" t="s">
        <v>1997</v>
      </c>
      <c r="I11" s="439">
        <v>45937.0</v>
      </c>
      <c r="J11" s="365"/>
      <c r="K11" s="431">
        <v>25.0</v>
      </c>
      <c r="L11" s="317" t="s">
        <v>79</v>
      </c>
      <c r="M11" s="320" t="s">
        <v>100</v>
      </c>
      <c r="N11" s="118" t="b">
        <v>1</v>
      </c>
      <c r="O11" s="119"/>
      <c r="Q11" s="284" t="s">
        <v>81</v>
      </c>
      <c r="R11" s="285" t="b">
        <v>1</v>
      </c>
      <c r="S11" s="285" t="b">
        <v>0</v>
      </c>
      <c r="T11" s="286" t="b">
        <v>1</v>
      </c>
    </row>
    <row r="12" outlineLevel="1">
      <c r="A12" s="320" t="s">
        <v>73</v>
      </c>
      <c r="B12" s="320" t="s">
        <v>94</v>
      </c>
      <c r="C12" s="465">
        <v>45951.0</v>
      </c>
      <c r="D12" s="320" t="s">
        <v>1998</v>
      </c>
      <c r="E12" s="320" t="s">
        <v>294</v>
      </c>
      <c r="F12" s="320">
        <v>3.394644818E9</v>
      </c>
      <c r="G12" s="320" t="s">
        <v>1999</v>
      </c>
      <c r="H12" s="320" t="s">
        <v>2000</v>
      </c>
      <c r="I12" s="439">
        <v>45951.0</v>
      </c>
      <c r="J12" s="365"/>
      <c r="K12" s="431">
        <v>30.0</v>
      </c>
      <c r="L12" s="317" t="s">
        <v>99</v>
      </c>
      <c r="M12" s="320" t="s">
        <v>162</v>
      </c>
      <c r="N12" s="118" t="b">
        <v>0</v>
      </c>
      <c r="O12" s="119"/>
      <c r="Q12" s="284" t="s">
        <v>81</v>
      </c>
      <c r="R12" s="285" t="b">
        <v>1</v>
      </c>
      <c r="S12" s="285" t="b">
        <v>0</v>
      </c>
      <c r="T12" s="286" t="b">
        <v>1</v>
      </c>
    </row>
    <row r="13" outlineLevel="1">
      <c r="A13" s="320" t="s">
        <v>73</v>
      </c>
      <c r="B13" s="320" t="s">
        <v>74</v>
      </c>
      <c r="C13" s="465">
        <v>45956.0</v>
      </c>
      <c r="D13" s="320" t="s">
        <v>2001</v>
      </c>
      <c r="E13" s="320" t="s">
        <v>1032</v>
      </c>
      <c r="F13" s="445">
        <v>3.48102985E9</v>
      </c>
      <c r="G13" s="320" t="s">
        <v>2002</v>
      </c>
      <c r="H13" s="320" t="s">
        <v>2003</v>
      </c>
      <c r="I13" s="439">
        <v>45956.0</v>
      </c>
      <c r="J13" s="365">
        <v>32.0</v>
      </c>
      <c r="K13" s="431"/>
      <c r="L13" s="317"/>
      <c r="M13" s="320" t="s">
        <v>80</v>
      </c>
      <c r="N13" s="118" t="b">
        <v>1</v>
      </c>
      <c r="O13" s="119"/>
      <c r="Q13" s="284" t="s">
        <v>81</v>
      </c>
      <c r="R13" s="285" t="b">
        <v>0</v>
      </c>
      <c r="S13" s="285" t="b">
        <v>1</v>
      </c>
      <c r="T13" s="286" t="b">
        <v>1</v>
      </c>
    </row>
    <row r="14" outlineLevel="1">
      <c r="A14" s="317"/>
      <c r="B14" s="317"/>
      <c r="C14" s="316"/>
      <c r="D14" s="116"/>
      <c r="E14" s="116"/>
      <c r="F14" s="317"/>
      <c r="G14" s="317"/>
      <c r="H14" s="317"/>
      <c r="I14" s="135"/>
      <c r="J14" s="365"/>
      <c r="K14" s="431"/>
      <c r="L14" s="317"/>
      <c r="M14" s="320"/>
      <c r="N14" s="118" t="b">
        <v>0</v>
      </c>
      <c r="O14" s="119"/>
      <c r="Q14" s="284"/>
      <c r="R14" s="285" t="b">
        <v>0</v>
      </c>
      <c r="S14" s="285" t="b">
        <v>0</v>
      </c>
      <c r="T14" s="286" t="b">
        <v>0</v>
      </c>
    </row>
    <row r="15" outlineLevel="1">
      <c r="A15" s="317"/>
      <c r="B15" s="317"/>
      <c r="C15" s="316"/>
      <c r="D15" s="317"/>
      <c r="E15" s="317"/>
      <c r="F15" s="317"/>
      <c r="G15" s="533" t="s">
        <v>2004</v>
      </c>
      <c r="H15" s="317"/>
      <c r="I15" s="443"/>
      <c r="J15" s="365"/>
      <c r="K15" s="431"/>
      <c r="L15" s="317"/>
      <c r="M15" s="320"/>
      <c r="N15" s="118" t="b">
        <v>0</v>
      </c>
      <c r="O15" s="119"/>
      <c r="Q15" s="284"/>
      <c r="R15" s="285" t="b">
        <v>0</v>
      </c>
      <c r="S15" s="285" t="b">
        <v>0</v>
      </c>
      <c r="T15" s="286" t="b">
        <v>0</v>
      </c>
    </row>
    <row r="16" outlineLevel="1">
      <c r="A16" s="320"/>
      <c r="B16" s="320"/>
      <c r="C16" s="316"/>
      <c r="D16" s="320"/>
      <c r="E16" s="320"/>
      <c r="F16" s="320"/>
      <c r="G16" s="320"/>
      <c r="H16" s="320"/>
      <c r="I16" s="443"/>
      <c r="J16" s="365"/>
      <c r="K16" s="431"/>
      <c r="L16" s="317"/>
      <c r="M16" s="320"/>
      <c r="N16" s="118" t="b">
        <v>0</v>
      </c>
      <c r="O16" s="119"/>
      <c r="Q16" s="284"/>
      <c r="R16" s="285" t="b">
        <v>0</v>
      </c>
      <c r="S16" s="285" t="b">
        <v>0</v>
      </c>
      <c r="T16" s="286" t="b">
        <v>0</v>
      </c>
    </row>
    <row r="17" outlineLevel="1">
      <c r="A17" s="320"/>
      <c r="B17" s="320"/>
      <c r="C17" s="316"/>
      <c r="D17" s="320"/>
      <c r="E17" s="320"/>
      <c r="F17" s="320"/>
      <c r="G17" s="320"/>
      <c r="H17" s="320"/>
      <c r="I17" s="443"/>
      <c r="J17" s="365"/>
      <c r="K17" s="431"/>
      <c r="L17" s="317"/>
      <c r="M17" s="320"/>
      <c r="N17" s="118" t="b">
        <v>0</v>
      </c>
      <c r="O17" s="119"/>
      <c r="Q17" s="284"/>
      <c r="R17" s="285" t="b">
        <v>0</v>
      </c>
      <c r="S17" s="285" t="b">
        <v>0</v>
      </c>
      <c r="T17" s="286" t="b">
        <v>0</v>
      </c>
    </row>
    <row r="18" outlineLevel="1">
      <c r="A18" s="317"/>
      <c r="B18" s="317"/>
      <c r="C18" s="316"/>
      <c r="D18" s="317"/>
      <c r="E18" s="317"/>
      <c r="F18" s="317"/>
      <c r="G18" s="317"/>
      <c r="H18" s="317"/>
      <c r="I18" s="135"/>
      <c r="J18" s="365"/>
      <c r="K18" s="431"/>
      <c r="L18" s="317"/>
      <c r="M18" s="320"/>
      <c r="N18" s="118" t="b">
        <v>0</v>
      </c>
      <c r="O18" s="119"/>
      <c r="Q18" s="284"/>
      <c r="R18" s="285" t="b">
        <v>0</v>
      </c>
      <c r="S18" s="285" t="b">
        <v>0</v>
      </c>
      <c r="T18" s="286" t="b">
        <v>0</v>
      </c>
    </row>
    <row r="19" outlineLevel="1">
      <c r="A19" s="317"/>
      <c r="B19" s="317"/>
      <c r="C19" s="316"/>
      <c r="D19" s="317"/>
      <c r="E19" s="317"/>
      <c r="F19" s="317"/>
      <c r="G19" s="317"/>
      <c r="H19" s="317"/>
      <c r="I19" s="443"/>
      <c r="J19" s="365"/>
      <c r="K19" s="431"/>
      <c r="L19" s="317"/>
      <c r="M19" s="320"/>
      <c r="N19" s="118" t="b">
        <v>0</v>
      </c>
      <c r="O19" s="119"/>
      <c r="Q19" s="284"/>
      <c r="R19" s="285" t="b">
        <v>0</v>
      </c>
      <c r="S19" s="285" t="b">
        <v>0</v>
      </c>
      <c r="T19" s="286" t="b">
        <v>0</v>
      </c>
    </row>
    <row r="20" outlineLevel="1">
      <c r="A20" s="317"/>
      <c r="B20" s="317"/>
      <c r="C20" s="316"/>
      <c r="D20" s="317"/>
      <c r="E20" s="317"/>
      <c r="F20" s="317"/>
      <c r="G20" s="317"/>
      <c r="H20" s="317"/>
      <c r="I20" s="443"/>
      <c r="J20" s="365"/>
      <c r="K20" s="431"/>
      <c r="L20" s="317"/>
      <c r="M20" s="317"/>
      <c r="N20" s="118" t="b">
        <v>0</v>
      </c>
      <c r="O20" s="119"/>
      <c r="Q20" s="284"/>
      <c r="R20" s="285" t="b">
        <v>0</v>
      </c>
      <c r="S20" s="285" t="b">
        <v>0</v>
      </c>
      <c r="T20" s="286" t="b">
        <v>0</v>
      </c>
    </row>
    <row r="21" outlineLevel="1">
      <c r="A21" s="317"/>
      <c r="B21" s="317"/>
      <c r="C21" s="316"/>
      <c r="D21" s="317"/>
      <c r="E21" s="317"/>
      <c r="F21" s="317"/>
      <c r="G21" s="317"/>
      <c r="H21" s="317"/>
      <c r="I21" s="135"/>
      <c r="J21" s="365"/>
      <c r="K21" s="431"/>
      <c r="L21" s="317"/>
      <c r="M21" s="320"/>
      <c r="N21" s="118" t="b">
        <v>0</v>
      </c>
      <c r="O21" s="119"/>
      <c r="Q21" s="284"/>
      <c r="R21" s="285" t="b">
        <v>0</v>
      </c>
      <c r="S21" s="285" t="b">
        <v>0</v>
      </c>
      <c r="T21" s="286" t="b">
        <v>0</v>
      </c>
    </row>
    <row r="22" outlineLevel="1">
      <c r="A22" s="320"/>
      <c r="B22" s="320"/>
      <c r="C22" s="316"/>
      <c r="D22" s="320"/>
      <c r="E22" s="320"/>
      <c r="F22" s="320"/>
      <c r="G22" s="416"/>
      <c r="H22" s="416"/>
      <c r="I22" s="439"/>
      <c r="J22" s="365"/>
      <c r="K22" s="431"/>
      <c r="L22" s="317"/>
      <c r="M22" s="320"/>
      <c r="N22" s="118" t="b">
        <v>0</v>
      </c>
      <c r="O22" s="119"/>
      <c r="Q22" s="284"/>
      <c r="R22" s="285" t="b">
        <v>0</v>
      </c>
      <c r="S22" s="285" t="b">
        <v>0</v>
      </c>
      <c r="T22" s="286" t="b">
        <v>0</v>
      </c>
    </row>
    <row r="23" outlineLevel="1">
      <c r="A23" s="317"/>
      <c r="B23" s="317"/>
      <c r="C23" s="316"/>
      <c r="D23" s="317"/>
      <c r="E23" s="317"/>
      <c r="F23" s="317"/>
      <c r="G23" s="317"/>
      <c r="H23" s="317"/>
      <c r="I23" s="443"/>
      <c r="J23" s="365"/>
      <c r="K23" s="431"/>
      <c r="L23" s="317"/>
      <c r="M23" s="320"/>
      <c r="N23" s="118" t="b">
        <v>0</v>
      </c>
      <c r="O23" s="119"/>
      <c r="Q23" s="284"/>
      <c r="R23" s="285" t="b">
        <v>0</v>
      </c>
      <c r="S23" s="285" t="b">
        <v>0</v>
      </c>
      <c r="T23" s="286" t="b">
        <v>0</v>
      </c>
    </row>
    <row r="24" outlineLevel="1">
      <c r="A24" s="317"/>
      <c r="B24" s="317"/>
      <c r="C24" s="316"/>
      <c r="D24" s="317"/>
      <c r="E24" s="317"/>
      <c r="F24" s="317"/>
      <c r="G24" s="317"/>
      <c r="H24" s="317"/>
      <c r="I24" s="318"/>
      <c r="J24" s="365"/>
      <c r="K24" s="431"/>
      <c r="L24" s="317"/>
      <c r="M24" s="320"/>
      <c r="N24" s="118" t="b">
        <v>0</v>
      </c>
      <c r="O24" s="119"/>
      <c r="Q24" s="284"/>
      <c r="R24" s="285" t="b">
        <v>0</v>
      </c>
      <c r="S24" s="285" t="b">
        <v>0</v>
      </c>
      <c r="T24" s="286" t="b">
        <v>0</v>
      </c>
    </row>
    <row r="25" outlineLevel="1">
      <c r="A25" s="317"/>
      <c r="B25" s="317"/>
      <c r="C25" s="316"/>
      <c r="D25" s="317"/>
      <c r="E25" s="317"/>
      <c r="F25" s="317"/>
      <c r="G25" s="317"/>
      <c r="H25" s="317"/>
      <c r="I25" s="318"/>
      <c r="J25" s="365"/>
      <c r="K25" s="431"/>
      <c r="L25" s="317"/>
      <c r="M25" s="320"/>
      <c r="N25" s="118" t="b">
        <v>0</v>
      </c>
      <c r="O25" s="119"/>
      <c r="Q25" s="284"/>
      <c r="R25" s="285" t="b">
        <v>0</v>
      </c>
      <c r="S25" s="285" t="b">
        <v>0</v>
      </c>
      <c r="T25" s="286" t="b">
        <v>0</v>
      </c>
    </row>
    <row r="26" outlineLevel="1">
      <c r="A26" s="317"/>
      <c r="B26" s="317"/>
      <c r="C26" s="316"/>
      <c r="D26" s="317"/>
      <c r="E26" s="317"/>
      <c r="F26" s="317"/>
      <c r="G26" s="317"/>
      <c r="H26" s="317"/>
      <c r="I26" s="318"/>
      <c r="J26" s="365"/>
      <c r="K26" s="431"/>
      <c r="L26" s="317"/>
      <c r="M26" s="320"/>
      <c r="N26" s="118" t="b">
        <v>0</v>
      </c>
      <c r="O26" s="119"/>
      <c r="Q26" s="284"/>
      <c r="R26" s="285" t="b">
        <v>0</v>
      </c>
      <c r="S26" s="285" t="b">
        <v>0</v>
      </c>
      <c r="T26" s="286" t="b">
        <v>0</v>
      </c>
    </row>
    <row r="27" outlineLevel="1">
      <c r="A27" s="317"/>
      <c r="B27" s="317"/>
      <c r="C27" s="316"/>
      <c r="D27" s="317"/>
      <c r="E27" s="317"/>
      <c r="F27" s="317"/>
      <c r="G27" s="317"/>
      <c r="H27" s="317"/>
      <c r="I27" s="318"/>
      <c r="J27" s="365"/>
      <c r="K27" s="436"/>
      <c r="L27" s="317"/>
      <c r="M27" s="320"/>
      <c r="N27" s="118" t="b">
        <v>0</v>
      </c>
      <c r="O27" s="119"/>
      <c r="Q27" s="284"/>
      <c r="R27" s="285" t="b">
        <v>0</v>
      </c>
      <c r="S27" s="285" t="b">
        <v>0</v>
      </c>
      <c r="T27" s="286" t="b">
        <v>0</v>
      </c>
    </row>
    <row r="28" outlineLevel="1">
      <c r="A28" s="317"/>
      <c r="B28" s="317"/>
      <c r="C28" s="316"/>
      <c r="D28" s="317"/>
      <c r="E28" s="317"/>
      <c r="F28" s="317"/>
      <c r="G28" s="469"/>
      <c r="H28" s="469"/>
      <c r="I28" s="318"/>
      <c r="J28" s="365"/>
      <c r="K28" s="436"/>
      <c r="L28" s="432"/>
      <c r="M28" s="320"/>
      <c r="N28" s="118" t="b">
        <v>0</v>
      </c>
      <c r="O28" s="119"/>
      <c r="Q28" s="284"/>
      <c r="R28" s="285" t="b">
        <v>0</v>
      </c>
      <c r="S28" s="285" t="b">
        <v>0</v>
      </c>
      <c r="T28" s="286" t="b">
        <v>0</v>
      </c>
    </row>
    <row r="29" outlineLevel="1">
      <c r="A29" s="317"/>
      <c r="B29" s="317"/>
      <c r="C29" s="316"/>
      <c r="D29" s="317"/>
      <c r="E29" s="317"/>
      <c r="F29" s="317"/>
      <c r="G29" s="317"/>
      <c r="H29" s="317"/>
      <c r="I29" s="318"/>
      <c r="J29" s="365"/>
      <c r="K29" s="431"/>
      <c r="L29" s="317"/>
      <c r="M29" s="320"/>
      <c r="N29" s="118" t="b">
        <v>0</v>
      </c>
      <c r="O29" s="119"/>
      <c r="Q29" s="284"/>
      <c r="R29" s="285" t="b">
        <v>0</v>
      </c>
      <c r="S29" s="285" t="b">
        <v>0</v>
      </c>
      <c r="T29" s="286" t="b">
        <v>0</v>
      </c>
    </row>
    <row r="30" outlineLevel="1">
      <c r="A30" s="317"/>
      <c r="B30" s="317"/>
      <c r="C30" s="316"/>
      <c r="D30" s="317"/>
      <c r="E30" s="317"/>
      <c r="F30" s="317"/>
      <c r="G30" s="317"/>
      <c r="H30" s="317"/>
      <c r="I30" s="318"/>
      <c r="J30" s="365"/>
      <c r="K30" s="431"/>
      <c r="L30" s="317"/>
      <c r="M30" s="320"/>
      <c r="N30" s="118" t="b">
        <v>0</v>
      </c>
      <c r="O30" s="119"/>
      <c r="Q30" s="284"/>
      <c r="R30" s="285" t="b">
        <v>0</v>
      </c>
      <c r="S30" s="285" t="b">
        <v>0</v>
      </c>
      <c r="T30" s="286" t="b">
        <v>0</v>
      </c>
    </row>
    <row r="31" outlineLevel="1">
      <c r="A31" s="320"/>
      <c r="B31" s="320"/>
      <c r="C31" s="465"/>
      <c r="D31" s="320"/>
      <c r="E31" s="320"/>
      <c r="F31" s="320"/>
      <c r="G31" s="111"/>
      <c r="H31" s="320"/>
      <c r="I31" s="439"/>
      <c r="J31" s="365"/>
      <c r="K31" s="431"/>
      <c r="L31" s="317"/>
      <c r="M31" s="320"/>
      <c r="N31" s="118" t="b">
        <v>0</v>
      </c>
      <c r="O31" s="119"/>
      <c r="Q31" s="284"/>
      <c r="R31" s="285" t="b">
        <v>0</v>
      </c>
      <c r="S31" s="285" t="b">
        <v>0</v>
      </c>
      <c r="T31" s="286" t="b">
        <v>0</v>
      </c>
    </row>
    <row r="32" outlineLevel="1">
      <c r="A32" s="317"/>
      <c r="B32" s="317"/>
      <c r="C32" s="316"/>
      <c r="D32" s="317"/>
      <c r="E32" s="317"/>
      <c r="F32" s="317"/>
      <c r="G32" s="317"/>
      <c r="H32" s="317"/>
      <c r="I32" s="318"/>
      <c r="J32" s="365"/>
      <c r="K32" s="431"/>
      <c r="L32" s="317"/>
      <c r="M32" s="320"/>
      <c r="N32" s="118" t="b">
        <v>0</v>
      </c>
      <c r="O32" s="119"/>
      <c r="Q32" s="284"/>
      <c r="R32" s="285" t="b">
        <v>0</v>
      </c>
      <c r="S32" s="285" t="b">
        <v>0</v>
      </c>
      <c r="T32" s="286" t="b">
        <v>0</v>
      </c>
    </row>
    <row r="33" outlineLevel="1">
      <c r="A33" s="317"/>
      <c r="B33" s="317"/>
      <c r="C33" s="316"/>
      <c r="D33" s="317"/>
      <c r="E33" s="317"/>
      <c r="F33" s="317"/>
      <c r="G33" s="317"/>
      <c r="H33" s="317"/>
      <c r="I33" s="318"/>
      <c r="J33" s="365"/>
      <c r="K33" s="431"/>
      <c r="L33" s="317"/>
      <c r="M33" s="320"/>
      <c r="N33" s="118" t="b">
        <v>0</v>
      </c>
      <c r="O33" s="119"/>
      <c r="Q33" s="284"/>
      <c r="R33" s="285" t="b">
        <v>0</v>
      </c>
      <c r="S33" s="285" t="b">
        <v>0</v>
      </c>
      <c r="T33" s="286" t="b">
        <v>0</v>
      </c>
    </row>
    <row r="34" outlineLevel="1">
      <c r="A34" s="317"/>
      <c r="B34" s="317"/>
      <c r="C34" s="316"/>
      <c r="D34" s="317"/>
      <c r="E34" s="317"/>
      <c r="F34" s="317"/>
      <c r="G34" s="317"/>
      <c r="H34" s="317"/>
      <c r="I34" s="443"/>
      <c r="J34" s="365"/>
      <c r="K34" s="431"/>
      <c r="L34" s="317"/>
      <c r="M34" s="320"/>
      <c r="N34" s="118" t="b">
        <v>0</v>
      </c>
      <c r="O34" s="119"/>
      <c r="Q34" s="284"/>
      <c r="R34" s="285" t="b">
        <v>0</v>
      </c>
      <c r="S34" s="285" t="b">
        <v>0</v>
      </c>
      <c r="T34" s="286" t="b">
        <v>0</v>
      </c>
    </row>
    <row r="35" outlineLevel="1">
      <c r="A35" s="317"/>
      <c r="B35" s="317"/>
      <c r="C35" s="316"/>
      <c r="D35" s="317"/>
      <c r="E35" s="317"/>
      <c r="F35" s="317"/>
      <c r="G35" s="317"/>
      <c r="H35" s="317"/>
      <c r="I35" s="443"/>
      <c r="J35" s="365"/>
      <c r="K35" s="431"/>
      <c r="L35" s="317"/>
      <c r="M35" s="320"/>
      <c r="N35" s="118" t="b">
        <v>0</v>
      </c>
      <c r="O35" s="119"/>
      <c r="Q35" s="284"/>
      <c r="R35" s="285" t="b">
        <v>0</v>
      </c>
      <c r="S35" s="285" t="b">
        <v>0</v>
      </c>
      <c r="T35" s="286" t="b">
        <v>0</v>
      </c>
    </row>
    <row r="36" outlineLevel="1">
      <c r="A36" s="317"/>
      <c r="B36" s="317"/>
      <c r="C36" s="316"/>
      <c r="D36" s="317"/>
      <c r="E36" s="317"/>
      <c r="F36" s="317"/>
      <c r="G36" s="317"/>
      <c r="H36" s="317"/>
      <c r="I36" s="443"/>
      <c r="J36" s="365"/>
      <c r="K36" s="431"/>
      <c r="L36" s="317"/>
      <c r="M36" s="320"/>
      <c r="N36" s="118" t="b">
        <v>0</v>
      </c>
      <c r="O36" s="119"/>
      <c r="Q36" s="284"/>
      <c r="R36" s="285" t="b">
        <v>0</v>
      </c>
      <c r="S36" s="285" t="b">
        <v>0</v>
      </c>
      <c r="T36" s="286" t="b">
        <v>0</v>
      </c>
    </row>
    <row r="37" outlineLevel="1">
      <c r="A37" s="317"/>
      <c r="B37" s="317"/>
      <c r="C37" s="316"/>
      <c r="D37" s="317"/>
      <c r="E37" s="317"/>
      <c r="F37" s="317"/>
      <c r="G37" s="317"/>
      <c r="H37" s="317"/>
      <c r="I37" s="443"/>
      <c r="J37" s="365"/>
      <c r="K37" s="431"/>
      <c r="L37" s="317"/>
      <c r="M37" s="320"/>
      <c r="N37" s="118" t="b">
        <v>0</v>
      </c>
      <c r="O37" s="119"/>
      <c r="Q37" s="284"/>
      <c r="R37" s="285" t="b">
        <v>0</v>
      </c>
      <c r="S37" s="285" t="b">
        <v>0</v>
      </c>
      <c r="T37" s="286" t="b">
        <v>0</v>
      </c>
    </row>
    <row r="38" outlineLevel="1">
      <c r="A38" s="317"/>
      <c r="B38" s="317"/>
      <c r="C38" s="316"/>
      <c r="D38" s="317"/>
      <c r="E38" s="317"/>
      <c r="F38" s="317"/>
      <c r="G38" s="317"/>
      <c r="H38" s="317"/>
      <c r="I38" s="443"/>
      <c r="J38" s="365"/>
      <c r="K38" s="431"/>
      <c r="L38" s="317"/>
      <c r="M38" s="320"/>
      <c r="N38" s="118" t="b">
        <v>0</v>
      </c>
      <c r="O38" s="119"/>
      <c r="Q38" s="284"/>
      <c r="R38" s="285" t="b">
        <v>0</v>
      </c>
      <c r="S38" s="285" t="b">
        <v>0</v>
      </c>
      <c r="T38" s="286" t="b">
        <v>0</v>
      </c>
    </row>
    <row r="39" outlineLevel="1">
      <c r="A39" s="317"/>
      <c r="B39" s="317"/>
      <c r="C39" s="316"/>
      <c r="D39" s="317"/>
      <c r="E39" s="317"/>
      <c r="F39" s="317"/>
      <c r="G39" s="317"/>
      <c r="H39" s="317"/>
      <c r="I39" s="318"/>
      <c r="J39" s="365"/>
      <c r="K39" s="431"/>
      <c r="L39" s="317"/>
      <c r="M39" s="320"/>
      <c r="N39" s="118" t="b">
        <v>0</v>
      </c>
      <c r="O39" s="119"/>
      <c r="Q39" s="284"/>
      <c r="R39" s="285" t="b">
        <v>0</v>
      </c>
      <c r="S39" s="285" t="b">
        <v>0</v>
      </c>
      <c r="T39" s="286" t="b">
        <v>0</v>
      </c>
    </row>
    <row r="40" outlineLevel="1">
      <c r="A40" s="317"/>
      <c r="B40" s="317"/>
      <c r="C40" s="316"/>
      <c r="D40" s="317"/>
      <c r="E40" s="317"/>
      <c r="F40" s="317"/>
      <c r="G40" s="317"/>
      <c r="H40" s="317"/>
      <c r="I40" s="318"/>
      <c r="J40" s="365"/>
      <c r="K40" s="431"/>
      <c r="L40" s="317"/>
      <c r="M40" s="320"/>
      <c r="N40" s="118" t="b">
        <v>0</v>
      </c>
      <c r="O40" s="119"/>
      <c r="Q40" s="284"/>
      <c r="R40" s="285" t="b">
        <v>0</v>
      </c>
      <c r="S40" s="285" t="b">
        <v>0</v>
      </c>
      <c r="T40" s="286" t="b">
        <v>0</v>
      </c>
    </row>
    <row r="41" outlineLevel="1">
      <c r="A41" s="317"/>
      <c r="B41" s="317"/>
      <c r="C41" s="316"/>
      <c r="D41" s="317"/>
      <c r="E41" s="317"/>
      <c r="F41" s="317"/>
      <c r="G41" s="317"/>
      <c r="H41" s="317"/>
      <c r="I41" s="318"/>
      <c r="J41" s="365"/>
      <c r="K41" s="431"/>
      <c r="L41" s="317"/>
      <c r="M41" s="317"/>
      <c r="N41" s="118" t="b">
        <v>0</v>
      </c>
      <c r="O41" s="119"/>
      <c r="Q41" s="284"/>
      <c r="R41" s="285" t="b">
        <v>0</v>
      </c>
      <c r="S41" s="285" t="b">
        <v>0</v>
      </c>
      <c r="T41" s="286" t="b">
        <v>0</v>
      </c>
    </row>
    <row r="42" outlineLevel="1">
      <c r="A42" s="317"/>
      <c r="B42" s="317"/>
      <c r="C42" s="316"/>
      <c r="D42" s="320"/>
      <c r="E42" s="317"/>
      <c r="F42" s="317"/>
      <c r="G42" s="317"/>
      <c r="H42" s="317"/>
      <c r="I42" s="318"/>
      <c r="J42" s="365"/>
      <c r="K42" s="431"/>
      <c r="L42" s="317"/>
      <c r="M42" s="317"/>
      <c r="N42" s="118" t="b">
        <v>0</v>
      </c>
      <c r="O42" s="119"/>
      <c r="Q42" s="284"/>
      <c r="R42" s="285" t="b">
        <v>0</v>
      </c>
      <c r="S42" s="285" t="b">
        <v>0</v>
      </c>
      <c r="T42" s="286" t="b">
        <v>0</v>
      </c>
    </row>
    <row r="43" outlineLevel="1">
      <c r="A43" s="317"/>
      <c r="B43" s="317"/>
      <c r="C43" s="316"/>
      <c r="D43" s="320"/>
      <c r="E43" s="317"/>
      <c r="F43" s="317"/>
      <c r="G43" s="317"/>
      <c r="H43" s="317"/>
      <c r="I43" s="318"/>
      <c r="J43" s="365"/>
      <c r="K43" s="431"/>
      <c r="L43" s="317"/>
      <c r="M43" s="320"/>
      <c r="N43" s="118" t="b">
        <v>0</v>
      </c>
      <c r="O43" s="119"/>
      <c r="Q43" s="284"/>
      <c r="R43" s="285" t="b">
        <v>0</v>
      </c>
      <c r="S43" s="285" t="b">
        <v>0</v>
      </c>
      <c r="T43" s="286" t="b">
        <v>0</v>
      </c>
    </row>
    <row r="44" outlineLevel="1">
      <c r="A44" s="432"/>
      <c r="B44" s="432"/>
      <c r="C44" s="317"/>
      <c r="D44" s="317"/>
      <c r="E44" s="432"/>
      <c r="F44" s="432"/>
      <c r="G44" s="470"/>
      <c r="H44" s="432"/>
      <c r="I44" s="441"/>
      <c r="J44" s="365"/>
      <c r="K44" s="431"/>
      <c r="L44" s="432"/>
      <c r="M44" s="432"/>
      <c r="N44" s="118" t="b">
        <v>0</v>
      </c>
      <c r="O44" s="119"/>
      <c r="Q44" s="284"/>
      <c r="R44" s="285" t="b">
        <v>0</v>
      </c>
      <c r="S44" s="285" t="b">
        <v>0</v>
      </c>
      <c r="T44" s="286" t="b">
        <v>0</v>
      </c>
    </row>
    <row r="45" outlineLevel="1">
      <c r="A45" s="317"/>
      <c r="B45" s="317"/>
      <c r="C45" s="316"/>
      <c r="D45" s="317"/>
      <c r="E45" s="317"/>
      <c r="F45" s="317"/>
      <c r="G45" s="317"/>
      <c r="H45" s="317"/>
      <c r="I45" s="318"/>
      <c r="J45" s="365"/>
      <c r="K45" s="431"/>
      <c r="L45" s="317"/>
      <c r="M45" s="320"/>
      <c r="N45" s="118" t="b">
        <v>0</v>
      </c>
      <c r="O45" s="119"/>
      <c r="Q45" s="284"/>
      <c r="R45" s="285" t="b">
        <v>0</v>
      </c>
      <c r="S45" s="285" t="b">
        <v>0</v>
      </c>
      <c r="T45" s="286" t="b">
        <v>0</v>
      </c>
    </row>
    <row r="46" outlineLevel="1">
      <c r="A46" s="317"/>
      <c r="B46" s="317"/>
      <c r="C46" s="316"/>
      <c r="D46" s="317"/>
      <c r="E46" s="317"/>
      <c r="F46" s="317"/>
      <c r="G46" s="471"/>
      <c r="H46" s="317"/>
      <c r="I46" s="443"/>
      <c r="J46" s="368"/>
      <c r="K46" s="431"/>
      <c r="L46" s="317"/>
      <c r="M46" s="317"/>
      <c r="N46" s="118" t="b">
        <v>0</v>
      </c>
      <c r="O46" s="119"/>
      <c r="Q46" s="284"/>
      <c r="R46" s="285" t="b">
        <v>0</v>
      </c>
      <c r="S46" s="285" t="b">
        <v>0</v>
      </c>
      <c r="T46" s="286" t="b">
        <v>0</v>
      </c>
    </row>
    <row r="47" outlineLevel="1">
      <c r="A47" s="317"/>
      <c r="B47" s="317"/>
      <c r="C47" s="316"/>
      <c r="D47" s="317"/>
      <c r="E47" s="317"/>
      <c r="F47" s="317"/>
      <c r="G47" s="317"/>
      <c r="H47" s="317"/>
      <c r="I47" s="443"/>
      <c r="J47" s="368"/>
      <c r="K47" s="431"/>
      <c r="L47" s="317"/>
      <c r="M47" s="317"/>
      <c r="N47" s="118" t="b">
        <v>0</v>
      </c>
      <c r="O47" s="119"/>
      <c r="Q47" s="284"/>
      <c r="R47" s="285" t="b">
        <v>0</v>
      </c>
      <c r="S47" s="285" t="b">
        <v>0</v>
      </c>
      <c r="T47" s="286" t="b">
        <v>0</v>
      </c>
    </row>
    <row r="48" outlineLevel="1">
      <c r="A48" s="317"/>
      <c r="B48" s="317"/>
      <c r="C48" s="316"/>
      <c r="D48" s="317"/>
      <c r="E48" s="317"/>
      <c r="F48" s="317"/>
      <c r="G48" s="317"/>
      <c r="H48" s="317"/>
      <c r="I48" s="443"/>
      <c r="J48" s="365"/>
      <c r="K48" s="431"/>
      <c r="L48" s="317"/>
      <c r="M48" s="317"/>
      <c r="N48" s="118" t="b">
        <v>0</v>
      </c>
      <c r="O48" s="119"/>
      <c r="Q48" s="284"/>
      <c r="R48" s="285" t="b">
        <v>0</v>
      </c>
      <c r="S48" s="285" t="b">
        <v>0</v>
      </c>
      <c r="T48" s="286" t="b">
        <v>0</v>
      </c>
    </row>
    <row r="49" outlineLevel="1">
      <c r="A49" s="317"/>
      <c r="B49" s="317"/>
      <c r="C49" s="316"/>
      <c r="D49" s="317"/>
      <c r="E49" s="317"/>
      <c r="F49" s="317"/>
      <c r="G49" s="317"/>
      <c r="H49" s="317"/>
      <c r="I49" s="443"/>
      <c r="J49" s="368"/>
      <c r="K49" s="431"/>
      <c r="L49" s="317"/>
      <c r="M49" s="317"/>
      <c r="N49" s="118" t="b">
        <v>0</v>
      </c>
      <c r="O49" s="119"/>
      <c r="Q49" s="284"/>
      <c r="R49" s="285" t="b">
        <v>0</v>
      </c>
      <c r="S49" s="285" t="b">
        <v>0</v>
      </c>
      <c r="T49" s="286" t="b">
        <v>0</v>
      </c>
    </row>
    <row r="50" outlineLevel="1">
      <c r="A50" s="317"/>
      <c r="B50" s="317"/>
      <c r="C50" s="472"/>
      <c r="D50" s="317"/>
      <c r="E50" s="317"/>
      <c r="F50" s="317"/>
      <c r="G50" s="317"/>
      <c r="H50" s="317"/>
      <c r="I50" s="439"/>
      <c r="J50" s="365"/>
      <c r="K50" s="431"/>
      <c r="L50" s="317"/>
      <c r="M50" s="320"/>
      <c r="N50" s="118" t="b">
        <v>0</v>
      </c>
      <c r="O50" s="119"/>
      <c r="Q50" s="284"/>
      <c r="R50" s="285" t="b">
        <v>0</v>
      </c>
      <c r="S50" s="285" t="b">
        <v>0</v>
      </c>
      <c r="T50" s="286" t="b">
        <v>0</v>
      </c>
    </row>
    <row r="51" outlineLevel="1">
      <c r="A51" s="317"/>
      <c r="B51" s="317"/>
      <c r="C51" s="472"/>
      <c r="D51" s="317"/>
      <c r="E51" s="317"/>
      <c r="F51" s="317"/>
      <c r="G51" s="317"/>
      <c r="H51" s="317"/>
      <c r="I51" s="439"/>
      <c r="J51" s="365"/>
      <c r="K51" s="431"/>
      <c r="L51" s="317"/>
      <c r="M51" s="320"/>
      <c r="N51" s="118" t="b">
        <v>0</v>
      </c>
      <c r="O51" s="119"/>
      <c r="Q51" s="284"/>
      <c r="R51" s="285" t="b">
        <v>0</v>
      </c>
      <c r="S51" s="285" t="b">
        <v>0</v>
      </c>
      <c r="T51" s="286" t="b">
        <v>0</v>
      </c>
    </row>
    <row r="52" outlineLevel="1">
      <c r="A52" s="317"/>
      <c r="B52" s="317"/>
      <c r="C52" s="472"/>
      <c r="D52" s="317"/>
      <c r="E52" s="317"/>
      <c r="F52" s="317"/>
      <c r="G52" s="317"/>
      <c r="H52" s="317"/>
      <c r="I52" s="439"/>
      <c r="J52" s="365"/>
      <c r="K52" s="431"/>
      <c r="L52" s="317"/>
      <c r="M52" s="320"/>
      <c r="N52" s="118" t="b">
        <v>0</v>
      </c>
      <c r="O52" s="119"/>
      <c r="Q52" s="284"/>
      <c r="R52" s="285" t="b">
        <v>0</v>
      </c>
      <c r="S52" s="285" t="b">
        <v>0</v>
      </c>
      <c r="T52" s="286" t="b">
        <v>0</v>
      </c>
    </row>
    <row r="53" outlineLevel="1">
      <c r="A53" s="317"/>
      <c r="B53" s="317"/>
      <c r="C53" s="473"/>
      <c r="D53" s="320"/>
      <c r="E53" s="320"/>
      <c r="F53" s="320"/>
      <c r="G53" s="320"/>
      <c r="H53" s="320"/>
      <c r="I53" s="439"/>
      <c r="J53" s="365"/>
      <c r="K53" s="431"/>
      <c r="L53" s="317"/>
      <c r="M53" s="320"/>
      <c r="N53" s="118" t="b">
        <v>0</v>
      </c>
      <c r="O53" s="119"/>
      <c r="Q53" s="284"/>
      <c r="R53" s="285" t="b">
        <v>0</v>
      </c>
      <c r="S53" s="285" t="b">
        <v>0</v>
      </c>
      <c r="T53" s="286" t="b">
        <v>0</v>
      </c>
    </row>
    <row r="54" outlineLevel="1">
      <c r="A54" s="432"/>
      <c r="B54" s="432"/>
      <c r="C54" s="474"/>
      <c r="D54" s="131"/>
      <c r="E54" s="432"/>
      <c r="F54" s="432"/>
      <c r="G54" s="432"/>
      <c r="H54" s="432"/>
      <c r="I54" s="441"/>
      <c r="J54" s="365"/>
      <c r="K54" s="431"/>
      <c r="L54" s="432"/>
      <c r="M54" s="432"/>
      <c r="N54" s="118" t="b">
        <v>0</v>
      </c>
      <c r="O54" s="119"/>
      <c r="Q54" s="438"/>
      <c r="R54" s="285" t="b">
        <v>0</v>
      </c>
      <c r="S54" s="285" t="b">
        <v>0</v>
      </c>
      <c r="T54" s="286" t="b">
        <v>0</v>
      </c>
    </row>
    <row r="55" outlineLevel="1">
      <c r="A55" s="317"/>
      <c r="B55" s="317"/>
      <c r="C55" s="473"/>
      <c r="D55" s="317"/>
      <c r="E55" s="317"/>
      <c r="F55" s="317"/>
      <c r="G55" s="317"/>
      <c r="H55" s="317"/>
      <c r="I55" s="439"/>
      <c r="J55" s="365"/>
      <c r="K55" s="431"/>
      <c r="L55" s="317"/>
      <c r="M55" s="320"/>
      <c r="N55" s="118" t="b">
        <v>0</v>
      </c>
      <c r="O55" s="119"/>
      <c r="Q55" s="284"/>
      <c r="R55" s="285" t="b">
        <v>0</v>
      </c>
      <c r="S55" s="285" t="b">
        <v>0</v>
      </c>
      <c r="T55" s="286" t="b">
        <v>0</v>
      </c>
    </row>
    <row r="56" outlineLevel="1">
      <c r="A56" s="317"/>
      <c r="B56" s="317"/>
      <c r="C56" s="472"/>
      <c r="D56" s="317"/>
      <c r="E56" s="317"/>
      <c r="F56" s="317"/>
      <c r="G56" s="317"/>
      <c r="H56" s="317"/>
      <c r="I56" s="439"/>
      <c r="J56" s="368"/>
      <c r="K56" s="431"/>
      <c r="L56" s="317"/>
      <c r="M56" s="320"/>
      <c r="N56" s="118" t="b">
        <v>0</v>
      </c>
      <c r="O56" s="119"/>
      <c r="Q56" s="284"/>
      <c r="R56" s="285" t="b">
        <v>0</v>
      </c>
      <c r="S56" s="285" t="b">
        <v>0</v>
      </c>
      <c r="T56" s="286" t="b">
        <v>0</v>
      </c>
    </row>
    <row r="57" outlineLevel="1">
      <c r="A57" s="317"/>
      <c r="B57" s="317"/>
      <c r="C57" s="472"/>
      <c r="D57" s="317"/>
      <c r="E57" s="317"/>
      <c r="F57" s="317"/>
      <c r="G57" s="475"/>
      <c r="H57" s="317"/>
      <c r="I57" s="439"/>
      <c r="J57" s="368"/>
      <c r="K57" s="431"/>
      <c r="L57" s="317"/>
      <c r="M57" s="317"/>
      <c r="N57" s="118" t="b">
        <v>0</v>
      </c>
      <c r="O57" s="119"/>
      <c r="Q57" s="284"/>
      <c r="R57" s="285" t="b">
        <v>0</v>
      </c>
      <c r="S57" s="285" t="b">
        <v>0</v>
      </c>
      <c r="T57" s="286" t="b">
        <v>0</v>
      </c>
    </row>
    <row r="58" outlineLevel="1">
      <c r="A58" s="432"/>
      <c r="B58" s="432"/>
      <c r="C58" s="440"/>
      <c r="D58" s="432"/>
      <c r="E58" s="432"/>
      <c r="F58" s="432"/>
      <c r="G58" s="476"/>
      <c r="H58" s="432"/>
      <c r="I58" s="477"/>
      <c r="J58" s="368"/>
      <c r="K58" s="436"/>
      <c r="L58" s="317"/>
      <c r="M58" s="432"/>
      <c r="N58" s="118" t="b">
        <v>0</v>
      </c>
      <c r="O58" s="119"/>
      <c r="Q58" s="284"/>
      <c r="R58" s="285" t="b">
        <v>0</v>
      </c>
      <c r="S58" s="285" t="b">
        <v>0</v>
      </c>
      <c r="T58" s="286" t="b">
        <v>0</v>
      </c>
    </row>
    <row r="59" outlineLevel="1">
      <c r="A59" s="432"/>
      <c r="B59" s="432"/>
      <c r="C59" s="440"/>
      <c r="D59" s="432"/>
      <c r="E59" s="432"/>
      <c r="F59" s="432"/>
      <c r="G59" s="476"/>
      <c r="H59" s="432"/>
      <c r="I59" s="477"/>
      <c r="J59" s="368"/>
      <c r="K59" s="436"/>
      <c r="L59" s="317"/>
      <c r="M59" s="432"/>
      <c r="N59" s="118" t="b">
        <v>0</v>
      </c>
      <c r="O59" s="119"/>
      <c r="Q59" s="284"/>
      <c r="R59" s="285" t="b">
        <v>0</v>
      </c>
      <c r="S59" s="285" t="b">
        <v>0</v>
      </c>
      <c r="T59" s="286" t="b">
        <v>0</v>
      </c>
    </row>
    <row r="60" outlineLevel="1">
      <c r="A60" s="432"/>
      <c r="B60" s="432"/>
      <c r="C60" s="440"/>
      <c r="D60" s="432"/>
      <c r="E60" s="432"/>
      <c r="F60" s="432"/>
      <c r="G60" s="476"/>
      <c r="H60" s="432"/>
      <c r="I60" s="477"/>
      <c r="J60" s="368"/>
      <c r="K60" s="436"/>
      <c r="L60" s="317"/>
      <c r="M60" s="432"/>
      <c r="N60" s="118" t="b">
        <v>0</v>
      </c>
      <c r="O60" s="119"/>
      <c r="Q60" s="284"/>
      <c r="R60" s="285" t="b">
        <v>0</v>
      </c>
      <c r="S60" s="285" t="b">
        <v>0</v>
      </c>
      <c r="T60" s="286" t="b">
        <v>0</v>
      </c>
    </row>
    <row r="61" outlineLevel="1">
      <c r="A61" s="432"/>
      <c r="B61" s="432"/>
      <c r="C61" s="440"/>
      <c r="D61" s="432"/>
      <c r="E61" s="432"/>
      <c r="F61" s="432"/>
      <c r="G61" s="476"/>
      <c r="H61" s="432"/>
      <c r="I61" s="477"/>
      <c r="J61" s="368"/>
      <c r="K61" s="436"/>
      <c r="L61" s="317"/>
      <c r="M61" s="432"/>
      <c r="N61" s="118" t="b">
        <v>0</v>
      </c>
      <c r="O61" s="119"/>
      <c r="Q61" s="284"/>
      <c r="R61" s="285" t="b">
        <v>0</v>
      </c>
      <c r="S61" s="285" t="b">
        <v>0</v>
      </c>
      <c r="T61" s="286" t="b">
        <v>0</v>
      </c>
    </row>
    <row r="62" outlineLevel="1">
      <c r="A62" s="317"/>
      <c r="B62" s="317"/>
      <c r="C62" s="316"/>
      <c r="D62" s="317"/>
      <c r="E62" s="317"/>
      <c r="F62" s="317"/>
      <c r="G62" s="475"/>
      <c r="H62" s="317"/>
      <c r="I62" s="318"/>
      <c r="J62" s="368"/>
      <c r="K62" s="431"/>
      <c r="L62" s="317"/>
      <c r="M62" s="317"/>
      <c r="N62" s="118" t="b">
        <v>0</v>
      </c>
      <c r="O62" s="119"/>
      <c r="Q62" s="284"/>
      <c r="R62" s="285" t="b">
        <v>0</v>
      </c>
      <c r="S62" s="285" t="b">
        <v>0</v>
      </c>
      <c r="T62" s="286" t="b">
        <v>0</v>
      </c>
    </row>
    <row r="63" outlineLevel="1">
      <c r="A63" s="317"/>
      <c r="B63" s="317"/>
      <c r="C63" s="316"/>
      <c r="D63" s="317"/>
      <c r="E63" s="317"/>
      <c r="F63" s="317"/>
      <c r="G63" s="475"/>
      <c r="H63" s="317"/>
      <c r="I63" s="318"/>
      <c r="J63" s="368"/>
      <c r="K63" s="431"/>
      <c r="L63" s="317"/>
      <c r="M63" s="317"/>
      <c r="N63" s="118" t="b">
        <v>0</v>
      </c>
      <c r="O63" s="119"/>
      <c r="Q63" s="284"/>
      <c r="R63" s="285" t="b">
        <v>0</v>
      </c>
      <c r="S63" s="285" t="b">
        <v>0</v>
      </c>
      <c r="T63" s="286" t="b">
        <v>0</v>
      </c>
    </row>
    <row r="64" outlineLevel="1">
      <c r="A64" s="317"/>
      <c r="B64" s="317"/>
      <c r="C64" s="316"/>
      <c r="D64" s="317"/>
      <c r="E64" s="317"/>
      <c r="F64" s="317"/>
      <c r="G64" s="475"/>
      <c r="H64" s="317"/>
      <c r="I64" s="318"/>
      <c r="J64" s="368"/>
      <c r="K64" s="431"/>
      <c r="L64" s="317"/>
      <c r="M64" s="317"/>
      <c r="N64" s="118" t="b">
        <v>0</v>
      </c>
      <c r="O64" s="119"/>
      <c r="Q64" s="284"/>
      <c r="R64" s="285" t="b">
        <v>0</v>
      </c>
      <c r="S64" s="285" t="b">
        <v>0</v>
      </c>
      <c r="T64" s="286" t="b">
        <v>0</v>
      </c>
    </row>
    <row r="65" outlineLevel="1">
      <c r="A65" s="320"/>
      <c r="B65" s="317"/>
      <c r="C65" s="465"/>
      <c r="D65" s="320"/>
      <c r="E65" s="320"/>
      <c r="F65" s="320"/>
      <c r="G65" s="471"/>
      <c r="H65" s="320"/>
      <c r="I65" s="478"/>
      <c r="J65" s="365"/>
      <c r="K65" s="431"/>
      <c r="L65" s="317"/>
      <c r="M65" s="320"/>
      <c r="N65" s="154" t="b">
        <v>0</v>
      </c>
      <c r="O65" s="119"/>
      <c r="Q65" s="284"/>
      <c r="R65" s="285" t="b">
        <v>0</v>
      </c>
      <c r="S65" s="285" t="b">
        <v>0</v>
      </c>
      <c r="T65" s="286" t="b">
        <v>0</v>
      </c>
    </row>
    <row r="66" outlineLevel="1">
      <c r="A66" s="317"/>
      <c r="B66" s="317"/>
      <c r="C66" s="316"/>
      <c r="D66" s="317"/>
      <c r="E66" s="317"/>
      <c r="F66" s="317"/>
      <c r="G66" s="475"/>
      <c r="H66" s="317"/>
      <c r="I66" s="443"/>
      <c r="J66" s="368"/>
      <c r="K66" s="431"/>
      <c r="L66" s="317"/>
      <c r="M66" s="317"/>
      <c r="N66" s="118" t="b">
        <v>0</v>
      </c>
      <c r="O66" s="119"/>
      <c r="Q66" s="284"/>
      <c r="R66" s="285" t="b">
        <v>0</v>
      </c>
      <c r="S66" s="285" t="b">
        <v>0</v>
      </c>
      <c r="T66" s="286" t="b">
        <v>0</v>
      </c>
    </row>
    <row r="67" outlineLevel="1">
      <c r="A67" s="317"/>
      <c r="B67" s="317"/>
      <c r="C67" s="316"/>
      <c r="D67" s="317"/>
      <c r="E67" s="317"/>
      <c r="F67" s="317"/>
      <c r="G67" s="475"/>
      <c r="H67" s="317"/>
      <c r="I67" s="443"/>
      <c r="J67" s="365"/>
      <c r="K67" s="431"/>
      <c r="L67" s="317"/>
      <c r="M67" s="317"/>
      <c r="N67" s="118" t="b">
        <v>0</v>
      </c>
      <c r="O67" s="119"/>
      <c r="Q67" s="284"/>
      <c r="R67" s="285" t="b">
        <v>0</v>
      </c>
      <c r="S67" s="285" t="b">
        <v>0</v>
      </c>
      <c r="T67" s="286" t="b">
        <v>0</v>
      </c>
    </row>
    <row r="68" outlineLevel="1">
      <c r="A68" s="317"/>
      <c r="B68" s="317"/>
      <c r="C68" s="316"/>
      <c r="D68" s="317"/>
      <c r="E68" s="317"/>
      <c r="F68" s="317"/>
      <c r="G68" s="475"/>
      <c r="H68" s="317"/>
      <c r="I68" s="316"/>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419"/>
      <c r="D70" s="336"/>
      <c r="E70" s="336"/>
      <c r="F70" s="420"/>
      <c r="G70" s="336"/>
      <c r="H70" s="336"/>
      <c r="I70" s="479"/>
      <c r="J70" s="365"/>
      <c r="K70" s="431"/>
      <c r="L70" s="317"/>
      <c r="M70" s="317"/>
      <c r="N70" s="118" t="b">
        <v>0</v>
      </c>
      <c r="O70" s="119"/>
      <c r="Q70" s="284"/>
      <c r="R70" s="285" t="b">
        <v>0</v>
      </c>
      <c r="S70" s="285" t="b">
        <v>0</v>
      </c>
      <c r="T70" s="286" t="b">
        <v>0</v>
      </c>
    </row>
    <row r="71">
      <c r="A71" s="348" t="s">
        <v>116</v>
      </c>
      <c r="B71" s="349">
        <f>COUNTIF(B4:B70,"ONLINE")+COUNTIF(B4:B70,"SEDE*")</f>
        <v>10</v>
      </c>
      <c r="C71" s="348" t="s">
        <v>116</v>
      </c>
      <c r="D71" s="349">
        <f t="shared" ref="D71:E71" si="1">COUNTIF(D4:D70, "*")</f>
        <v>10</v>
      </c>
      <c r="E71" s="349">
        <f t="shared" si="1"/>
        <v>10</v>
      </c>
      <c r="F71" s="480">
        <f>COUNTA(F4:F70)</f>
        <v>10</v>
      </c>
      <c r="G71" s="349">
        <f t="shared" ref="G71:H71" si="2">COUNTIF(G4:G70, "*")</f>
        <v>11</v>
      </c>
      <c r="H71" s="349">
        <f t="shared" si="2"/>
        <v>10</v>
      </c>
      <c r="I71" s="348" t="s">
        <v>116</v>
      </c>
      <c r="J71" s="481">
        <f t="shared" ref="J71:K71" si="3">SUM(J4:J70)</f>
        <v>167</v>
      </c>
      <c r="K71" s="482">
        <f t="shared" si="3"/>
        <v>105</v>
      </c>
      <c r="L71" s="349">
        <f t="shared" ref="L71:M71" si="4">COUNTIF(L4:L70, "*")</f>
        <v>4</v>
      </c>
      <c r="M71" s="349">
        <f t="shared" si="4"/>
        <v>10</v>
      </c>
      <c r="N71" s="349">
        <f>SUMPRODUCT(--N4:N70)</f>
        <v>6</v>
      </c>
      <c r="O71" s="349">
        <f t="shared" ref="O71:Q71" si="5">COUNTIF(O4:O70, "*")</f>
        <v>1</v>
      </c>
      <c r="P71" s="349">
        <f t="shared" si="5"/>
        <v>0</v>
      </c>
      <c r="Q71" s="349">
        <f t="shared" si="5"/>
        <v>10</v>
      </c>
      <c r="R71" s="349">
        <f t="shared" ref="R71:T71" si="6">SUMPRODUCT(--R4:R70)</f>
        <v>5</v>
      </c>
      <c r="S71" s="349">
        <f t="shared" si="6"/>
        <v>5</v>
      </c>
      <c r="T71" s="349">
        <f t="shared" si="6"/>
        <v>10</v>
      </c>
    </row>
    <row r="72">
      <c r="A72" s="245" t="s">
        <v>117</v>
      </c>
      <c r="B72" s="246">
        <f>COUNTIF(B4:B70, "SEDE*")</f>
        <v>3</v>
      </c>
      <c r="C72" s="351"/>
      <c r="D72" s="351"/>
      <c r="E72" s="351"/>
      <c r="F72" s="351"/>
      <c r="G72" s="351"/>
      <c r="H72" s="245" t="s">
        <v>1946</v>
      </c>
      <c r="I72" s="355" t="s">
        <v>121</v>
      </c>
      <c r="J72" s="483" t="str">
        <f>COUNTIFS($B$4:$B$70,"*SEDE*",$J$4:$J$70, $F$154)&amp; " da €"&amp;$F$154</f>
        <v>1 da €27</v>
      </c>
      <c r="K72" s="484" t="str">
        <f>COUNTIFS($B$4:$B$70,"*SEDE*",$K$4:$K$70, $F$153)&amp; " da €"&amp;$F$153</f>
        <v>1 da €25</v>
      </c>
      <c r="L72" s="483" t="str">
        <f>COUNTIFS($B$4:$B$70,"*SEDE*",$J$4:$J$70, $F$156)&amp; " da €"&amp;$F$156</f>
        <v>0 da €32</v>
      </c>
      <c r="M72" s="484" t="str">
        <f>COUNTIFS($B$4:$B$70,"*SEDE*",$K$4:$K$70, $F$155)&amp; " da €"&amp;$F$155</f>
        <v>1 da €30</v>
      </c>
      <c r="N72" s="483" t="str">
        <f>COUNTIFS($B$4:$B$70,"*SEDE*",$J$4:$J$70, $G$154)&amp; " da €"&amp;$G$154</f>
        <v>0 da €37</v>
      </c>
      <c r="O72" s="484" t="str">
        <f>COUNTIFS($B$4:$B$70,"*SEDE*",$K$4:$K$70, $G$153)&amp; " da €"&amp;$G$153</f>
        <v>0 da €35</v>
      </c>
      <c r="P72" s="485" t="s">
        <v>40</v>
      </c>
      <c r="Q72" s="486">
        <f>SUM(J73,K73,L73,M73,N73,O73)</f>
        <v>82</v>
      </c>
      <c r="R72" s="351"/>
      <c r="S72" s="351"/>
      <c r="T72" s="351"/>
    </row>
    <row r="73">
      <c r="A73" s="245" t="s">
        <v>74</v>
      </c>
      <c r="B73" s="246">
        <f>COUNTIF(B4:B70, "ONLINE")</f>
        <v>7</v>
      </c>
      <c r="C73" s="351"/>
      <c r="D73" s="351"/>
      <c r="E73" s="351"/>
      <c r="F73" s="351"/>
      <c r="G73" s="351"/>
      <c r="I73" s="355" t="s">
        <v>122</v>
      </c>
      <c r="J73" s="483">
        <f>SUMIFS($J$4:$J$70,$B$4:$B$70,"*SEDE*",$J$4:$J$70,$F$154)</f>
        <v>27</v>
      </c>
      <c r="K73" s="369">
        <f>SUMIFS($K$4:$K$70,$B$4:$B$70,"*SEDE*",$K$4:$K$70,$F$153)</f>
        <v>25</v>
      </c>
      <c r="L73" s="368">
        <f>SUMIFS($J$4:$J$70,$B$4:$B$70,"*SEDE*",$J$4:$J$70,$F$156)</f>
        <v>0</v>
      </c>
      <c r="M73" s="369">
        <f>SUMIFS($K$4:$K$70,$B$4:$B$70,"*SEDE*",$K$4:$K$70,$F$155)</f>
        <v>30</v>
      </c>
      <c r="N73" s="368">
        <f>SUMIFS($J$4:$J$70,$B$4:$B$70,"*SEDE*",$J$4:$J$70,$G$154)</f>
        <v>0</v>
      </c>
      <c r="O73" s="369">
        <f>SUMIFS($K$4:$K$70,$B$4:$B$70,"*SEDE*",$K$4:$K$70,$G$153)</f>
        <v>0</v>
      </c>
      <c r="R73" s="351"/>
      <c r="S73" s="351"/>
      <c r="T73" s="351"/>
    </row>
    <row r="74">
      <c r="A74" s="245"/>
      <c r="B74" s="246"/>
      <c r="C74" s="351"/>
      <c r="D74" s="351"/>
      <c r="E74" s="351"/>
      <c r="F74" s="351"/>
      <c r="G74" s="351"/>
      <c r="I74" s="355" t="s">
        <v>123</v>
      </c>
      <c r="J74" s="368" t="str">
        <f>COUNTIFS($B$4:$B$70,"*ONLINE*",$J$4:$J$70, $F$154)&amp; " da €"&amp;$F$154</f>
        <v>4 da €27</v>
      </c>
      <c r="K74" s="484" t="str">
        <f>COUNTIFS($B$4:$B$70,"*ONLINE*",$K$4:$K$70, $F$153)&amp; " da €"&amp;$F$153</f>
        <v>2 da €25</v>
      </c>
      <c r="L74" s="368" t="str">
        <f>COUNTIFS($B$4:$B$70,"*ONLINE*",$J$4:$J$70, $F$156)&amp; " da €"&amp;$F$156</f>
        <v>1 da €32</v>
      </c>
      <c r="M74" s="369" t="str">
        <f>COUNTIFS($B$4:$B$70,"*ONLINE*",$K$4:$K$70, $F$155)&amp; " da €"&amp;$F$155</f>
        <v>0 da €30</v>
      </c>
      <c r="N74" s="368" t="str">
        <f>COUNTIFS($B$4:$B$70,"*ONLINE*",$J$4:$J$70, $G$154)&amp; " da €"&amp;$G$154</f>
        <v>0 da €37</v>
      </c>
      <c r="O74" s="369" t="str">
        <f>COUNTIFS($B$4:$B$70,"*ONLINE*",$K$4:$K$70, $G$153)&amp; " da €"&amp;$G$153</f>
        <v>0 da €35</v>
      </c>
      <c r="P74" s="425" t="s">
        <v>40</v>
      </c>
      <c r="Q74" s="486">
        <f>SUM(J75,K75,L75,M75,N75,O75)</f>
        <v>190</v>
      </c>
      <c r="R74" s="351"/>
      <c r="S74" s="351"/>
      <c r="T74" s="351"/>
    </row>
    <row r="75">
      <c r="A75" s="245"/>
      <c r="B75" s="246"/>
      <c r="C75" s="351"/>
      <c r="D75" s="351"/>
      <c r="E75" s="351"/>
      <c r="F75" s="351"/>
      <c r="G75" s="351"/>
      <c r="I75" s="355" t="s">
        <v>124</v>
      </c>
      <c r="J75" s="483">
        <f>SUMIFS($J$4:$J$70,$B$4:$B$70,"*ONLINE*",$J$4:$J$70,$F$154)</f>
        <v>108</v>
      </c>
      <c r="K75" s="484">
        <f>SUMIFS($K$4:$K$70,$B$4:$B$70,"*ONLINE*",$K$4:$K$70,$F$153)</f>
        <v>50</v>
      </c>
      <c r="L75" s="483">
        <f>SUMIFS($J$4:$J$70,$B$4:$B$70,"*ONLINE*",$J$4:$J$70,$F$156)</f>
        <v>32</v>
      </c>
      <c r="M75" s="369">
        <f>SUMIFS($K$4:$K$70,$B$4:$B$70,"*ONLINE*",$K$4:$K$70,$F$155)</f>
        <v>0</v>
      </c>
      <c r="N75" s="483">
        <f>SUMIFS($J$4:$J$70,$B$4:$B$70,"*ONLINE*",$J$4:$J$70,$G$154)</f>
        <v>0</v>
      </c>
      <c r="O75" s="369">
        <f>SUMIFS($K$4:$K$70,$B$4:$B$70,"*ONLINE*",$K$4:$K$70,$G$153)</f>
        <v>0</v>
      </c>
      <c r="R75" s="245" t="s">
        <v>120</v>
      </c>
      <c r="S75" s="378" t="str">
        <f>IF(SUM(J71:K71) = SUM(Q72:Q75), "OK", "ERRORE")</f>
        <v>OK</v>
      </c>
      <c r="T75" s="351"/>
    </row>
    <row r="76" ht="26.25" customHeight="1" collapsed="1">
      <c r="A76" s="428" t="s">
        <v>2005</v>
      </c>
      <c r="R76" s="429"/>
      <c r="S76" s="429"/>
      <c r="T76" s="429"/>
    </row>
    <row r="77" hidden="1" outlineLevel="1">
      <c r="A77" s="317"/>
      <c r="B77" s="317"/>
      <c r="C77" s="316"/>
      <c r="D77" s="336"/>
      <c r="E77" s="336"/>
      <c r="F77" s="420"/>
      <c r="G77" s="317"/>
      <c r="H77" s="317"/>
      <c r="I77" s="318"/>
      <c r="J77" s="319"/>
      <c r="K77" s="431"/>
      <c r="L77" s="317"/>
      <c r="M77" s="317"/>
      <c r="N77" s="118" t="b">
        <v>0</v>
      </c>
      <c r="O77" s="487"/>
      <c r="Q77" s="284"/>
      <c r="R77" s="285" t="b">
        <v>0</v>
      </c>
      <c r="S77" s="285" t="b">
        <v>0</v>
      </c>
      <c r="T77" s="286" t="b">
        <v>0</v>
      </c>
    </row>
    <row r="78" hidden="1" outlineLevel="1">
      <c r="A78" s="317"/>
      <c r="B78" s="317"/>
      <c r="C78" s="316"/>
      <c r="D78" s="317"/>
      <c r="E78" s="317"/>
      <c r="F78" s="317"/>
      <c r="G78" s="317"/>
      <c r="H78" s="317"/>
      <c r="I78" s="318"/>
      <c r="J78" s="319"/>
      <c r="K78" s="431"/>
      <c r="L78" s="317"/>
      <c r="M78" s="317"/>
      <c r="N78" s="118" t="b">
        <v>0</v>
      </c>
      <c r="O78" s="487"/>
      <c r="Q78" s="284"/>
      <c r="R78" s="285" t="b">
        <v>0</v>
      </c>
      <c r="S78" s="285" t="b">
        <v>0</v>
      </c>
      <c r="T78" s="286" t="b">
        <v>0</v>
      </c>
    </row>
    <row r="79" hidden="1" outlineLevel="1">
      <c r="A79" s="317"/>
      <c r="B79" s="317"/>
      <c r="C79" s="316"/>
      <c r="D79" s="317"/>
      <c r="E79" s="317"/>
      <c r="F79" s="317"/>
      <c r="G79" s="320"/>
      <c r="H79" s="320"/>
      <c r="I79" s="439"/>
      <c r="J79" s="435"/>
      <c r="K79" s="431"/>
      <c r="L79" s="317"/>
      <c r="M79" s="317"/>
      <c r="N79" s="118" t="b">
        <v>0</v>
      </c>
      <c r="O79" s="487"/>
      <c r="Q79" s="284"/>
      <c r="R79" s="285" t="b">
        <v>0</v>
      </c>
      <c r="S79" s="285" t="b">
        <v>0</v>
      </c>
      <c r="T79" s="286" t="b">
        <v>0</v>
      </c>
    </row>
    <row r="80" hidden="1" outlineLevel="1">
      <c r="A80" s="317"/>
      <c r="B80" s="317"/>
      <c r="C80" s="316"/>
      <c r="D80" s="317"/>
      <c r="E80" s="317"/>
      <c r="F80" s="317"/>
      <c r="G80" s="317"/>
      <c r="H80" s="317"/>
      <c r="I80" s="318"/>
      <c r="J80" s="319"/>
      <c r="K80" s="431"/>
      <c r="L80" s="317"/>
      <c r="M80" s="317"/>
      <c r="N80" s="118" t="b">
        <v>0</v>
      </c>
      <c r="O80" s="487"/>
      <c r="Q80" s="284"/>
      <c r="R80" s="285" t="b">
        <v>0</v>
      </c>
      <c r="S80" s="285" t="b">
        <v>0</v>
      </c>
      <c r="T80" s="286" t="b">
        <v>0</v>
      </c>
    </row>
    <row r="81" hidden="1" outlineLevel="1">
      <c r="A81" s="317"/>
      <c r="B81" s="317"/>
      <c r="C81" s="316"/>
      <c r="D81" s="317"/>
      <c r="E81" s="317"/>
      <c r="F81" s="317"/>
      <c r="G81" s="317"/>
      <c r="H81" s="317"/>
      <c r="I81" s="318"/>
      <c r="J81" s="319"/>
      <c r="K81" s="431"/>
      <c r="L81" s="317"/>
      <c r="M81" s="317"/>
      <c r="N81" s="118" t="b">
        <v>0</v>
      </c>
      <c r="O81" s="487"/>
      <c r="Q81" s="284"/>
      <c r="R81" s="285" t="b">
        <v>0</v>
      </c>
      <c r="S81" s="285" t="b">
        <v>0</v>
      </c>
      <c r="T81" s="286" t="b">
        <v>0</v>
      </c>
    </row>
    <row r="82" hidden="1" outlineLevel="1">
      <c r="A82" s="317"/>
      <c r="B82" s="317"/>
      <c r="C82" s="465"/>
      <c r="D82" s="320"/>
      <c r="E82" s="320"/>
      <c r="F82" s="320"/>
      <c r="G82" s="320"/>
      <c r="H82" s="320"/>
      <c r="I82" s="318"/>
      <c r="J82" s="319"/>
      <c r="K82" s="436"/>
      <c r="L82" s="317"/>
      <c r="M82" s="317"/>
      <c r="N82" s="118" t="b">
        <v>0</v>
      </c>
      <c r="O82" s="487"/>
      <c r="Q82" s="284"/>
      <c r="R82" s="285" t="b">
        <v>0</v>
      </c>
      <c r="S82" s="285" t="b">
        <v>0</v>
      </c>
      <c r="T82" s="286" t="b">
        <v>0</v>
      </c>
    </row>
    <row r="83" hidden="1" outlineLevel="1">
      <c r="A83" s="317"/>
      <c r="B83" s="317"/>
      <c r="C83" s="465"/>
      <c r="D83" s="320"/>
      <c r="E83" s="320"/>
      <c r="F83" s="320"/>
      <c r="G83" s="320"/>
      <c r="H83" s="320"/>
      <c r="I83" s="478"/>
      <c r="J83" s="319"/>
      <c r="K83" s="431"/>
      <c r="L83" s="317"/>
      <c r="M83" s="317"/>
      <c r="N83" s="118" t="b">
        <v>0</v>
      </c>
      <c r="O83" s="487"/>
      <c r="Q83" s="284"/>
      <c r="R83" s="285" t="b">
        <v>0</v>
      </c>
      <c r="S83" s="285" t="b">
        <v>0</v>
      </c>
      <c r="T83" s="286" t="b">
        <v>0</v>
      </c>
    </row>
    <row r="84" hidden="1" outlineLevel="1">
      <c r="A84" s="317"/>
      <c r="B84" s="317"/>
      <c r="C84" s="465"/>
      <c r="D84" s="320"/>
      <c r="E84" s="320"/>
      <c r="F84" s="320"/>
      <c r="G84" s="320"/>
      <c r="H84" s="320"/>
      <c r="I84" s="439"/>
      <c r="J84" s="435"/>
      <c r="K84" s="431"/>
      <c r="L84" s="317"/>
      <c r="M84" s="317"/>
      <c r="N84" s="118" t="b">
        <v>0</v>
      </c>
      <c r="O84" s="487"/>
      <c r="Q84" s="284"/>
      <c r="R84" s="285" t="b">
        <v>0</v>
      </c>
      <c r="S84" s="285" t="b">
        <v>0</v>
      </c>
      <c r="T84" s="286" t="b">
        <v>0</v>
      </c>
    </row>
    <row r="85" hidden="1" outlineLevel="1">
      <c r="A85" s="317"/>
      <c r="B85" s="317"/>
      <c r="C85" s="465"/>
      <c r="D85" s="320"/>
      <c r="E85" s="320"/>
      <c r="F85" s="320"/>
      <c r="G85" s="320"/>
      <c r="H85" s="320"/>
      <c r="I85" s="439"/>
      <c r="J85" s="319"/>
      <c r="K85" s="431"/>
      <c r="L85" s="317"/>
      <c r="M85" s="317"/>
      <c r="N85" s="118" t="b">
        <v>0</v>
      </c>
      <c r="O85" s="487"/>
      <c r="Q85" s="284"/>
      <c r="R85" s="285" t="b">
        <v>0</v>
      </c>
      <c r="S85" s="285" t="b">
        <v>0</v>
      </c>
      <c r="T85" s="286" t="b">
        <v>0</v>
      </c>
    </row>
    <row r="86" hidden="1" outlineLevel="1">
      <c r="A86" s="317"/>
      <c r="B86" s="317"/>
      <c r="C86" s="465"/>
      <c r="D86" s="320"/>
      <c r="E86" s="320"/>
      <c r="F86" s="320"/>
      <c r="G86" s="320"/>
      <c r="H86" s="320"/>
      <c r="I86" s="478"/>
      <c r="J86" s="319"/>
      <c r="K86" s="431"/>
      <c r="L86" s="317"/>
      <c r="M86" s="317"/>
      <c r="N86" s="118" t="b">
        <v>0</v>
      </c>
      <c r="O86" s="487"/>
      <c r="Q86" s="284"/>
      <c r="R86" s="285" t="b">
        <v>0</v>
      </c>
      <c r="S86" s="285" t="b">
        <v>0</v>
      </c>
      <c r="T86" s="286" t="b">
        <v>0</v>
      </c>
    </row>
    <row r="87" hidden="1" outlineLevel="1">
      <c r="A87" s="317"/>
      <c r="B87" s="317"/>
      <c r="C87" s="465"/>
      <c r="D87" s="320"/>
      <c r="E87" s="320"/>
      <c r="F87" s="320"/>
      <c r="G87" s="320"/>
      <c r="H87" s="320"/>
      <c r="I87" s="439"/>
      <c r="J87" s="319"/>
      <c r="K87" s="436"/>
      <c r="L87" s="317"/>
      <c r="M87" s="317"/>
      <c r="N87" s="118" t="b">
        <v>0</v>
      </c>
      <c r="O87" s="487"/>
      <c r="Q87" s="284"/>
      <c r="R87" s="285" t="b">
        <v>0</v>
      </c>
      <c r="S87" s="285" t="b">
        <v>0</v>
      </c>
      <c r="T87" s="286" t="b">
        <v>0</v>
      </c>
    </row>
    <row r="88" hidden="1" outlineLevel="1">
      <c r="A88" s="317"/>
      <c r="B88" s="317"/>
      <c r="C88" s="465"/>
      <c r="D88" s="320"/>
      <c r="E88" s="320"/>
      <c r="F88" s="320"/>
      <c r="G88" s="320"/>
      <c r="H88" s="320"/>
      <c r="I88" s="439"/>
      <c r="J88" s="319"/>
      <c r="K88" s="431"/>
      <c r="L88" s="317"/>
      <c r="M88" s="317"/>
      <c r="N88" s="118" t="b">
        <v>0</v>
      </c>
      <c r="O88" s="487"/>
      <c r="Q88" s="284"/>
      <c r="R88" s="285" t="b">
        <v>0</v>
      </c>
      <c r="S88" s="285" t="b">
        <v>0</v>
      </c>
      <c r="T88" s="286" t="b">
        <v>0</v>
      </c>
    </row>
    <row r="89" hidden="1" outlineLevel="1">
      <c r="A89" s="317"/>
      <c r="B89" s="317"/>
      <c r="C89" s="465"/>
      <c r="D89" s="320"/>
      <c r="E89" s="320"/>
      <c r="F89" s="320"/>
      <c r="G89" s="320"/>
      <c r="H89" s="320"/>
      <c r="I89" s="439"/>
      <c r="J89" s="319"/>
      <c r="K89" s="431"/>
      <c r="L89" s="317"/>
      <c r="M89" s="317"/>
      <c r="N89" s="118" t="b">
        <v>0</v>
      </c>
      <c r="O89" s="487"/>
      <c r="Q89" s="284"/>
      <c r="R89" s="285" t="b">
        <v>0</v>
      </c>
      <c r="S89" s="285" t="b">
        <v>0</v>
      </c>
      <c r="T89" s="286" t="b">
        <v>0</v>
      </c>
    </row>
    <row r="90" hidden="1" outlineLevel="1">
      <c r="A90" s="317"/>
      <c r="B90" s="317"/>
      <c r="C90" s="465"/>
      <c r="D90" s="320"/>
      <c r="E90" s="320"/>
      <c r="F90" s="320"/>
      <c r="G90" s="320"/>
      <c r="H90" s="320"/>
      <c r="I90" s="439"/>
      <c r="J90" s="319"/>
      <c r="K90" s="436"/>
      <c r="L90" s="317"/>
      <c r="M90" s="317"/>
      <c r="N90" s="118" t="b">
        <v>0</v>
      </c>
      <c r="O90" s="487"/>
      <c r="Q90" s="284"/>
      <c r="R90" s="285" t="b">
        <v>0</v>
      </c>
      <c r="S90" s="285" t="b">
        <v>0</v>
      </c>
      <c r="T90" s="286" t="b">
        <v>0</v>
      </c>
    </row>
    <row r="91" hidden="1" outlineLevel="1">
      <c r="A91" s="317"/>
      <c r="B91" s="317"/>
      <c r="C91" s="465"/>
      <c r="D91" s="320"/>
      <c r="E91" s="320"/>
      <c r="F91" s="320"/>
      <c r="G91" s="320"/>
      <c r="H91" s="320"/>
      <c r="I91" s="439"/>
      <c r="J91" s="319"/>
      <c r="K91" s="431"/>
      <c r="L91" s="317"/>
      <c r="M91" s="317"/>
      <c r="N91" s="118" t="b">
        <v>0</v>
      </c>
      <c r="O91" s="487"/>
      <c r="Q91" s="284"/>
      <c r="R91" s="285" t="b">
        <v>0</v>
      </c>
      <c r="S91" s="285" t="b">
        <v>0</v>
      </c>
      <c r="T91" s="286" t="b">
        <v>0</v>
      </c>
    </row>
    <row r="92" hidden="1"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hidden="1" outlineLevel="1">
      <c r="A93" s="432"/>
      <c r="B93" s="432"/>
      <c r="C93" s="490"/>
      <c r="D93" s="488"/>
      <c r="E93" s="488"/>
      <c r="F93" s="488"/>
      <c r="G93" s="488"/>
      <c r="H93" s="488"/>
      <c r="I93" s="489"/>
      <c r="J93" s="435"/>
      <c r="K93" s="436"/>
      <c r="L93" s="432"/>
      <c r="M93" s="432"/>
      <c r="N93" s="118" t="b">
        <v>0</v>
      </c>
      <c r="O93" s="487"/>
      <c r="Q93" s="438"/>
      <c r="R93" s="285" t="b">
        <v>0</v>
      </c>
      <c r="S93" s="285" t="b">
        <v>0</v>
      </c>
      <c r="T93" s="286" t="b">
        <v>0</v>
      </c>
    </row>
    <row r="94" hidden="1" outlineLevel="1">
      <c r="A94" s="317"/>
      <c r="B94" s="317"/>
      <c r="C94" s="465"/>
      <c r="D94" s="320"/>
      <c r="E94" s="320"/>
      <c r="F94" s="320"/>
      <c r="G94" s="320"/>
      <c r="H94" s="320"/>
      <c r="I94" s="439"/>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316"/>
      <c r="D100" s="317"/>
      <c r="E100" s="317"/>
      <c r="F100" s="317"/>
      <c r="G100" s="317"/>
      <c r="H100" s="317"/>
      <c r="I100" s="318"/>
      <c r="J100" s="319"/>
      <c r="K100" s="436"/>
      <c r="L100" s="317"/>
      <c r="M100" s="317"/>
      <c r="N100" s="118" t="b">
        <v>0</v>
      </c>
      <c r="O100" s="487"/>
      <c r="Q100" s="284"/>
      <c r="R100" s="285" t="b">
        <v>0</v>
      </c>
      <c r="S100" s="285" t="b">
        <v>0</v>
      </c>
      <c r="T100" s="286" t="b">
        <v>0</v>
      </c>
    </row>
    <row r="101" hidden="1" outlineLevel="1">
      <c r="A101" s="317"/>
      <c r="B101" s="317"/>
      <c r="C101" s="316"/>
      <c r="D101" s="317"/>
      <c r="E101" s="317"/>
      <c r="F101" s="317"/>
      <c r="G101" s="342"/>
      <c r="H101" s="317"/>
      <c r="I101" s="318"/>
      <c r="J101" s="319"/>
      <c r="K101" s="436"/>
      <c r="L101" s="317"/>
      <c r="M101" s="317"/>
      <c r="N101" s="118" t="b">
        <v>0</v>
      </c>
      <c r="O101" s="487"/>
      <c r="Q101" s="284"/>
      <c r="R101" s="285" t="b">
        <v>0</v>
      </c>
      <c r="S101" s="285" t="b">
        <v>0</v>
      </c>
      <c r="T101" s="286" t="b">
        <v>0</v>
      </c>
    </row>
    <row r="102" hidden="1" outlineLevel="1">
      <c r="A102" s="317"/>
      <c r="B102" s="317"/>
      <c r="C102" s="316"/>
      <c r="D102" s="317"/>
      <c r="E102" s="317"/>
      <c r="F102" s="317"/>
      <c r="G102" s="317"/>
      <c r="H102" s="317"/>
      <c r="I102" s="318"/>
      <c r="J102" s="319"/>
      <c r="K102" s="436"/>
      <c r="L102" s="317"/>
      <c r="M102" s="317"/>
      <c r="N102" s="118" t="b">
        <v>0</v>
      </c>
      <c r="O102" s="487"/>
      <c r="Q102" s="284"/>
      <c r="R102" s="285" t="b">
        <v>0</v>
      </c>
      <c r="S102" s="285" t="b">
        <v>0</v>
      </c>
      <c r="T102" s="286" t="b">
        <v>0</v>
      </c>
    </row>
    <row r="103" hidden="1" outlineLevel="1">
      <c r="A103" s="317"/>
      <c r="B103" s="317"/>
      <c r="C103" s="316"/>
      <c r="D103" s="317"/>
      <c r="E103" s="317"/>
      <c r="F103" s="317"/>
      <c r="G103" s="317"/>
      <c r="H103" s="317"/>
      <c r="I103" s="443"/>
      <c r="J103" s="319"/>
      <c r="K103" s="431"/>
      <c r="L103" s="317"/>
      <c r="M103" s="317"/>
      <c r="N103" s="118" t="b">
        <v>0</v>
      </c>
      <c r="O103" s="487"/>
      <c r="Q103" s="284"/>
      <c r="R103" s="285" t="b">
        <v>0</v>
      </c>
      <c r="S103" s="285" t="b">
        <v>0</v>
      </c>
      <c r="T103" s="286" t="b">
        <v>0</v>
      </c>
    </row>
    <row r="104" hidden="1" outlineLevel="1">
      <c r="A104" s="317"/>
      <c r="B104" s="317"/>
      <c r="C104" s="316"/>
      <c r="D104" s="317"/>
      <c r="E104" s="317"/>
      <c r="F104" s="317"/>
      <c r="G104" s="317"/>
      <c r="H104" s="317"/>
      <c r="I104" s="318"/>
      <c r="J104" s="319"/>
      <c r="K104" s="431"/>
      <c r="L104" s="317"/>
      <c r="M104" s="317"/>
      <c r="N104" s="118" t="b">
        <v>0</v>
      </c>
      <c r="O104" s="487"/>
      <c r="Q104" s="284"/>
      <c r="R104" s="285" t="b">
        <v>0</v>
      </c>
      <c r="S104" s="285" t="b">
        <v>0</v>
      </c>
      <c r="T104" s="286" t="b">
        <v>0</v>
      </c>
    </row>
    <row r="105" hidden="1" outlineLevel="1">
      <c r="A105" s="317"/>
      <c r="B105" s="317"/>
      <c r="C105" s="316"/>
      <c r="D105" s="317"/>
      <c r="E105" s="317"/>
      <c r="F105" s="317"/>
      <c r="G105" s="317"/>
      <c r="H105" s="317"/>
      <c r="I105" s="496"/>
      <c r="J105" s="319"/>
      <c r="K105" s="431"/>
      <c r="L105" s="317"/>
      <c r="M105" s="317"/>
      <c r="N105" s="118" t="b">
        <v>0</v>
      </c>
      <c r="O105" s="487"/>
      <c r="Q105" s="284"/>
      <c r="R105" s="285" t="b">
        <v>0</v>
      </c>
      <c r="S105" s="285" t="b">
        <v>0</v>
      </c>
      <c r="T105" s="286" t="b">
        <v>0</v>
      </c>
    </row>
    <row r="106" hidden="1"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hidden="1" outlineLevel="1">
      <c r="A107" s="317"/>
      <c r="B107" s="317"/>
      <c r="C107" s="316"/>
      <c r="D107" s="317"/>
      <c r="E107" s="317"/>
      <c r="F107" s="317"/>
      <c r="G107" s="317"/>
      <c r="H107" s="317"/>
      <c r="I107" s="316"/>
      <c r="J107" s="319"/>
      <c r="K107" s="431"/>
      <c r="L107" s="317"/>
      <c r="M107" s="317"/>
      <c r="N107" s="118" t="b">
        <v>0</v>
      </c>
      <c r="O107" s="487"/>
      <c r="Q107" s="284"/>
      <c r="R107" s="285" t="b">
        <v>0</v>
      </c>
      <c r="S107" s="285" t="b">
        <v>0</v>
      </c>
      <c r="T107" s="286" t="b">
        <v>0</v>
      </c>
    </row>
    <row r="108" hidden="1" outlineLevel="1">
      <c r="A108" s="317"/>
      <c r="B108" s="317"/>
      <c r="C108" s="496"/>
      <c r="D108" s="317"/>
      <c r="E108" s="317"/>
      <c r="F108" s="317"/>
      <c r="G108" s="317"/>
      <c r="H108" s="317"/>
      <c r="I108" s="318"/>
      <c r="J108" s="319"/>
      <c r="K108" s="431"/>
      <c r="L108" s="317"/>
      <c r="M108" s="317"/>
      <c r="N108" s="118" t="b">
        <v>0</v>
      </c>
      <c r="O108" s="487"/>
      <c r="Q108" s="284"/>
      <c r="R108" s="285" t="b">
        <v>0</v>
      </c>
      <c r="S108" s="285" t="b">
        <v>0</v>
      </c>
      <c r="T108" s="286" t="b">
        <v>0</v>
      </c>
    </row>
    <row r="109" hidden="1" outlineLevel="1">
      <c r="A109" s="317"/>
      <c r="B109" s="317"/>
      <c r="C109" s="316"/>
      <c r="D109" s="317"/>
      <c r="E109" s="317"/>
      <c r="F109" s="317"/>
      <c r="G109" s="342"/>
      <c r="H109" s="317"/>
      <c r="I109" s="316"/>
      <c r="J109" s="319"/>
      <c r="K109" s="436"/>
      <c r="L109" s="317"/>
      <c r="M109" s="317"/>
      <c r="N109" s="118" t="b">
        <v>0</v>
      </c>
      <c r="O109" s="487"/>
      <c r="Q109" s="284"/>
      <c r="R109" s="285" t="b">
        <v>0</v>
      </c>
      <c r="S109" s="285" t="b">
        <v>0</v>
      </c>
      <c r="T109" s="286" t="b">
        <v>0</v>
      </c>
    </row>
    <row r="110" hidden="1" outlineLevel="1">
      <c r="A110" s="317"/>
      <c r="B110" s="317"/>
      <c r="C110" s="316"/>
      <c r="D110" s="317"/>
      <c r="E110" s="317"/>
      <c r="F110" s="317"/>
      <c r="G110" s="317"/>
      <c r="H110" s="317"/>
      <c r="I110" s="316"/>
      <c r="J110" s="319"/>
      <c r="K110" s="436"/>
      <c r="L110" s="317"/>
      <c r="M110" s="317"/>
      <c r="N110" s="118" t="b">
        <v>0</v>
      </c>
      <c r="O110" s="487"/>
      <c r="Q110" s="284"/>
      <c r="R110" s="285" t="b">
        <v>0</v>
      </c>
      <c r="S110" s="285" t="b">
        <v>0</v>
      </c>
      <c r="T110" s="286" t="b">
        <v>0</v>
      </c>
    </row>
    <row r="111" hidden="1" outlineLevel="1">
      <c r="A111" s="432"/>
      <c r="B111" s="432"/>
      <c r="C111" s="497"/>
      <c r="D111" s="432"/>
      <c r="E111" s="432"/>
      <c r="F111" s="432"/>
      <c r="G111" s="432"/>
      <c r="H111" s="432"/>
      <c r="I111" s="441"/>
      <c r="J111" s="435"/>
      <c r="K111" s="436"/>
      <c r="L111" s="432"/>
      <c r="M111" s="432"/>
      <c r="N111" s="118" t="b">
        <v>0</v>
      </c>
      <c r="O111" s="487"/>
      <c r="Q111" s="438"/>
      <c r="R111" s="285" t="b">
        <v>0</v>
      </c>
      <c r="S111" s="285" t="b">
        <v>0</v>
      </c>
      <c r="T111" s="286" t="b">
        <v>0</v>
      </c>
    </row>
    <row r="112" hidden="1" outlineLevel="1">
      <c r="A112" s="432"/>
      <c r="B112" s="432"/>
      <c r="C112" s="497"/>
      <c r="D112" s="131"/>
      <c r="E112" s="432"/>
      <c r="F112" s="317"/>
      <c r="G112" s="317"/>
      <c r="H112" s="317"/>
      <c r="I112" s="318"/>
      <c r="J112" s="319"/>
      <c r="K112" s="436"/>
      <c r="L112" s="432"/>
      <c r="M112" s="317"/>
      <c r="N112" s="118" t="b">
        <v>0</v>
      </c>
      <c r="O112" s="487"/>
      <c r="Q112" s="284"/>
      <c r="R112" s="285" t="b">
        <v>0</v>
      </c>
      <c r="S112" s="285" t="b">
        <v>0</v>
      </c>
      <c r="T112" s="286" t="b">
        <v>0</v>
      </c>
    </row>
    <row r="113" hidden="1" outlineLevel="1">
      <c r="A113" s="432"/>
      <c r="B113" s="432"/>
      <c r="C113" s="477"/>
      <c r="D113" s="432"/>
      <c r="E113" s="432"/>
      <c r="F113" s="432"/>
      <c r="G113" s="432"/>
      <c r="H113" s="351"/>
      <c r="I113" s="441"/>
      <c r="J113" s="435"/>
      <c r="K113" s="436"/>
      <c r="L113" s="432"/>
      <c r="M113" s="432"/>
      <c r="N113" s="118" t="b">
        <v>0</v>
      </c>
      <c r="O113" s="487"/>
      <c r="Q113" s="438"/>
      <c r="R113" s="285" t="b">
        <v>0</v>
      </c>
      <c r="S113" s="285" t="b">
        <v>0</v>
      </c>
      <c r="T113" s="286" t="b">
        <v>0</v>
      </c>
    </row>
    <row r="114" hidden="1" outlineLevel="1">
      <c r="A114" s="317"/>
      <c r="B114" s="317"/>
      <c r="C114" s="496"/>
      <c r="D114" s="317"/>
      <c r="E114" s="317"/>
      <c r="F114" s="317"/>
      <c r="G114" s="317"/>
      <c r="H114" s="317"/>
      <c r="I114" s="318"/>
      <c r="J114" s="319"/>
      <c r="K114" s="431"/>
      <c r="L114" s="317"/>
      <c r="M114" s="317"/>
      <c r="N114" s="118" t="b">
        <v>0</v>
      </c>
      <c r="O114" s="487"/>
      <c r="Q114" s="284"/>
      <c r="R114" s="285" t="b">
        <v>0</v>
      </c>
      <c r="S114" s="285" t="b">
        <v>0</v>
      </c>
      <c r="T114" s="286" t="b">
        <v>0</v>
      </c>
    </row>
    <row r="115" hidden="1" outlineLevel="1">
      <c r="A115" s="317"/>
      <c r="B115" s="317"/>
      <c r="C115" s="316"/>
      <c r="D115" s="317"/>
      <c r="E115" s="317"/>
      <c r="F115" s="324"/>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318"/>
      <c r="J116" s="319"/>
      <c r="K116" s="436"/>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432"/>
      <c r="B118" s="432"/>
      <c r="C118" s="440"/>
      <c r="D118" s="432"/>
      <c r="E118" s="432"/>
      <c r="F118" s="432"/>
      <c r="G118" s="432"/>
      <c r="H118" s="432"/>
      <c r="I118" s="441"/>
      <c r="J118" s="435"/>
      <c r="K118" s="436"/>
      <c r="L118" s="432"/>
      <c r="M118" s="317"/>
      <c r="N118" s="118" t="b">
        <v>0</v>
      </c>
      <c r="O118" s="487"/>
      <c r="Q118" s="284"/>
      <c r="R118" s="285" t="b">
        <v>0</v>
      </c>
      <c r="S118" s="285" t="b">
        <v>0</v>
      </c>
      <c r="T118" s="286" t="b">
        <v>0</v>
      </c>
    </row>
    <row r="119" hidden="1" outlineLevel="1">
      <c r="A119" s="317"/>
      <c r="B119" s="317"/>
      <c r="C119" s="316"/>
      <c r="D119" s="317"/>
      <c r="E119" s="317"/>
      <c r="F119" s="317"/>
      <c r="G119" s="317"/>
      <c r="H119" s="317"/>
      <c r="I119" s="318"/>
      <c r="J119" s="319"/>
      <c r="K119" s="431"/>
      <c r="L119" s="317"/>
      <c r="M119" s="317"/>
      <c r="N119" s="118" t="b">
        <v>0</v>
      </c>
      <c r="O119" s="487"/>
      <c r="Q119" s="284"/>
      <c r="R119" s="285" t="b">
        <v>0</v>
      </c>
      <c r="S119" s="285" t="b">
        <v>0</v>
      </c>
      <c r="T119" s="286" t="b">
        <v>0</v>
      </c>
    </row>
    <row r="120" hidden="1" outlineLevel="1">
      <c r="A120" s="317"/>
      <c r="B120" s="317"/>
      <c r="C120" s="440"/>
      <c r="D120" s="432"/>
      <c r="E120" s="432"/>
      <c r="F120" s="432"/>
      <c r="G120" s="432"/>
      <c r="H120" s="432"/>
      <c r="I120" s="441"/>
      <c r="J120" s="435"/>
      <c r="K120" s="436"/>
      <c r="L120" s="432"/>
      <c r="M120" s="432"/>
      <c r="N120" s="118" t="b">
        <v>0</v>
      </c>
      <c r="O120" s="487"/>
      <c r="Q120" s="438"/>
      <c r="R120" s="285" t="b">
        <v>0</v>
      </c>
      <c r="S120" s="285" t="b">
        <v>0</v>
      </c>
      <c r="T120" s="286" t="b">
        <v>0</v>
      </c>
    </row>
    <row r="121" hidden="1" outlineLevel="1">
      <c r="A121" s="432"/>
      <c r="B121" s="432"/>
      <c r="C121" s="440"/>
      <c r="D121" s="432"/>
      <c r="E121" s="432"/>
      <c r="F121" s="432"/>
      <c r="G121" s="432"/>
      <c r="H121" s="432"/>
      <c r="I121" s="441"/>
      <c r="J121" s="435"/>
      <c r="K121" s="436"/>
      <c r="L121" s="432"/>
      <c r="M121" s="317"/>
      <c r="N121" s="118" t="b">
        <v>0</v>
      </c>
      <c r="O121" s="487"/>
      <c r="Q121" s="438"/>
      <c r="R121" s="285" t="b">
        <v>0</v>
      </c>
      <c r="S121" s="285" t="b">
        <v>0</v>
      </c>
      <c r="T121" s="286" t="b">
        <v>0</v>
      </c>
    </row>
    <row r="122" hidden="1" outlineLevel="1">
      <c r="A122" s="317"/>
      <c r="B122" s="317"/>
      <c r="C122" s="316"/>
      <c r="D122" s="317"/>
      <c r="E122" s="317"/>
      <c r="F122" s="317"/>
      <c r="G122" s="317"/>
      <c r="H122" s="317"/>
      <c r="I122" s="318"/>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8"/>
      <c r="J123" s="319"/>
      <c r="K123" s="431"/>
      <c r="L123" s="317"/>
      <c r="M123" s="317"/>
      <c r="N123" s="118" t="b">
        <v>0</v>
      </c>
      <c r="O123" s="487"/>
      <c r="Q123" s="284"/>
      <c r="R123" s="285" t="b">
        <v>0</v>
      </c>
      <c r="S123" s="285" t="b">
        <v>0</v>
      </c>
      <c r="T123" s="286" t="b">
        <v>0</v>
      </c>
    </row>
    <row r="124" hidden="1" outlineLevel="1">
      <c r="A124" s="317"/>
      <c r="B124" s="317"/>
      <c r="C124" s="316"/>
      <c r="D124" s="317"/>
      <c r="E124" s="317"/>
      <c r="F124" s="317"/>
      <c r="G124" s="317"/>
      <c r="H124" s="317"/>
      <c r="I124" s="318"/>
      <c r="J124" s="319"/>
      <c r="K124" s="436"/>
      <c r="L124" s="317"/>
      <c r="M124" s="317"/>
      <c r="N124" s="118" t="b">
        <v>0</v>
      </c>
      <c r="O124" s="487"/>
      <c r="Q124" s="284"/>
      <c r="R124" s="285" t="b">
        <v>0</v>
      </c>
      <c r="S124" s="285" t="b">
        <v>0</v>
      </c>
      <c r="T124" s="286" t="b">
        <v>0</v>
      </c>
    </row>
    <row r="125" hidden="1" outlineLevel="1">
      <c r="A125" s="317"/>
      <c r="B125" s="317"/>
      <c r="C125" s="316"/>
      <c r="D125" s="317"/>
      <c r="E125" s="317"/>
      <c r="F125" s="317"/>
      <c r="G125" s="317"/>
      <c r="H125" s="317"/>
      <c r="I125" s="318"/>
      <c r="J125" s="319"/>
      <c r="K125" s="431"/>
      <c r="L125" s="317"/>
      <c r="M125" s="317"/>
      <c r="N125" s="118" t="b">
        <v>0</v>
      </c>
      <c r="O125" s="487"/>
      <c r="Q125" s="284"/>
      <c r="R125" s="285" t="b">
        <v>0</v>
      </c>
      <c r="S125" s="285" t="b">
        <v>0</v>
      </c>
      <c r="T125" s="286" t="b">
        <v>0</v>
      </c>
    </row>
    <row r="126" hidden="1"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hidden="1"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435"/>
      <c r="K129" s="431"/>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6"/>
      <c r="L130" s="317"/>
      <c r="M130" s="317"/>
      <c r="N130" s="118" t="b">
        <v>0</v>
      </c>
      <c r="O130" s="487"/>
      <c r="Q130" s="284"/>
      <c r="R130" s="285" t="b">
        <v>0</v>
      </c>
      <c r="S130" s="285" t="b">
        <v>0</v>
      </c>
      <c r="T130" s="286" t="b">
        <v>0</v>
      </c>
    </row>
    <row r="131" hidden="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hidden="1" outlineLevel="1">
      <c r="A132" s="317"/>
      <c r="B132" s="317"/>
      <c r="C132" s="444"/>
      <c r="D132" s="317"/>
      <c r="E132" s="317"/>
      <c r="F132" s="317"/>
      <c r="G132" s="317"/>
      <c r="H132" s="317"/>
      <c r="I132" s="318"/>
      <c r="J132" s="319"/>
      <c r="K132" s="436"/>
      <c r="L132" s="317"/>
      <c r="M132" s="317"/>
      <c r="N132" s="118" t="b">
        <v>0</v>
      </c>
      <c r="O132" s="487"/>
      <c r="Q132" s="284"/>
      <c r="R132" s="285" t="b">
        <v>0</v>
      </c>
      <c r="S132" s="285" t="b">
        <v>0</v>
      </c>
      <c r="T132" s="286" t="b">
        <v>0</v>
      </c>
    </row>
    <row r="133" hidden="1"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hidden="1"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hidden="1"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hidden="1"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444"/>
      <c r="D138" s="317"/>
      <c r="E138" s="317"/>
      <c r="F138" s="317"/>
      <c r="G138" s="317"/>
      <c r="H138" s="317"/>
      <c r="I138" s="318"/>
      <c r="J138" s="435"/>
      <c r="K138" s="431"/>
      <c r="L138" s="317"/>
      <c r="M138" s="317"/>
      <c r="N138" s="118" t="b">
        <v>0</v>
      </c>
      <c r="O138" s="487"/>
      <c r="Q138" s="284"/>
      <c r="R138" s="285" t="b">
        <v>0</v>
      </c>
      <c r="S138" s="285" t="b">
        <v>0</v>
      </c>
      <c r="T138" s="286" t="b">
        <v>0</v>
      </c>
    </row>
    <row r="139" hidden="1"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hidden="1" outlineLevel="1">
      <c r="A140" s="317"/>
      <c r="B140" s="317"/>
      <c r="C140" s="444"/>
      <c r="D140" s="317"/>
      <c r="E140" s="317"/>
      <c r="F140" s="317"/>
      <c r="G140" s="317"/>
      <c r="H140" s="317"/>
      <c r="I140" s="318"/>
      <c r="J140" s="319"/>
      <c r="K140" s="436"/>
      <c r="L140" s="317"/>
      <c r="M140" s="317"/>
      <c r="N140" s="118" t="b">
        <v>0</v>
      </c>
      <c r="O140" s="487"/>
      <c r="Q140" s="284"/>
      <c r="R140" s="285" t="b">
        <v>0</v>
      </c>
      <c r="S140" s="285" t="b">
        <v>0</v>
      </c>
      <c r="T140" s="286" t="b">
        <v>0</v>
      </c>
    </row>
    <row r="141" hidden="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hidden="1" outlineLevel="1">
      <c r="A142" s="317"/>
      <c r="B142" s="317"/>
      <c r="C142" s="498"/>
      <c r="D142" s="336"/>
      <c r="E142" s="336"/>
      <c r="F142" s="420"/>
      <c r="G142" s="317"/>
      <c r="H142" s="317"/>
      <c r="I142" s="318"/>
      <c r="J142" s="319"/>
      <c r="K142" s="431"/>
      <c r="L142" s="317"/>
      <c r="M142" s="317"/>
      <c r="N142" s="118" t="b">
        <v>0</v>
      </c>
      <c r="O142" s="487"/>
      <c r="Q142" s="284"/>
      <c r="R142" s="285" t="b">
        <v>0</v>
      </c>
      <c r="S142" s="285" t="b">
        <v>0</v>
      </c>
      <c r="T142" s="286" t="b">
        <v>0</v>
      </c>
    </row>
    <row r="143" hidden="1" outlineLevel="1">
      <c r="A143" s="317"/>
      <c r="B143" s="317"/>
      <c r="C143" s="498"/>
      <c r="D143" s="279"/>
      <c r="E143" s="279"/>
      <c r="F143" s="346"/>
      <c r="G143" s="317"/>
      <c r="H143" s="317"/>
      <c r="I143" s="318"/>
      <c r="J143" s="319"/>
      <c r="K143" s="431"/>
      <c r="L143" s="317"/>
      <c r="M143" s="317"/>
      <c r="N143" s="118" t="b">
        <v>0</v>
      </c>
      <c r="O143" s="487"/>
      <c r="Q143" s="284"/>
      <c r="R143" s="285" t="b">
        <v>0</v>
      </c>
      <c r="S143" s="285" t="b">
        <v>0</v>
      </c>
      <c r="T143" s="286" t="b">
        <v>0</v>
      </c>
    </row>
    <row r="144" hidden="1" outlineLevel="1">
      <c r="A144" s="432"/>
      <c r="B144" s="432"/>
      <c r="C144" s="440"/>
      <c r="D144" s="432"/>
      <c r="E144" s="432"/>
      <c r="F144" s="432"/>
      <c r="G144" s="432"/>
      <c r="H144" s="351"/>
      <c r="I144" s="441"/>
      <c r="J144" s="319"/>
      <c r="K144" s="436"/>
      <c r="L144" s="317"/>
      <c r="M144" s="432"/>
      <c r="N144" s="118" t="b">
        <v>0</v>
      </c>
      <c r="O144" s="487"/>
      <c r="Q144" s="284"/>
      <c r="R144" s="285" t="b">
        <v>0</v>
      </c>
      <c r="S144" s="285" t="b">
        <v>0</v>
      </c>
      <c r="T144" s="286" t="b">
        <v>0</v>
      </c>
    </row>
    <row r="145" hidden="1" outlineLevel="1">
      <c r="A145" s="317"/>
      <c r="B145" s="317"/>
      <c r="C145" s="316"/>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316"/>
      <c r="D147" s="317"/>
      <c r="E147" s="317"/>
      <c r="F147" s="445"/>
      <c r="G147" s="317"/>
      <c r="H147" s="317"/>
      <c r="I147" s="318"/>
      <c r="J147" s="435"/>
      <c r="K147" s="431"/>
      <c r="L147" s="317"/>
      <c r="M147" s="317"/>
      <c r="N147" s="118" t="b">
        <v>0</v>
      </c>
      <c r="O147" s="487"/>
      <c r="Q147" s="284"/>
      <c r="R147" s="285" t="b">
        <v>0</v>
      </c>
      <c r="S147" s="285" t="b">
        <v>0</v>
      </c>
      <c r="T147" s="286" t="b">
        <v>0</v>
      </c>
    </row>
    <row r="148">
      <c r="A148" s="348" t="s">
        <v>116</v>
      </c>
      <c r="B148" s="349">
        <f>COUNTIF(B77:B147,"ONLINE")+COUNTIF(B77:B147,"SEDE*")</f>
        <v>0</v>
      </c>
      <c r="C148" s="348" t="s">
        <v>116</v>
      </c>
      <c r="D148" s="349">
        <f t="shared" ref="D148:E148" si="7">COUNTIF(D77:D147, "*")</f>
        <v>0</v>
      </c>
      <c r="E148" s="349">
        <f t="shared" si="7"/>
        <v>0</v>
      </c>
      <c r="F148" s="480">
        <f>COUNTA(F77:F147)</f>
        <v>0</v>
      </c>
      <c r="G148" s="349">
        <f t="shared" ref="G148:H148" si="8">COUNTIF(G77:G147, "*")</f>
        <v>0</v>
      </c>
      <c r="H148" s="349">
        <f t="shared" si="8"/>
        <v>0</v>
      </c>
      <c r="I148" s="348" t="s">
        <v>116</v>
      </c>
      <c r="J148" s="481">
        <f t="shared" ref="J148:K148" si="9">SUM(J77:J147)</f>
        <v>0</v>
      </c>
      <c r="K148" s="482">
        <f t="shared" si="9"/>
        <v>0</v>
      </c>
      <c r="L148" s="349">
        <f t="shared" ref="L148:M148" si="10">COUNTIF(L77:L147, "*")</f>
        <v>0</v>
      </c>
      <c r="M148" s="349">
        <f t="shared" si="10"/>
        <v>0</v>
      </c>
      <c r="N148" s="349">
        <f>SUMPRODUCT(--N77:N147)</f>
        <v>0</v>
      </c>
      <c r="O148" s="349">
        <f t="shared" ref="O148:Q148" si="11">COUNTIF(O77:O147, "*")</f>
        <v>0</v>
      </c>
      <c r="P148" s="349">
        <f t="shared" si="11"/>
        <v>0</v>
      </c>
      <c r="Q148" s="349">
        <f t="shared" si="11"/>
        <v>0</v>
      </c>
      <c r="R148" s="349">
        <f t="shared" ref="R148:T148" si="12">SUMPRODUCT(--R77:R147)</f>
        <v>0</v>
      </c>
      <c r="S148" s="349">
        <f t="shared" si="12"/>
        <v>0</v>
      </c>
      <c r="T148" s="349">
        <f t="shared" si="12"/>
        <v>0</v>
      </c>
    </row>
    <row r="149">
      <c r="A149" s="245" t="s">
        <v>117</v>
      </c>
      <c r="B149" s="246">
        <f>COUNTIF(B77:B147, "SEDE*")</f>
        <v>0</v>
      </c>
      <c r="C149" s="351"/>
      <c r="D149" s="351"/>
      <c r="E149" s="351"/>
      <c r="F149" s="351"/>
      <c r="G149" s="351"/>
      <c r="H149" s="245" t="s">
        <v>1974</v>
      </c>
      <c r="I149" s="355" t="s">
        <v>121</v>
      </c>
      <c r="J149" s="483" t="str">
        <f>COUNTIFS($B$77:$B$147,"*SEDE*",$J$77:$J$147, $F$154)&amp; " da €"&amp;$F$154</f>
        <v>0 da €27</v>
      </c>
      <c r="K149" s="484" t="str">
        <f>COUNTIFS($B$77:$B$147,"*SEDE*",$K$77:$K$147, $F$153)&amp; " da €"&amp;$F$153</f>
        <v>0 da €25</v>
      </c>
      <c r="L149" s="368" t="str">
        <f>COUNTIFS($B$77:$B$147,"*SEDE*",$J$77:$J$147, $F$156)&amp; " da €"&amp;$F$156</f>
        <v>0 da €32</v>
      </c>
      <c r="M149" s="369" t="str">
        <f>COUNTIFS($B$77:$B$147,"*SEDE*",$K$77:$K$147, $F$155)&amp; " da €"&amp;$F$155</f>
        <v>0 da €30</v>
      </c>
      <c r="N149" s="365" t="str">
        <f>COUNTIFS($B$77:$B$147,"*SEDE*",$J$77:$J$147, $G$154)&amp; " da €"&amp;$G$154</f>
        <v>0 da €37</v>
      </c>
      <c r="O149" s="373" t="str">
        <f>COUNTIFS($B$77:$B$147,"*SEDE*",$K$77:$K$147, $G$153)&amp; " da €"&amp;$G$153</f>
        <v>0 da €35</v>
      </c>
      <c r="P149" s="499" t="s">
        <v>40</v>
      </c>
      <c r="Q149" s="486">
        <f>SUM(J150,K150,L150,M150,N150,O150)</f>
        <v>0</v>
      </c>
      <c r="R149" s="500"/>
      <c r="S149" s="351"/>
      <c r="T149" s="351"/>
    </row>
    <row r="150">
      <c r="A150" s="245" t="s">
        <v>74</v>
      </c>
      <c r="B150" s="246">
        <f>COUNTIF(B77:B147, "ONLINE")</f>
        <v>0</v>
      </c>
      <c r="C150" s="245"/>
      <c r="D150" s="317"/>
      <c r="E150" s="351"/>
      <c r="I150" s="367" t="s">
        <v>122</v>
      </c>
      <c r="J150" s="368">
        <f>SUMIFS($J$77:$J$147,$B$77:$B$147,"*SEDE*",$J$77:$J$147,$F$154)</f>
        <v>0</v>
      </c>
      <c r="K150" s="436">
        <f>SUMIFS($K$77:$K$147,$B$77:$B$147,"*SEDE*",$K$77:$K$147,$F$153)</f>
        <v>0</v>
      </c>
      <c r="L150" s="368">
        <f>SUMIFS($J$77:$J$147,$B$77:$B$147,"*SEDE*",$J$77:$J$147,$F$156)</f>
        <v>0</v>
      </c>
      <c r="M150" s="436">
        <f>SUMIFS($K$77:$K$147,$B$77:$B$147,"*SEDE*",$K$77:$K$147,$F$155)</f>
        <v>0</v>
      </c>
      <c r="N150" s="501">
        <f>SUMIFS($J$77:$J$147,$B$77:$B$147,"*SEDE*",$J$77:$J$147,$G$154)</f>
        <v>0</v>
      </c>
      <c r="O150" s="436">
        <f>SUMIFS($K$77:$K$147,$B$77:$B$147,"*SEDE*",$K$77:$K$147,$G$153)</f>
        <v>0</v>
      </c>
      <c r="R150" s="500"/>
      <c r="S150" s="351"/>
      <c r="T150" s="351"/>
    </row>
    <row r="151">
      <c r="A151" s="245"/>
      <c r="B151" s="246"/>
      <c r="C151" s="245"/>
      <c r="D151" s="351"/>
      <c r="E151" s="351"/>
      <c r="F151" s="502"/>
      <c r="G151" s="503"/>
      <c r="I151" s="355" t="s">
        <v>123</v>
      </c>
      <c r="J151" s="368" t="str">
        <f>COUNTIFS($B$77:$B$147,"*ONLINE*",$J$77:$J$147, $F$154)&amp; " da €"&amp;$F$154</f>
        <v>0 da €27</v>
      </c>
      <c r="K151" s="484" t="str">
        <f>COUNTIFS($B$77:$B$147,"*ONLINE*",$K$77:$K$147, $F$153)&amp; " da €"&amp;$F$153</f>
        <v>0 da €25</v>
      </c>
      <c r="L151" s="368" t="str">
        <f>COUNTIFS($B$77:$B$147,"*ONLINE*",$J$77:$J$147, $F$156)&amp; " da €"&amp;$F$156</f>
        <v>0 da €32</v>
      </c>
      <c r="M151" s="369" t="str">
        <f>COUNTIFS($B$77:$B$147,"*ONLINE*",$K$77:$K$147, $F$155)&amp; " da €"&amp;$F$155</f>
        <v>0 da €30</v>
      </c>
      <c r="N151" s="483" t="str">
        <f>COUNTIFS($B$77:$B$147,"*ONLINE*",$J$77:$J$147, $G$154)&amp; " da €"&amp;$G$154</f>
        <v>0 da €37</v>
      </c>
      <c r="O151" s="484" t="str">
        <f>COUNTIFS($B$77:$B$147,"*ONLINE*",$K$77:$K$147, $G$153)&amp; " da €"&amp;$G$153</f>
        <v>0 da €35</v>
      </c>
      <c r="P151" s="485" t="s">
        <v>40</v>
      </c>
      <c r="Q151" s="486">
        <f>SUM(J152,K152,L152,M152,N152,O152)</f>
        <v>0</v>
      </c>
      <c r="R151" s="500"/>
      <c r="S151" s="351"/>
      <c r="T151" s="351"/>
    </row>
    <row r="152">
      <c r="A152" s="379"/>
      <c r="B152" s="379"/>
      <c r="C152" s="245"/>
      <c r="D152" s="351"/>
      <c r="E152" s="351"/>
      <c r="F152" s="502"/>
      <c r="G152" s="503"/>
      <c r="H152" s="196"/>
      <c r="I152" s="355" t="s">
        <v>124</v>
      </c>
      <c r="J152" s="483">
        <f>SUMIFS($J$77:$J$147,$B$77:$B$147,"*ONLINE*",$J$77:$J$147,$F$154)</f>
        <v>0</v>
      </c>
      <c r="K152" s="484">
        <f>SUMIFS($K$77:$K$147,$B$77:$B$147,"*ONLINE*",$K$77:$K$147,$F$153)</f>
        <v>0</v>
      </c>
      <c r="L152" s="368">
        <f>SUMIFS($J$77:$J$147,$B$77:$B$147,"*ONLINE*",$J$77:$J$147,$F$156)</f>
        <v>0</v>
      </c>
      <c r="M152" s="436">
        <f>SUMIFS($K$77:$K$147,$B$77:$B$147,"*ONLINE*",$K$77:$K$147,$F$155)</f>
        <v>0</v>
      </c>
      <c r="N152" s="365">
        <f>SUMIFS($J$77:$J$147,$B$77:$B$147,"*ONLINE*",$J$77:$J$147,$G$154)</f>
        <v>0</v>
      </c>
      <c r="O152" s="436">
        <f>SUMIFS($K$77:$K$147,$B$77:$B$147,"*ONLINE*",$K$77:$K$147,$G$153)</f>
        <v>0</v>
      </c>
      <c r="P152" s="196"/>
      <c r="Q152" s="196"/>
      <c r="R152" s="245" t="s">
        <v>120</v>
      </c>
      <c r="S152" s="378" t="str">
        <f>IF(SUM(J148:K148) = SUM(Q149:Q152), "OK", "ERRORE")</f>
        <v>OK</v>
      </c>
      <c r="T152" s="351"/>
    </row>
    <row r="153">
      <c r="A153" s="208" t="s">
        <v>127</v>
      </c>
      <c r="B153" s="504">
        <f t="shared" ref="B153:B154" si="13">SUM(B72,B149)</f>
        <v>3</v>
      </c>
      <c r="C153" s="505"/>
      <c r="D153" s="452"/>
      <c r="E153" s="506" t="s">
        <v>1596</v>
      </c>
      <c r="F153" s="353">
        <v>25.0</v>
      </c>
      <c r="G153" s="507">
        <v>35.0</v>
      </c>
      <c r="H153" s="508" t="s">
        <v>1975</v>
      </c>
      <c r="I153" s="509" t="s">
        <v>132</v>
      </c>
      <c r="J153" s="510" t="str">
        <f>COUNTIFS($B$4:$B$70,"*SEDE*",$J$4:$J$70, $F$154)+COUNTIFS($B$77:$B$147,"*SEDE*",$J$77:$J$147, $F$154)&amp; " da €"&amp;$F$154</f>
        <v>1 da €27</v>
      </c>
      <c r="K153" s="511" t="str">
        <f>COUNTIFS($B$4:$B$70,"*SEDE*",$K$4:$K$70, $F$153)+COUNTIFS($B$77:$B$147,"*SEDE*",$K$77:$K$147, $F$153)&amp; " da €"&amp;$F$153</f>
        <v>1 da €25</v>
      </c>
      <c r="L153" s="510" t="str">
        <f>COUNTIFS($B$4:$B$70,"*SEDE*",$J$4:$J$70, $F$156)+COUNTIFS($B$77:$B$147,"*SEDE*",$J$77:$J$147, $F$156)&amp; " da €"&amp;$F$156</f>
        <v>0 da €32</v>
      </c>
      <c r="M153" s="511" t="str">
        <f>COUNTIFS($B$4:$B$70,"*SEDE*",$K$4:$K$70, $F$155)+COUNTIFS($B$77:$B$147,"*SEDE*",$K$77:$K$147, $F$155)&amp; " da €"&amp;$F$155</f>
        <v>1 da €30</v>
      </c>
      <c r="N153" s="510" t="str">
        <f>COUNTIFS($B$4:$B$70,"*SEDE*",$J$4:$J$70, $G$154)+COUNTIFS($B$77:$B$147,"*SEDE*",$J$77:$J$147, $G$154)&amp; " da €"&amp;$G$154</f>
        <v>0 da €37</v>
      </c>
      <c r="O153" s="511" t="str">
        <f>COUNTIFS($B$4:$B$70,"*SEDE*",$K$4:$K$70, $G$153)+COUNTIFS($B$77:$B$147,"*SEDE*",$K$77:$K$147, $G$153)&amp; " da €"&amp;$G$153</f>
        <v>0 da €35</v>
      </c>
      <c r="P153" s="512" t="s">
        <v>127</v>
      </c>
      <c r="Q153" s="359">
        <f>SUM(J154,K154,L154,M154,N154,O154)</f>
        <v>82</v>
      </c>
      <c r="R153" s="205" t="s">
        <v>130</v>
      </c>
      <c r="S153" s="513">
        <f>SUM(J71,K71,J148,K148)</f>
        <v>272</v>
      </c>
      <c r="T153" s="207"/>
    </row>
    <row r="154">
      <c r="A154" s="208" t="s">
        <v>131</v>
      </c>
      <c r="B154" s="504">
        <f t="shared" si="13"/>
        <v>7</v>
      </c>
      <c r="C154" s="245"/>
      <c r="D154" s="351"/>
      <c r="E154" s="514"/>
      <c r="F154" s="365">
        <v>27.0</v>
      </c>
      <c r="G154" s="319">
        <v>37.0</v>
      </c>
      <c r="I154" s="515" t="s">
        <v>122</v>
      </c>
      <c r="J154" s="455">
        <f t="shared" ref="J154:O154" si="14">SUM(J73,J150)</f>
        <v>27</v>
      </c>
      <c r="K154" s="456">
        <f t="shared" si="14"/>
        <v>25</v>
      </c>
      <c r="L154" s="455">
        <f t="shared" si="14"/>
        <v>0</v>
      </c>
      <c r="M154" s="456">
        <f t="shared" si="14"/>
        <v>30</v>
      </c>
      <c r="N154" s="455">
        <f t="shared" si="14"/>
        <v>0</v>
      </c>
      <c r="O154" s="456">
        <f t="shared" si="14"/>
        <v>0</v>
      </c>
    </row>
    <row r="155">
      <c r="A155" s="213" t="s">
        <v>133</v>
      </c>
      <c r="B155" s="371">
        <f>SUM(B153:B154)</f>
        <v>10</v>
      </c>
      <c r="C155" s="245"/>
      <c r="D155" s="351"/>
      <c r="E155" s="514"/>
      <c r="F155" s="373">
        <v>30.0</v>
      </c>
      <c r="G155" s="431">
        <v>0.0</v>
      </c>
      <c r="I155" s="515" t="s">
        <v>135</v>
      </c>
      <c r="J155" s="483" t="str">
        <f>COUNTIFS($B$4:$B$70,"*ONLINE*",$J$4:$J$70, $F$154)+COUNTIFS($B$77:$B$147,"*ONLINE*",$J$77:$J$147, $F$154)&amp; " da €"&amp;$F$154</f>
        <v>4 da €27</v>
      </c>
      <c r="K155" s="92" t="str">
        <f>COUNTIFS($B$4:$B$70,"*ONLINE*",$K$4:$K$70, $F$153)+COUNTIFS($B$77:$B$147,"*ONLINE*",$K$77:$K$147, $F$153)&amp; " da €"&amp;$F$153</f>
        <v>2 da €25</v>
      </c>
      <c r="L155" s="516" t="str">
        <f>COUNTIFS($B$4:$B$70,"*ONLINE*",$J$4:$J$70, $F$156)+COUNTIFS($B$77:$B$147,"*ONLINE*",$J$77:$J$147, $F$156)&amp; " da €"&amp;$F$156</f>
        <v>1 da €32</v>
      </c>
      <c r="M155" s="92" t="str">
        <f>COUNTIFS($B$4:$B$70,"*ONLINE*",$K$4:$K$70, $F$155)+COUNTIFS($B$77:$B$147,"*ONLINE*",$K$77:$K$147, $F$155)&amp; " da €"&amp;$F$155</f>
        <v>0 da €30</v>
      </c>
      <c r="N155" s="516" t="str">
        <f>COUNTIFS($B$4:$B$70,"*ONLINE*",$J$4:$J$70, $G$154)+COUNTIFS($B$77:$B$147,"*ONLINE*",$J$77:$J$147, $G$154)&amp; " da €"&amp;$G$154</f>
        <v>0 da €37</v>
      </c>
      <c r="O155" s="92" t="str">
        <f>COUNTIFS($B$4:$B$70,"*ONLINE*",$K$4:$K$70, $G$153)+COUNTIFS($B$77:$B$147,"*ONLINE*",$K$77:$K$147, $G$153)&amp; " da €"&amp;$G$153</f>
        <v>0 da €35</v>
      </c>
      <c r="P155" s="512" t="s">
        <v>131</v>
      </c>
      <c r="Q155" s="359">
        <f>SUM(J156,K156,L156,M156,N156,O156)</f>
        <v>190</v>
      </c>
    </row>
    <row r="156">
      <c r="A156" s="517" t="s">
        <v>134</v>
      </c>
      <c r="B156" s="518">
        <f>COUNTIF(M4:M147,"*NON TESSERATO*")</f>
        <v>5</v>
      </c>
      <c r="C156" s="245"/>
      <c r="D156" s="351"/>
      <c r="E156" s="519"/>
      <c r="F156" s="382">
        <v>32.0</v>
      </c>
      <c r="G156" s="520">
        <v>0.0</v>
      </c>
      <c r="H156" s="196"/>
      <c r="I156" s="521" t="s">
        <v>124</v>
      </c>
      <c r="J156" s="522">
        <f t="shared" ref="J156:O156" si="15">SUM(J75,J152)</f>
        <v>108</v>
      </c>
      <c r="K156" s="523">
        <f t="shared" si="15"/>
        <v>50</v>
      </c>
      <c r="L156" s="522">
        <f t="shared" si="15"/>
        <v>32</v>
      </c>
      <c r="M156" s="523">
        <f t="shared" si="15"/>
        <v>0</v>
      </c>
      <c r="N156" s="522">
        <f t="shared" si="15"/>
        <v>0</v>
      </c>
      <c r="O156" s="523">
        <f t="shared" si="15"/>
        <v>0</v>
      </c>
      <c r="P156" s="196"/>
      <c r="Q156" s="196"/>
      <c r="R156" s="196"/>
      <c r="S156" s="196"/>
      <c r="T156" s="196"/>
    </row>
    <row r="157">
      <c r="A157" s="524" t="s">
        <v>136</v>
      </c>
      <c r="B157" s="525">
        <f>COUNTIF(M4:M147,"*TESSERATO*")-COUNTIF(M4:M147,"*NON TESSERATO*")</f>
        <v>5</v>
      </c>
      <c r="C157" s="245"/>
      <c r="D157" s="351"/>
      <c r="E157" s="526"/>
      <c r="F157" s="485"/>
      <c r="G157" s="527"/>
      <c r="H157" s="508"/>
      <c r="I157" s="515"/>
      <c r="J157" s="528"/>
      <c r="K157" s="528"/>
      <c r="L157" s="528"/>
      <c r="M157" s="528"/>
      <c r="N157" s="528"/>
      <c r="O157" s="528"/>
      <c r="P157" s="529"/>
      <c r="Q157" s="530"/>
      <c r="R157" s="531"/>
      <c r="S157" s="530"/>
      <c r="T157"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70:P70"/>
    <mergeCell ref="H72:H75"/>
    <mergeCell ref="P72:P73"/>
    <mergeCell ref="Q72:Q73"/>
    <mergeCell ref="P74:P75"/>
    <mergeCell ref="Q74:Q75"/>
    <mergeCell ref="A76:Q76"/>
    <mergeCell ref="O63:P63"/>
    <mergeCell ref="O64:P64"/>
    <mergeCell ref="O65:P65"/>
    <mergeCell ref="O66:P66"/>
    <mergeCell ref="O67:P67"/>
    <mergeCell ref="O68:P68"/>
    <mergeCell ref="O69:P69"/>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P151:P152"/>
    <mergeCell ref="P153:P154"/>
    <mergeCell ref="Q153:Q154"/>
    <mergeCell ref="R153:R156"/>
    <mergeCell ref="S153:T156"/>
    <mergeCell ref="Q155:Q156"/>
    <mergeCell ref="O147:P147"/>
    <mergeCell ref="H149:H152"/>
    <mergeCell ref="P149:P150"/>
    <mergeCell ref="Q149:Q150"/>
    <mergeCell ref="Q151:Q152"/>
    <mergeCell ref="E153:E156"/>
    <mergeCell ref="H153:H156"/>
    <mergeCell ref="P155:P156"/>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s>
  <conditionalFormatting sqref="A4:P70 A77:P147 T4:T70 T77:T147">
    <cfRule type="expression" dxfId="0" priority="1">
      <formula>$T4</formula>
    </cfRule>
  </conditionalFormatting>
  <conditionalFormatting sqref="S75 S152">
    <cfRule type="cellIs" dxfId="2" priority="2" operator="equal">
      <formula>"ERRORE"</formula>
    </cfRule>
  </conditionalFormatting>
  <conditionalFormatting sqref="S75 S152">
    <cfRule type="cellIs" dxfId="0" priority="3" operator="equal">
      <formula>"OK"</formula>
    </cfRule>
  </conditionalFormatting>
  <conditionalFormatting sqref="S4:S70 S77:S147">
    <cfRule type="expression" dxfId="1" priority="4">
      <formula>$S4</formula>
    </cfRule>
  </conditionalFormatting>
  <conditionalFormatting sqref="S4:S70 S77:S147">
    <cfRule type="expression" dxfId="2" priority="5">
      <formula>$M4="DIGIT - TESSERATO"</formula>
    </cfRule>
  </conditionalFormatting>
  <conditionalFormatting sqref="R4:R70 R77:R147">
    <cfRule type="expression" dxfId="3" priority="6">
      <formula>$R4</formula>
    </cfRule>
  </conditionalFormatting>
  <conditionalFormatting sqref="R4:R70 R77:R147">
    <cfRule type="expression" dxfId="4" priority="7">
      <formula>$M4="CASH - TESSERATO"</formula>
    </cfRule>
  </conditionalFormatting>
  <conditionalFormatting sqref="R4:R70 R77:R147">
    <cfRule type="expression" dxfId="4" priority="8">
      <formula>$M4="CASH - NON TESSERATO"</formula>
    </cfRule>
  </conditionalFormatting>
  <conditionalFormatting sqref="S4:S70 S77:S147">
    <cfRule type="expression" dxfId="2" priority="9">
      <formula>$M4="DIGIT - NON TESSERATO"</formula>
    </cfRule>
  </conditionalFormatting>
  <conditionalFormatting sqref="Q4:Q70 Q77:Q147">
    <cfRule type="expression" dxfId="0" priority="10">
      <formula>ISBLANK($Q4)=FALSE</formula>
    </cfRule>
  </conditionalFormatting>
  <conditionalFormatting sqref="A4:P70 A77:P147">
    <cfRule type="expression" dxfId="5" priority="11">
      <formula>$N4</formula>
    </cfRule>
  </conditionalFormatting>
  <dataValidations>
    <dataValidation type="list" allowBlank="1" showInputMessage="1" prompt="Fai clic e immetti un valore dall'elenco di elementi" sqref="M4:M70 M77:M147">
      <formula1>"CASH - TESSERATO,CASH - NON TESSERATO,DIGIT - TESSERATO,DIGIT - NON TESSERATO"</formula1>
    </dataValidation>
    <dataValidation type="list" allowBlank="1" showInputMessage="1" showErrorMessage="1" prompt="Fai clic e immetti un valore dall'intervallo" sqref="A4:A70 A77:A147">
      <formula1>elenchi!$M$2:$M$100</formula1>
    </dataValidation>
    <dataValidation type="list" allowBlank="1" showErrorMessage="1" sqref="B4:B70 B77:B147">
      <formula1>"ONLINE,SEDE Estefany,SEDE Giuditta,SEDE Alexandra,SEDE Nura,SEDE Joel"</formula1>
    </dataValidation>
    <dataValidation type="list" allowBlank="1" showErrorMessage="1" sqref="L4:L70 L77:L147">
      <formula1>"NURA02WS,GIUDITTA02WS,ALEXANDRA02WS,ESTEFANY02WS,JOEL02WS,MASSI02WS,SANTO02WS,SARA02WS,OMAGGIO100"</formula1>
    </dataValidation>
    <dataValidation type="list" allowBlank="1" sqref="Q4:Q70 Q77:Q147">
      <formula1>"INSERITO,CELL,EMAIL,COD FISCALE,INDIRIZZO"</formula1>
    </dataValidation>
    <dataValidation type="custom" allowBlank="1" showDropDown="1" showInputMessage="1" prompt="Immetti una data valida" sqref="I4:I5 C4:C70 I7:I70 C77:C147 I77:I147">
      <formula1>OR(NOT(ISERROR(DATEVALUE(C4))), AND(ISNUMBER(C4), LEFT(CELL("format", C4))="D"))</formula1>
    </dataValidation>
  </dataValidations>
  <hyperlinks>
    <hyperlink r:id="rId4" location="gid=1874486717"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2006</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2007</v>
      </c>
      <c r="R3" s="464" t="s">
        <v>1945</v>
      </c>
      <c r="S3" s="464"/>
      <c r="T3" s="464"/>
    </row>
    <row r="4" outlineLevel="1">
      <c r="A4" s="320" t="s">
        <v>73</v>
      </c>
      <c r="B4" s="320" t="s">
        <v>74</v>
      </c>
      <c r="C4" s="465">
        <v>45911.0</v>
      </c>
      <c r="D4" s="320" t="s">
        <v>1592</v>
      </c>
      <c r="E4" s="320" t="s">
        <v>589</v>
      </c>
      <c r="F4" s="320">
        <v>3.296550485E9</v>
      </c>
      <c r="G4" s="320" t="s">
        <v>2008</v>
      </c>
      <c r="H4" s="320" t="s">
        <v>2009</v>
      </c>
      <c r="I4" s="439"/>
      <c r="J4" s="365"/>
      <c r="K4" s="431">
        <v>30.0</v>
      </c>
      <c r="L4" s="317" t="s">
        <v>902</v>
      </c>
      <c r="M4" s="320" t="s">
        <v>80</v>
      </c>
      <c r="N4" s="118" t="b">
        <v>1</v>
      </c>
      <c r="O4" s="119"/>
      <c r="Q4" s="284" t="s">
        <v>81</v>
      </c>
      <c r="R4" s="285" t="b">
        <v>0</v>
      </c>
      <c r="S4" s="285" t="b">
        <v>1</v>
      </c>
      <c r="T4" s="286" t="b">
        <v>1</v>
      </c>
    </row>
    <row r="5" outlineLevel="1">
      <c r="A5" s="320" t="s">
        <v>101</v>
      </c>
      <c r="B5" s="320" t="s">
        <v>102</v>
      </c>
      <c r="C5" s="465">
        <v>45929.0</v>
      </c>
      <c r="D5" s="320" t="s">
        <v>920</v>
      </c>
      <c r="E5" s="320" t="s">
        <v>921</v>
      </c>
      <c r="F5" s="320">
        <v>3.35593067E9</v>
      </c>
      <c r="G5" s="320" t="s">
        <v>922</v>
      </c>
      <c r="H5" s="320" t="s">
        <v>2010</v>
      </c>
      <c r="I5" s="439">
        <v>45929.0</v>
      </c>
      <c r="J5" s="365"/>
      <c r="K5" s="431">
        <v>30.0</v>
      </c>
      <c r="L5" s="317" t="s">
        <v>106</v>
      </c>
      <c r="M5" s="320" t="s">
        <v>162</v>
      </c>
      <c r="N5" s="118" t="b">
        <v>0</v>
      </c>
      <c r="O5" s="119"/>
      <c r="Q5" s="284" t="s">
        <v>81</v>
      </c>
      <c r="R5" s="285" t="b">
        <v>1</v>
      </c>
      <c r="S5" s="285" t="b">
        <v>0</v>
      </c>
      <c r="T5" s="286" t="b">
        <v>1</v>
      </c>
    </row>
    <row r="6" outlineLevel="1">
      <c r="A6" s="320" t="s">
        <v>73</v>
      </c>
      <c r="B6" s="320" t="s">
        <v>74</v>
      </c>
      <c r="C6" s="465">
        <v>45922.0</v>
      </c>
      <c r="D6" s="320" t="s">
        <v>270</v>
      </c>
      <c r="E6" s="320" t="s">
        <v>1991</v>
      </c>
      <c r="F6" s="320">
        <v>3.80787782E8</v>
      </c>
      <c r="G6" s="111" t="s">
        <v>272</v>
      </c>
      <c r="H6" s="320" t="s">
        <v>273</v>
      </c>
      <c r="I6" s="534">
        <v>45922.0</v>
      </c>
      <c r="J6" s="365"/>
      <c r="K6" s="431">
        <v>30.0</v>
      </c>
      <c r="L6" s="317" t="s">
        <v>99</v>
      </c>
      <c r="M6" s="320" t="s">
        <v>100</v>
      </c>
      <c r="N6" s="118" t="b">
        <v>1</v>
      </c>
      <c r="O6" s="119"/>
      <c r="Q6" s="284" t="s">
        <v>81</v>
      </c>
      <c r="R6" s="285" t="b">
        <v>1</v>
      </c>
      <c r="S6" s="285" t="b">
        <v>1</v>
      </c>
      <c r="T6" s="286" t="b">
        <v>1</v>
      </c>
    </row>
    <row r="7" outlineLevel="1">
      <c r="A7" s="320" t="s">
        <v>611</v>
      </c>
      <c r="B7" s="320" t="s">
        <v>74</v>
      </c>
      <c r="C7" s="465">
        <v>45931.0</v>
      </c>
      <c r="D7" s="320" t="s">
        <v>2011</v>
      </c>
      <c r="E7" s="320" t="s">
        <v>2012</v>
      </c>
      <c r="F7" s="320">
        <f>358504078047</f>
        <v>358504078047</v>
      </c>
      <c r="G7" s="111" t="s">
        <v>2013</v>
      </c>
      <c r="H7" s="320" t="s">
        <v>2014</v>
      </c>
      <c r="I7" s="439">
        <v>45931.0</v>
      </c>
      <c r="J7" s="365">
        <v>32.0</v>
      </c>
      <c r="K7" s="431"/>
      <c r="L7" s="317"/>
      <c r="M7" s="320" t="s">
        <v>80</v>
      </c>
      <c r="N7" s="118" t="b">
        <v>1</v>
      </c>
      <c r="O7" s="119"/>
      <c r="Q7" s="284" t="s">
        <v>81</v>
      </c>
      <c r="R7" s="285" t="b">
        <v>0</v>
      </c>
      <c r="S7" s="285" t="b">
        <v>1</v>
      </c>
      <c r="T7" s="286" t="b">
        <v>1</v>
      </c>
    </row>
    <row r="8" outlineLevel="1">
      <c r="A8" s="320" t="s">
        <v>611</v>
      </c>
      <c r="B8" s="320" t="s">
        <v>74</v>
      </c>
      <c r="C8" s="465">
        <v>45935.0</v>
      </c>
      <c r="D8" s="320" t="s">
        <v>463</v>
      </c>
      <c r="E8" s="320" t="s">
        <v>464</v>
      </c>
      <c r="F8" s="320">
        <v>3.920234147E9</v>
      </c>
      <c r="G8" s="320" t="s">
        <v>465</v>
      </c>
      <c r="H8" s="320" t="s">
        <v>466</v>
      </c>
      <c r="I8" s="439">
        <v>45935.0</v>
      </c>
      <c r="J8" s="365">
        <v>32.0</v>
      </c>
      <c r="K8" s="436"/>
      <c r="L8" s="432"/>
      <c r="M8" s="320" t="s">
        <v>80</v>
      </c>
      <c r="N8" s="118" t="b">
        <v>1</v>
      </c>
      <c r="O8" s="467"/>
      <c r="Q8" s="284" t="s">
        <v>81</v>
      </c>
      <c r="R8" s="285" t="b">
        <v>0</v>
      </c>
      <c r="S8" s="285" t="b">
        <v>1</v>
      </c>
      <c r="T8" s="286" t="b">
        <v>1</v>
      </c>
    </row>
    <row r="9" outlineLevel="1">
      <c r="A9" s="320" t="s">
        <v>611</v>
      </c>
      <c r="B9" s="320" t="s">
        <v>74</v>
      </c>
      <c r="C9" s="465">
        <v>45940.0</v>
      </c>
      <c r="D9" s="320" t="s">
        <v>2015</v>
      </c>
      <c r="E9" s="320" t="s">
        <v>2016</v>
      </c>
      <c r="F9" s="320">
        <v>3.336823851E9</v>
      </c>
      <c r="G9" s="320" t="s">
        <v>2017</v>
      </c>
      <c r="H9" s="320" t="s">
        <v>2018</v>
      </c>
      <c r="I9" s="465">
        <v>45940.0</v>
      </c>
      <c r="J9" s="365">
        <v>32.0</v>
      </c>
      <c r="K9" s="431"/>
      <c r="L9" s="317"/>
      <c r="M9" s="320" t="s">
        <v>80</v>
      </c>
      <c r="N9" s="118" t="b">
        <v>1</v>
      </c>
      <c r="O9" s="119"/>
      <c r="Q9" s="284" t="s">
        <v>81</v>
      </c>
      <c r="R9" s="285" t="b">
        <v>0</v>
      </c>
      <c r="S9" s="285" t="b">
        <v>1</v>
      </c>
      <c r="T9" s="286" t="b">
        <v>1</v>
      </c>
    </row>
    <row r="10" outlineLevel="1">
      <c r="A10" s="320" t="s">
        <v>611</v>
      </c>
      <c r="B10" s="320" t="s">
        <v>74</v>
      </c>
      <c r="C10" s="465">
        <v>45940.0</v>
      </c>
      <c r="D10" s="320" t="s">
        <v>2019</v>
      </c>
      <c r="E10" s="320" t="s">
        <v>2020</v>
      </c>
      <c r="F10" s="320">
        <v>3.668786797E9</v>
      </c>
      <c r="G10" s="468" t="s">
        <v>2021</v>
      </c>
      <c r="H10" s="320" t="s">
        <v>2022</v>
      </c>
      <c r="I10" s="439">
        <v>45940.0</v>
      </c>
      <c r="J10" s="365">
        <v>32.0</v>
      </c>
      <c r="K10" s="431"/>
      <c r="L10" s="317"/>
      <c r="M10" s="320" t="s">
        <v>80</v>
      </c>
      <c r="N10" s="118" t="b">
        <v>1</v>
      </c>
      <c r="O10" s="119"/>
      <c r="Q10" s="284" t="s">
        <v>81</v>
      </c>
      <c r="R10" s="285" t="b">
        <v>0</v>
      </c>
      <c r="S10" s="285" t="b">
        <v>1</v>
      </c>
      <c r="T10" s="286" t="b">
        <v>1</v>
      </c>
    </row>
    <row r="11" outlineLevel="1">
      <c r="A11" s="320" t="s">
        <v>101</v>
      </c>
      <c r="B11" s="320" t="s">
        <v>102</v>
      </c>
      <c r="C11" s="465">
        <v>45946.0</v>
      </c>
      <c r="D11" s="320" t="s">
        <v>2023</v>
      </c>
      <c r="E11" s="320" t="s">
        <v>510</v>
      </c>
      <c r="F11" s="320">
        <v>3.387006047E9</v>
      </c>
      <c r="G11" s="320" t="s">
        <v>2024</v>
      </c>
      <c r="H11" s="320" t="s">
        <v>2025</v>
      </c>
      <c r="I11" s="439">
        <v>45946.0</v>
      </c>
      <c r="J11" s="365">
        <v>37.0</v>
      </c>
      <c r="K11" s="431"/>
      <c r="L11" s="317"/>
      <c r="M11" s="320" t="s">
        <v>100</v>
      </c>
      <c r="N11" s="118" t="b">
        <v>1</v>
      </c>
      <c r="O11" s="119"/>
      <c r="Q11" s="284" t="s">
        <v>81</v>
      </c>
      <c r="R11" s="285" t="b">
        <v>1</v>
      </c>
      <c r="S11" s="285" t="b">
        <v>0</v>
      </c>
      <c r="T11" s="286" t="b">
        <v>1</v>
      </c>
    </row>
    <row r="12" outlineLevel="1">
      <c r="A12" s="320" t="s">
        <v>2026</v>
      </c>
      <c r="B12" s="320" t="s">
        <v>74</v>
      </c>
      <c r="C12" s="465">
        <v>45952.0</v>
      </c>
      <c r="D12" s="320" t="s">
        <v>2027</v>
      </c>
      <c r="E12" s="320" t="s">
        <v>635</v>
      </c>
      <c r="F12" s="320">
        <v>3.338214251E9</v>
      </c>
      <c r="G12" s="320" t="s">
        <v>2028</v>
      </c>
      <c r="H12" s="320" t="s">
        <v>2029</v>
      </c>
      <c r="I12" s="439">
        <v>45952.0</v>
      </c>
      <c r="J12" s="365">
        <v>37.0</v>
      </c>
      <c r="K12" s="431"/>
      <c r="L12" s="317"/>
      <c r="M12" s="320" t="s">
        <v>80</v>
      </c>
      <c r="N12" s="118" t="b">
        <v>1</v>
      </c>
      <c r="O12" s="119"/>
      <c r="Q12" s="284" t="s">
        <v>81</v>
      </c>
      <c r="R12" s="285" t="b">
        <v>0</v>
      </c>
      <c r="S12" s="285" t="b">
        <v>1</v>
      </c>
      <c r="T12" s="286" t="b">
        <v>1</v>
      </c>
    </row>
    <row r="13" outlineLevel="1">
      <c r="A13" s="320" t="s">
        <v>101</v>
      </c>
      <c r="B13" s="320" t="s">
        <v>102</v>
      </c>
      <c r="C13" s="465">
        <v>45954.0</v>
      </c>
      <c r="D13" s="320" t="s">
        <v>2030</v>
      </c>
      <c r="E13" s="320" t="s">
        <v>294</v>
      </c>
      <c r="F13" s="445">
        <v>3.917276301E9</v>
      </c>
      <c r="G13" s="320" t="s">
        <v>2031</v>
      </c>
      <c r="H13" s="320" t="s">
        <v>2032</v>
      </c>
      <c r="I13" s="439">
        <v>45954.0</v>
      </c>
      <c r="J13" s="365">
        <v>37.0</v>
      </c>
      <c r="K13" s="431"/>
      <c r="L13" s="317"/>
      <c r="M13" s="320" t="s">
        <v>80</v>
      </c>
      <c r="N13" s="118" t="b">
        <v>1</v>
      </c>
      <c r="O13" s="119"/>
      <c r="Q13" s="284" t="s">
        <v>81</v>
      </c>
      <c r="R13" s="285" t="b">
        <v>0</v>
      </c>
      <c r="S13" s="285" t="b">
        <v>1</v>
      </c>
      <c r="T13" s="286" t="b">
        <v>1</v>
      </c>
    </row>
    <row r="14" outlineLevel="1">
      <c r="A14" s="317" t="s">
        <v>368</v>
      </c>
      <c r="B14" s="317" t="s">
        <v>369</v>
      </c>
      <c r="C14" s="316">
        <v>45956.0</v>
      </c>
      <c r="D14" s="116" t="s">
        <v>495</v>
      </c>
      <c r="E14" s="116" t="s">
        <v>496</v>
      </c>
      <c r="F14" s="317">
        <v>3.423729995E9</v>
      </c>
      <c r="G14" s="317" t="s">
        <v>497</v>
      </c>
      <c r="H14" s="317" t="s">
        <v>498</v>
      </c>
      <c r="I14" s="135">
        <v>45956.0</v>
      </c>
      <c r="J14" s="365"/>
      <c r="K14" s="431">
        <v>35.0</v>
      </c>
      <c r="L14" s="317" t="s">
        <v>79</v>
      </c>
      <c r="M14" s="320" t="s">
        <v>80</v>
      </c>
      <c r="N14" s="118" t="b">
        <v>1</v>
      </c>
      <c r="O14" s="119"/>
      <c r="Q14" s="284" t="s">
        <v>81</v>
      </c>
      <c r="R14" s="285" t="b">
        <v>0</v>
      </c>
      <c r="S14" s="285" t="b">
        <v>1</v>
      </c>
      <c r="T14" s="286" t="b">
        <v>1</v>
      </c>
    </row>
    <row r="15" outlineLevel="1">
      <c r="A15" s="317" t="s">
        <v>73</v>
      </c>
      <c r="B15" s="317" t="s">
        <v>74</v>
      </c>
      <c r="C15" s="316">
        <v>45957.0</v>
      </c>
      <c r="D15" s="317" t="s">
        <v>2033</v>
      </c>
      <c r="E15" s="317" t="s">
        <v>2034</v>
      </c>
      <c r="F15" s="317">
        <v>3.349244594E9</v>
      </c>
      <c r="G15" s="317" t="s">
        <v>2035</v>
      </c>
      <c r="H15" s="317" t="s">
        <v>2036</v>
      </c>
      <c r="I15" s="443">
        <v>45957.0</v>
      </c>
      <c r="J15" s="365">
        <v>37.0</v>
      </c>
      <c r="K15" s="431"/>
      <c r="L15" s="317"/>
      <c r="M15" s="320" t="s">
        <v>80</v>
      </c>
      <c r="N15" s="118" t="b">
        <v>1</v>
      </c>
      <c r="O15" s="119"/>
      <c r="Q15" s="284" t="s">
        <v>81</v>
      </c>
      <c r="R15" s="285" t="b">
        <v>0</v>
      </c>
      <c r="S15" s="285" t="b">
        <v>1</v>
      </c>
      <c r="T15" s="286" t="b">
        <v>1</v>
      </c>
    </row>
    <row r="16" outlineLevel="1">
      <c r="A16" s="320" t="s">
        <v>368</v>
      </c>
      <c r="B16" s="320" t="s">
        <v>369</v>
      </c>
      <c r="C16" s="316">
        <v>45957.0</v>
      </c>
      <c r="D16" s="320" t="s">
        <v>2037</v>
      </c>
      <c r="E16" s="320" t="s">
        <v>2038</v>
      </c>
      <c r="F16" s="320">
        <v>3.921397327E9</v>
      </c>
      <c r="G16" s="320" t="s">
        <v>2039</v>
      </c>
      <c r="H16" s="320" t="s">
        <v>2040</v>
      </c>
      <c r="I16" s="443">
        <v>45957.0</v>
      </c>
      <c r="J16" s="365"/>
      <c r="K16" s="431">
        <v>35.0</v>
      </c>
      <c r="L16" s="317" t="s">
        <v>79</v>
      </c>
      <c r="M16" s="320" t="s">
        <v>449</v>
      </c>
      <c r="N16" s="118" t="b">
        <v>1</v>
      </c>
      <c r="O16" s="119"/>
      <c r="Q16" s="284" t="s">
        <v>81</v>
      </c>
      <c r="R16" s="285" t="b">
        <v>1</v>
      </c>
      <c r="S16" s="285" t="b">
        <v>0</v>
      </c>
      <c r="T16" s="286" t="b">
        <v>1</v>
      </c>
    </row>
    <row r="17" outlineLevel="1">
      <c r="A17" s="320" t="s">
        <v>73</v>
      </c>
      <c r="B17" s="320" t="s">
        <v>74</v>
      </c>
      <c r="C17" s="316">
        <v>45957.0</v>
      </c>
      <c r="D17" s="320" t="s">
        <v>943</v>
      </c>
      <c r="E17" s="320" t="s">
        <v>496</v>
      </c>
      <c r="F17" s="320">
        <v>3.496136343E9</v>
      </c>
      <c r="G17" s="320" t="s">
        <v>2041</v>
      </c>
      <c r="H17" s="320" t="s">
        <v>2042</v>
      </c>
      <c r="I17" s="443">
        <v>45957.0</v>
      </c>
      <c r="J17" s="365">
        <v>37.0</v>
      </c>
      <c r="K17" s="431"/>
      <c r="L17" s="317"/>
      <c r="M17" s="320" t="s">
        <v>80</v>
      </c>
      <c r="N17" s="118" t="b">
        <v>1</v>
      </c>
      <c r="O17" s="119"/>
      <c r="Q17" s="284" t="s">
        <v>81</v>
      </c>
      <c r="R17" s="285" t="b">
        <v>0</v>
      </c>
      <c r="S17" s="285" t="b">
        <v>1</v>
      </c>
      <c r="T17" s="286" t="b">
        <v>1</v>
      </c>
    </row>
    <row r="18" outlineLevel="1">
      <c r="A18" s="317" t="s">
        <v>73</v>
      </c>
      <c r="B18" s="317" t="s">
        <v>74</v>
      </c>
      <c r="C18" s="316">
        <v>45958.0</v>
      </c>
      <c r="D18" s="317" t="s">
        <v>2043</v>
      </c>
      <c r="E18" s="317" t="s">
        <v>2044</v>
      </c>
      <c r="F18" s="317">
        <v>3.755486889E9</v>
      </c>
      <c r="G18" s="317" t="s">
        <v>2045</v>
      </c>
      <c r="H18" s="317" t="s">
        <v>2046</v>
      </c>
      <c r="I18" s="135">
        <v>45958.0</v>
      </c>
      <c r="J18" s="365">
        <v>37.0</v>
      </c>
      <c r="K18" s="431"/>
      <c r="L18" s="317"/>
      <c r="M18" s="320" t="s">
        <v>80</v>
      </c>
      <c r="N18" s="118" t="b">
        <v>1</v>
      </c>
      <c r="O18" s="119"/>
      <c r="Q18" s="284" t="s">
        <v>81</v>
      </c>
      <c r="R18" s="285" t="b">
        <v>0</v>
      </c>
      <c r="S18" s="285" t="b">
        <v>1</v>
      </c>
      <c r="T18" s="286" t="b">
        <v>1</v>
      </c>
    </row>
    <row r="19" outlineLevel="1">
      <c r="A19" s="317" t="s">
        <v>73</v>
      </c>
      <c r="B19" s="317" t="s">
        <v>74</v>
      </c>
      <c r="C19" s="316">
        <v>45959.0</v>
      </c>
      <c r="D19" s="317" t="s">
        <v>2047</v>
      </c>
      <c r="E19" s="317" t="s">
        <v>1217</v>
      </c>
      <c r="F19" s="317">
        <v>3.387838344E9</v>
      </c>
      <c r="G19" s="317" t="s">
        <v>2048</v>
      </c>
      <c r="H19" s="317" t="s">
        <v>2049</v>
      </c>
      <c r="I19" s="443">
        <v>45959.0</v>
      </c>
      <c r="J19" s="365"/>
      <c r="K19" s="431">
        <v>35.0</v>
      </c>
      <c r="L19" s="317" t="s">
        <v>99</v>
      </c>
      <c r="M19" s="320" t="s">
        <v>80</v>
      </c>
      <c r="N19" s="118" t="b">
        <v>0</v>
      </c>
      <c r="O19" s="119"/>
      <c r="Q19" s="284" t="s">
        <v>81</v>
      </c>
      <c r="R19" s="285" t="b">
        <v>0</v>
      </c>
      <c r="S19" s="285" t="b">
        <v>1</v>
      </c>
      <c r="T19" s="286" t="b">
        <v>1</v>
      </c>
    </row>
    <row r="20" outlineLevel="1">
      <c r="A20" s="317" t="s">
        <v>73</v>
      </c>
      <c r="B20" s="317" t="s">
        <v>74</v>
      </c>
      <c r="C20" s="316">
        <v>45959.0</v>
      </c>
      <c r="D20" s="317" t="s">
        <v>2050</v>
      </c>
      <c r="E20" s="317" t="s">
        <v>180</v>
      </c>
      <c r="F20" s="317">
        <v>3.343116824E9</v>
      </c>
      <c r="G20" s="317" t="s">
        <v>2051</v>
      </c>
      <c r="H20" s="317" t="s">
        <v>2052</v>
      </c>
      <c r="I20" s="443">
        <v>45959.0</v>
      </c>
      <c r="J20" s="365">
        <v>37.0</v>
      </c>
      <c r="K20" s="431"/>
      <c r="L20" s="317"/>
      <c r="M20" s="317" t="s">
        <v>80</v>
      </c>
      <c r="N20" s="118" t="b">
        <v>1</v>
      </c>
      <c r="O20" s="119"/>
      <c r="Q20" s="284" t="s">
        <v>81</v>
      </c>
      <c r="R20" s="285" t="b">
        <v>0</v>
      </c>
      <c r="S20" s="285" t="b">
        <v>1</v>
      </c>
      <c r="T20" s="286" t="b">
        <v>1</v>
      </c>
    </row>
    <row r="21" outlineLevel="1">
      <c r="A21" s="317" t="s">
        <v>73</v>
      </c>
      <c r="B21" s="317" t="s">
        <v>74</v>
      </c>
      <c r="C21" s="316">
        <v>45960.0</v>
      </c>
      <c r="D21" s="317" t="s">
        <v>2053</v>
      </c>
      <c r="E21" s="317" t="s">
        <v>298</v>
      </c>
      <c r="F21" s="317">
        <v>3.458837665E9</v>
      </c>
      <c r="G21" s="317" t="s">
        <v>2054</v>
      </c>
      <c r="H21" s="317" t="s">
        <v>2055</v>
      </c>
      <c r="I21" s="535">
        <v>45960.0</v>
      </c>
      <c r="J21" s="365"/>
      <c r="K21" s="431">
        <v>35.0</v>
      </c>
      <c r="L21" s="317" t="s">
        <v>79</v>
      </c>
      <c r="M21" s="320" t="s">
        <v>80</v>
      </c>
      <c r="N21" s="118" t="b">
        <v>1</v>
      </c>
      <c r="O21" s="119"/>
      <c r="Q21" s="284" t="s">
        <v>81</v>
      </c>
      <c r="R21" s="285" t="b">
        <v>0</v>
      </c>
      <c r="S21" s="285" t="b">
        <v>1</v>
      </c>
      <c r="T21" s="286" t="b">
        <v>1</v>
      </c>
    </row>
    <row r="22" outlineLevel="1">
      <c r="A22" s="320" t="s">
        <v>73</v>
      </c>
      <c r="B22" s="320" t="s">
        <v>74</v>
      </c>
      <c r="C22" s="316">
        <v>45963.0</v>
      </c>
      <c r="D22" s="320" t="s">
        <v>2056</v>
      </c>
      <c r="E22" s="320" t="s">
        <v>472</v>
      </c>
      <c r="F22" s="320">
        <v>3.280531628E9</v>
      </c>
      <c r="G22" s="416" t="s">
        <v>2057</v>
      </c>
      <c r="H22" s="416" t="s">
        <v>2058</v>
      </c>
      <c r="I22" s="439">
        <v>45963.0</v>
      </c>
      <c r="J22" s="365">
        <v>37.0</v>
      </c>
      <c r="K22" s="431"/>
      <c r="L22" s="317"/>
      <c r="M22" s="320" t="s">
        <v>80</v>
      </c>
      <c r="N22" s="118" t="b">
        <v>1</v>
      </c>
      <c r="O22" s="119"/>
      <c r="Q22" s="284" t="s">
        <v>81</v>
      </c>
      <c r="R22" s="285" t="b">
        <v>0</v>
      </c>
      <c r="S22" s="285" t="b">
        <v>1</v>
      </c>
      <c r="T22" s="286" t="b">
        <v>1</v>
      </c>
    </row>
    <row r="23" outlineLevel="1">
      <c r="A23" s="317" t="s">
        <v>73</v>
      </c>
      <c r="B23" s="317" t="s">
        <v>74</v>
      </c>
      <c r="C23" s="316">
        <v>45963.0</v>
      </c>
      <c r="D23" s="317" t="s">
        <v>2059</v>
      </c>
      <c r="E23" s="317" t="s">
        <v>217</v>
      </c>
      <c r="F23" s="317">
        <v>3.703036401E9</v>
      </c>
      <c r="G23" s="317" t="s">
        <v>2060</v>
      </c>
      <c r="H23" s="317" t="s">
        <v>2061</v>
      </c>
      <c r="I23" s="443">
        <v>45963.0</v>
      </c>
      <c r="J23" s="365"/>
      <c r="K23" s="431">
        <v>35.0</v>
      </c>
      <c r="L23" s="317" t="s">
        <v>106</v>
      </c>
      <c r="M23" s="320" t="s">
        <v>100</v>
      </c>
      <c r="N23" s="118" t="b">
        <v>1</v>
      </c>
      <c r="O23" s="119"/>
      <c r="Q23" s="284" t="s">
        <v>81</v>
      </c>
      <c r="R23" s="285" t="b">
        <v>1</v>
      </c>
      <c r="S23" s="285" t="b">
        <v>0</v>
      </c>
      <c r="T23" s="286" t="b">
        <v>1</v>
      </c>
    </row>
    <row r="24" outlineLevel="1">
      <c r="A24" s="317" t="s">
        <v>73</v>
      </c>
      <c r="B24" s="317" t="s">
        <v>74</v>
      </c>
      <c r="C24" s="316">
        <v>45964.0</v>
      </c>
      <c r="D24" s="317" t="s">
        <v>2062</v>
      </c>
      <c r="E24" s="317" t="s">
        <v>2063</v>
      </c>
      <c r="F24" s="317">
        <v>3.3767179702E10</v>
      </c>
      <c r="G24" s="317" t="s">
        <v>2064</v>
      </c>
      <c r="H24" s="317" t="s">
        <v>2065</v>
      </c>
      <c r="I24" s="318">
        <v>45964.0</v>
      </c>
      <c r="J24" s="365">
        <v>37.0</v>
      </c>
      <c r="K24" s="431"/>
      <c r="L24" s="317"/>
      <c r="M24" s="320" t="s">
        <v>80</v>
      </c>
      <c r="N24" s="118" t="b">
        <v>1</v>
      </c>
      <c r="O24" s="119"/>
      <c r="Q24" s="284" t="s">
        <v>81</v>
      </c>
      <c r="R24" s="285" t="b">
        <v>0</v>
      </c>
      <c r="S24" s="285" t="b">
        <v>1</v>
      </c>
      <c r="T24" s="286" t="b">
        <v>1</v>
      </c>
    </row>
    <row r="25" outlineLevel="1">
      <c r="A25" s="317" t="s">
        <v>611</v>
      </c>
      <c r="B25" s="317" t="s">
        <v>74</v>
      </c>
      <c r="C25" s="316">
        <v>45964.0</v>
      </c>
      <c r="D25" s="317" t="s">
        <v>2066</v>
      </c>
      <c r="E25" s="317" t="s">
        <v>351</v>
      </c>
      <c r="F25" s="317">
        <v>3.34751082E9</v>
      </c>
      <c r="G25" s="317" t="s">
        <v>2067</v>
      </c>
      <c r="H25" s="317" t="s">
        <v>2068</v>
      </c>
      <c r="I25" s="318">
        <v>45964.0</v>
      </c>
      <c r="J25" s="365"/>
      <c r="K25" s="431">
        <v>35.0</v>
      </c>
      <c r="L25" s="317" t="s">
        <v>394</v>
      </c>
      <c r="M25" s="320" t="s">
        <v>100</v>
      </c>
      <c r="N25" s="118" t="b">
        <v>1</v>
      </c>
      <c r="O25" s="119"/>
      <c r="Q25" s="284" t="s">
        <v>81</v>
      </c>
      <c r="R25" s="285" t="b">
        <v>0</v>
      </c>
      <c r="S25" s="285" t="b">
        <v>1</v>
      </c>
      <c r="T25" s="286" t="b">
        <v>1</v>
      </c>
    </row>
    <row r="26" outlineLevel="1">
      <c r="A26" s="317" t="s">
        <v>73</v>
      </c>
      <c r="B26" s="317" t="s">
        <v>74</v>
      </c>
      <c r="C26" s="316">
        <v>45966.0</v>
      </c>
      <c r="D26" s="317" t="s">
        <v>2069</v>
      </c>
      <c r="E26" s="317" t="s">
        <v>251</v>
      </c>
      <c r="F26" s="317">
        <v>3.457628215E9</v>
      </c>
      <c r="G26" s="317" t="s">
        <v>2070</v>
      </c>
      <c r="H26" s="317" t="s">
        <v>2071</v>
      </c>
      <c r="I26" s="318">
        <v>45966.0</v>
      </c>
      <c r="J26" s="365">
        <v>37.0</v>
      </c>
      <c r="K26" s="431"/>
      <c r="L26" s="317"/>
      <c r="M26" s="320" t="s">
        <v>80</v>
      </c>
      <c r="N26" s="118" t="b">
        <v>1</v>
      </c>
      <c r="O26" s="119"/>
      <c r="Q26" s="284" t="s">
        <v>81</v>
      </c>
      <c r="R26" s="285" t="b">
        <v>0</v>
      </c>
      <c r="S26" s="285" t="b">
        <v>1</v>
      </c>
      <c r="T26" s="286" t="b">
        <v>1</v>
      </c>
    </row>
    <row r="27" outlineLevel="1">
      <c r="A27" s="317" t="s">
        <v>73</v>
      </c>
      <c r="B27" s="317" t="s">
        <v>74</v>
      </c>
      <c r="C27" s="316">
        <v>45966.0</v>
      </c>
      <c r="D27" s="317" t="s">
        <v>503</v>
      </c>
      <c r="E27" s="317" t="s">
        <v>7</v>
      </c>
      <c r="F27" s="317">
        <v>3.924515558E9</v>
      </c>
      <c r="G27" s="317" t="s">
        <v>504</v>
      </c>
      <c r="H27" s="317" t="s">
        <v>505</v>
      </c>
      <c r="I27" s="318">
        <v>45966.0</v>
      </c>
      <c r="J27" s="365">
        <v>37.0</v>
      </c>
      <c r="K27" s="436"/>
      <c r="L27" s="317"/>
      <c r="M27" s="320" t="s">
        <v>80</v>
      </c>
      <c r="N27" s="118" t="b">
        <v>1</v>
      </c>
      <c r="O27" s="119"/>
      <c r="Q27" s="284" t="s">
        <v>81</v>
      </c>
      <c r="R27" s="285" t="b">
        <v>0</v>
      </c>
      <c r="S27" s="285" t="b">
        <v>1</v>
      </c>
      <c r="T27" s="286" t="b">
        <v>1</v>
      </c>
    </row>
    <row r="28" outlineLevel="1">
      <c r="A28" s="317" t="s">
        <v>73</v>
      </c>
      <c r="B28" s="317" t="s">
        <v>74</v>
      </c>
      <c r="C28" s="316">
        <v>45966.0</v>
      </c>
      <c r="D28" s="317" t="s">
        <v>2072</v>
      </c>
      <c r="E28" s="317" t="s">
        <v>619</v>
      </c>
      <c r="F28" s="317">
        <v>3.471963823E9</v>
      </c>
      <c r="G28" s="469" t="s">
        <v>2073</v>
      </c>
      <c r="H28" s="469" t="s">
        <v>2074</v>
      </c>
      <c r="I28" s="318">
        <v>45966.0</v>
      </c>
      <c r="J28" s="365">
        <v>37.0</v>
      </c>
      <c r="K28" s="436"/>
      <c r="L28" s="432"/>
      <c r="M28" s="320" t="s">
        <v>80</v>
      </c>
      <c r="N28" s="118" t="b">
        <v>1</v>
      </c>
      <c r="O28" s="119"/>
      <c r="Q28" s="284" t="s">
        <v>81</v>
      </c>
      <c r="R28" s="285" t="b">
        <v>0</v>
      </c>
      <c r="S28" s="285" t="b">
        <v>1</v>
      </c>
      <c r="T28" s="286" t="b">
        <v>1</v>
      </c>
    </row>
    <row r="29" outlineLevel="1">
      <c r="A29" s="317" t="s">
        <v>73</v>
      </c>
      <c r="B29" s="317" t="s">
        <v>74</v>
      </c>
      <c r="C29" s="316">
        <v>45966.0</v>
      </c>
      <c r="D29" s="317" t="s">
        <v>2075</v>
      </c>
      <c r="E29" s="317" t="s">
        <v>2076</v>
      </c>
      <c r="F29" s="317">
        <v>3.463119787E9</v>
      </c>
      <c r="G29" s="317" t="s">
        <v>2077</v>
      </c>
      <c r="H29" s="317" t="s">
        <v>2078</v>
      </c>
      <c r="I29" s="318">
        <v>45966.0</v>
      </c>
      <c r="J29" s="365">
        <v>37.0</v>
      </c>
      <c r="K29" s="431"/>
      <c r="L29" s="317"/>
      <c r="M29" s="320" t="s">
        <v>80</v>
      </c>
      <c r="N29" s="118" t="b">
        <v>1</v>
      </c>
      <c r="O29" s="119"/>
      <c r="Q29" s="284" t="s">
        <v>81</v>
      </c>
      <c r="R29" s="285" t="b">
        <v>0</v>
      </c>
      <c r="S29" s="285" t="b">
        <v>1</v>
      </c>
      <c r="T29" s="286" t="b">
        <v>1</v>
      </c>
    </row>
    <row r="30" outlineLevel="1">
      <c r="A30" s="317" t="s">
        <v>73</v>
      </c>
      <c r="B30" s="317" t="s">
        <v>74</v>
      </c>
      <c r="C30" s="316">
        <v>45966.0</v>
      </c>
      <c r="D30" s="317" t="s">
        <v>2079</v>
      </c>
      <c r="E30" s="317" t="s">
        <v>351</v>
      </c>
      <c r="F30" s="317">
        <v>3.290782335E9</v>
      </c>
      <c r="G30" s="317" t="s">
        <v>2080</v>
      </c>
      <c r="H30" s="317" t="s">
        <v>2081</v>
      </c>
      <c r="I30" s="318">
        <v>45966.0</v>
      </c>
      <c r="J30" s="365"/>
      <c r="K30" s="431">
        <v>35.0</v>
      </c>
      <c r="L30" s="317" t="s">
        <v>79</v>
      </c>
      <c r="M30" s="320" t="s">
        <v>100</v>
      </c>
      <c r="N30" s="118" t="b">
        <v>1</v>
      </c>
      <c r="O30" s="119"/>
      <c r="Q30" s="284" t="s">
        <v>81</v>
      </c>
      <c r="R30" s="285" t="b">
        <v>1</v>
      </c>
      <c r="S30" s="285" t="b">
        <v>0</v>
      </c>
      <c r="T30" s="286" t="b">
        <v>1</v>
      </c>
    </row>
    <row r="31" outlineLevel="1">
      <c r="A31" s="320" t="s">
        <v>73</v>
      </c>
      <c r="B31" s="320" t="s">
        <v>74</v>
      </c>
      <c r="C31" s="465">
        <v>45966.0</v>
      </c>
      <c r="D31" s="320" t="s">
        <v>2082</v>
      </c>
      <c r="E31" s="320" t="s">
        <v>312</v>
      </c>
      <c r="F31" s="320">
        <v>6.89658437E8</v>
      </c>
      <c r="G31" s="111" t="s">
        <v>2083</v>
      </c>
      <c r="H31" s="320" t="s">
        <v>2084</v>
      </c>
      <c r="I31" s="439">
        <v>45966.0</v>
      </c>
      <c r="J31" s="365">
        <v>37.0</v>
      </c>
      <c r="K31" s="431"/>
      <c r="L31" s="317"/>
      <c r="M31" s="320" t="s">
        <v>80</v>
      </c>
      <c r="N31" s="118" t="b">
        <v>0</v>
      </c>
      <c r="O31" s="119"/>
      <c r="Q31" s="284" t="s">
        <v>81</v>
      </c>
      <c r="R31" s="285"/>
      <c r="S31" s="285" t="b">
        <v>1</v>
      </c>
      <c r="T31" s="286" t="b">
        <v>1</v>
      </c>
    </row>
    <row r="32" outlineLevel="1">
      <c r="A32" s="317" t="s">
        <v>73</v>
      </c>
      <c r="B32" s="317" t="s">
        <v>74</v>
      </c>
      <c r="C32" s="316">
        <v>45967.0</v>
      </c>
      <c r="D32" s="317" t="s">
        <v>2085</v>
      </c>
      <c r="E32" s="317" t="s">
        <v>1061</v>
      </c>
      <c r="F32" s="317">
        <v>3.486902926E9</v>
      </c>
      <c r="G32" s="317" t="s">
        <v>2086</v>
      </c>
      <c r="H32" s="317" t="s">
        <v>2087</v>
      </c>
      <c r="I32" s="318">
        <v>45967.0</v>
      </c>
      <c r="J32" s="365"/>
      <c r="K32" s="431">
        <v>35.0</v>
      </c>
      <c r="L32" s="317" t="s">
        <v>79</v>
      </c>
      <c r="M32" s="320" t="s">
        <v>80</v>
      </c>
      <c r="N32" s="118" t="b">
        <v>0</v>
      </c>
      <c r="O32" s="119"/>
      <c r="Q32" s="284" t="s">
        <v>81</v>
      </c>
      <c r="R32" s="285" t="b">
        <v>0</v>
      </c>
      <c r="S32" s="285" t="b">
        <v>1</v>
      </c>
      <c r="T32" s="286" t="b">
        <v>1</v>
      </c>
    </row>
    <row r="33" outlineLevel="1">
      <c r="A33" s="317" t="s">
        <v>73</v>
      </c>
      <c r="B33" s="317" t="s">
        <v>74</v>
      </c>
      <c r="C33" s="316">
        <v>45967.0</v>
      </c>
      <c r="D33" s="317" t="s">
        <v>2088</v>
      </c>
      <c r="E33" s="317" t="s">
        <v>972</v>
      </c>
      <c r="F33" s="317">
        <v>3.92336326E9</v>
      </c>
      <c r="G33" s="317" t="s">
        <v>2089</v>
      </c>
      <c r="H33" s="317" t="s">
        <v>2090</v>
      </c>
      <c r="I33" s="318">
        <v>45967.0</v>
      </c>
      <c r="J33" s="365">
        <v>37.0</v>
      </c>
      <c r="K33" s="431"/>
      <c r="L33" s="317"/>
      <c r="M33" s="320" t="s">
        <v>80</v>
      </c>
      <c r="N33" s="118" t="b">
        <v>1</v>
      </c>
      <c r="O33" s="119"/>
      <c r="Q33" s="284" t="s">
        <v>81</v>
      </c>
      <c r="R33" s="285" t="b">
        <v>0</v>
      </c>
      <c r="S33" s="285" t="b">
        <v>1</v>
      </c>
      <c r="T33" s="286" t="b">
        <v>1</v>
      </c>
    </row>
    <row r="34" outlineLevel="1">
      <c r="A34" s="317" t="s">
        <v>73</v>
      </c>
      <c r="B34" s="317" t="s">
        <v>74</v>
      </c>
      <c r="C34" s="316">
        <v>45967.0</v>
      </c>
      <c r="D34" s="317" t="s">
        <v>1992</v>
      </c>
      <c r="E34" s="317" t="s">
        <v>2091</v>
      </c>
      <c r="F34" s="317">
        <v>3.473639867E9</v>
      </c>
      <c r="G34" s="317" t="s">
        <v>2092</v>
      </c>
      <c r="H34" s="317" t="s">
        <v>2093</v>
      </c>
      <c r="I34" s="443">
        <v>45967.0</v>
      </c>
      <c r="J34" s="365">
        <v>37.0</v>
      </c>
      <c r="K34" s="431"/>
      <c r="L34" s="317"/>
      <c r="M34" s="320" t="s">
        <v>80</v>
      </c>
      <c r="N34" s="118" t="b">
        <v>1</v>
      </c>
      <c r="O34" s="119"/>
      <c r="Q34" s="284" t="s">
        <v>81</v>
      </c>
      <c r="R34" s="285" t="b">
        <v>0</v>
      </c>
      <c r="S34" s="285" t="b">
        <v>1</v>
      </c>
      <c r="T34" s="286" t="b">
        <v>1</v>
      </c>
    </row>
    <row r="35" outlineLevel="1">
      <c r="A35" s="317" t="s">
        <v>73</v>
      </c>
      <c r="B35" s="317" t="s">
        <v>74</v>
      </c>
      <c r="C35" s="316">
        <v>45968.0</v>
      </c>
      <c r="D35" s="317" t="s">
        <v>2094</v>
      </c>
      <c r="E35" s="317" t="s">
        <v>912</v>
      </c>
      <c r="F35" s="257">
        <v>3.402195904E9</v>
      </c>
      <c r="G35" s="317" t="s">
        <v>2095</v>
      </c>
      <c r="H35" s="317" t="s">
        <v>2096</v>
      </c>
      <c r="I35" s="443">
        <v>45968.0</v>
      </c>
      <c r="J35" s="365">
        <v>37.0</v>
      </c>
      <c r="K35" s="431"/>
      <c r="L35" s="317"/>
      <c r="M35" s="320" t="s">
        <v>80</v>
      </c>
      <c r="N35" s="118" t="b">
        <v>1</v>
      </c>
      <c r="O35" s="119"/>
      <c r="Q35" s="284" t="s">
        <v>81</v>
      </c>
      <c r="R35" s="285" t="b">
        <v>0</v>
      </c>
      <c r="S35" s="285" t="b">
        <v>1</v>
      </c>
      <c r="T35" s="286" t="b">
        <v>1</v>
      </c>
    </row>
    <row r="36" outlineLevel="1">
      <c r="A36" s="317" t="s">
        <v>73</v>
      </c>
      <c r="B36" s="317" t="s">
        <v>74</v>
      </c>
      <c r="C36" s="316">
        <v>45968.0</v>
      </c>
      <c r="D36" s="317" t="s">
        <v>1698</v>
      </c>
      <c r="E36" s="317" t="s">
        <v>1699</v>
      </c>
      <c r="F36" s="317">
        <v>3.283273502E9</v>
      </c>
      <c r="G36" s="317" t="s">
        <v>1700</v>
      </c>
      <c r="H36" s="317" t="s">
        <v>2097</v>
      </c>
      <c r="I36" s="443">
        <v>45968.0</v>
      </c>
      <c r="J36" s="365">
        <v>37.0</v>
      </c>
      <c r="K36" s="431"/>
      <c r="L36" s="317"/>
      <c r="M36" s="320" t="s">
        <v>100</v>
      </c>
      <c r="N36" s="118" t="b">
        <v>1</v>
      </c>
      <c r="O36" s="119"/>
      <c r="Q36" s="284" t="s">
        <v>81</v>
      </c>
      <c r="R36" s="285" t="b">
        <v>1</v>
      </c>
      <c r="S36" s="285" t="b">
        <v>0</v>
      </c>
      <c r="T36" s="286" t="b">
        <v>1</v>
      </c>
    </row>
    <row r="37" outlineLevel="1">
      <c r="A37" s="317" t="s">
        <v>73</v>
      </c>
      <c r="B37" s="317" t="s">
        <v>74</v>
      </c>
      <c r="C37" s="316">
        <v>45968.0</v>
      </c>
      <c r="D37" s="317" t="s">
        <v>2098</v>
      </c>
      <c r="E37" s="317" t="s">
        <v>2099</v>
      </c>
      <c r="F37" s="317">
        <v>3.275604237E9</v>
      </c>
      <c r="G37" s="317" t="s">
        <v>2100</v>
      </c>
      <c r="H37" s="317" t="s">
        <v>2101</v>
      </c>
      <c r="I37" s="443">
        <v>45968.0</v>
      </c>
      <c r="J37" s="365">
        <v>37.0</v>
      </c>
      <c r="K37" s="431"/>
      <c r="L37" s="317"/>
      <c r="M37" s="320" t="s">
        <v>80</v>
      </c>
      <c r="N37" s="118" t="b">
        <v>1</v>
      </c>
      <c r="O37" s="119"/>
      <c r="Q37" s="284" t="s">
        <v>81</v>
      </c>
      <c r="R37" s="285" t="b">
        <v>0</v>
      </c>
      <c r="S37" s="285" t="b">
        <v>1</v>
      </c>
      <c r="T37" s="286" t="b">
        <v>1</v>
      </c>
    </row>
    <row r="38" outlineLevel="1">
      <c r="A38" s="317" t="s">
        <v>73</v>
      </c>
      <c r="B38" s="317" t="s">
        <v>74</v>
      </c>
      <c r="C38" s="316">
        <v>45969.0</v>
      </c>
      <c r="D38" s="317" t="s">
        <v>596</v>
      </c>
      <c r="E38" s="317" t="s">
        <v>2102</v>
      </c>
      <c r="F38" s="317">
        <v>3.899691211E9</v>
      </c>
      <c r="G38" s="317" t="s">
        <v>598</v>
      </c>
      <c r="H38" s="317" t="s">
        <v>2103</v>
      </c>
      <c r="I38" s="443">
        <v>45969.0</v>
      </c>
      <c r="J38" s="365">
        <v>37.0</v>
      </c>
      <c r="K38" s="431"/>
      <c r="L38" s="317"/>
      <c r="M38" s="320" t="s">
        <v>80</v>
      </c>
      <c r="N38" s="118" t="b">
        <v>1</v>
      </c>
      <c r="O38" s="119"/>
      <c r="Q38" s="284" t="s">
        <v>81</v>
      </c>
      <c r="R38" s="285" t="b">
        <v>0</v>
      </c>
      <c r="S38" s="285" t="b">
        <v>1</v>
      </c>
      <c r="T38" s="286" t="b">
        <v>1</v>
      </c>
    </row>
    <row r="39" outlineLevel="1">
      <c r="A39" s="317" t="s">
        <v>73</v>
      </c>
      <c r="B39" s="317" t="s">
        <v>74</v>
      </c>
      <c r="C39" s="316">
        <v>45969.0</v>
      </c>
      <c r="D39" s="317" t="s">
        <v>588</v>
      </c>
      <c r="E39" s="317" t="s">
        <v>589</v>
      </c>
      <c r="F39" s="317">
        <v>3.204460419E9</v>
      </c>
      <c r="G39" s="317" t="s">
        <v>590</v>
      </c>
      <c r="H39" s="317" t="s">
        <v>591</v>
      </c>
      <c r="I39" s="318">
        <v>45969.0</v>
      </c>
      <c r="J39" s="365">
        <v>37.0</v>
      </c>
      <c r="K39" s="431"/>
      <c r="L39" s="317"/>
      <c r="M39" s="320" t="s">
        <v>80</v>
      </c>
      <c r="N39" s="118" t="b">
        <v>1</v>
      </c>
      <c r="O39" s="119"/>
      <c r="Q39" s="284" t="s">
        <v>81</v>
      </c>
      <c r="R39" s="285" t="b">
        <v>0</v>
      </c>
      <c r="S39" s="285" t="b">
        <v>1</v>
      </c>
      <c r="T39" s="286" t="b">
        <v>1</v>
      </c>
    </row>
    <row r="40" outlineLevel="1">
      <c r="A40" s="317" t="s">
        <v>73</v>
      </c>
      <c r="B40" s="317" t="s">
        <v>74</v>
      </c>
      <c r="C40" s="316">
        <v>45969.0</v>
      </c>
      <c r="D40" s="317" t="s">
        <v>2104</v>
      </c>
      <c r="E40" s="317" t="s">
        <v>12</v>
      </c>
      <c r="F40" s="317">
        <v>3.475682484E9</v>
      </c>
      <c r="G40" s="317" t="s">
        <v>2105</v>
      </c>
      <c r="H40" s="317" t="s">
        <v>2106</v>
      </c>
      <c r="I40" s="318">
        <v>45969.0</v>
      </c>
      <c r="J40" s="365">
        <v>37.0</v>
      </c>
      <c r="K40" s="431"/>
      <c r="L40" s="317"/>
      <c r="M40" s="320" t="s">
        <v>80</v>
      </c>
      <c r="N40" s="118" t="b">
        <v>1</v>
      </c>
      <c r="O40" s="119"/>
      <c r="Q40" s="284" t="s">
        <v>81</v>
      </c>
      <c r="R40" s="285" t="b">
        <v>0</v>
      </c>
      <c r="S40" s="285" t="b">
        <v>1</v>
      </c>
      <c r="T40" s="286" t="b">
        <v>1</v>
      </c>
    </row>
    <row r="41" outlineLevel="1">
      <c r="A41" s="317" t="s">
        <v>73</v>
      </c>
      <c r="B41" s="317" t="s">
        <v>74</v>
      </c>
      <c r="C41" s="316">
        <v>45969.0</v>
      </c>
      <c r="D41" s="317" t="s">
        <v>2107</v>
      </c>
      <c r="E41" s="317" t="s">
        <v>777</v>
      </c>
      <c r="F41" s="317">
        <v>3.663125457E9</v>
      </c>
      <c r="G41" s="317" t="s">
        <v>2108</v>
      </c>
      <c r="H41" s="317" t="s">
        <v>2109</v>
      </c>
      <c r="I41" s="318">
        <v>45969.0</v>
      </c>
      <c r="J41" s="365">
        <v>37.0</v>
      </c>
      <c r="K41" s="431"/>
      <c r="L41" s="317"/>
      <c r="M41" s="317" t="s">
        <v>80</v>
      </c>
      <c r="N41" s="118" t="b">
        <v>1</v>
      </c>
      <c r="O41" s="119"/>
      <c r="Q41" s="284" t="s">
        <v>81</v>
      </c>
      <c r="R41" s="285" t="b">
        <v>0</v>
      </c>
      <c r="S41" s="285" t="b">
        <v>1</v>
      </c>
      <c r="T41" s="286" t="b">
        <v>1</v>
      </c>
    </row>
    <row r="42" outlineLevel="1">
      <c r="A42" s="317" t="s">
        <v>73</v>
      </c>
      <c r="B42" s="317" t="s">
        <v>74</v>
      </c>
      <c r="C42" s="316">
        <v>45970.0</v>
      </c>
      <c r="D42" s="320" t="s">
        <v>2110</v>
      </c>
      <c r="E42" s="317" t="s">
        <v>2111</v>
      </c>
      <c r="F42" s="317">
        <v>3.386379899E9</v>
      </c>
      <c r="G42" s="317" t="s">
        <v>2112</v>
      </c>
      <c r="H42" s="317" t="s">
        <v>2113</v>
      </c>
      <c r="I42" s="318">
        <v>45970.0</v>
      </c>
      <c r="J42" s="365">
        <v>37.0</v>
      </c>
      <c r="K42" s="431"/>
      <c r="L42" s="317"/>
      <c r="M42" s="317" t="s">
        <v>80</v>
      </c>
      <c r="N42" s="118" t="b">
        <v>1</v>
      </c>
      <c r="O42" s="119"/>
      <c r="Q42" s="284" t="s">
        <v>81</v>
      </c>
      <c r="R42" s="285" t="b">
        <v>0</v>
      </c>
      <c r="S42" s="285" t="b">
        <v>1</v>
      </c>
      <c r="T42" s="286" t="b">
        <v>1</v>
      </c>
    </row>
    <row r="43" outlineLevel="1">
      <c r="A43" s="317" t="s">
        <v>73</v>
      </c>
      <c r="B43" s="317" t="s">
        <v>74</v>
      </c>
      <c r="C43" s="316">
        <v>45972.0</v>
      </c>
      <c r="D43" s="320" t="s">
        <v>2114</v>
      </c>
      <c r="E43" s="317" t="s">
        <v>165</v>
      </c>
      <c r="F43" s="317">
        <v>3.278872919E9</v>
      </c>
      <c r="G43" s="317" t="s">
        <v>2115</v>
      </c>
      <c r="H43" s="317" t="s">
        <v>2116</v>
      </c>
      <c r="I43" s="318">
        <v>45972.0</v>
      </c>
      <c r="J43" s="365">
        <v>37.0</v>
      </c>
      <c r="K43" s="431"/>
      <c r="L43" s="317"/>
      <c r="M43" s="320" t="s">
        <v>100</v>
      </c>
      <c r="N43" s="118" t="b">
        <v>1</v>
      </c>
      <c r="O43" s="119"/>
      <c r="Q43" s="284" t="s">
        <v>81</v>
      </c>
      <c r="R43" s="285" t="b">
        <v>1</v>
      </c>
      <c r="S43" s="285" t="b">
        <v>0</v>
      </c>
      <c r="T43" s="286" t="b">
        <v>1</v>
      </c>
    </row>
    <row r="44" outlineLevel="1">
      <c r="A44" s="317" t="s">
        <v>73</v>
      </c>
      <c r="B44" s="317" t="s">
        <v>74</v>
      </c>
      <c r="C44" s="444">
        <v>45972.0</v>
      </c>
      <c r="D44" s="317" t="s">
        <v>2117</v>
      </c>
      <c r="E44" s="317" t="s">
        <v>604</v>
      </c>
      <c r="F44" s="317">
        <v>3.299333239E9</v>
      </c>
      <c r="G44" s="468" t="s">
        <v>2118</v>
      </c>
      <c r="H44" s="317" t="s">
        <v>2119</v>
      </c>
      <c r="I44" s="318">
        <v>45972.0</v>
      </c>
      <c r="J44" s="365">
        <v>37.0</v>
      </c>
      <c r="K44" s="431"/>
      <c r="L44" s="432"/>
      <c r="M44" s="317" t="s">
        <v>100</v>
      </c>
      <c r="N44" s="118" t="b">
        <v>1</v>
      </c>
      <c r="O44" s="119"/>
      <c r="Q44" s="284" t="s">
        <v>81</v>
      </c>
      <c r="R44" s="285" t="b">
        <v>1</v>
      </c>
      <c r="S44" s="285" t="b">
        <v>0</v>
      </c>
      <c r="T44" s="286" t="b">
        <v>1</v>
      </c>
    </row>
    <row r="45" outlineLevel="1">
      <c r="A45" s="317" t="s">
        <v>368</v>
      </c>
      <c r="B45" s="317" t="s">
        <v>369</v>
      </c>
      <c r="C45" s="316">
        <v>45974.0</v>
      </c>
      <c r="D45" s="317" t="s">
        <v>103</v>
      </c>
      <c r="E45" s="317" t="s">
        <v>7</v>
      </c>
      <c r="F45" s="317">
        <v>3.497813495E9</v>
      </c>
      <c r="G45" s="317" t="s">
        <v>104</v>
      </c>
      <c r="H45" s="317" t="s">
        <v>1966</v>
      </c>
      <c r="I45" s="318">
        <v>45974.0</v>
      </c>
      <c r="J45" s="365"/>
      <c r="K45" s="431">
        <v>35.0</v>
      </c>
      <c r="L45" s="317" t="s">
        <v>79</v>
      </c>
      <c r="M45" s="320" t="s">
        <v>162</v>
      </c>
      <c r="N45" s="118" t="b">
        <v>1</v>
      </c>
      <c r="O45" s="119"/>
      <c r="Q45" s="284" t="s">
        <v>81</v>
      </c>
      <c r="R45" s="285" t="b">
        <v>1</v>
      </c>
      <c r="S45" s="285" t="b">
        <v>0</v>
      </c>
      <c r="T45" s="286" t="b">
        <v>1</v>
      </c>
    </row>
    <row r="46" outlineLevel="1">
      <c r="A46" s="317" t="s">
        <v>101</v>
      </c>
      <c r="B46" s="317" t="s">
        <v>102</v>
      </c>
      <c r="C46" s="316">
        <v>45975.0</v>
      </c>
      <c r="D46" s="317" t="s">
        <v>2120</v>
      </c>
      <c r="E46" s="317" t="s">
        <v>2121</v>
      </c>
      <c r="F46" s="317">
        <v>3.667328108E9</v>
      </c>
      <c r="G46" s="471" t="s">
        <v>2122</v>
      </c>
      <c r="H46" s="317" t="s">
        <v>2123</v>
      </c>
      <c r="I46" s="443">
        <v>45975.0</v>
      </c>
      <c r="J46" s="368"/>
      <c r="K46" s="431">
        <v>29.6</v>
      </c>
      <c r="L46" s="317" t="s">
        <v>2124</v>
      </c>
      <c r="M46" s="317" t="s">
        <v>100</v>
      </c>
      <c r="N46" s="118" t="b">
        <v>1</v>
      </c>
      <c r="O46" s="119"/>
      <c r="Q46" s="284" t="s">
        <v>81</v>
      </c>
      <c r="R46" s="285" t="b">
        <v>1</v>
      </c>
      <c r="S46" s="285" t="b">
        <v>0</v>
      </c>
      <c r="T46" s="286" t="b">
        <v>1</v>
      </c>
    </row>
    <row r="47" outlineLevel="1">
      <c r="A47" s="317" t="s">
        <v>101</v>
      </c>
      <c r="B47" s="317" t="s">
        <v>74</v>
      </c>
      <c r="C47" s="316">
        <v>45973.0</v>
      </c>
      <c r="D47" s="317" t="s">
        <v>2125</v>
      </c>
      <c r="E47" s="317" t="s">
        <v>650</v>
      </c>
      <c r="F47" s="317">
        <v>3.270464071E9</v>
      </c>
      <c r="G47" s="317" t="s">
        <v>2126</v>
      </c>
      <c r="H47" s="317" t="s">
        <v>2127</v>
      </c>
      <c r="I47" s="443">
        <v>45975.0</v>
      </c>
      <c r="J47" s="365">
        <v>37.0</v>
      </c>
      <c r="K47" s="431"/>
      <c r="L47" s="317"/>
      <c r="M47" s="317" t="s">
        <v>100</v>
      </c>
      <c r="N47" s="118" t="b">
        <v>1</v>
      </c>
      <c r="O47" s="119"/>
      <c r="Q47" s="284" t="s">
        <v>81</v>
      </c>
      <c r="R47" s="285" t="b">
        <v>1</v>
      </c>
      <c r="S47" s="285" t="b">
        <v>0</v>
      </c>
      <c r="T47" s="286" t="b">
        <v>1</v>
      </c>
    </row>
    <row r="48" outlineLevel="1">
      <c r="A48" s="317" t="s">
        <v>101</v>
      </c>
      <c r="B48" s="317" t="s">
        <v>74</v>
      </c>
      <c r="C48" s="316">
        <v>45973.0</v>
      </c>
      <c r="D48" s="317" t="s">
        <v>2128</v>
      </c>
      <c r="E48" s="317" t="s">
        <v>294</v>
      </c>
      <c r="F48" s="317">
        <v>3.408852726E9</v>
      </c>
      <c r="G48" s="317" t="s">
        <v>2129</v>
      </c>
      <c r="H48" s="317" t="s">
        <v>2130</v>
      </c>
      <c r="I48" s="443">
        <v>45975.0</v>
      </c>
      <c r="J48" s="365">
        <v>37.0</v>
      </c>
      <c r="K48" s="431"/>
      <c r="L48" s="317"/>
      <c r="M48" s="317" t="s">
        <v>80</v>
      </c>
      <c r="N48" s="118" t="b">
        <v>1</v>
      </c>
      <c r="O48" s="119"/>
      <c r="Q48" s="284" t="s">
        <v>81</v>
      </c>
      <c r="R48" s="285" t="b">
        <v>0</v>
      </c>
      <c r="S48" s="285" t="b">
        <v>1</v>
      </c>
      <c r="T48" s="286" t="b">
        <v>1</v>
      </c>
    </row>
    <row r="49" outlineLevel="1">
      <c r="A49" s="317" t="s">
        <v>101</v>
      </c>
      <c r="B49" s="317" t="s">
        <v>74</v>
      </c>
      <c r="C49" s="316">
        <v>45973.0</v>
      </c>
      <c r="D49" s="317" t="s">
        <v>2131</v>
      </c>
      <c r="E49" s="317" t="s">
        <v>496</v>
      </c>
      <c r="F49" s="317">
        <v>3.481605739E9</v>
      </c>
      <c r="G49" s="317" t="s">
        <v>2132</v>
      </c>
      <c r="H49" s="317" t="s">
        <v>2133</v>
      </c>
      <c r="I49" s="443">
        <v>45975.0</v>
      </c>
      <c r="J49" s="365">
        <v>37.0</v>
      </c>
      <c r="K49" s="431"/>
      <c r="L49" s="317"/>
      <c r="M49" s="317" t="s">
        <v>100</v>
      </c>
      <c r="N49" s="118" t="b">
        <v>1</v>
      </c>
      <c r="O49" s="119"/>
      <c r="Q49" s="284" t="s">
        <v>81</v>
      </c>
      <c r="R49" s="285" t="b">
        <v>1</v>
      </c>
      <c r="S49" s="285" t="b">
        <v>0</v>
      </c>
      <c r="T49" s="286" t="b">
        <v>1</v>
      </c>
    </row>
    <row r="50" outlineLevel="1">
      <c r="A50" s="317" t="s">
        <v>101</v>
      </c>
      <c r="B50" s="317" t="s">
        <v>74</v>
      </c>
      <c r="C50" s="472">
        <v>45973.0</v>
      </c>
      <c r="D50" s="317" t="s">
        <v>2134</v>
      </c>
      <c r="E50" s="317" t="s">
        <v>2135</v>
      </c>
      <c r="F50" s="317">
        <f>37061480181</f>
        <v>37061480181</v>
      </c>
      <c r="G50" s="317"/>
      <c r="H50" s="317" t="s">
        <v>2136</v>
      </c>
      <c r="I50" s="443">
        <v>45975.0</v>
      </c>
      <c r="J50" s="365">
        <v>37.0</v>
      </c>
      <c r="K50" s="431"/>
      <c r="L50" s="317"/>
      <c r="M50" s="320" t="s">
        <v>80</v>
      </c>
      <c r="N50" s="118" t="b">
        <v>1</v>
      </c>
      <c r="O50" s="119"/>
      <c r="Q50" s="284" t="s">
        <v>81</v>
      </c>
      <c r="R50" s="285" t="b">
        <v>0</v>
      </c>
      <c r="S50" s="285" t="b">
        <v>1</v>
      </c>
      <c r="T50" s="286" t="b">
        <v>1</v>
      </c>
    </row>
    <row r="51" outlineLevel="1">
      <c r="A51" s="317" t="s">
        <v>101</v>
      </c>
      <c r="B51" s="317" t="s">
        <v>74</v>
      </c>
      <c r="C51" s="472">
        <v>45976.0</v>
      </c>
      <c r="D51" s="317" t="s">
        <v>2137</v>
      </c>
      <c r="E51" s="317" t="s">
        <v>2138</v>
      </c>
      <c r="F51" s="317">
        <v>3.31413269E9</v>
      </c>
      <c r="G51" s="317" t="s">
        <v>2139</v>
      </c>
      <c r="H51" s="317" t="s">
        <v>2140</v>
      </c>
      <c r="I51" s="439">
        <v>45976.0</v>
      </c>
      <c r="J51" s="365">
        <v>37.0</v>
      </c>
      <c r="K51" s="431"/>
      <c r="L51" s="317"/>
      <c r="M51" s="320" t="s">
        <v>80</v>
      </c>
      <c r="N51" s="118" t="b">
        <v>1</v>
      </c>
      <c r="O51" s="119"/>
      <c r="Q51" s="284" t="s">
        <v>81</v>
      </c>
      <c r="R51" s="285" t="b">
        <v>0</v>
      </c>
      <c r="S51" s="285" t="b">
        <v>1</v>
      </c>
      <c r="T51" s="286" t="b">
        <v>1</v>
      </c>
    </row>
    <row r="52" outlineLevel="1">
      <c r="A52" s="317" t="s">
        <v>101</v>
      </c>
      <c r="B52" s="317" t="s">
        <v>74</v>
      </c>
      <c r="C52" s="472">
        <v>45976.0</v>
      </c>
      <c r="D52" s="317" t="s">
        <v>2141</v>
      </c>
      <c r="E52" s="317" t="s">
        <v>2142</v>
      </c>
      <c r="F52" s="317">
        <v>3.333305791E9</v>
      </c>
      <c r="G52" s="317" t="s">
        <v>2143</v>
      </c>
      <c r="H52" s="317" t="s">
        <v>2144</v>
      </c>
      <c r="I52" s="439">
        <v>45976.0</v>
      </c>
      <c r="J52" s="365"/>
      <c r="K52" s="431">
        <v>35.0</v>
      </c>
      <c r="L52" s="317" t="s">
        <v>99</v>
      </c>
      <c r="M52" s="320" t="s">
        <v>80</v>
      </c>
      <c r="N52" s="118" t="b">
        <v>1</v>
      </c>
      <c r="O52" s="119"/>
      <c r="Q52" s="284" t="s">
        <v>81</v>
      </c>
      <c r="R52" s="285" t="b">
        <v>0</v>
      </c>
      <c r="S52" s="285" t="b">
        <v>1</v>
      </c>
      <c r="T52" s="286" t="b">
        <v>1</v>
      </c>
    </row>
    <row r="53" outlineLevel="1">
      <c r="A53" s="317" t="s">
        <v>101</v>
      </c>
      <c r="B53" s="317" t="s">
        <v>74</v>
      </c>
      <c r="C53" s="473">
        <v>45976.0</v>
      </c>
      <c r="D53" s="320" t="s">
        <v>2145</v>
      </c>
      <c r="E53" s="320" t="s">
        <v>165</v>
      </c>
      <c r="F53" s="320">
        <v>3.425713388E9</v>
      </c>
      <c r="G53" s="320" t="s">
        <v>2146</v>
      </c>
      <c r="H53" s="320" t="s">
        <v>2147</v>
      </c>
      <c r="I53" s="439">
        <v>45976.0</v>
      </c>
      <c r="J53" s="365">
        <v>37.0</v>
      </c>
      <c r="K53" s="431"/>
      <c r="L53" s="317"/>
      <c r="M53" s="320" t="s">
        <v>80</v>
      </c>
      <c r="N53" s="118" t="b">
        <v>1</v>
      </c>
      <c r="O53" s="119"/>
      <c r="Q53" s="284" t="s">
        <v>81</v>
      </c>
      <c r="R53" s="285" t="b">
        <v>0</v>
      </c>
      <c r="S53" s="285" t="b">
        <v>1</v>
      </c>
      <c r="T53" s="286" t="b">
        <v>1</v>
      </c>
    </row>
    <row r="54" outlineLevel="1">
      <c r="A54" s="317" t="s">
        <v>101</v>
      </c>
      <c r="B54" s="317" t="s">
        <v>74</v>
      </c>
      <c r="C54" s="536">
        <v>45976.0</v>
      </c>
      <c r="D54" s="116" t="s">
        <v>2148</v>
      </c>
      <c r="E54" s="317" t="s">
        <v>2149</v>
      </c>
      <c r="F54" s="317">
        <v>3.286575647E9</v>
      </c>
      <c r="G54" s="317" t="s">
        <v>2150</v>
      </c>
      <c r="H54" s="317" t="s">
        <v>2151</v>
      </c>
      <c r="I54" s="318">
        <v>45976.0</v>
      </c>
      <c r="J54" s="365"/>
      <c r="K54" s="431">
        <v>35.0</v>
      </c>
      <c r="L54" s="317" t="s">
        <v>106</v>
      </c>
      <c r="M54" s="317" t="s">
        <v>80</v>
      </c>
      <c r="N54" s="118" t="b">
        <v>1</v>
      </c>
      <c r="O54" s="119"/>
      <c r="Q54" s="284" t="s">
        <v>81</v>
      </c>
      <c r="R54" s="285" t="b">
        <v>0</v>
      </c>
      <c r="S54" s="285" t="b">
        <v>1</v>
      </c>
      <c r="T54" s="286" t="b">
        <v>1</v>
      </c>
    </row>
    <row r="55" outlineLevel="1">
      <c r="A55" s="317" t="s">
        <v>101</v>
      </c>
      <c r="B55" s="317" t="s">
        <v>74</v>
      </c>
      <c r="C55" s="473">
        <v>45977.0</v>
      </c>
      <c r="D55" s="317" t="s">
        <v>2152</v>
      </c>
      <c r="E55" s="317" t="s">
        <v>2153</v>
      </c>
      <c r="F55" s="317">
        <f>39344471978</f>
        <v>39344471978</v>
      </c>
      <c r="G55" s="317" t="s">
        <v>2154</v>
      </c>
      <c r="H55" s="317" t="s">
        <v>2155</v>
      </c>
      <c r="I55" s="443">
        <v>45977.0</v>
      </c>
      <c r="J55" s="365">
        <v>37.0</v>
      </c>
      <c r="K55" s="431"/>
      <c r="L55" s="317"/>
      <c r="M55" s="320" t="s">
        <v>80</v>
      </c>
      <c r="N55" s="118" t="b">
        <v>1</v>
      </c>
      <c r="O55" s="119"/>
      <c r="Q55" s="284" t="s">
        <v>81</v>
      </c>
      <c r="R55" s="285" t="b">
        <v>0</v>
      </c>
      <c r="S55" s="285" t="b">
        <v>1</v>
      </c>
      <c r="T55" s="286" t="b">
        <v>1</v>
      </c>
    </row>
    <row r="56" outlineLevel="1">
      <c r="A56" s="317" t="s">
        <v>101</v>
      </c>
      <c r="B56" s="317" t="s">
        <v>74</v>
      </c>
      <c r="C56" s="472">
        <v>45977.0</v>
      </c>
      <c r="D56" s="317" t="s">
        <v>2156</v>
      </c>
      <c r="E56" s="317" t="s">
        <v>492</v>
      </c>
      <c r="F56" s="317">
        <v>3.401516452E9</v>
      </c>
      <c r="G56" s="317" t="s">
        <v>2157</v>
      </c>
      <c r="H56" s="317" t="s">
        <v>2158</v>
      </c>
      <c r="I56" s="443">
        <v>45977.0</v>
      </c>
      <c r="J56" s="368"/>
      <c r="K56" s="431">
        <v>35.0</v>
      </c>
      <c r="L56" s="317" t="s">
        <v>99</v>
      </c>
      <c r="M56" s="320" t="s">
        <v>100</v>
      </c>
      <c r="N56" s="118" t="b">
        <v>1</v>
      </c>
      <c r="O56" s="119"/>
      <c r="Q56" s="284" t="s">
        <v>81</v>
      </c>
      <c r="R56" s="285" t="b">
        <v>1</v>
      </c>
      <c r="S56" s="285" t="b">
        <v>0</v>
      </c>
      <c r="T56" s="286" t="b">
        <v>1</v>
      </c>
    </row>
    <row r="57" outlineLevel="1">
      <c r="A57" s="317" t="s">
        <v>101</v>
      </c>
      <c r="B57" s="317" t="s">
        <v>74</v>
      </c>
      <c r="C57" s="472">
        <v>45977.0</v>
      </c>
      <c r="D57" s="317" t="s">
        <v>2159</v>
      </c>
      <c r="E57" s="317" t="s">
        <v>2160</v>
      </c>
      <c r="F57" s="317">
        <v>3.756680897E9</v>
      </c>
      <c r="G57" s="475" t="s">
        <v>2161</v>
      </c>
      <c r="H57" s="317" t="s">
        <v>2162</v>
      </c>
      <c r="I57" s="443">
        <v>45977.0</v>
      </c>
      <c r="J57" s="365">
        <v>37.0</v>
      </c>
      <c r="K57" s="431"/>
      <c r="L57" s="317"/>
      <c r="M57" s="317" t="s">
        <v>80</v>
      </c>
      <c r="N57" s="118" t="b">
        <v>1</v>
      </c>
      <c r="O57" s="119"/>
      <c r="Q57" s="284" t="s">
        <v>81</v>
      </c>
      <c r="R57" s="285" t="b">
        <v>0</v>
      </c>
      <c r="S57" s="285" t="b">
        <v>1</v>
      </c>
      <c r="T57" s="286" t="b">
        <v>1</v>
      </c>
    </row>
    <row r="58" outlineLevel="1">
      <c r="A58" s="317"/>
      <c r="B58" s="317"/>
      <c r="C58" s="316"/>
      <c r="D58" s="317"/>
      <c r="E58" s="317"/>
      <c r="F58" s="317"/>
      <c r="G58" s="476"/>
      <c r="H58" s="317"/>
      <c r="I58" s="443"/>
      <c r="J58" s="368"/>
      <c r="K58" s="436"/>
      <c r="L58" s="317"/>
      <c r="M58" s="432"/>
      <c r="N58" s="118"/>
      <c r="O58" s="119"/>
      <c r="Q58" s="284"/>
      <c r="R58" s="285"/>
      <c r="S58" s="285"/>
      <c r="T58" s="286"/>
    </row>
    <row r="59" outlineLevel="1">
      <c r="A59" s="317" t="s">
        <v>101</v>
      </c>
      <c r="B59" s="317" t="s">
        <v>102</v>
      </c>
      <c r="C59" s="316">
        <v>45977.0</v>
      </c>
      <c r="D59" s="317" t="s">
        <v>2163</v>
      </c>
      <c r="E59" s="317" t="s">
        <v>2164</v>
      </c>
      <c r="F59" s="317">
        <v>3.287525828E9</v>
      </c>
      <c r="G59" s="476"/>
      <c r="H59" s="317" t="s">
        <v>2165</v>
      </c>
      <c r="I59" s="443">
        <v>45977.0</v>
      </c>
      <c r="J59" s="368"/>
      <c r="K59" s="431">
        <v>40.0</v>
      </c>
      <c r="L59" s="317" t="s">
        <v>106</v>
      </c>
      <c r="M59" s="317" t="s">
        <v>449</v>
      </c>
      <c r="N59" s="118" t="b">
        <v>1</v>
      </c>
      <c r="O59" s="119"/>
      <c r="Q59" s="284" t="s">
        <v>81</v>
      </c>
      <c r="R59" s="285" t="b">
        <v>1</v>
      </c>
      <c r="S59" s="285" t="b">
        <v>0</v>
      </c>
      <c r="T59" s="286" t="b">
        <v>1</v>
      </c>
    </row>
    <row r="60" outlineLevel="1">
      <c r="A60" s="317" t="s">
        <v>101</v>
      </c>
      <c r="B60" s="317" t="s">
        <v>102</v>
      </c>
      <c r="C60" s="316">
        <v>45977.0</v>
      </c>
      <c r="D60" s="317" t="s">
        <v>2166</v>
      </c>
      <c r="E60" s="317" t="s">
        <v>1153</v>
      </c>
      <c r="F60" s="317">
        <v>3.757931087E9</v>
      </c>
      <c r="G60" s="476"/>
      <c r="H60" s="317" t="s">
        <v>2167</v>
      </c>
      <c r="I60" s="443">
        <v>45977.0</v>
      </c>
      <c r="J60" s="368"/>
      <c r="K60" s="431">
        <v>40.0</v>
      </c>
      <c r="L60" s="317" t="s">
        <v>106</v>
      </c>
      <c r="M60" s="317" t="s">
        <v>449</v>
      </c>
      <c r="N60" s="118" t="b">
        <v>1</v>
      </c>
      <c r="O60" s="119"/>
      <c r="Q60" s="284" t="s">
        <v>81</v>
      </c>
      <c r="R60" s="285" t="b">
        <v>1</v>
      </c>
      <c r="S60" s="285" t="b">
        <v>0</v>
      </c>
      <c r="T60" s="286" t="b">
        <v>1</v>
      </c>
    </row>
    <row r="61" outlineLevel="1">
      <c r="A61" s="317" t="s">
        <v>101</v>
      </c>
      <c r="B61" s="317" t="s">
        <v>102</v>
      </c>
      <c r="C61" s="316">
        <v>45977.0</v>
      </c>
      <c r="D61" s="317" t="s">
        <v>2168</v>
      </c>
      <c r="E61" s="317" t="s">
        <v>312</v>
      </c>
      <c r="F61" s="317">
        <v>3.497800491E9</v>
      </c>
      <c r="G61" s="475" t="s">
        <v>2169</v>
      </c>
      <c r="H61" s="432"/>
      <c r="I61" s="443">
        <v>45977.0</v>
      </c>
      <c r="J61" s="365">
        <v>42.0</v>
      </c>
      <c r="K61" s="436"/>
      <c r="L61" s="317"/>
      <c r="M61" s="317" t="s">
        <v>80</v>
      </c>
      <c r="N61" s="118" t="b">
        <v>1</v>
      </c>
      <c r="O61" s="119"/>
      <c r="Q61" s="284" t="s">
        <v>81</v>
      </c>
      <c r="R61" s="285" t="b">
        <v>0</v>
      </c>
      <c r="S61" s="285" t="b">
        <v>1</v>
      </c>
      <c r="T61" s="286" t="b">
        <v>1</v>
      </c>
    </row>
    <row r="62" outlineLevel="1">
      <c r="A62" s="317" t="s">
        <v>101</v>
      </c>
      <c r="B62" s="317" t="s">
        <v>102</v>
      </c>
      <c r="C62" s="316">
        <v>45977.0</v>
      </c>
      <c r="D62" s="317" t="s">
        <v>2170</v>
      </c>
      <c r="E62" s="317" t="s">
        <v>2171</v>
      </c>
      <c r="F62" s="317">
        <v>3.924457738E9</v>
      </c>
      <c r="G62" s="475" t="s">
        <v>2172</v>
      </c>
      <c r="H62" s="317"/>
      <c r="I62" s="318">
        <v>45977.0</v>
      </c>
      <c r="J62" s="365">
        <v>42.0</v>
      </c>
      <c r="K62" s="431"/>
      <c r="L62" s="317"/>
      <c r="M62" s="317" t="s">
        <v>449</v>
      </c>
      <c r="N62" s="118" t="b">
        <v>1</v>
      </c>
      <c r="O62" s="119"/>
      <c r="Q62" s="284" t="s">
        <v>81</v>
      </c>
      <c r="R62" s="285" t="b">
        <v>1</v>
      </c>
      <c r="S62" s="285" t="b">
        <v>0</v>
      </c>
      <c r="T62" s="286" t="b">
        <v>1</v>
      </c>
    </row>
    <row r="63" outlineLevel="1">
      <c r="A63" s="317"/>
      <c r="B63" s="317"/>
      <c r="C63" s="316"/>
      <c r="D63" s="317"/>
      <c r="E63" s="317"/>
      <c r="F63" s="317"/>
      <c r="G63" s="475"/>
      <c r="H63" s="317"/>
      <c r="I63" s="318"/>
      <c r="J63" s="368"/>
      <c r="K63" s="431"/>
      <c r="L63" s="317"/>
      <c r="M63" s="317"/>
      <c r="N63" s="118" t="b">
        <v>0</v>
      </c>
      <c r="O63" s="119"/>
      <c r="Q63" s="284"/>
      <c r="R63" s="285" t="b">
        <v>0</v>
      </c>
      <c r="S63" s="285" t="b">
        <v>0</v>
      </c>
      <c r="T63" s="286" t="b">
        <v>0</v>
      </c>
    </row>
    <row r="64" outlineLevel="1">
      <c r="A64" s="317"/>
      <c r="B64" s="317"/>
      <c r="C64" s="316"/>
      <c r="D64" s="317"/>
      <c r="E64" s="317"/>
      <c r="F64" s="317"/>
      <c r="G64" s="537" t="s">
        <v>2004</v>
      </c>
      <c r="H64" s="317"/>
      <c r="I64" s="318"/>
      <c r="J64" s="368"/>
      <c r="K64" s="431"/>
      <c r="L64" s="317"/>
      <c r="M64" s="317"/>
      <c r="N64" s="118" t="b">
        <v>0</v>
      </c>
      <c r="O64" s="119"/>
      <c r="Q64" s="284"/>
      <c r="R64" s="285" t="b">
        <v>0</v>
      </c>
      <c r="S64" s="285" t="b">
        <v>0</v>
      </c>
      <c r="T64" s="286" t="b">
        <v>0</v>
      </c>
    </row>
    <row r="65" outlineLevel="1">
      <c r="A65" s="320"/>
      <c r="B65" s="317"/>
      <c r="C65" s="465"/>
      <c r="D65" s="320"/>
      <c r="E65" s="320"/>
      <c r="F65" s="320"/>
      <c r="G65" s="471"/>
      <c r="H65" s="320"/>
      <c r="I65" s="478"/>
      <c r="J65" s="365"/>
      <c r="K65" s="431"/>
      <c r="L65" s="317"/>
      <c r="M65" s="320"/>
      <c r="N65" s="154" t="b">
        <v>0</v>
      </c>
      <c r="O65" s="119"/>
      <c r="Q65" s="284"/>
      <c r="R65" s="285" t="b">
        <v>0</v>
      </c>
      <c r="S65" s="285" t="b">
        <v>0</v>
      </c>
      <c r="T65" s="286" t="b">
        <v>0</v>
      </c>
    </row>
    <row r="66" outlineLevel="1">
      <c r="A66" s="317"/>
      <c r="B66" s="317"/>
      <c r="C66" s="316"/>
      <c r="D66" s="317"/>
      <c r="E66" s="317"/>
      <c r="F66" s="317"/>
      <c r="G66" s="475"/>
      <c r="H66" s="317"/>
      <c r="I66" s="443"/>
      <c r="J66" s="368"/>
      <c r="K66" s="431"/>
      <c r="L66" s="317"/>
      <c r="M66" s="317"/>
      <c r="N66" s="118" t="b">
        <v>0</v>
      </c>
      <c r="O66" s="119"/>
      <c r="Q66" s="284"/>
      <c r="R66" s="285" t="b">
        <v>0</v>
      </c>
      <c r="S66" s="285" t="b">
        <v>0</v>
      </c>
      <c r="T66" s="286" t="b">
        <v>0</v>
      </c>
    </row>
    <row r="67" outlineLevel="1">
      <c r="A67" s="317"/>
      <c r="B67" s="317"/>
      <c r="C67" s="316"/>
      <c r="D67" s="317"/>
      <c r="E67" s="317"/>
      <c r="F67" s="317"/>
      <c r="G67" s="475"/>
      <c r="H67" s="317"/>
      <c r="I67" s="443"/>
      <c r="J67" s="365"/>
      <c r="K67" s="431"/>
      <c r="L67" s="317"/>
      <c r="M67" s="317"/>
      <c r="N67" s="118" t="b">
        <v>0</v>
      </c>
      <c r="O67" s="119"/>
      <c r="Q67" s="284"/>
      <c r="R67" s="285" t="b">
        <v>0</v>
      </c>
      <c r="S67" s="285" t="b">
        <v>0</v>
      </c>
      <c r="T67" s="286" t="b">
        <v>0</v>
      </c>
    </row>
    <row r="68" outlineLevel="1">
      <c r="A68" s="317"/>
      <c r="B68" s="317"/>
      <c r="C68" s="316"/>
      <c r="D68" s="317"/>
      <c r="E68" s="317"/>
      <c r="F68" s="317"/>
      <c r="G68" s="475"/>
      <c r="H68" s="317"/>
      <c r="I68" s="316"/>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419"/>
      <c r="D70" s="336"/>
      <c r="E70" s="336"/>
      <c r="F70" s="420"/>
      <c r="G70" s="336"/>
      <c r="H70" s="336"/>
      <c r="I70" s="479"/>
      <c r="J70" s="365"/>
      <c r="K70" s="431"/>
      <c r="L70" s="317"/>
      <c r="M70" s="317"/>
      <c r="N70" s="118" t="b">
        <v>0</v>
      </c>
      <c r="O70" s="119"/>
      <c r="Q70" s="284"/>
      <c r="R70" s="285" t="b">
        <v>0</v>
      </c>
      <c r="S70" s="285" t="b">
        <v>0</v>
      </c>
      <c r="T70" s="286" t="b">
        <v>0</v>
      </c>
    </row>
    <row r="71">
      <c r="A71" s="348" t="s">
        <v>116</v>
      </c>
      <c r="B71" s="349">
        <f>COUNTIF(B4:B70,"ONLINE")+COUNTIF(B4:B70,"SEDE*")</f>
        <v>58</v>
      </c>
      <c r="C71" s="348" t="s">
        <v>116</v>
      </c>
      <c r="D71" s="349">
        <f t="shared" ref="D71:E71" si="1">COUNTIF(D4:D70, "*")</f>
        <v>58</v>
      </c>
      <c r="E71" s="349">
        <f t="shared" si="1"/>
        <v>58</v>
      </c>
      <c r="F71" s="480">
        <f>COUNTA(F4:F70)</f>
        <v>58</v>
      </c>
      <c r="G71" s="349">
        <f t="shared" ref="G71:H71" si="2">COUNTIF(G4:G70, "*")</f>
        <v>56</v>
      </c>
      <c r="H71" s="349">
        <f t="shared" si="2"/>
        <v>56</v>
      </c>
      <c r="I71" s="348" t="s">
        <v>116</v>
      </c>
      <c r="J71" s="481">
        <f t="shared" ref="J71:K71" si="3">SUM(J4:J70)</f>
        <v>1470</v>
      </c>
      <c r="K71" s="482">
        <f t="shared" si="3"/>
        <v>619.6</v>
      </c>
      <c r="L71" s="349">
        <f t="shared" ref="L71:M71" si="4">COUNTIF(L4:L70, "*")</f>
        <v>18</v>
      </c>
      <c r="M71" s="349">
        <f t="shared" si="4"/>
        <v>58</v>
      </c>
      <c r="N71" s="349">
        <f>SUMPRODUCT(--N4:N70)</f>
        <v>54</v>
      </c>
      <c r="O71" s="349">
        <f t="shared" ref="O71:Q71" si="5">COUNTIF(O4:O70, "*")</f>
        <v>0</v>
      </c>
      <c r="P71" s="349">
        <f t="shared" si="5"/>
        <v>0</v>
      </c>
      <c r="Q71" s="349">
        <f t="shared" si="5"/>
        <v>58</v>
      </c>
      <c r="R71" s="349">
        <f t="shared" ref="R71:T71" si="6">SUMPRODUCT(--R4:R70)</f>
        <v>17</v>
      </c>
      <c r="S71" s="349">
        <f t="shared" si="6"/>
        <v>42</v>
      </c>
      <c r="T71" s="349">
        <f t="shared" si="6"/>
        <v>58</v>
      </c>
    </row>
    <row r="72">
      <c r="A72" s="245" t="s">
        <v>117</v>
      </c>
      <c r="B72" s="246">
        <f>COUNTIF(B4:B70, "SEDE*")</f>
        <v>11</v>
      </c>
      <c r="C72" s="351"/>
      <c r="D72" s="351"/>
      <c r="E72" s="351"/>
      <c r="F72" s="351"/>
      <c r="G72" s="351"/>
      <c r="H72" s="245" t="s">
        <v>1946</v>
      </c>
      <c r="I72" s="355" t="s">
        <v>121</v>
      </c>
      <c r="J72" s="483" t="str">
        <f>COUNTIFS($B$4:$B$70,"*SEDE*",$J$4:$J$70, $F$154)&amp; " da €"&amp;$F$154</f>
        <v>0 da €32</v>
      </c>
      <c r="K72" s="484" t="str">
        <f>COUNTIFS($B$4:$B$70,"*SEDE*",$K$4:$K$70, $F$153)&amp; " da €"&amp;$F$153</f>
        <v>1 da €30</v>
      </c>
      <c r="L72" s="483" t="str">
        <f>COUNTIFS($B$4:$B$70,"*SEDE*",$J$4:$J$70, $F$156)&amp; " da €"&amp;$F$156</f>
        <v>2 da €37</v>
      </c>
      <c r="M72" s="484" t="str">
        <f>COUNTIFS($B$4:$B$70,"*SEDE*",$K$4:$K$70, $F$155)&amp; " da €"&amp;$F$155</f>
        <v>3 da €35</v>
      </c>
      <c r="N72" s="483" t="str">
        <f>COUNTIFS($B$4:$B$70,"*SEDE*",$J$4:$J$70, $G$154)&amp; " da €"&amp;$G$154</f>
        <v>2 da €42</v>
      </c>
      <c r="O72" s="484" t="str">
        <f>COUNTIFS($B$4:$B$70,"*SEDE*",$K$4:$K$70, $G$153)&amp; " da €"&amp;$G$153</f>
        <v>2 da €40</v>
      </c>
      <c r="P72" s="485" t="s">
        <v>40</v>
      </c>
      <c r="Q72" s="486">
        <f>SUM(J73,K73,L73,M73,N73,O73)</f>
        <v>373</v>
      </c>
      <c r="R72" s="351"/>
      <c r="S72" s="351"/>
      <c r="T72" s="351"/>
    </row>
    <row r="73">
      <c r="A73" s="245" t="s">
        <v>74</v>
      </c>
      <c r="B73" s="246">
        <f>COUNTIF(B4:B70, "ONLINE")</f>
        <v>47</v>
      </c>
      <c r="C73" s="351"/>
      <c r="D73" s="351"/>
      <c r="E73" s="351"/>
      <c r="F73" s="351"/>
      <c r="G73" s="351"/>
      <c r="I73" s="355" t="s">
        <v>122</v>
      </c>
      <c r="J73" s="483">
        <f>SUMIFS($J$4:$J$70,$B$4:$B$70,"*SEDE*",$J$4:$J$70,$F$154)</f>
        <v>0</v>
      </c>
      <c r="K73" s="369">
        <f>SUMIFS($K$4:$K$70,$B$4:$B$70,"*SEDE*",$K$4:$K$70,$F$153)</f>
        <v>30</v>
      </c>
      <c r="L73" s="368">
        <f>SUMIFS($J$4:$J$70,$B$4:$B$70,"*SEDE*",$J$4:$J$70,$F$156)</f>
        <v>74</v>
      </c>
      <c r="M73" s="369">
        <f>SUMIFS($K$4:$K$70,$B$4:$B$70,"*SEDE*",$K$4:$K$70,$F$155)</f>
        <v>105</v>
      </c>
      <c r="N73" s="368">
        <f>SUMIFS($J$4:$J$70,$B$4:$B$70,"*SEDE*",$J$4:$J$70,$G$154)</f>
        <v>84</v>
      </c>
      <c r="O73" s="369">
        <f>SUMIFS($K$4:$K$70,$B$4:$B$70,"*SEDE*",$K$4:$K$70,$G$153)</f>
        <v>80</v>
      </c>
      <c r="R73" s="351"/>
      <c r="S73" s="351"/>
      <c r="T73" s="351"/>
    </row>
    <row r="74">
      <c r="A74" s="245"/>
      <c r="B74" s="246"/>
      <c r="C74" s="351"/>
      <c r="D74" s="351"/>
      <c r="E74" s="351"/>
      <c r="F74" s="351"/>
      <c r="G74" s="351"/>
      <c r="I74" s="355" t="s">
        <v>123</v>
      </c>
      <c r="J74" s="368" t="str">
        <f>COUNTIFS($B$4:$B$70,"*ONLINE*",$J$4:$J$70, $F$154)&amp; " da €"&amp;$F$154</f>
        <v>4 da €32</v>
      </c>
      <c r="K74" s="484" t="str">
        <f>COUNTIFS($B$4:$B$70,"*ONLINE*",$K$4:$K$70, $F$153)&amp; " da €"&amp;$F$153</f>
        <v>2 da €30</v>
      </c>
      <c r="L74" s="368" t="str">
        <f>COUNTIFS($B$4:$B$70,"*ONLINE*",$J$4:$J$70, $F$156)&amp; " da €"&amp;$F$156</f>
        <v>32 da €37</v>
      </c>
      <c r="M74" s="369" t="str">
        <f>COUNTIFS($B$4:$B$70,"*ONLINE*",$K$4:$K$70, $F$155)&amp; " da €"&amp;$F$155</f>
        <v>9 da €35</v>
      </c>
      <c r="N74" s="368" t="str">
        <f>COUNTIFS($B$4:$B$70,"*ONLINE*",$J$4:$J$70, $G$154)&amp; " da €"&amp;$G$154</f>
        <v>0 da €42</v>
      </c>
      <c r="O74" s="369" t="str">
        <f>COUNTIFS($B$4:$B$70,"*ONLINE*",$K$4:$K$70, $G$153)&amp; " da €"&amp;$G$153</f>
        <v>0 da €40</v>
      </c>
      <c r="P74" s="425" t="s">
        <v>40</v>
      </c>
      <c r="Q74" s="486">
        <f>SUM(J75,K75,L75,M75,N75,O75)</f>
        <v>1687</v>
      </c>
      <c r="R74" s="351"/>
      <c r="S74" s="351"/>
      <c r="T74" s="351"/>
    </row>
    <row r="75">
      <c r="A75" s="245"/>
      <c r="B75" s="246"/>
      <c r="C75" s="351"/>
      <c r="D75" s="351"/>
      <c r="E75" s="351"/>
      <c r="F75" s="351"/>
      <c r="G75" s="351"/>
      <c r="I75" s="355" t="s">
        <v>124</v>
      </c>
      <c r="J75" s="483">
        <f>SUMIFS($J$4:$J$70,$B$4:$B$70,"*ONLINE*",$J$4:$J$70,$F$154)</f>
        <v>128</v>
      </c>
      <c r="K75" s="484">
        <f>SUMIFS($K$4:$K$70,$B$4:$B$70,"*ONLINE*",$K$4:$K$70,$F$153)</f>
        <v>60</v>
      </c>
      <c r="L75" s="483">
        <f>SUMIFS($J$4:$J$70,$B$4:$B$70,"*ONLINE*",$J$4:$J$70,$F$156)</f>
        <v>1184</v>
      </c>
      <c r="M75" s="369">
        <f>SUMIFS($K$4:$K$70,$B$4:$B$70,"*ONLINE*",$K$4:$K$70,$F$155)</f>
        <v>315</v>
      </c>
      <c r="N75" s="483">
        <f>SUMIFS($J$4:$J$70,$B$4:$B$70,"*ONLINE*",$J$4:$J$70,$G$154)</f>
        <v>0</v>
      </c>
      <c r="O75" s="369">
        <f>SUMIFS($K$4:$K$70,$B$4:$B$70,"*ONLINE*",$K$4:$K$70,$G$153)</f>
        <v>0</v>
      </c>
      <c r="R75" s="245" t="s">
        <v>120</v>
      </c>
      <c r="S75" s="378" t="str">
        <f>IF(SUM(J71:K71) = SUM(Q72:Q75), "OK", "ERRORE")</f>
        <v>ERRORE</v>
      </c>
      <c r="T75" s="351"/>
    </row>
    <row r="76" ht="26.25" customHeight="1" collapsed="1">
      <c r="A76" s="428" t="s">
        <v>2005</v>
      </c>
      <c r="R76" s="429"/>
      <c r="S76" s="429"/>
      <c r="T76" s="429"/>
    </row>
    <row r="77" hidden="1" outlineLevel="1">
      <c r="A77" s="317"/>
      <c r="B77" s="317"/>
      <c r="C77" s="316"/>
      <c r="D77" s="336"/>
      <c r="E77" s="336"/>
      <c r="F77" s="420"/>
      <c r="G77" s="317"/>
      <c r="H77" s="317"/>
      <c r="I77" s="318"/>
      <c r="J77" s="319"/>
      <c r="K77" s="431"/>
      <c r="L77" s="317"/>
      <c r="M77" s="317"/>
      <c r="N77" s="118" t="b">
        <v>0</v>
      </c>
      <c r="O77" s="487"/>
      <c r="Q77" s="284"/>
      <c r="R77" s="285" t="b">
        <v>0</v>
      </c>
      <c r="S77" s="285" t="b">
        <v>0</v>
      </c>
      <c r="T77" s="286" t="b">
        <v>0</v>
      </c>
    </row>
    <row r="78" hidden="1" outlineLevel="1">
      <c r="A78" s="317"/>
      <c r="B78" s="317"/>
      <c r="C78" s="316"/>
      <c r="D78" s="317"/>
      <c r="E78" s="317"/>
      <c r="F78" s="317"/>
      <c r="G78" s="317"/>
      <c r="H78" s="317"/>
      <c r="I78" s="318"/>
      <c r="J78" s="319"/>
      <c r="K78" s="431"/>
      <c r="L78" s="317"/>
      <c r="M78" s="317"/>
      <c r="N78" s="118" t="b">
        <v>0</v>
      </c>
      <c r="O78" s="487"/>
      <c r="Q78" s="284"/>
      <c r="R78" s="285" t="b">
        <v>0</v>
      </c>
      <c r="S78" s="285" t="b">
        <v>0</v>
      </c>
      <c r="T78" s="286" t="b">
        <v>0</v>
      </c>
    </row>
    <row r="79" hidden="1" outlineLevel="1">
      <c r="A79" s="317"/>
      <c r="B79" s="317"/>
      <c r="C79" s="316"/>
      <c r="D79" s="317"/>
      <c r="E79" s="317"/>
      <c r="F79" s="317"/>
      <c r="G79" s="320"/>
      <c r="H79" s="320"/>
      <c r="I79" s="439"/>
      <c r="J79" s="435"/>
      <c r="K79" s="431"/>
      <c r="L79" s="317"/>
      <c r="M79" s="317"/>
      <c r="N79" s="118" t="b">
        <v>0</v>
      </c>
      <c r="O79" s="487"/>
      <c r="Q79" s="284"/>
      <c r="R79" s="285" t="b">
        <v>0</v>
      </c>
      <c r="S79" s="285" t="b">
        <v>0</v>
      </c>
      <c r="T79" s="286" t="b">
        <v>0</v>
      </c>
    </row>
    <row r="80" hidden="1" outlineLevel="1">
      <c r="A80" s="317"/>
      <c r="B80" s="317"/>
      <c r="C80" s="316"/>
      <c r="D80" s="317"/>
      <c r="E80" s="317"/>
      <c r="F80" s="317"/>
      <c r="G80" s="317"/>
      <c r="H80" s="317"/>
      <c r="I80" s="318"/>
      <c r="J80" s="319"/>
      <c r="K80" s="431"/>
      <c r="L80" s="317"/>
      <c r="M80" s="317"/>
      <c r="N80" s="118" t="b">
        <v>0</v>
      </c>
      <c r="O80" s="487"/>
      <c r="Q80" s="284"/>
      <c r="R80" s="285" t="b">
        <v>0</v>
      </c>
      <c r="S80" s="285" t="b">
        <v>0</v>
      </c>
      <c r="T80" s="286" t="b">
        <v>0</v>
      </c>
    </row>
    <row r="81" hidden="1" outlineLevel="1">
      <c r="A81" s="317"/>
      <c r="B81" s="317"/>
      <c r="C81" s="316"/>
      <c r="D81" s="317"/>
      <c r="E81" s="317"/>
      <c r="F81" s="317"/>
      <c r="G81" s="317"/>
      <c r="H81" s="317"/>
      <c r="I81" s="318"/>
      <c r="J81" s="319"/>
      <c r="K81" s="431"/>
      <c r="L81" s="317"/>
      <c r="M81" s="317"/>
      <c r="N81" s="118" t="b">
        <v>0</v>
      </c>
      <c r="O81" s="487"/>
      <c r="Q81" s="284"/>
      <c r="R81" s="285" t="b">
        <v>0</v>
      </c>
      <c r="S81" s="285" t="b">
        <v>0</v>
      </c>
      <c r="T81" s="286" t="b">
        <v>0</v>
      </c>
    </row>
    <row r="82" hidden="1" outlineLevel="1">
      <c r="A82" s="317"/>
      <c r="B82" s="317"/>
      <c r="C82" s="465"/>
      <c r="D82" s="320"/>
      <c r="E82" s="320"/>
      <c r="F82" s="320"/>
      <c r="G82" s="320"/>
      <c r="H82" s="320"/>
      <c r="I82" s="318"/>
      <c r="J82" s="319"/>
      <c r="K82" s="436"/>
      <c r="L82" s="317"/>
      <c r="M82" s="317"/>
      <c r="N82" s="118" t="b">
        <v>0</v>
      </c>
      <c r="O82" s="487"/>
      <c r="Q82" s="284"/>
      <c r="R82" s="285" t="b">
        <v>0</v>
      </c>
      <c r="S82" s="285" t="b">
        <v>0</v>
      </c>
      <c r="T82" s="286" t="b">
        <v>0</v>
      </c>
    </row>
    <row r="83" hidden="1" outlineLevel="1">
      <c r="A83" s="317"/>
      <c r="B83" s="317"/>
      <c r="C83" s="465"/>
      <c r="D83" s="320"/>
      <c r="E83" s="320"/>
      <c r="F83" s="320"/>
      <c r="G83" s="320"/>
      <c r="H83" s="320"/>
      <c r="I83" s="478"/>
      <c r="J83" s="319"/>
      <c r="K83" s="431"/>
      <c r="L83" s="317"/>
      <c r="M83" s="317"/>
      <c r="N83" s="118" t="b">
        <v>0</v>
      </c>
      <c r="O83" s="487"/>
      <c r="Q83" s="284"/>
      <c r="R83" s="285" t="b">
        <v>0</v>
      </c>
      <c r="S83" s="285" t="b">
        <v>0</v>
      </c>
      <c r="T83" s="286" t="b">
        <v>0</v>
      </c>
    </row>
    <row r="84" hidden="1" outlineLevel="1">
      <c r="A84" s="317"/>
      <c r="B84" s="317"/>
      <c r="C84" s="465"/>
      <c r="D84" s="320"/>
      <c r="E84" s="320"/>
      <c r="F84" s="320"/>
      <c r="G84" s="320"/>
      <c r="H84" s="320"/>
      <c r="I84" s="439"/>
      <c r="J84" s="435"/>
      <c r="K84" s="431"/>
      <c r="L84" s="317"/>
      <c r="M84" s="317"/>
      <c r="N84" s="118" t="b">
        <v>0</v>
      </c>
      <c r="O84" s="487"/>
      <c r="Q84" s="284"/>
      <c r="R84" s="285" t="b">
        <v>0</v>
      </c>
      <c r="S84" s="285" t="b">
        <v>0</v>
      </c>
      <c r="T84" s="286" t="b">
        <v>0</v>
      </c>
    </row>
    <row r="85" hidden="1" outlineLevel="1">
      <c r="A85" s="317"/>
      <c r="B85" s="317"/>
      <c r="C85" s="465"/>
      <c r="D85" s="320"/>
      <c r="E85" s="320"/>
      <c r="F85" s="320"/>
      <c r="G85" s="320"/>
      <c r="H85" s="320"/>
      <c r="I85" s="439"/>
      <c r="J85" s="319"/>
      <c r="K85" s="431"/>
      <c r="L85" s="317"/>
      <c r="M85" s="317"/>
      <c r="N85" s="118" t="b">
        <v>0</v>
      </c>
      <c r="O85" s="487"/>
      <c r="Q85" s="284"/>
      <c r="R85" s="285" t="b">
        <v>0</v>
      </c>
      <c r="S85" s="285" t="b">
        <v>0</v>
      </c>
      <c r="T85" s="286" t="b">
        <v>0</v>
      </c>
    </row>
    <row r="86" hidden="1" outlineLevel="1">
      <c r="A86" s="317"/>
      <c r="B86" s="317"/>
      <c r="C86" s="465"/>
      <c r="D86" s="320"/>
      <c r="E86" s="320"/>
      <c r="F86" s="320"/>
      <c r="G86" s="320"/>
      <c r="H86" s="320"/>
      <c r="I86" s="478"/>
      <c r="J86" s="319"/>
      <c r="K86" s="431"/>
      <c r="L86" s="317"/>
      <c r="M86" s="317"/>
      <c r="N86" s="118" t="b">
        <v>0</v>
      </c>
      <c r="O86" s="487"/>
      <c r="Q86" s="284"/>
      <c r="R86" s="285" t="b">
        <v>0</v>
      </c>
      <c r="S86" s="285" t="b">
        <v>0</v>
      </c>
      <c r="T86" s="286" t="b">
        <v>0</v>
      </c>
    </row>
    <row r="87" hidden="1" outlineLevel="1">
      <c r="A87" s="317"/>
      <c r="B87" s="317"/>
      <c r="C87" s="465"/>
      <c r="D87" s="320"/>
      <c r="E87" s="320"/>
      <c r="F87" s="320"/>
      <c r="G87" s="320"/>
      <c r="H87" s="320"/>
      <c r="I87" s="439"/>
      <c r="J87" s="319"/>
      <c r="K87" s="436"/>
      <c r="L87" s="317"/>
      <c r="M87" s="317"/>
      <c r="N87" s="118" t="b">
        <v>0</v>
      </c>
      <c r="O87" s="487"/>
      <c r="Q87" s="284"/>
      <c r="R87" s="285" t="b">
        <v>0</v>
      </c>
      <c r="S87" s="285" t="b">
        <v>0</v>
      </c>
      <c r="T87" s="286" t="b">
        <v>0</v>
      </c>
    </row>
    <row r="88" hidden="1" outlineLevel="1">
      <c r="A88" s="317"/>
      <c r="B88" s="317"/>
      <c r="C88" s="465"/>
      <c r="D88" s="320"/>
      <c r="E88" s="320"/>
      <c r="F88" s="320"/>
      <c r="G88" s="320"/>
      <c r="H88" s="320"/>
      <c r="I88" s="439"/>
      <c r="J88" s="319"/>
      <c r="K88" s="431"/>
      <c r="L88" s="317"/>
      <c r="M88" s="317"/>
      <c r="N88" s="118" t="b">
        <v>0</v>
      </c>
      <c r="O88" s="487"/>
      <c r="Q88" s="284"/>
      <c r="R88" s="285" t="b">
        <v>0</v>
      </c>
      <c r="S88" s="285" t="b">
        <v>0</v>
      </c>
      <c r="T88" s="286" t="b">
        <v>0</v>
      </c>
    </row>
    <row r="89" hidden="1" outlineLevel="1">
      <c r="A89" s="317"/>
      <c r="B89" s="317"/>
      <c r="C89" s="465"/>
      <c r="D89" s="320"/>
      <c r="E89" s="320"/>
      <c r="F89" s="320"/>
      <c r="G89" s="320"/>
      <c r="H89" s="320"/>
      <c r="I89" s="439"/>
      <c r="J89" s="319"/>
      <c r="K89" s="431"/>
      <c r="L89" s="317"/>
      <c r="M89" s="317"/>
      <c r="N89" s="118" t="b">
        <v>0</v>
      </c>
      <c r="O89" s="487"/>
      <c r="Q89" s="284"/>
      <c r="R89" s="285" t="b">
        <v>0</v>
      </c>
      <c r="S89" s="285" t="b">
        <v>0</v>
      </c>
      <c r="T89" s="286" t="b">
        <v>0</v>
      </c>
    </row>
    <row r="90" hidden="1" outlineLevel="1">
      <c r="A90" s="317"/>
      <c r="B90" s="317"/>
      <c r="C90" s="465"/>
      <c r="D90" s="320"/>
      <c r="E90" s="320"/>
      <c r="F90" s="320"/>
      <c r="G90" s="320"/>
      <c r="H90" s="320"/>
      <c r="I90" s="439"/>
      <c r="J90" s="319"/>
      <c r="K90" s="436"/>
      <c r="L90" s="317"/>
      <c r="M90" s="317"/>
      <c r="N90" s="118" t="b">
        <v>0</v>
      </c>
      <c r="O90" s="487"/>
      <c r="Q90" s="284"/>
      <c r="R90" s="285" t="b">
        <v>0</v>
      </c>
      <c r="S90" s="285" t="b">
        <v>0</v>
      </c>
      <c r="T90" s="286" t="b">
        <v>0</v>
      </c>
    </row>
    <row r="91" hidden="1" outlineLevel="1">
      <c r="A91" s="317"/>
      <c r="B91" s="317"/>
      <c r="C91" s="465"/>
      <c r="D91" s="320"/>
      <c r="E91" s="320"/>
      <c r="F91" s="320"/>
      <c r="G91" s="320"/>
      <c r="H91" s="320"/>
      <c r="I91" s="439"/>
      <c r="J91" s="319"/>
      <c r="K91" s="431"/>
      <c r="L91" s="317"/>
      <c r="M91" s="317"/>
      <c r="N91" s="118" t="b">
        <v>0</v>
      </c>
      <c r="O91" s="487"/>
      <c r="Q91" s="284"/>
      <c r="R91" s="285" t="b">
        <v>0</v>
      </c>
      <c r="S91" s="285" t="b">
        <v>0</v>
      </c>
      <c r="T91" s="286" t="b">
        <v>0</v>
      </c>
    </row>
    <row r="92" hidden="1"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hidden="1" outlineLevel="1">
      <c r="A93" s="432"/>
      <c r="B93" s="432"/>
      <c r="C93" s="490"/>
      <c r="D93" s="488"/>
      <c r="E93" s="488"/>
      <c r="F93" s="488"/>
      <c r="G93" s="488"/>
      <c r="H93" s="488"/>
      <c r="I93" s="489"/>
      <c r="J93" s="435"/>
      <c r="K93" s="436"/>
      <c r="L93" s="432"/>
      <c r="M93" s="432"/>
      <c r="N93" s="118" t="b">
        <v>0</v>
      </c>
      <c r="O93" s="487"/>
      <c r="Q93" s="438"/>
      <c r="R93" s="285" t="b">
        <v>0</v>
      </c>
      <c r="S93" s="285" t="b">
        <v>0</v>
      </c>
      <c r="T93" s="286" t="b">
        <v>0</v>
      </c>
    </row>
    <row r="94" hidden="1" outlineLevel="1">
      <c r="A94" s="317"/>
      <c r="B94" s="317"/>
      <c r="C94" s="465"/>
      <c r="D94" s="320"/>
      <c r="E94" s="320"/>
      <c r="F94" s="320"/>
      <c r="G94" s="320"/>
      <c r="H94" s="320"/>
      <c r="I94" s="439"/>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316"/>
      <c r="D100" s="317"/>
      <c r="E100" s="317"/>
      <c r="F100" s="317"/>
      <c r="G100" s="317"/>
      <c r="H100" s="317"/>
      <c r="I100" s="318"/>
      <c r="J100" s="319"/>
      <c r="K100" s="436"/>
      <c r="L100" s="317"/>
      <c r="M100" s="317"/>
      <c r="N100" s="118" t="b">
        <v>0</v>
      </c>
      <c r="O100" s="487"/>
      <c r="Q100" s="284"/>
      <c r="R100" s="285" t="b">
        <v>0</v>
      </c>
      <c r="S100" s="285" t="b">
        <v>0</v>
      </c>
      <c r="T100" s="286" t="b">
        <v>0</v>
      </c>
    </row>
    <row r="101" hidden="1" outlineLevel="1">
      <c r="A101" s="317"/>
      <c r="B101" s="317"/>
      <c r="C101" s="316"/>
      <c r="D101" s="317"/>
      <c r="E101" s="317"/>
      <c r="F101" s="317"/>
      <c r="G101" s="342"/>
      <c r="H101" s="317"/>
      <c r="I101" s="318"/>
      <c r="J101" s="319"/>
      <c r="K101" s="436"/>
      <c r="L101" s="317"/>
      <c r="M101" s="317"/>
      <c r="N101" s="118" t="b">
        <v>0</v>
      </c>
      <c r="O101" s="487"/>
      <c r="Q101" s="284"/>
      <c r="R101" s="285" t="b">
        <v>0</v>
      </c>
      <c r="S101" s="285" t="b">
        <v>0</v>
      </c>
      <c r="T101" s="286" t="b">
        <v>0</v>
      </c>
    </row>
    <row r="102" hidden="1" outlineLevel="1">
      <c r="A102" s="317"/>
      <c r="B102" s="317"/>
      <c r="C102" s="316"/>
      <c r="D102" s="317"/>
      <c r="E102" s="317"/>
      <c r="F102" s="317"/>
      <c r="G102" s="317"/>
      <c r="H102" s="317"/>
      <c r="I102" s="318"/>
      <c r="J102" s="319"/>
      <c r="K102" s="436"/>
      <c r="L102" s="317"/>
      <c r="M102" s="317"/>
      <c r="N102" s="118" t="b">
        <v>0</v>
      </c>
      <c r="O102" s="487"/>
      <c r="Q102" s="284"/>
      <c r="R102" s="285" t="b">
        <v>0</v>
      </c>
      <c r="S102" s="285" t="b">
        <v>0</v>
      </c>
      <c r="T102" s="286" t="b">
        <v>0</v>
      </c>
    </row>
    <row r="103" hidden="1" outlineLevel="1">
      <c r="A103" s="317"/>
      <c r="B103" s="317"/>
      <c r="C103" s="316"/>
      <c r="D103" s="317"/>
      <c r="E103" s="317"/>
      <c r="F103" s="317"/>
      <c r="G103" s="317"/>
      <c r="H103" s="317"/>
      <c r="I103" s="443"/>
      <c r="J103" s="319"/>
      <c r="K103" s="431"/>
      <c r="L103" s="317"/>
      <c r="M103" s="317"/>
      <c r="N103" s="118" t="b">
        <v>0</v>
      </c>
      <c r="O103" s="487"/>
      <c r="Q103" s="284"/>
      <c r="R103" s="285" t="b">
        <v>0</v>
      </c>
      <c r="S103" s="285" t="b">
        <v>0</v>
      </c>
      <c r="T103" s="286" t="b">
        <v>0</v>
      </c>
    </row>
    <row r="104" hidden="1" outlineLevel="1">
      <c r="A104" s="317"/>
      <c r="B104" s="317"/>
      <c r="C104" s="316"/>
      <c r="D104" s="317"/>
      <c r="E104" s="317"/>
      <c r="F104" s="317"/>
      <c r="G104" s="317"/>
      <c r="H104" s="317"/>
      <c r="I104" s="318"/>
      <c r="J104" s="319"/>
      <c r="K104" s="431"/>
      <c r="L104" s="317"/>
      <c r="M104" s="317"/>
      <c r="N104" s="118" t="b">
        <v>0</v>
      </c>
      <c r="O104" s="487"/>
      <c r="Q104" s="284"/>
      <c r="R104" s="285" t="b">
        <v>0</v>
      </c>
      <c r="S104" s="285" t="b">
        <v>0</v>
      </c>
      <c r="T104" s="286" t="b">
        <v>0</v>
      </c>
    </row>
    <row r="105" hidden="1" outlineLevel="1">
      <c r="A105" s="317"/>
      <c r="B105" s="317"/>
      <c r="C105" s="316"/>
      <c r="D105" s="317"/>
      <c r="E105" s="317"/>
      <c r="F105" s="317"/>
      <c r="G105" s="317"/>
      <c r="H105" s="317"/>
      <c r="I105" s="496"/>
      <c r="J105" s="319"/>
      <c r="K105" s="431"/>
      <c r="L105" s="317"/>
      <c r="M105" s="317"/>
      <c r="N105" s="118" t="b">
        <v>0</v>
      </c>
      <c r="O105" s="487"/>
      <c r="Q105" s="284"/>
      <c r="R105" s="285" t="b">
        <v>0</v>
      </c>
      <c r="S105" s="285" t="b">
        <v>0</v>
      </c>
      <c r="T105" s="286" t="b">
        <v>0</v>
      </c>
    </row>
    <row r="106" hidden="1"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hidden="1" outlineLevel="1">
      <c r="A107" s="317"/>
      <c r="B107" s="317"/>
      <c r="C107" s="316"/>
      <c r="D107" s="317"/>
      <c r="E107" s="317"/>
      <c r="F107" s="317"/>
      <c r="G107" s="317"/>
      <c r="H107" s="317"/>
      <c r="I107" s="316"/>
      <c r="J107" s="319"/>
      <c r="K107" s="431"/>
      <c r="L107" s="317"/>
      <c r="M107" s="317"/>
      <c r="N107" s="118" t="b">
        <v>0</v>
      </c>
      <c r="O107" s="487"/>
      <c r="Q107" s="284"/>
      <c r="R107" s="285" t="b">
        <v>0</v>
      </c>
      <c r="S107" s="285" t="b">
        <v>0</v>
      </c>
      <c r="T107" s="286" t="b">
        <v>0</v>
      </c>
    </row>
    <row r="108" hidden="1" outlineLevel="1">
      <c r="A108" s="317"/>
      <c r="B108" s="317"/>
      <c r="C108" s="496"/>
      <c r="D108" s="317"/>
      <c r="E108" s="317"/>
      <c r="F108" s="317"/>
      <c r="G108" s="317"/>
      <c r="H108" s="317"/>
      <c r="I108" s="318"/>
      <c r="J108" s="319"/>
      <c r="K108" s="431"/>
      <c r="L108" s="317"/>
      <c r="M108" s="317"/>
      <c r="N108" s="118" t="b">
        <v>0</v>
      </c>
      <c r="O108" s="487"/>
      <c r="Q108" s="284"/>
      <c r="R108" s="285" t="b">
        <v>0</v>
      </c>
      <c r="S108" s="285" t="b">
        <v>0</v>
      </c>
      <c r="T108" s="286" t="b">
        <v>0</v>
      </c>
    </row>
    <row r="109" hidden="1" outlineLevel="1">
      <c r="A109" s="317"/>
      <c r="B109" s="317"/>
      <c r="C109" s="316"/>
      <c r="D109" s="317"/>
      <c r="E109" s="317"/>
      <c r="F109" s="317"/>
      <c r="G109" s="342"/>
      <c r="H109" s="317"/>
      <c r="I109" s="316"/>
      <c r="J109" s="319"/>
      <c r="K109" s="436"/>
      <c r="L109" s="317"/>
      <c r="M109" s="317"/>
      <c r="N109" s="118" t="b">
        <v>0</v>
      </c>
      <c r="O109" s="487"/>
      <c r="Q109" s="284"/>
      <c r="R109" s="285" t="b">
        <v>0</v>
      </c>
      <c r="S109" s="285" t="b">
        <v>0</v>
      </c>
      <c r="T109" s="286" t="b">
        <v>0</v>
      </c>
    </row>
    <row r="110" hidden="1" outlineLevel="1">
      <c r="A110" s="317"/>
      <c r="B110" s="317"/>
      <c r="C110" s="316"/>
      <c r="D110" s="317"/>
      <c r="E110" s="317"/>
      <c r="F110" s="317"/>
      <c r="G110" s="317"/>
      <c r="H110" s="317"/>
      <c r="I110" s="316"/>
      <c r="J110" s="319"/>
      <c r="K110" s="436"/>
      <c r="L110" s="317"/>
      <c r="M110" s="317"/>
      <c r="N110" s="118" t="b">
        <v>0</v>
      </c>
      <c r="O110" s="487"/>
      <c r="Q110" s="284"/>
      <c r="R110" s="285" t="b">
        <v>0</v>
      </c>
      <c r="S110" s="285" t="b">
        <v>0</v>
      </c>
      <c r="T110" s="286" t="b">
        <v>0</v>
      </c>
    </row>
    <row r="111" hidden="1" outlineLevel="1">
      <c r="A111" s="432"/>
      <c r="B111" s="432"/>
      <c r="C111" s="497"/>
      <c r="D111" s="432"/>
      <c r="E111" s="432"/>
      <c r="F111" s="432"/>
      <c r="G111" s="432"/>
      <c r="H111" s="432"/>
      <c r="I111" s="441"/>
      <c r="J111" s="435"/>
      <c r="K111" s="436"/>
      <c r="L111" s="432"/>
      <c r="M111" s="432"/>
      <c r="N111" s="118" t="b">
        <v>0</v>
      </c>
      <c r="O111" s="487"/>
      <c r="Q111" s="438"/>
      <c r="R111" s="285" t="b">
        <v>0</v>
      </c>
      <c r="S111" s="285" t="b">
        <v>0</v>
      </c>
      <c r="T111" s="286" t="b">
        <v>0</v>
      </c>
    </row>
    <row r="112" hidden="1" outlineLevel="1">
      <c r="A112" s="432"/>
      <c r="B112" s="432"/>
      <c r="C112" s="497"/>
      <c r="D112" s="131"/>
      <c r="E112" s="432"/>
      <c r="F112" s="317"/>
      <c r="G112" s="317"/>
      <c r="H112" s="317"/>
      <c r="I112" s="318"/>
      <c r="J112" s="319"/>
      <c r="K112" s="436"/>
      <c r="L112" s="432"/>
      <c r="M112" s="317"/>
      <c r="N112" s="118" t="b">
        <v>0</v>
      </c>
      <c r="O112" s="487"/>
      <c r="Q112" s="284"/>
      <c r="R112" s="285" t="b">
        <v>0</v>
      </c>
      <c r="S112" s="285" t="b">
        <v>0</v>
      </c>
      <c r="T112" s="286" t="b">
        <v>0</v>
      </c>
    </row>
    <row r="113" hidden="1" outlineLevel="1">
      <c r="A113" s="432"/>
      <c r="B113" s="432"/>
      <c r="C113" s="477"/>
      <c r="D113" s="432"/>
      <c r="E113" s="432"/>
      <c r="F113" s="432"/>
      <c r="G113" s="432"/>
      <c r="H113" s="351"/>
      <c r="I113" s="441"/>
      <c r="J113" s="435"/>
      <c r="K113" s="436"/>
      <c r="L113" s="432"/>
      <c r="M113" s="432"/>
      <c r="N113" s="118" t="b">
        <v>0</v>
      </c>
      <c r="O113" s="487"/>
      <c r="Q113" s="438"/>
      <c r="R113" s="285" t="b">
        <v>0</v>
      </c>
      <c r="S113" s="285" t="b">
        <v>0</v>
      </c>
      <c r="T113" s="286" t="b">
        <v>0</v>
      </c>
    </row>
    <row r="114" hidden="1" outlineLevel="1">
      <c r="A114" s="317"/>
      <c r="B114" s="317"/>
      <c r="C114" s="496"/>
      <c r="D114" s="317"/>
      <c r="E114" s="317"/>
      <c r="F114" s="317"/>
      <c r="G114" s="317"/>
      <c r="H114" s="317"/>
      <c r="I114" s="318"/>
      <c r="J114" s="319"/>
      <c r="K114" s="431"/>
      <c r="L114" s="317"/>
      <c r="M114" s="317"/>
      <c r="N114" s="118" t="b">
        <v>0</v>
      </c>
      <c r="O114" s="487"/>
      <c r="Q114" s="284"/>
      <c r="R114" s="285" t="b">
        <v>0</v>
      </c>
      <c r="S114" s="285" t="b">
        <v>0</v>
      </c>
      <c r="T114" s="286" t="b">
        <v>0</v>
      </c>
    </row>
    <row r="115" hidden="1" outlineLevel="1">
      <c r="A115" s="317"/>
      <c r="B115" s="317"/>
      <c r="C115" s="316"/>
      <c r="D115" s="317"/>
      <c r="E115" s="317"/>
      <c r="F115" s="324"/>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318"/>
      <c r="J116" s="319"/>
      <c r="K116" s="436"/>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432"/>
      <c r="B118" s="432"/>
      <c r="C118" s="440"/>
      <c r="D118" s="432"/>
      <c r="E118" s="432"/>
      <c r="F118" s="432"/>
      <c r="G118" s="432"/>
      <c r="H118" s="432"/>
      <c r="I118" s="441"/>
      <c r="J118" s="435"/>
      <c r="K118" s="436"/>
      <c r="L118" s="432"/>
      <c r="M118" s="317"/>
      <c r="N118" s="118" t="b">
        <v>0</v>
      </c>
      <c r="O118" s="487"/>
      <c r="Q118" s="284"/>
      <c r="R118" s="285" t="b">
        <v>0</v>
      </c>
      <c r="S118" s="285" t="b">
        <v>0</v>
      </c>
      <c r="T118" s="286" t="b">
        <v>0</v>
      </c>
    </row>
    <row r="119" hidden="1" outlineLevel="1">
      <c r="A119" s="317"/>
      <c r="B119" s="317"/>
      <c r="C119" s="316"/>
      <c r="D119" s="317"/>
      <c r="E119" s="317"/>
      <c r="F119" s="317"/>
      <c r="G119" s="317"/>
      <c r="H119" s="317"/>
      <c r="I119" s="318"/>
      <c r="J119" s="319"/>
      <c r="K119" s="431"/>
      <c r="L119" s="317"/>
      <c r="M119" s="317"/>
      <c r="N119" s="118" t="b">
        <v>0</v>
      </c>
      <c r="O119" s="487"/>
      <c r="Q119" s="284"/>
      <c r="R119" s="285" t="b">
        <v>0</v>
      </c>
      <c r="S119" s="285" t="b">
        <v>0</v>
      </c>
      <c r="T119" s="286" t="b">
        <v>0</v>
      </c>
    </row>
    <row r="120" hidden="1" outlineLevel="1">
      <c r="A120" s="317"/>
      <c r="B120" s="317"/>
      <c r="C120" s="440"/>
      <c r="D120" s="432"/>
      <c r="E120" s="432"/>
      <c r="F120" s="432"/>
      <c r="G120" s="432"/>
      <c r="H120" s="432"/>
      <c r="I120" s="441"/>
      <c r="J120" s="435"/>
      <c r="K120" s="436"/>
      <c r="L120" s="432"/>
      <c r="M120" s="432"/>
      <c r="N120" s="118" t="b">
        <v>0</v>
      </c>
      <c r="O120" s="487"/>
      <c r="Q120" s="438"/>
      <c r="R120" s="285" t="b">
        <v>0</v>
      </c>
      <c r="S120" s="285" t="b">
        <v>0</v>
      </c>
      <c r="T120" s="286" t="b">
        <v>0</v>
      </c>
    </row>
    <row r="121" hidden="1" outlineLevel="1">
      <c r="A121" s="432"/>
      <c r="B121" s="432"/>
      <c r="C121" s="440"/>
      <c r="D121" s="432"/>
      <c r="E121" s="432"/>
      <c r="F121" s="432"/>
      <c r="G121" s="432"/>
      <c r="H121" s="432"/>
      <c r="I121" s="441"/>
      <c r="J121" s="435"/>
      <c r="K121" s="436"/>
      <c r="L121" s="432"/>
      <c r="M121" s="317"/>
      <c r="N121" s="118" t="b">
        <v>0</v>
      </c>
      <c r="O121" s="487"/>
      <c r="Q121" s="438"/>
      <c r="R121" s="285" t="b">
        <v>0</v>
      </c>
      <c r="S121" s="285" t="b">
        <v>0</v>
      </c>
      <c r="T121" s="286" t="b">
        <v>0</v>
      </c>
    </row>
    <row r="122" hidden="1" outlineLevel="1">
      <c r="A122" s="317"/>
      <c r="B122" s="317"/>
      <c r="C122" s="316"/>
      <c r="D122" s="317"/>
      <c r="E122" s="317"/>
      <c r="F122" s="317"/>
      <c r="G122" s="317"/>
      <c r="H122" s="317"/>
      <c r="I122" s="318"/>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8"/>
      <c r="J123" s="319"/>
      <c r="K123" s="431"/>
      <c r="L123" s="317"/>
      <c r="M123" s="317"/>
      <c r="N123" s="118" t="b">
        <v>0</v>
      </c>
      <c r="O123" s="487"/>
      <c r="Q123" s="284"/>
      <c r="R123" s="285" t="b">
        <v>0</v>
      </c>
      <c r="S123" s="285" t="b">
        <v>0</v>
      </c>
      <c r="T123" s="286" t="b">
        <v>0</v>
      </c>
    </row>
    <row r="124" hidden="1" outlineLevel="1">
      <c r="A124" s="317"/>
      <c r="B124" s="317"/>
      <c r="C124" s="316"/>
      <c r="D124" s="317"/>
      <c r="E124" s="317"/>
      <c r="F124" s="317"/>
      <c r="G124" s="317"/>
      <c r="H124" s="317"/>
      <c r="I124" s="318"/>
      <c r="J124" s="319"/>
      <c r="K124" s="436"/>
      <c r="L124" s="317"/>
      <c r="M124" s="317"/>
      <c r="N124" s="118" t="b">
        <v>0</v>
      </c>
      <c r="O124" s="487"/>
      <c r="Q124" s="284"/>
      <c r="R124" s="285" t="b">
        <v>0</v>
      </c>
      <c r="S124" s="285" t="b">
        <v>0</v>
      </c>
      <c r="T124" s="286" t="b">
        <v>0</v>
      </c>
    </row>
    <row r="125" hidden="1" outlineLevel="1">
      <c r="A125" s="317"/>
      <c r="B125" s="317"/>
      <c r="C125" s="316"/>
      <c r="D125" s="317"/>
      <c r="E125" s="317"/>
      <c r="F125" s="317"/>
      <c r="G125" s="317"/>
      <c r="H125" s="317"/>
      <c r="I125" s="318"/>
      <c r="J125" s="319"/>
      <c r="K125" s="431"/>
      <c r="L125" s="317"/>
      <c r="M125" s="317"/>
      <c r="N125" s="118" t="b">
        <v>0</v>
      </c>
      <c r="O125" s="487"/>
      <c r="Q125" s="284"/>
      <c r="R125" s="285" t="b">
        <v>0</v>
      </c>
      <c r="S125" s="285" t="b">
        <v>0</v>
      </c>
      <c r="T125" s="286" t="b">
        <v>0</v>
      </c>
    </row>
    <row r="126" hidden="1"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hidden="1"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435"/>
      <c r="K129" s="431"/>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6"/>
      <c r="L130" s="317"/>
      <c r="M130" s="317"/>
      <c r="N130" s="118" t="b">
        <v>0</v>
      </c>
      <c r="O130" s="487"/>
      <c r="Q130" s="284"/>
      <c r="R130" s="285" t="b">
        <v>0</v>
      </c>
      <c r="S130" s="285" t="b">
        <v>0</v>
      </c>
      <c r="T130" s="286" t="b">
        <v>0</v>
      </c>
    </row>
    <row r="131" hidden="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hidden="1" outlineLevel="1">
      <c r="A132" s="317"/>
      <c r="B132" s="317"/>
      <c r="C132" s="444"/>
      <c r="D132" s="317"/>
      <c r="E132" s="317"/>
      <c r="F132" s="317"/>
      <c r="G132" s="317"/>
      <c r="H132" s="317"/>
      <c r="I132" s="318"/>
      <c r="J132" s="319"/>
      <c r="K132" s="436"/>
      <c r="L132" s="317"/>
      <c r="M132" s="317"/>
      <c r="N132" s="118" t="b">
        <v>0</v>
      </c>
      <c r="O132" s="487"/>
      <c r="Q132" s="284"/>
      <c r="R132" s="285" t="b">
        <v>0</v>
      </c>
      <c r="S132" s="285" t="b">
        <v>0</v>
      </c>
      <c r="T132" s="286" t="b">
        <v>0</v>
      </c>
    </row>
    <row r="133" hidden="1"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hidden="1"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hidden="1"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hidden="1"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444"/>
      <c r="D138" s="317"/>
      <c r="E138" s="317"/>
      <c r="F138" s="317"/>
      <c r="G138" s="317"/>
      <c r="H138" s="317"/>
      <c r="I138" s="318"/>
      <c r="J138" s="435"/>
      <c r="K138" s="431"/>
      <c r="L138" s="317"/>
      <c r="M138" s="317"/>
      <c r="N138" s="118" t="b">
        <v>0</v>
      </c>
      <c r="O138" s="487"/>
      <c r="Q138" s="284"/>
      <c r="R138" s="285" t="b">
        <v>0</v>
      </c>
      <c r="S138" s="285" t="b">
        <v>0</v>
      </c>
      <c r="T138" s="286" t="b">
        <v>0</v>
      </c>
    </row>
    <row r="139" hidden="1"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hidden="1" outlineLevel="1">
      <c r="A140" s="317"/>
      <c r="B140" s="317"/>
      <c r="C140" s="444"/>
      <c r="D140" s="317"/>
      <c r="E140" s="317"/>
      <c r="F140" s="317"/>
      <c r="G140" s="317"/>
      <c r="H140" s="317"/>
      <c r="I140" s="318"/>
      <c r="J140" s="319"/>
      <c r="K140" s="436"/>
      <c r="L140" s="317"/>
      <c r="M140" s="317"/>
      <c r="N140" s="118" t="b">
        <v>0</v>
      </c>
      <c r="O140" s="487"/>
      <c r="Q140" s="284"/>
      <c r="R140" s="285" t="b">
        <v>0</v>
      </c>
      <c r="S140" s="285" t="b">
        <v>0</v>
      </c>
      <c r="T140" s="286" t="b">
        <v>0</v>
      </c>
    </row>
    <row r="141" hidden="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hidden="1" outlineLevel="1">
      <c r="A142" s="317"/>
      <c r="B142" s="317"/>
      <c r="C142" s="498"/>
      <c r="D142" s="336"/>
      <c r="E142" s="336"/>
      <c r="F142" s="420"/>
      <c r="G142" s="317"/>
      <c r="H142" s="317"/>
      <c r="I142" s="318"/>
      <c r="J142" s="319"/>
      <c r="K142" s="431"/>
      <c r="L142" s="317"/>
      <c r="M142" s="317"/>
      <c r="N142" s="118" t="b">
        <v>0</v>
      </c>
      <c r="O142" s="487"/>
      <c r="Q142" s="284"/>
      <c r="R142" s="285" t="b">
        <v>0</v>
      </c>
      <c r="S142" s="285" t="b">
        <v>0</v>
      </c>
      <c r="T142" s="286" t="b">
        <v>0</v>
      </c>
    </row>
    <row r="143" hidden="1" outlineLevel="1">
      <c r="A143" s="317"/>
      <c r="B143" s="317"/>
      <c r="C143" s="498"/>
      <c r="D143" s="279"/>
      <c r="E143" s="279"/>
      <c r="F143" s="346"/>
      <c r="G143" s="317"/>
      <c r="H143" s="317"/>
      <c r="I143" s="318"/>
      <c r="J143" s="319"/>
      <c r="K143" s="431"/>
      <c r="L143" s="317"/>
      <c r="M143" s="317"/>
      <c r="N143" s="118" t="b">
        <v>0</v>
      </c>
      <c r="O143" s="487"/>
      <c r="Q143" s="284"/>
      <c r="R143" s="285" t="b">
        <v>0</v>
      </c>
      <c r="S143" s="285" t="b">
        <v>0</v>
      </c>
      <c r="T143" s="286" t="b">
        <v>0</v>
      </c>
    </row>
    <row r="144" hidden="1" outlineLevel="1">
      <c r="A144" s="432"/>
      <c r="B144" s="432"/>
      <c r="C144" s="440"/>
      <c r="D144" s="432"/>
      <c r="E144" s="432"/>
      <c r="F144" s="432"/>
      <c r="G144" s="432"/>
      <c r="H144" s="351"/>
      <c r="I144" s="441"/>
      <c r="J144" s="319"/>
      <c r="K144" s="436"/>
      <c r="L144" s="317"/>
      <c r="M144" s="432"/>
      <c r="N144" s="118" t="b">
        <v>0</v>
      </c>
      <c r="O144" s="487"/>
      <c r="Q144" s="284"/>
      <c r="R144" s="285" t="b">
        <v>0</v>
      </c>
      <c r="S144" s="285" t="b">
        <v>0</v>
      </c>
      <c r="T144" s="286" t="b">
        <v>0</v>
      </c>
    </row>
    <row r="145" hidden="1" outlineLevel="1">
      <c r="A145" s="317"/>
      <c r="B145" s="317"/>
      <c r="C145" s="316"/>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316"/>
      <c r="D147" s="317"/>
      <c r="E147" s="317"/>
      <c r="F147" s="445"/>
      <c r="G147" s="317"/>
      <c r="H147" s="317"/>
      <c r="I147" s="318"/>
      <c r="J147" s="435"/>
      <c r="K147" s="431"/>
      <c r="L147" s="317"/>
      <c r="M147" s="317"/>
      <c r="N147" s="118" t="b">
        <v>0</v>
      </c>
      <c r="O147" s="487"/>
      <c r="Q147" s="284"/>
      <c r="R147" s="285" t="b">
        <v>0</v>
      </c>
      <c r="S147" s="285" t="b">
        <v>0</v>
      </c>
      <c r="T147" s="286" t="b">
        <v>0</v>
      </c>
    </row>
    <row r="148">
      <c r="A148" s="348" t="s">
        <v>116</v>
      </c>
      <c r="B148" s="349">
        <f>COUNTIF(B77:B147,"ONLINE")+COUNTIF(B77:B147,"SEDE*")</f>
        <v>0</v>
      </c>
      <c r="C148" s="348" t="s">
        <v>116</v>
      </c>
      <c r="D148" s="349">
        <f t="shared" ref="D148:E148" si="7">COUNTIF(D77:D147, "*")</f>
        <v>0</v>
      </c>
      <c r="E148" s="349">
        <f t="shared" si="7"/>
        <v>0</v>
      </c>
      <c r="F148" s="480">
        <f>COUNTA(F77:F147)</f>
        <v>0</v>
      </c>
      <c r="G148" s="349">
        <f t="shared" ref="G148:H148" si="8">COUNTIF(G77:G147, "*")</f>
        <v>0</v>
      </c>
      <c r="H148" s="349">
        <f t="shared" si="8"/>
        <v>0</v>
      </c>
      <c r="I148" s="348" t="s">
        <v>116</v>
      </c>
      <c r="J148" s="481">
        <f t="shared" ref="J148:K148" si="9">SUM(J77:J147)</f>
        <v>0</v>
      </c>
      <c r="K148" s="482">
        <f t="shared" si="9"/>
        <v>0</v>
      </c>
      <c r="L148" s="349">
        <f t="shared" ref="L148:M148" si="10">COUNTIF(L77:L147, "*")</f>
        <v>0</v>
      </c>
      <c r="M148" s="349">
        <f t="shared" si="10"/>
        <v>0</v>
      </c>
      <c r="N148" s="349">
        <f>SUMPRODUCT(--N77:N147)</f>
        <v>0</v>
      </c>
      <c r="O148" s="349">
        <f t="shared" ref="O148:Q148" si="11">COUNTIF(O77:O147, "*")</f>
        <v>0</v>
      </c>
      <c r="P148" s="349">
        <f t="shared" si="11"/>
        <v>0</v>
      </c>
      <c r="Q148" s="349">
        <f t="shared" si="11"/>
        <v>0</v>
      </c>
      <c r="R148" s="349">
        <f t="shared" ref="R148:T148" si="12">SUMPRODUCT(--R77:R147)</f>
        <v>0</v>
      </c>
      <c r="S148" s="349">
        <f t="shared" si="12"/>
        <v>0</v>
      </c>
      <c r="T148" s="349">
        <f t="shared" si="12"/>
        <v>0</v>
      </c>
    </row>
    <row r="149">
      <c r="A149" s="245" t="s">
        <v>117</v>
      </c>
      <c r="B149" s="246">
        <f>COUNTIF(B77:B147, "SEDE*")</f>
        <v>0</v>
      </c>
      <c r="C149" s="351"/>
      <c r="D149" s="351"/>
      <c r="E149" s="351"/>
      <c r="F149" s="351"/>
      <c r="G149" s="351"/>
      <c r="H149" s="245" t="s">
        <v>1974</v>
      </c>
      <c r="I149" s="355" t="s">
        <v>121</v>
      </c>
      <c r="J149" s="483" t="str">
        <f>COUNTIFS($B$77:$B$147,"*SEDE*",$J$77:$J$147, $F$154)&amp; " da €"&amp;$F$154</f>
        <v>0 da €32</v>
      </c>
      <c r="K149" s="484" t="str">
        <f>COUNTIFS($B$77:$B$147,"*SEDE*",$K$77:$K$147, $F$153)&amp; " da €"&amp;$F$153</f>
        <v>0 da €30</v>
      </c>
      <c r="L149" s="368" t="str">
        <f>COUNTIFS($B$77:$B$147,"*SEDE*",$J$77:$J$147, $F$156)&amp; " da €"&amp;$F$156</f>
        <v>0 da €37</v>
      </c>
      <c r="M149" s="369" t="str">
        <f>COUNTIFS($B$77:$B$147,"*SEDE*",$K$77:$K$147, $F$155)&amp; " da €"&amp;$F$155</f>
        <v>0 da €35</v>
      </c>
      <c r="N149" s="365" t="str">
        <f>COUNTIFS($B$77:$B$147,"*SEDE*",$J$77:$J$147, $G$154)&amp; " da €"&amp;$G$154</f>
        <v>0 da €42</v>
      </c>
      <c r="O149" s="373" t="str">
        <f>COUNTIFS($B$77:$B$147,"*SEDE*",$K$77:$K$147, $G$153)&amp; " da €"&amp;$G$153</f>
        <v>0 da €40</v>
      </c>
      <c r="P149" s="499" t="s">
        <v>40</v>
      </c>
      <c r="Q149" s="486">
        <f>SUM(J150,K150,L150,M150,N150,O150)</f>
        <v>0</v>
      </c>
      <c r="R149" s="500"/>
      <c r="S149" s="351"/>
      <c r="T149" s="351"/>
    </row>
    <row r="150">
      <c r="A150" s="245" t="s">
        <v>74</v>
      </c>
      <c r="B150" s="246">
        <f>COUNTIF(B77:B147, "ONLINE")</f>
        <v>0</v>
      </c>
      <c r="C150" s="245"/>
      <c r="D150" s="317"/>
      <c r="E150" s="351"/>
      <c r="I150" s="367" t="s">
        <v>122</v>
      </c>
      <c r="J150" s="368">
        <f>SUMIFS($J$77:$J$147,$B$77:$B$147,"*SEDE*",$J$77:$J$147,$F$154)</f>
        <v>0</v>
      </c>
      <c r="K150" s="436">
        <f>SUMIFS($K$77:$K$147,$B$77:$B$147,"*SEDE*",$K$77:$K$147,$F$153)</f>
        <v>0</v>
      </c>
      <c r="L150" s="368">
        <f>SUMIFS($J$77:$J$147,$B$77:$B$147,"*SEDE*",$J$77:$J$147,$F$156)</f>
        <v>0</v>
      </c>
      <c r="M150" s="436">
        <f>SUMIFS($K$77:$K$147,$B$77:$B$147,"*SEDE*",$K$77:$K$147,$F$155)</f>
        <v>0</v>
      </c>
      <c r="N150" s="501">
        <f>SUMIFS($J$77:$J$147,$B$77:$B$147,"*SEDE*",$J$77:$J$147,$G$154)</f>
        <v>0</v>
      </c>
      <c r="O150" s="436">
        <f>SUMIFS($K$77:$K$147,$B$77:$B$147,"*SEDE*",$K$77:$K$147,$G$153)</f>
        <v>0</v>
      </c>
      <c r="R150" s="500"/>
      <c r="S150" s="351"/>
      <c r="T150" s="351"/>
    </row>
    <row r="151">
      <c r="A151" s="245"/>
      <c r="B151" s="246"/>
      <c r="C151" s="245"/>
      <c r="D151" s="351"/>
      <c r="E151" s="351"/>
      <c r="F151" s="502"/>
      <c r="G151" s="503"/>
      <c r="I151" s="355" t="s">
        <v>123</v>
      </c>
      <c r="J151" s="368" t="str">
        <f>COUNTIFS($B$77:$B$147,"*ONLINE*",$J$77:$J$147, $F$154)&amp; " da €"&amp;$F$154</f>
        <v>0 da €32</v>
      </c>
      <c r="K151" s="484" t="str">
        <f>COUNTIFS($B$77:$B$147,"*ONLINE*",$K$77:$K$147, $F$153)&amp; " da €"&amp;$F$153</f>
        <v>0 da €30</v>
      </c>
      <c r="L151" s="368" t="str">
        <f>COUNTIFS($B$77:$B$147,"*ONLINE*",$J$77:$J$147, $F$156)&amp; " da €"&amp;$F$156</f>
        <v>0 da €37</v>
      </c>
      <c r="M151" s="369" t="str">
        <f>COUNTIFS($B$77:$B$147,"*ONLINE*",$K$77:$K$147, $F$155)&amp; " da €"&amp;$F$155</f>
        <v>0 da €35</v>
      </c>
      <c r="N151" s="483" t="str">
        <f>COUNTIFS($B$77:$B$147,"*ONLINE*",$J$77:$J$147, $G$154)&amp; " da €"&amp;$G$154</f>
        <v>0 da €42</v>
      </c>
      <c r="O151" s="484" t="str">
        <f>COUNTIFS($B$77:$B$147,"*ONLINE*",$K$77:$K$147, $G$153)&amp; " da €"&amp;$G$153</f>
        <v>0 da €40</v>
      </c>
      <c r="P151" s="485" t="s">
        <v>40</v>
      </c>
      <c r="Q151" s="486">
        <f>SUM(J152,K152,L152,M152,N152,O152)</f>
        <v>0</v>
      </c>
      <c r="R151" s="500"/>
      <c r="S151" s="351"/>
      <c r="T151" s="351"/>
    </row>
    <row r="152">
      <c r="A152" s="379"/>
      <c r="B152" s="379"/>
      <c r="C152" s="245"/>
      <c r="D152" s="351"/>
      <c r="E152" s="351"/>
      <c r="F152" s="502"/>
      <c r="G152" s="503"/>
      <c r="H152" s="196"/>
      <c r="I152" s="355" t="s">
        <v>124</v>
      </c>
      <c r="J152" s="483">
        <f>SUMIFS($J$77:$J$147,$B$77:$B$147,"*ONLINE*",$J$77:$J$147,$F$154)</f>
        <v>0</v>
      </c>
      <c r="K152" s="484">
        <f>SUMIFS($K$77:$K$147,$B$77:$B$147,"*ONLINE*",$K$77:$K$147,$F$153)</f>
        <v>0</v>
      </c>
      <c r="L152" s="368">
        <f>SUMIFS($J$77:$J$147,$B$77:$B$147,"*ONLINE*",$J$77:$J$147,$F$156)</f>
        <v>0</v>
      </c>
      <c r="M152" s="436">
        <f>SUMIFS($K$77:$K$147,$B$77:$B$147,"*ONLINE*",$K$77:$K$147,$F$155)</f>
        <v>0</v>
      </c>
      <c r="N152" s="365">
        <f>SUMIFS($J$77:$J$147,$B$77:$B$147,"*ONLINE*",$J$77:$J$147,$G$154)</f>
        <v>0</v>
      </c>
      <c r="O152" s="436">
        <f>SUMIFS($K$77:$K$147,$B$77:$B$147,"*ONLINE*",$K$77:$K$147,$G$153)</f>
        <v>0</v>
      </c>
      <c r="P152" s="196"/>
      <c r="Q152" s="196"/>
      <c r="R152" s="245" t="s">
        <v>120</v>
      </c>
      <c r="S152" s="378" t="str">
        <f>IF(SUM(J148:K148) = SUM(Q149:Q152), "OK", "ERRORE")</f>
        <v>OK</v>
      </c>
      <c r="T152" s="351"/>
    </row>
    <row r="153">
      <c r="A153" s="208" t="s">
        <v>127</v>
      </c>
      <c r="B153" s="504">
        <f t="shared" ref="B153:B154" si="13">SUM(B72,B149)</f>
        <v>11</v>
      </c>
      <c r="C153" s="505"/>
      <c r="D153" s="452"/>
      <c r="E153" s="506" t="s">
        <v>1596</v>
      </c>
      <c r="F153" s="353">
        <v>30.0</v>
      </c>
      <c r="G153" s="507">
        <v>40.0</v>
      </c>
      <c r="H153" s="508" t="s">
        <v>1975</v>
      </c>
      <c r="I153" s="509" t="s">
        <v>132</v>
      </c>
      <c r="J153" s="510" t="str">
        <f>COUNTIFS($B$4:$B$70,"*SEDE*",$J$4:$J$70, $F$154)+COUNTIFS($B$77:$B$147,"*SEDE*",$J$77:$J$147, $F$154)&amp; " da €"&amp;$F$154</f>
        <v>0 da €32</v>
      </c>
      <c r="K153" s="511" t="str">
        <f>COUNTIFS($B$4:$B$70,"*SEDE*",$K$4:$K$70, $F$153)+COUNTIFS($B$77:$B$147,"*SEDE*",$K$77:$K$147, $F$153)&amp; " da €"&amp;$F$153</f>
        <v>1 da €30</v>
      </c>
      <c r="L153" s="510" t="str">
        <f>COUNTIFS($B$4:$B$70,"*SEDE*",$J$4:$J$70, $F$156)+COUNTIFS($B$77:$B$147,"*SEDE*",$J$77:$J$147, $F$156)&amp; " da €"&amp;$F$156</f>
        <v>2 da €37</v>
      </c>
      <c r="M153" s="511" t="str">
        <f>COUNTIFS($B$4:$B$70,"*SEDE*",$K$4:$K$70, $F$155)+COUNTIFS($B$77:$B$147,"*SEDE*",$K$77:$K$147, $F$155)&amp; " da €"&amp;$F$155</f>
        <v>3 da €35</v>
      </c>
      <c r="N153" s="510" t="str">
        <f>COUNTIFS($B$4:$B$70,"*SEDE*",$J$4:$J$70, $G$154)+COUNTIFS($B$77:$B$147,"*SEDE*",$J$77:$J$147, $G$154)&amp; " da €"&amp;$G$154</f>
        <v>2 da €42</v>
      </c>
      <c r="O153" s="511" t="str">
        <f>COUNTIFS($B$4:$B$70,"*SEDE*",$K$4:$K$70, $G$153)+COUNTIFS($B$77:$B$147,"*SEDE*",$K$77:$K$147, $G$153)&amp; " da €"&amp;$G$153</f>
        <v>2 da €40</v>
      </c>
      <c r="P153" s="512" t="s">
        <v>127</v>
      </c>
      <c r="Q153" s="359">
        <f>SUM(J154,K154,L154,M154,N154,O154)</f>
        <v>373</v>
      </c>
      <c r="R153" s="205" t="s">
        <v>130</v>
      </c>
      <c r="S153" s="513">
        <f>SUM(J71,K71,J148,K148)</f>
        <v>2089.6</v>
      </c>
      <c r="T153" s="207"/>
    </row>
    <row r="154">
      <c r="A154" s="208" t="s">
        <v>131</v>
      </c>
      <c r="B154" s="504">
        <f t="shared" si="13"/>
        <v>47</v>
      </c>
      <c r="C154" s="245"/>
      <c r="D154" s="351"/>
      <c r="E154" s="514"/>
      <c r="F154" s="365">
        <v>32.0</v>
      </c>
      <c r="G154" s="319">
        <v>42.0</v>
      </c>
      <c r="I154" s="515" t="s">
        <v>122</v>
      </c>
      <c r="J154" s="455">
        <f t="shared" ref="J154:O154" si="14">SUM(J73,J150)</f>
        <v>0</v>
      </c>
      <c r="K154" s="456">
        <f t="shared" si="14"/>
        <v>30</v>
      </c>
      <c r="L154" s="455">
        <f t="shared" si="14"/>
        <v>74</v>
      </c>
      <c r="M154" s="456">
        <f t="shared" si="14"/>
        <v>105</v>
      </c>
      <c r="N154" s="455">
        <f t="shared" si="14"/>
        <v>84</v>
      </c>
      <c r="O154" s="456">
        <f t="shared" si="14"/>
        <v>80</v>
      </c>
    </row>
    <row r="155">
      <c r="A155" s="213" t="s">
        <v>133</v>
      </c>
      <c r="B155" s="371">
        <f>SUM(B153:B154)</f>
        <v>58</v>
      </c>
      <c r="C155" s="245"/>
      <c r="D155" s="351"/>
      <c r="E155" s="514"/>
      <c r="F155" s="373">
        <v>35.0</v>
      </c>
      <c r="G155" s="431">
        <v>29.6</v>
      </c>
      <c r="I155" s="515" t="s">
        <v>135</v>
      </c>
      <c r="J155" s="483" t="str">
        <f>COUNTIFS($B$4:$B$70,"*ONLINE*",$J$4:$J$70, $F$154)+COUNTIFS($B$77:$B$147,"*ONLINE*",$J$77:$J$147, $F$154)&amp; " da €"&amp;$F$154</f>
        <v>4 da €32</v>
      </c>
      <c r="K155" s="92" t="str">
        <f>COUNTIFS($B$4:$B$70,"*ONLINE*",$K$4:$K$70, $F$153)+COUNTIFS($B$77:$B$147,"*ONLINE*",$K$77:$K$147, $F$153)&amp; " da €"&amp;$F$153</f>
        <v>2 da €30</v>
      </c>
      <c r="L155" s="516" t="str">
        <f>COUNTIFS($B$4:$B$70,"*ONLINE*",$J$4:$J$70, $F$156)+COUNTIFS($B$77:$B$147,"*ONLINE*",$J$77:$J$147, $F$156)&amp; " da €"&amp;$F$156</f>
        <v>32 da €37</v>
      </c>
      <c r="M155" s="92" t="str">
        <f>COUNTIFS($B$4:$B$70,"*ONLINE*",$K$4:$K$70, $F$155)+COUNTIFS($B$77:$B$147,"*ONLINE*",$K$77:$K$147, $F$155)&amp; " da €"&amp;$F$155</f>
        <v>9 da €35</v>
      </c>
      <c r="N155" s="516" t="str">
        <f>COUNTIFS($B$4:$B$70,"*ONLINE*",$J$4:$J$70, $G$154)+COUNTIFS($B$77:$B$147,"*ONLINE*",$J$77:$J$147, $G$154)&amp; " da €"&amp;$G$154</f>
        <v>0 da €42</v>
      </c>
      <c r="O155" s="92" t="str">
        <f>COUNTIFS($B$4:$B$70,"*ONLINE*",$K$4:$K$70, $G$153)+COUNTIFS($B$77:$B$147,"*ONLINE*",$K$77:$K$147, $G$153)&amp; " da €"&amp;$G$153</f>
        <v>0 da €40</v>
      </c>
      <c r="P155" s="512" t="s">
        <v>131</v>
      </c>
      <c r="Q155" s="359">
        <f>SUM(J156,K156,L156,M156,N156,O156)</f>
        <v>1687</v>
      </c>
    </row>
    <row r="156">
      <c r="A156" s="517" t="s">
        <v>134</v>
      </c>
      <c r="B156" s="518">
        <f>COUNTIF(M4:M147,"*NON TESSERATO*")</f>
        <v>44</v>
      </c>
      <c r="C156" s="245"/>
      <c r="D156" s="351"/>
      <c r="E156" s="519"/>
      <c r="F156" s="382">
        <v>37.0</v>
      </c>
      <c r="G156" s="520">
        <v>0.0</v>
      </c>
      <c r="H156" s="196"/>
      <c r="I156" s="521" t="s">
        <v>124</v>
      </c>
      <c r="J156" s="522">
        <f t="shared" ref="J156:O156" si="15">SUM(J75,J152)</f>
        <v>128</v>
      </c>
      <c r="K156" s="523">
        <f t="shared" si="15"/>
        <v>60</v>
      </c>
      <c r="L156" s="522">
        <f t="shared" si="15"/>
        <v>1184</v>
      </c>
      <c r="M156" s="523">
        <f t="shared" si="15"/>
        <v>315</v>
      </c>
      <c r="N156" s="522">
        <f t="shared" si="15"/>
        <v>0</v>
      </c>
      <c r="O156" s="523">
        <f t="shared" si="15"/>
        <v>0</v>
      </c>
      <c r="P156" s="196"/>
      <c r="Q156" s="196"/>
      <c r="R156" s="196"/>
      <c r="S156" s="196"/>
      <c r="T156" s="196"/>
    </row>
    <row r="157">
      <c r="A157" s="524" t="s">
        <v>136</v>
      </c>
      <c r="B157" s="525">
        <f>COUNTIF(M4:M147,"*TESSERATO*")-COUNTIF(M4:M147,"*NON TESSERATO*")</f>
        <v>14</v>
      </c>
      <c r="C157" s="245"/>
      <c r="D157" s="351"/>
      <c r="E157" s="526"/>
      <c r="F157" s="485"/>
      <c r="G157" s="527"/>
      <c r="H157" s="508"/>
      <c r="I157" s="515"/>
      <c r="J157" s="528"/>
      <c r="K157" s="528"/>
      <c r="L157" s="528"/>
      <c r="M157" s="528"/>
      <c r="N157" s="528"/>
      <c r="O157" s="528"/>
      <c r="P157" s="529"/>
      <c r="Q157" s="530"/>
      <c r="R157" s="531"/>
      <c r="S157" s="530"/>
      <c r="T157"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70:P70"/>
    <mergeCell ref="H72:H75"/>
    <mergeCell ref="P72:P73"/>
    <mergeCell ref="Q72:Q73"/>
    <mergeCell ref="P74:P75"/>
    <mergeCell ref="Q74:Q75"/>
    <mergeCell ref="A76:Q76"/>
    <mergeCell ref="O63:P63"/>
    <mergeCell ref="O64:P64"/>
    <mergeCell ref="O65:P65"/>
    <mergeCell ref="O66:P66"/>
    <mergeCell ref="O67:P67"/>
    <mergeCell ref="O68:P68"/>
    <mergeCell ref="O69:P69"/>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P151:P152"/>
    <mergeCell ref="P153:P154"/>
    <mergeCell ref="Q153:Q154"/>
    <mergeCell ref="R153:R156"/>
    <mergeCell ref="S153:T156"/>
    <mergeCell ref="Q155:Q156"/>
    <mergeCell ref="O147:P147"/>
    <mergeCell ref="H149:H152"/>
    <mergeCell ref="P149:P150"/>
    <mergeCell ref="Q149:Q150"/>
    <mergeCell ref="Q151:Q152"/>
    <mergeCell ref="E153:E156"/>
    <mergeCell ref="H153:H156"/>
    <mergeCell ref="P155:P156"/>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s>
  <conditionalFormatting sqref="A4:P70 T4:T70 A77:P147 T77:T147">
    <cfRule type="expression" dxfId="0" priority="1">
      <formula>$T4</formula>
    </cfRule>
  </conditionalFormatting>
  <conditionalFormatting sqref="S75 S152">
    <cfRule type="cellIs" dxfId="2" priority="2" operator="equal">
      <formula>"ERRORE"</formula>
    </cfRule>
  </conditionalFormatting>
  <conditionalFormatting sqref="S75 S152">
    <cfRule type="cellIs" dxfId="0" priority="3" operator="equal">
      <formula>"OK"</formula>
    </cfRule>
  </conditionalFormatting>
  <conditionalFormatting sqref="S4:S70 S77:S147">
    <cfRule type="expression" dxfId="1" priority="4">
      <formula>$S4</formula>
    </cfRule>
  </conditionalFormatting>
  <conditionalFormatting sqref="S4:S70 S77:S147">
    <cfRule type="expression" dxfId="2" priority="5">
      <formula>$M4="DIGIT - TESSERATO"</formula>
    </cfRule>
  </conditionalFormatting>
  <conditionalFormatting sqref="R4:R70 R77:R147">
    <cfRule type="expression" dxfId="3" priority="6">
      <formula>$R4</formula>
    </cfRule>
  </conditionalFormatting>
  <conditionalFormatting sqref="R4:R70 R77:R147">
    <cfRule type="expression" dxfId="4" priority="7">
      <formula>$M4="CASH - TESSERATO"</formula>
    </cfRule>
  </conditionalFormatting>
  <conditionalFormatting sqref="R4:R70 R77:R147">
    <cfRule type="expression" dxfId="4" priority="8">
      <formula>$M4="CASH - NON TESSERATO"</formula>
    </cfRule>
  </conditionalFormatting>
  <conditionalFormatting sqref="S4:S70 S77:S147">
    <cfRule type="expression" dxfId="2" priority="9">
      <formula>$M4="DIGIT - NON TESSERATO"</formula>
    </cfRule>
  </conditionalFormatting>
  <conditionalFormatting sqref="Q4:Q70 Q77:Q147">
    <cfRule type="expression" dxfId="0" priority="10">
      <formula>ISBLANK($Q4)=FALSE</formula>
    </cfRule>
  </conditionalFormatting>
  <conditionalFormatting sqref="A4:P70 A77:P147">
    <cfRule type="expression" dxfId="5" priority="11">
      <formula>$N4</formula>
    </cfRule>
  </conditionalFormatting>
  <dataValidations>
    <dataValidation type="list" allowBlank="1" showErrorMessage="1" sqref="B4:B70 B77:B147">
      <formula1>"ONLINE,SEDE Estefany,SEDE Giuditta,SEDE Alexandra,SEDE Nura,SEDE Joel"</formula1>
    </dataValidation>
    <dataValidation type="list" allowBlank="1" showInputMessage="1" showErrorMessage="1" prompt="Fai clic e immetti un valore dall'intervallo" sqref="A4:A70 A77:A147">
      <formula1>elenchi!$M$2:$M$100</formula1>
    </dataValidation>
    <dataValidation type="list" allowBlank="1" sqref="Q4:Q57 Q59:Q70 Q77:Q147">
      <formula1>"INSERITO,CELL,EMAIL,COD FISCALE,INDIRIZZO"</formula1>
    </dataValidation>
    <dataValidation type="custom" allowBlank="1" showDropDown="1" showInputMessage="1" prompt="Immetti una data valida" sqref="I4:I5 C4:C70 I7:I70 C77:C147 I77:I147">
      <formula1>OR(NOT(ISERROR(DATEVALUE(C4))), AND(ISNUMBER(C4), LEFT(CELL("format", C4))="D"))</formula1>
    </dataValidation>
    <dataValidation type="list" allowBlank="1" showInputMessage="1" prompt="Fai clic e immetti un valore dall'elenco di elementi" sqref="M4:M70 M77:M147">
      <formula1>"CASH - TESSERATO,CASH - NON TESSERATO,DIGIT - TESSERATO,DIGIT - NON TESSERATO,CARTA - NON TESSERATO"</formula1>
    </dataValidation>
    <dataValidation type="list" allowBlank="1" showErrorMessage="1" sqref="L4:L70 L77:L147">
      <formula1>"NURA02WS,GIUDITTA02WS,ALEXANDRA02WS,ESTEFANY02WS,JOEL02WS,MASSI02WS,SANTO02WS,SARA02WS,OMAGGIO100,2526WS.ST4FF20"</formula1>
    </dataValidation>
  </dataValidations>
  <hyperlinks>
    <hyperlink r:id="rId4" location="gid=954165568"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2173</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2174</v>
      </c>
      <c r="R3" s="464" t="s">
        <v>1945</v>
      </c>
      <c r="S3" s="464"/>
      <c r="T3" s="464"/>
    </row>
    <row r="4" outlineLevel="1">
      <c r="A4" s="320" t="s">
        <v>73</v>
      </c>
      <c r="B4" s="320" t="s">
        <v>74</v>
      </c>
      <c r="C4" s="465">
        <v>45862.0</v>
      </c>
      <c r="D4" s="320" t="s">
        <v>2175</v>
      </c>
      <c r="E4" s="320" t="s">
        <v>7</v>
      </c>
      <c r="F4" s="320">
        <v>3.33618164E9</v>
      </c>
      <c r="G4" s="320" t="s">
        <v>2176</v>
      </c>
      <c r="H4" s="320" t="s">
        <v>2177</v>
      </c>
      <c r="I4" s="439">
        <v>45862.0</v>
      </c>
      <c r="J4" s="365">
        <v>32.0</v>
      </c>
      <c r="K4" s="431"/>
      <c r="L4" s="317"/>
      <c r="M4" s="320" t="s">
        <v>100</v>
      </c>
      <c r="N4" s="118" t="b">
        <v>1</v>
      </c>
      <c r="O4" s="119"/>
      <c r="Q4" s="284" t="s">
        <v>81</v>
      </c>
      <c r="R4" s="285" t="b">
        <v>1</v>
      </c>
      <c r="S4" s="285" t="b">
        <v>0</v>
      </c>
      <c r="T4" s="286" t="b">
        <v>1</v>
      </c>
    </row>
    <row r="5" outlineLevel="1">
      <c r="A5" s="320" t="s">
        <v>101</v>
      </c>
      <c r="B5" s="320" t="s">
        <v>102</v>
      </c>
      <c r="C5" s="465">
        <v>45868.0</v>
      </c>
      <c r="D5" s="320" t="s">
        <v>555</v>
      </c>
      <c r="E5" s="320" t="s">
        <v>556</v>
      </c>
      <c r="F5" s="320">
        <v>3.317286206E9</v>
      </c>
      <c r="G5" s="320" t="s">
        <v>557</v>
      </c>
      <c r="H5" s="320" t="s">
        <v>558</v>
      </c>
      <c r="I5" s="439">
        <v>45868.0</v>
      </c>
      <c r="J5" s="365">
        <v>32.0</v>
      </c>
      <c r="K5" s="431"/>
      <c r="L5" s="317"/>
      <c r="M5" s="320" t="s">
        <v>162</v>
      </c>
      <c r="N5" s="118" t="b">
        <v>1</v>
      </c>
      <c r="O5" s="119"/>
      <c r="Q5" s="284" t="s">
        <v>81</v>
      </c>
      <c r="R5" s="285" t="b">
        <v>1</v>
      </c>
      <c r="S5" s="285" t="b">
        <v>0</v>
      </c>
      <c r="T5" s="286" t="b">
        <v>1</v>
      </c>
    </row>
    <row r="6" outlineLevel="1">
      <c r="A6" s="320" t="s">
        <v>73</v>
      </c>
      <c r="B6" s="320" t="s">
        <v>74</v>
      </c>
      <c r="C6" s="465">
        <v>45894.0</v>
      </c>
      <c r="D6" s="320" t="s">
        <v>920</v>
      </c>
      <c r="E6" s="320" t="s">
        <v>921</v>
      </c>
      <c r="F6" s="320">
        <v>3.423863248E9</v>
      </c>
      <c r="G6" s="111" t="s">
        <v>2178</v>
      </c>
      <c r="H6" s="320" t="s">
        <v>2179</v>
      </c>
      <c r="I6" s="466">
        <v>45872.0</v>
      </c>
      <c r="J6" s="365">
        <v>32.0</v>
      </c>
      <c r="K6" s="431"/>
      <c r="L6" s="317"/>
      <c r="M6" s="320" t="s">
        <v>100</v>
      </c>
      <c r="N6" s="118" t="b">
        <v>1</v>
      </c>
      <c r="O6" s="119"/>
      <c r="Q6" s="284" t="s">
        <v>81</v>
      </c>
      <c r="R6" s="285" t="b">
        <v>1</v>
      </c>
      <c r="S6" s="285" t="b">
        <v>0</v>
      </c>
      <c r="T6" s="286" t="b">
        <v>1</v>
      </c>
    </row>
    <row r="7" outlineLevel="1">
      <c r="A7" s="320" t="s">
        <v>73</v>
      </c>
      <c r="B7" s="320" t="s">
        <v>74</v>
      </c>
      <c r="C7" s="465">
        <v>45896.0</v>
      </c>
      <c r="D7" s="320" t="s">
        <v>729</v>
      </c>
      <c r="E7" s="320" t="s">
        <v>730</v>
      </c>
      <c r="F7" s="320">
        <v>3.489301939E9</v>
      </c>
      <c r="G7" s="111" t="s">
        <v>731</v>
      </c>
      <c r="H7" s="320" t="s">
        <v>732</v>
      </c>
      <c r="I7" s="439">
        <v>45896.0</v>
      </c>
      <c r="J7" s="365"/>
      <c r="K7" s="431">
        <v>30.0</v>
      </c>
      <c r="L7" s="317" t="s">
        <v>106</v>
      </c>
      <c r="M7" s="320" t="s">
        <v>80</v>
      </c>
      <c r="N7" s="118" t="b">
        <v>1</v>
      </c>
      <c r="O7" s="119"/>
      <c r="Q7" s="284" t="s">
        <v>81</v>
      </c>
      <c r="R7" s="285" t="b">
        <v>0</v>
      </c>
      <c r="S7" s="285" t="b">
        <v>1</v>
      </c>
      <c r="T7" s="286" t="b">
        <v>1</v>
      </c>
    </row>
    <row r="8" outlineLevel="1">
      <c r="A8" s="320" t="s">
        <v>73</v>
      </c>
      <c r="B8" s="320" t="s">
        <v>74</v>
      </c>
      <c r="C8" s="465">
        <v>45913.0</v>
      </c>
      <c r="D8" s="320" t="s">
        <v>145</v>
      </c>
      <c r="E8" s="320" t="s">
        <v>146</v>
      </c>
      <c r="F8" s="320">
        <v>3.313419879E9</v>
      </c>
      <c r="G8" s="320" t="s">
        <v>147</v>
      </c>
      <c r="H8" s="320" t="s">
        <v>148</v>
      </c>
      <c r="I8" s="439">
        <v>45913.0</v>
      </c>
      <c r="J8" s="365"/>
      <c r="K8" s="431">
        <v>30.0</v>
      </c>
      <c r="L8" s="317" t="s">
        <v>79</v>
      </c>
      <c r="M8" s="320" t="s">
        <v>100</v>
      </c>
      <c r="N8" s="118" t="b">
        <v>1</v>
      </c>
      <c r="O8" s="467"/>
      <c r="Q8" s="284" t="s">
        <v>81</v>
      </c>
      <c r="R8" s="285" t="b">
        <v>1</v>
      </c>
      <c r="S8" s="285" t="b">
        <v>1</v>
      </c>
      <c r="T8" s="286" t="b">
        <v>1</v>
      </c>
    </row>
    <row r="9" outlineLevel="1">
      <c r="A9" s="320" t="s">
        <v>73</v>
      </c>
      <c r="B9" s="320" t="s">
        <v>74</v>
      </c>
      <c r="C9" s="465">
        <v>45914.0</v>
      </c>
      <c r="D9" s="320" t="s">
        <v>172</v>
      </c>
      <c r="E9" s="320" t="s">
        <v>2180</v>
      </c>
      <c r="F9" s="320">
        <v>3.891158562E9</v>
      </c>
      <c r="G9" s="320" t="s">
        <v>2181</v>
      </c>
      <c r="H9" s="320" t="s">
        <v>2182</v>
      </c>
      <c r="I9" s="465">
        <v>45914.0</v>
      </c>
      <c r="J9" s="365"/>
      <c r="K9" s="431">
        <v>30.0</v>
      </c>
      <c r="L9" s="317" t="s">
        <v>106</v>
      </c>
      <c r="M9" s="320" t="s">
        <v>80</v>
      </c>
      <c r="N9" s="118" t="b">
        <v>1</v>
      </c>
      <c r="O9" s="119"/>
      <c r="Q9" s="284" t="s">
        <v>81</v>
      </c>
      <c r="R9" s="285" t="b">
        <v>0</v>
      </c>
      <c r="S9" s="285" t="b">
        <v>1</v>
      </c>
      <c r="T9" s="286" t="b">
        <v>1</v>
      </c>
    </row>
    <row r="10" outlineLevel="1">
      <c r="A10" s="320" t="s">
        <v>73</v>
      </c>
      <c r="B10" s="320" t="s">
        <v>74</v>
      </c>
      <c r="C10" s="465">
        <v>45915.0</v>
      </c>
      <c r="D10" s="320" t="s">
        <v>82</v>
      </c>
      <c r="E10" s="320" t="s">
        <v>83</v>
      </c>
      <c r="F10" s="320">
        <v>3.47856998E9</v>
      </c>
      <c r="G10" s="468" t="s">
        <v>84</v>
      </c>
      <c r="H10" s="320" t="s">
        <v>85</v>
      </c>
      <c r="I10" s="439">
        <v>45915.0</v>
      </c>
      <c r="J10" s="365">
        <v>32.0</v>
      </c>
      <c r="K10" s="431"/>
      <c r="L10" s="317"/>
      <c r="M10" s="320" t="s">
        <v>80</v>
      </c>
      <c r="N10" s="118" t="b">
        <v>1</v>
      </c>
      <c r="O10" s="119"/>
      <c r="Q10" s="284" t="s">
        <v>81</v>
      </c>
      <c r="R10" s="285" t="b">
        <v>0</v>
      </c>
      <c r="S10" s="285" t="b">
        <v>1</v>
      </c>
      <c r="T10" s="286" t="b">
        <v>1</v>
      </c>
    </row>
    <row r="11" outlineLevel="1">
      <c r="A11" s="320" t="s">
        <v>73</v>
      </c>
      <c r="B11" s="320" t="s">
        <v>74</v>
      </c>
      <c r="C11" s="465">
        <v>45918.0</v>
      </c>
      <c r="D11" s="320" t="s">
        <v>2183</v>
      </c>
      <c r="E11" s="320" t="s">
        <v>2184</v>
      </c>
      <c r="F11" s="320">
        <v>3.312091664E9</v>
      </c>
      <c r="G11" s="320" t="s">
        <v>2185</v>
      </c>
      <c r="H11" s="320" t="s">
        <v>2186</v>
      </c>
      <c r="I11" s="439">
        <v>45887.0</v>
      </c>
      <c r="J11" s="365">
        <v>32.0</v>
      </c>
      <c r="K11" s="431"/>
      <c r="L11" s="317"/>
      <c r="M11" s="320" t="s">
        <v>80</v>
      </c>
      <c r="N11" s="118" t="b">
        <v>1</v>
      </c>
      <c r="O11" s="119"/>
      <c r="Q11" s="284" t="s">
        <v>81</v>
      </c>
      <c r="R11" s="285" t="b">
        <v>0</v>
      </c>
      <c r="S11" s="285" t="b">
        <v>1</v>
      </c>
      <c r="T11" s="286" t="b">
        <v>1</v>
      </c>
    </row>
    <row r="12" outlineLevel="1">
      <c r="A12" s="320" t="s">
        <v>73</v>
      </c>
      <c r="B12" s="320" t="s">
        <v>74</v>
      </c>
      <c r="C12" s="465">
        <v>45918.0</v>
      </c>
      <c r="D12" s="320" t="s">
        <v>2187</v>
      </c>
      <c r="E12" s="320" t="s">
        <v>2188</v>
      </c>
      <c r="F12" s="320">
        <v>3.920703008E9</v>
      </c>
      <c r="G12" s="320" t="s">
        <v>2189</v>
      </c>
      <c r="H12" s="320" t="s">
        <v>2190</v>
      </c>
      <c r="I12" s="439">
        <v>45887.0</v>
      </c>
      <c r="J12" s="365">
        <v>32.0</v>
      </c>
      <c r="K12" s="431"/>
      <c r="L12" s="317"/>
      <c r="M12" s="320" t="s">
        <v>80</v>
      </c>
      <c r="N12" s="118" t="b">
        <v>1</v>
      </c>
      <c r="O12" s="119"/>
      <c r="Q12" s="284" t="s">
        <v>81</v>
      </c>
      <c r="R12" s="285" t="b">
        <v>0</v>
      </c>
      <c r="S12" s="285" t="b">
        <v>1</v>
      </c>
      <c r="T12" s="286" t="b">
        <v>1</v>
      </c>
    </row>
    <row r="13" outlineLevel="1">
      <c r="A13" s="320" t="s">
        <v>73</v>
      </c>
      <c r="B13" s="320" t="s">
        <v>74</v>
      </c>
      <c r="C13" s="465">
        <v>45923.0</v>
      </c>
      <c r="D13" s="320" t="s">
        <v>2191</v>
      </c>
      <c r="E13" s="320" t="s">
        <v>2192</v>
      </c>
      <c r="F13" s="445">
        <v>3.420746973E9</v>
      </c>
      <c r="G13" s="320" t="s">
        <v>2193</v>
      </c>
      <c r="H13" s="320" t="s">
        <v>2194</v>
      </c>
      <c r="I13" s="439">
        <v>45923.0</v>
      </c>
      <c r="J13" s="365">
        <v>32.0</v>
      </c>
      <c r="K13" s="431"/>
      <c r="L13" s="317"/>
      <c r="M13" s="320" t="s">
        <v>80</v>
      </c>
      <c r="N13" s="118" t="b">
        <v>1</v>
      </c>
      <c r="O13" s="119" t="s">
        <v>2195</v>
      </c>
      <c r="Q13" s="284" t="s">
        <v>81</v>
      </c>
      <c r="R13" s="285" t="b">
        <v>0</v>
      </c>
      <c r="S13" s="285" t="b">
        <v>1</v>
      </c>
      <c r="T13" s="286" t="b">
        <v>1</v>
      </c>
    </row>
    <row r="14" outlineLevel="1">
      <c r="A14" s="317" t="s">
        <v>73</v>
      </c>
      <c r="B14" s="317" t="s">
        <v>74</v>
      </c>
      <c r="C14" s="316">
        <v>45924.0</v>
      </c>
      <c r="D14" s="116" t="s">
        <v>2196</v>
      </c>
      <c r="E14" s="116" t="s">
        <v>2038</v>
      </c>
      <c r="F14" s="317">
        <v>3.779649122E9</v>
      </c>
      <c r="G14" s="317" t="s">
        <v>2197</v>
      </c>
      <c r="H14" s="317" t="s">
        <v>2198</v>
      </c>
      <c r="I14" s="135">
        <v>45924.0</v>
      </c>
      <c r="J14" s="365">
        <v>32.0</v>
      </c>
      <c r="K14" s="431"/>
      <c r="L14" s="317"/>
      <c r="M14" s="320" t="s">
        <v>80</v>
      </c>
      <c r="N14" s="118" t="b">
        <v>1</v>
      </c>
      <c r="O14" s="119"/>
      <c r="Q14" s="284" t="s">
        <v>81</v>
      </c>
      <c r="R14" s="285" t="b">
        <v>0</v>
      </c>
      <c r="S14" s="285" t="b">
        <v>1</v>
      </c>
      <c r="T14" s="286" t="b">
        <v>1</v>
      </c>
    </row>
    <row r="15" outlineLevel="1">
      <c r="A15" s="317" t="s">
        <v>73</v>
      </c>
      <c r="B15" s="317" t="s">
        <v>74</v>
      </c>
      <c r="C15" s="316">
        <v>45924.0</v>
      </c>
      <c r="D15" s="317" t="s">
        <v>2199</v>
      </c>
      <c r="E15" s="317" t="s">
        <v>91</v>
      </c>
      <c r="F15" s="317">
        <v>3.3767892142E10</v>
      </c>
      <c r="G15" s="317" t="s">
        <v>2200</v>
      </c>
      <c r="H15" s="317" t="s">
        <v>2201</v>
      </c>
      <c r="I15" s="443">
        <v>45924.0</v>
      </c>
      <c r="J15" s="365"/>
      <c r="K15" s="431">
        <v>30.0</v>
      </c>
      <c r="L15" s="317" t="s">
        <v>106</v>
      </c>
      <c r="M15" s="320" t="s">
        <v>100</v>
      </c>
      <c r="N15" s="118" t="b">
        <v>0</v>
      </c>
      <c r="O15" s="119"/>
      <c r="Q15" s="284" t="s">
        <v>81</v>
      </c>
      <c r="R15" s="285" t="b">
        <v>1</v>
      </c>
      <c r="S15" s="285" t="b">
        <v>0</v>
      </c>
      <c r="T15" s="286" t="b">
        <v>1</v>
      </c>
    </row>
    <row r="16" outlineLevel="1">
      <c r="A16" s="320" t="s">
        <v>611</v>
      </c>
      <c r="B16" s="320" t="s">
        <v>74</v>
      </c>
      <c r="C16" s="316">
        <v>45907.0</v>
      </c>
      <c r="D16" s="320" t="s">
        <v>634</v>
      </c>
      <c r="E16" s="320" t="s">
        <v>2202</v>
      </c>
      <c r="F16" s="320">
        <v>3.738832549E9</v>
      </c>
      <c r="G16" s="320" t="s">
        <v>636</v>
      </c>
      <c r="H16" s="320" t="s">
        <v>637</v>
      </c>
      <c r="I16" s="318">
        <v>45907.0</v>
      </c>
      <c r="J16" s="365">
        <v>32.0</v>
      </c>
      <c r="K16" s="431"/>
      <c r="L16" s="317"/>
      <c r="M16" s="320" t="s">
        <v>100</v>
      </c>
      <c r="N16" s="118" t="b">
        <v>1</v>
      </c>
      <c r="O16" s="119"/>
      <c r="Q16" s="284" t="s">
        <v>81</v>
      </c>
      <c r="R16" s="285" t="b">
        <v>0</v>
      </c>
      <c r="S16" s="285" t="b">
        <v>1</v>
      </c>
      <c r="T16" s="286" t="b">
        <v>1</v>
      </c>
    </row>
    <row r="17" outlineLevel="1">
      <c r="A17" s="488" t="s">
        <v>2026</v>
      </c>
      <c r="B17" s="488" t="s">
        <v>74</v>
      </c>
      <c r="C17" s="440">
        <v>45947.0</v>
      </c>
      <c r="D17" s="488" t="s">
        <v>2203</v>
      </c>
      <c r="E17" s="488" t="s">
        <v>2204</v>
      </c>
      <c r="F17" s="488">
        <v>3.895075937E9</v>
      </c>
      <c r="G17" s="320" t="s">
        <v>2205</v>
      </c>
      <c r="H17" s="488" t="s">
        <v>2206</v>
      </c>
      <c r="I17" s="477">
        <v>45947.0</v>
      </c>
      <c r="J17" s="365">
        <v>37.0</v>
      </c>
      <c r="K17" s="431"/>
      <c r="L17" s="317"/>
      <c r="M17" s="320" t="s">
        <v>80</v>
      </c>
      <c r="N17" s="118" t="b">
        <v>1</v>
      </c>
      <c r="O17" s="119"/>
      <c r="Q17" s="284" t="s">
        <v>81</v>
      </c>
      <c r="R17" s="285" t="b">
        <v>0</v>
      </c>
      <c r="S17" s="285" t="b">
        <v>1</v>
      </c>
      <c r="T17" s="286" t="b">
        <v>1</v>
      </c>
    </row>
    <row r="18" outlineLevel="1">
      <c r="A18" s="317" t="s">
        <v>611</v>
      </c>
      <c r="B18" s="317" t="s">
        <v>74</v>
      </c>
      <c r="C18" s="316">
        <v>45926.0</v>
      </c>
      <c r="D18" s="317" t="s">
        <v>197</v>
      </c>
      <c r="E18" s="317" t="s">
        <v>196</v>
      </c>
      <c r="F18" s="317">
        <v>3.47496578E9</v>
      </c>
      <c r="G18" s="317" t="s">
        <v>198</v>
      </c>
      <c r="H18" s="317" t="s">
        <v>199</v>
      </c>
      <c r="I18" s="135">
        <v>46291.0</v>
      </c>
      <c r="J18" s="365"/>
      <c r="K18" s="431">
        <v>30.0</v>
      </c>
      <c r="L18" s="317" t="s">
        <v>394</v>
      </c>
      <c r="M18" s="320" t="s">
        <v>80</v>
      </c>
      <c r="N18" s="118" t="b">
        <v>0</v>
      </c>
      <c r="O18" s="119"/>
      <c r="Q18" s="284" t="s">
        <v>81</v>
      </c>
      <c r="R18" s="285" t="b">
        <v>0</v>
      </c>
      <c r="S18" s="285" t="b">
        <v>0</v>
      </c>
      <c r="T18" s="286" t="b">
        <v>1</v>
      </c>
    </row>
    <row r="19" outlineLevel="1">
      <c r="A19" s="317" t="s">
        <v>611</v>
      </c>
      <c r="B19" s="317" t="s">
        <v>74</v>
      </c>
      <c r="C19" s="316">
        <v>45932.0</v>
      </c>
      <c r="D19" s="317" t="s">
        <v>2207</v>
      </c>
      <c r="E19" s="317" t="s">
        <v>2208</v>
      </c>
      <c r="F19" s="317">
        <v>3.75670745E9</v>
      </c>
      <c r="G19" s="317" t="s">
        <v>2209</v>
      </c>
      <c r="H19" s="317" t="s">
        <v>2210</v>
      </c>
      <c r="I19" s="443">
        <v>45932.0</v>
      </c>
      <c r="J19" s="365">
        <v>32.0</v>
      </c>
      <c r="K19" s="431"/>
      <c r="L19" s="317"/>
      <c r="M19" s="320" t="s">
        <v>80</v>
      </c>
      <c r="N19" s="118" t="b">
        <v>1</v>
      </c>
      <c r="O19" s="119"/>
      <c r="Q19" s="284" t="s">
        <v>81</v>
      </c>
      <c r="R19" s="285" t="b">
        <v>0</v>
      </c>
      <c r="S19" s="285" t="b">
        <v>1</v>
      </c>
      <c r="T19" s="286" t="b">
        <v>1</v>
      </c>
    </row>
    <row r="20" outlineLevel="1">
      <c r="A20" s="317" t="s">
        <v>2026</v>
      </c>
      <c r="B20" s="317" t="s">
        <v>74</v>
      </c>
      <c r="C20" s="496">
        <v>45952.0</v>
      </c>
      <c r="D20" s="317" t="s">
        <v>2211</v>
      </c>
      <c r="E20" s="317" t="s">
        <v>312</v>
      </c>
      <c r="F20" s="317">
        <v>3.479130405E9</v>
      </c>
      <c r="G20" s="317" t="s">
        <v>2212</v>
      </c>
      <c r="H20" s="317" t="s">
        <v>2213</v>
      </c>
      <c r="I20" s="318">
        <v>45952.0</v>
      </c>
      <c r="J20" s="365">
        <v>37.0</v>
      </c>
      <c r="K20" s="431"/>
      <c r="L20" s="317"/>
      <c r="M20" s="317" t="s">
        <v>80</v>
      </c>
      <c r="N20" s="118" t="b">
        <v>1</v>
      </c>
      <c r="O20" s="119"/>
      <c r="Q20" s="284" t="s">
        <v>81</v>
      </c>
      <c r="R20" s="285" t="b">
        <v>0</v>
      </c>
      <c r="S20" s="285" t="b">
        <v>1</v>
      </c>
      <c r="T20" s="286" t="b">
        <v>1</v>
      </c>
    </row>
    <row r="21" outlineLevel="1">
      <c r="A21" s="317" t="s">
        <v>611</v>
      </c>
      <c r="B21" s="317" t="s">
        <v>74</v>
      </c>
      <c r="C21" s="316">
        <v>45936.0</v>
      </c>
      <c r="D21" s="317" t="s">
        <v>2214</v>
      </c>
      <c r="E21" s="317" t="s">
        <v>589</v>
      </c>
      <c r="F21" s="317">
        <v>3.667433835E9</v>
      </c>
      <c r="G21" s="317" t="s">
        <v>2215</v>
      </c>
      <c r="H21" s="317" t="s">
        <v>2216</v>
      </c>
      <c r="I21" s="135">
        <v>45936.0</v>
      </c>
      <c r="J21" s="365">
        <v>32.0</v>
      </c>
      <c r="K21" s="431"/>
      <c r="L21" s="317"/>
      <c r="M21" s="320" t="s">
        <v>100</v>
      </c>
      <c r="N21" s="118" t="b">
        <v>1</v>
      </c>
      <c r="O21" s="119"/>
      <c r="Q21" s="284" t="s">
        <v>81</v>
      </c>
      <c r="R21" s="285" t="b">
        <v>1</v>
      </c>
      <c r="S21" s="285" t="b">
        <v>0</v>
      </c>
      <c r="T21" s="286" t="b">
        <v>1</v>
      </c>
    </row>
    <row r="22" outlineLevel="1">
      <c r="A22" s="320" t="s">
        <v>611</v>
      </c>
      <c r="B22" s="320" t="s">
        <v>74</v>
      </c>
      <c r="C22" s="316">
        <v>45937.0</v>
      </c>
      <c r="D22" s="320" t="s">
        <v>2217</v>
      </c>
      <c r="E22" s="320" t="s">
        <v>87</v>
      </c>
      <c r="F22" s="320">
        <v>3.286757789E9</v>
      </c>
      <c r="G22" s="416" t="s">
        <v>2218</v>
      </c>
      <c r="H22" s="416" t="s">
        <v>2219</v>
      </c>
      <c r="I22" s="439">
        <v>45937.0</v>
      </c>
      <c r="J22" s="365">
        <v>32.0</v>
      </c>
      <c r="K22" s="431"/>
      <c r="L22" s="317"/>
      <c r="M22" s="320" t="s">
        <v>80</v>
      </c>
      <c r="N22" s="118" t="b">
        <v>1</v>
      </c>
      <c r="O22" s="119"/>
      <c r="Q22" s="284" t="s">
        <v>81</v>
      </c>
      <c r="R22" s="285" t="b">
        <v>0</v>
      </c>
      <c r="S22" s="285" t="b">
        <v>1</v>
      </c>
      <c r="T22" s="286" t="b">
        <v>1</v>
      </c>
    </row>
    <row r="23" outlineLevel="1">
      <c r="A23" s="317" t="s">
        <v>611</v>
      </c>
      <c r="B23" s="317" t="s">
        <v>74</v>
      </c>
      <c r="C23" s="316">
        <v>45938.0</v>
      </c>
      <c r="D23" s="317" t="s">
        <v>2220</v>
      </c>
      <c r="E23" s="317" t="s">
        <v>7</v>
      </c>
      <c r="F23" s="317">
        <v>3.338296855E9</v>
      </c>
      <c r="G23" s="317" t="s">
        <v>2221</v>
      </c>
      <c r="H23" s="317" t="s">
        <v>2222</v>
      </c>
      <c r="I23" s="443">
        <v>45938.0</v>
      </c>
      <c r="J23" s="365">
        <v>32.0</v>
      </c>
      <c r="K23" s="431"/>
      <c r="L23" s="317"/>
      <c r="M23" s="320" t="s">
        <v>80</v>
      </c>
      <c r="N23" s="118" t="b">
        <v>1</v>
      </c>
      <c r="O23" s="119"/>
      <c r="Q23" s="284" t="s">
        <v>81</v>
      </c>
      <c r="R23" s="285" t="b">
        <v>0</v>
      </c>
      <c r="S23" s="285" t="b">
        <v>1</v>
      </c>
      <c r="T23" s="286" t="b">
        <v>1</v>
      </c>
    </row>
    <row r="24" outlineLevel="1">
      <c r="A24" s="317" t="s">
        <v>611</v>
      </c>
      <c r="B24" s="317" t="s">
        <v>74</v>
      </c>
      <c r="C24" s="496">
        <v>45939.0</v>
      </c>
      <c r="D24" s="317" t="s">
        <v>2223</v>
      </c>
      <c r="E24" s="317" t="s">
        <v>2224</v>
      </c>
      <c r="F24" s="317">
        <v>3.398639539E9</v>
      </c>
      <c r="G24" s="317" t="s">
        <v>2225</v>
      </c>
      <c r="H24" s="317" t="s">
        <v>2226</v>
      </c>
      <c r="I24" s="318">
        <v>45939.0</v>
      </c>
      <c r="J24" s="365"/>
      <c r="K24" s="431">
        <v>35.0</v>
      </c>
      <c r="L24" s="317" t="s">
        <v>106</v>
      </c>
      <c r="M24" s="320" t="s">
        <v>80</v>
      </c>
      <c r="N24" s="118" t="b">
        <v>1</v>
      </c>
      <c r="O24" s="119"/>
      <c r="Q24" s="284" t="s">
        <v>81</v>
      </c>
      <c r="R24" s="285" t="b">
        <v>0</v>
      </c>
      <c r="S24" s="285" t="b">
        <v>1</v>
      </c>
      <c r="T24" s="286" t="b">
        <v>1</v>
      </c>
    </row>
    <row r="25" outlineLevel="1">
      <c r="A25" s="317" t="s">
        <v>611</v>
      </c>
      <c r="B25" s="317" t="s">
        <v>74</v>
      </c>
      <c r="C25" s="316">
        <v>45940.0</v>
      </c>
      <c r="D25" s="317" t="s">
        <v>2227</v>
      </c>
      <c r="E25" s="317" t="s">
        <v>2228</v>
      </c>
      <c r="F25" s="317">
        <v>3.517142864E9</v>
      </c>
      <c r="G25" s="317" t="s">
        <v>2229</v>
      </c>
      <c r="H25" s="317" t="s">
        <v>2230</v>
      </c>
      <c r="I25" s="318">
        <v>45940.0</v>
      </c>
      <c r="J25" s="365">
        <v>37.0</v>
      </c>
      <c r="K25" s="431"/>
      <c r="L25" s="317"/>
      <c r="M25" s="320" t="s">
        <v>80</v>
      </c>
      <c r="N25" s="118" t="b">
        <v>1</v>
      </c>
      <c r="O25" s="119"/>
      <c r="Q25" s="284" t="s">
        <v>81</v>
      </c>
      <c r="R25" s="285" t="b">
        <v>0</v>
      </c>
      <c r="S25" s="285" t="b">
        <v>1</v>
      </c>
      <c r="T25" s="286" t="b">
        <v>1</v>
      </c>
    </row>
    <row r="26" outlineLevel="1">
      <c r="A26" s="317" t="s">
        <v>611</v>
      </c>
      <c r="B26" s="317" t="s">
        <v>74</v>
      </c>
      <c r="C26" s="316">
        <v>45942.0</v>
      </c>
      <c r="D26" s="317" t="s">
        <v>2231</v>
      </c>
      <c r="E26" s="317" t="s">
        <v>650</v>
      </c>
      <c r="F26" s="317">
        <v>3.358290614E9</v>
      </c>
      <c r="G26" s="317" t="s">
        <v>2232</v>
      </c>
      <c r="H26" s="317" t="s">
        <v>2233</v>
      </c>
      <c r="I26" s="318">
        <v>45942.0</v>
      </c>
      <c r="J26" s="365">
        <v>37.0</v>
      </c>
      <c r="K26" s="431"/>
      <c r="L26" s="317"/>
      <c r="M26" s="320" t="s">
        <v>80</v>
      </c>
      <c r="N26" s="118" t="b">
        <v>1</v>
      </c>
      <c r="O26" s="119" t="s">
        <v>1094</v>
      </c>
      <c r="Q26" s="284" t="s">
        <v>81</v>
      </c>
      <c r="R26" s="285" t="b">
        <v>0</v>
      </c>
      <c r="S26" s="285" t="b">
        <v>1</v>
      </c>
      <c r="T26" s="286" t="b">
        <v>1</v>
      </c>
    </row>
    <row r="27" outlineLevel="1">
      <c r="A27" s="317" t="s">
        <v>611</v>
      </c>
      <c r="B27" s="317" t="s">
        <v>74</v>
      </c>
      <c r="C27" s="316">
        <v>45942.0</v>
      </c>
      <c r="D27" s="532" t="s">
        <v>2231</v>
      </c>
      <c r="E27" s="532" t="s">
        <v>650</v>
      </c>
      <c r="F27" s="317">
        <v>3.358290614E9</v>
      </c>
      <c r="G27" s="317" t="s">
        <v>2232</v>
      </c>
      <c r="H27" s="317" t="s">
        <v>2233</v>
      </c>
      <c r="I27" s="318">
        <v>45942.0</v>
      </c>
      <c r="J27" s="365">
        <v>37.0</v>
      </c>
      <c r="K27" s="436"/>
      <c r="L27" s="317"/>
      <c r="M27" s="320" t="s">
        <v>80</v>
      </c>
      <c r="N27" s="118" t="b">
        <v>1</v>
      </c>
      <c r="O27" s="119"/>
      <c r="Q27" s="284" t="s">
        <v>81</v>
      </c>
      <c r="R27" s="285" t="b">
        <v>0</v>
      </c>
      <c r="S27" s="285" t="b">
        <v>1</v>
      </c>
      <c r="T27" s="286" t="b">
        <v>1</v>
      </c>
    </row>
    <row r="28" outlineLevel="1">
      <c r="A28" s="317" t="s">
        <v>611</v>
      </c>
      <c r="B28" s="317" t="s">
        <v>74</v>
      </c>
      <c r="C28" s="316">
        <v>45943.0</v>
      </c>
      <c r="D28" s="317" t="s">
        <v>2234</v>
      </c>
      <c r="E28" s="317" t="s">
        <v>585</v>
      </c>
      <c r="F28" s="317">
        <v>3.452212579E9</v>
      </c>
      <c r="G28" s="469" t="s">
        <v>2235</v>
      </c>
      <c r="H28" s="469" t="s">
        <v>2236</v>
      </c>
      <c r="I28" s="318">
        <v>45943.0</v>
      </c>
      <c r="J28" s="365">
        <v>37.0</v>
      </c>
      <c r="K28" s="436"/>
      <c r="L28" s="432"/>
      <c r="M28" s="320" t="s">
        <v>80</v>
      </c>
      <c r="N28" s="118" t="b">
        <v>1</v>
      </c>
      <c r="O28" s="119"/>
      <c r="Q28" s="284" t="s">
        <v>81</v>
      </c>
      <c r="R28" s="285" t="b">
        <v>0</v>
      </c>
      <c r="S28" s="285" t="b">
        <v>1</v>
      </c>
      <c r="T28" s="286" t="b">
        <v>1</v>
      </c>
    </row>
    <row r="29" outlineLevel="1">
      <c r="A29" s="317" t="s">
        <v>611</v>
      </c>
      <c r="B29" s="317" t="s">
        <v>74</v>
      </c>
      <c r="C29" s="316">
        <v>45946.0</v>
      </c>
      <c r="D29" s="317" t="s">
        <v>2237</v>
      </c>
      <c r="E29" s="317" t="s">
        <v>151</v>
      </c>
      <c r="F29" s="317">
        <v>3.406844852E9</v>
      </c>
      <c r="G29" s="317" t="s">
        <v>2238</v>
      </c>
      <c r="H29" s="317" t="s">
        <v>2239</v>
      </c>
      <c r="I29" s="318">
        <v>45946.0</v>
      </c>
      <c r="J29" s="365">
        <v>37.0</v>
      </c>
      <c r="K29" s="431"/>
      <c r="L29" s="317"/>
      <c r="M29" s="320" t="s">
        <v>80</v>
      </c>
      <c r="N29" s="118" t="b">
        <v>1</v>
      </c>
      <c r="O29" s="119"/>
      <c r="Q29" s="284" t="s">
        <v>81</v>
      </c>
      <c r="R29" s="285" t="b">
        <v>0</v>
      </c>
      <c r="S29" s="285" t="b">
        <v>1</v>
      </c>
      <c r="T29" s="286" t="b">
        <v>1</v>
      </c>
    </row>
    <row r="30" outlineLevel="1">
      <c r="A30" s="317" t="s">
        <v>2026</v>
      </c>
      <c r="B30" s="317" t="s">
        <v>74</v>
      </c>
      <c r="C30" s="316">
        <v>45951.0</v>
      </c>
      <c r="D30" s="317" t="s">
        <v>2240</v>
      </c>
      <c r="E30" s="317" t="s">
        <v>797</v>
      </c>
      <c r="F30" s="317">
        <v>3.473777133E9</v>
      </c>
      <c r="G30" s="317" t="s">
        <v>2241</v>
      </c>
      <c r="H30" s="317" t="s">
        <v>2242</v>
      </c>
      <c r="I30" s="318">
        <v>45951.0</v>
      </c>
      <c r="J30" s="365">
        <v>37.0</v>
      </c>
      <c r="K30" s="431"/>
      <c r="L30" s="317"/>
      <c r="M30" s="320" t="s">
        <v>80</v>
      </c>
      <c r="N30" s="118" t="b">
        <v>1</v>
      </c>
      <c r="O30" s="119"/>
      <c r="Q30" s="284" t="s">
        <v>81</v>
      </c>
      <c r="R30" s="285" t="b">
        <v>0</v>
      </c>
      <c r="S30" s="285" t="b">
        <v>1</v>
      </c>
      <c r="T30" s="286" t="b">
        <v>1</v>
      </c>
    </row>
    <row r="31" outlineLevel="1">
      <c r="A31" s="320" t="s">
        <v>2026</v>
      </c>
      <c r="B31" s="320" t="s">
        <v>74</v>
      </c>
      <c r="C31" s="465">
        <v>45951.0</v>
      </c>
      <c r="D31" s="320" t="s">
        <v>2243</v>
      </c>
      <c r="E31" s="320" t="s">
        <v>492</v>
      </c>
      <c r="F31" s="320">
        <v>3.483483587E9</v>
      </c>
      <c r="G31" s="111" t="s">
        <v>2244</v>
      </c>
      <c r="H31" s="320" t="s">
        <v>2245</v>
      </c>
      <c r="I31" s="439">
        <v>45951.0</v>
      </c>
      <c r="J31" s="365">
        <v>37.0</v>
      </c>
      <c r="K31" s="431"/>
      <c r="L31" s="317"/>
      <c r="M31" s="320" t="s">
        <v>80</v>
      </c>
      <c r="N31" s="118" t="b">
        <v>1</v>
      </c>
      <c r="O31" s="119"/>
      <c r="Q31" s="284" t="s">
        <v>81</v>
      </c>
      <c r="R31" s="285" t="b">
        <v>0</v>
      </c>
      <c r="S31" s="285" t="b">
        <v>1</v>
      </c>
      <c r="T31" s="286" t="b">
        <v>1</v>
      </c>
    </row>
    <row r="32" outlineLevel="1">
      <c r="A32" s="317" t="s">
        <v>2026</v>
      </c>
      <c r="B32" s="317" t="s">
        <v>74</v>
      </c>
      <c r="C32" s="316">
        <v>45951.0</v>
      </c>
      <c r="D32" s="317" t="s">
        <v>2246</v>
      </c>
      <c r="E32" s="317" t="s">
        <v>643</v>
      </c>
      <c r="F32" s="317">
        <v>3.334848798E9</v>
      </c>
      <c r="G32" s="317" t="s">
        <v>2247</v>
      </c>
      <c r="H32" s="317" t="s">
        <v>2248</v>
      </c>
      <c r="I32" s="318">
        <v>45951.0</v>
      </c>
      <c r="J32" s="365">
        <v>37.0</v>
      </c>
      <c r="K32" s="431"/>
      <c r="L32" s="317"/>
      <c r="M32" s="320" t="s">
        <v>100</v>
      </c>
      <c r="N32" s="118" t="b">
        <v>1</v>
      </c>
      <c r="O32" s="119"/>
      <c r="Q32" s="284" t="s">
        <v>81</v>
      </c>
      <c r="R32" s="285" t="b">
        <v>1</v>
      </c>
      <c r="S32" s="285" t="b">
        <v>0</v>
      </c>
      <c r="T32" s="286" t="b">
        <v>1</v>
      </c>
    </row>
    <row r="33" outlineLevel="1">
      <c r="A33" s="317" t="s">
        <v>2026</v>
      </c>
      <c r="B33" s="317" t="s">
        <v>74</v>
      </c>
      <c r="C33" s="316">
        <v>45952.0</v>
      </c>
      <c r="D33" s="317" t="s">
        <v>849</v>
      </c>
      <c r="E33" s="317" t="s">
        <v>492</v>
      </c>
      <c r="F33" s="317">
        <v>3.334033102E9</v>
      </c>
      <c r="G33" s="317" t="s">
        <v>850</v>
      </c>
      <c r="H33" s="317" t="s">
        <v>2249</v>
      </c>
      <c r="I33" s="318">
        <v>45952.0</v>
      </c>
      <c r="J33" s="365">
        <v>37.0</v>
      </c>
      <c r="K33" s="431"/>
      <c r="L33" s="317"/>
      <c r="M33" s="320" t="s">
        <v>80</v>
      </c>
      <c r="N33" s="118" t="b">
        <v>1</v>
      </c>
      <c r="O33" s="119"/>
      <c r="Q33" s="284" t="s">
        <v>81</v>
      </c>
      <c r="R33" s="285" t="b">
        <v>0</v>
      </c>
      <c r="S33" s="285" t="b">
        <v>1</v>
      </c>
      <c r="T33" s="286" t="b">
        <v>1</v>
      </c>
    </row>
    <row r="34" outlineLevel="1">
      <c r="A34" s="317" t="s">
        <v>101</v>
      </c>
      <c r="B34" s="317" t="s">
        <v>102</v>
      </c>
      <c r="C34" s="316">
        <v>45952.0</v>
      </c>
      <c r="D34" s="317" t="s">
        <v>2250</v>
      </c>
      <c r="E34" s="317" t="s">
        <v>2251</v>
      </c>
      <c r="F34" s="317">
        <v>5.492995090362E12</v>
      </c>
      <c r="G34" s="317" t="s">
        <v>2252</v>
      </c>
      <c r="H34" s="317" t="s">
        <v>2253</v>
      </c>
      <c r="I34" s="443">
        <v>45952.0</v>
      </c>
      <c r="J34" s="365">
        <v>37.0</v>
      </c>
      <c r="K34" s="431"/>
      <c r="L34" s="317"/>
      <c r="M34" s="320" t="s">
        <v>80</v>
      </c>
      <c r="N34" s="118" t="b">
        <v>0</v>
      </c>
      <c r="O34" s="119"/>
      <c r="Q34" s="284" t="s">
        <v>81</v>
      </c>
      <c r="R34" s="285" t="b">
        <v>0</v>
      </c>
      <c r="S34" s="285" t="b">
        <v>1</v>
      </c>
      <c r="T34" s="286" t="b">
        <v>1</v>
      </c>
    </row>
    <row r="35" outlineLevel="1">
      <c r="A35" s="317" t="s">
        <v>2026</v>
      </c>
      <c r="B35" s="317" t="s">
        <v>74</v>
      </c>
      <c r="C35" s="316">
        <v>45952.0</v>
      </c>
      <c r="D35" s="317" t="s">
        <v>2251</v>
      </c>
      <c r="E35" s="317" t="s">
        <v>298</v>
      </c>
      <c r="F35" s="317">
        <v>3.517619123E9</v>
      </c>
      <c r="G35" s="317" t="s">
        <v>2254</v>
      </c>
      <c r="H35" s="317" t="s">
        <v>2255</v>
      </c>
      <c r="I35" s="443">
        <v>45952.0</v>
      </c>
      <c r="J35" s="365">
        <v>37.0</v>
      </c>
      <c r="K35" s="431"/>
      <c r="L35" s="317"/>
      <c r="M35" s="320" t="s">
        <v>100</v>
      </c>
      <c r="N35" s="118" t="b">
        <v>1</v>
      </c>
      <c r="O35" s="119"/>
      <c r="Q35" s="284" t="s">
        <v>81</v>
      </c>
      <c r="R35" s="285" t="b">
        <v>1</v>
      </c>
      <c r="S35" s="285" t="b">
        <v>0</v>
      </c>
      <c r="T35" s="286" t="b">
        <v>1</v>
      </c>
    </row>
    <row r="36" outlineLevel="1">
      <c r="A36" s="317" t="s">
        <v>2026</v>
      </c>
      <c r="B36" s="317" t="s">
        <v>74</v>
      </c>
      <c r="C36" s="316">
        <v>45953.0</v>
      </c>
      <c r="D36" s="317" t="s">
        <v>2256</v>
      </c>
      <c r="E36" s="317" t="s">
        <v>2257</v>
      </c>
      <c r="F36" s="317">
        <v>3.477106018E9</v>
      </c>
      <c r="G36" s="317" t="s">
        <v>2258</v>
      </c>
      <c r="H36" s="317" t="s">
        <v>2259</v>
      </c>
      <c r="I36" s="443">
        <v>45953.0</v>
      </c>
      <c r="J36" s="365"/>
      <c r="K36" s="431">
        <v>35.0</v>
      </c>
      <c r="L36" s="317" t="s">
        <v>902</v>
      </c>
      <c r="M36" s="320" t="s">
        <v>80</v>
      </c>
      <c r="N36" s="118" t="b">
        <v>1</v>
      </c>
      <c r="O36" s="119"/>
      <c r="Q36" s="284" t="s">
        <v>81</v>
      </c>
      <c r="R36" s="285" t="b">
        <v>0</v>
      </c>
      <c r="S36" s="285" t="b">
        <v>1</v>
      </c>
      <c r="T36" s="286" t="b">
        <v>1</v>
      </c>
    </row>
    <row r="37" outlineLevel="1">
      <c r="A37" s="317" t="s">
        <v>2026</v>
      </c>
      <c r="B37" s="317" t="s">
        <v>74</v>
      </c>
      <c r="C37" s="316">
        <v>45953.0</v>
      </c>
      <c r="D37" s="317" t="s">
        <v>2260</v>
      </c>
      <c r="E37" s="317" t="s">
        <v>2261</v>
      </c>
      <c r="F37" s="317">
        <v>3.202625201E9</v>
      </c>
      <c r="G37" s="317" t="s">
        <v>2262</v>
      </c>
      <c r="H37" s="317" t="s">
        <v>2263</v>
      </c>
      <c r="I37" s="443">
        <v>45953.0</v>
      </c>
      <c r="J37" s="365"/>
      <c r="K37" s="431">
        <v>35.0</v>
      </c>
      <c r="L37" s="317" t="s">
        <v>99</v>
      </c>
      <c r="M37" s="320" t="s">
        <v>80</v>
      </c>
      <c r="N37" s="118" t="b">
        <v>1</v>
      </c>
      <c r="O37" s="119"/>
      <c r="Q37" s="284" t="s">
        <v>81</v>
      </c>
      <c r="R37" s="285" t="b">
        <v>0</v>
      </c>
      <c r="S37" s="285" t="b">
        <v>1</v>
      </c>
      <c r="T37" s="286" t="b">
        <v>1</v>
      </c>
    </row>
    <row r="38" outlineLevel="1">
      <c r="A38" s="317" t="s">
        <v>2026</v>
      </c>
      <c r="B38" s="317" t="s">
        <v>74</v>
      </c>
      <c r="C38" s="316">
        <v>45954.0</v>
      </c>
      <c r="D38" s="317" t="s">
        <v>2264</v>
      </c>
      <c r="E38" s="317" t="s">
        <v>2091</v>
      </c>
      <c r="F38" s="317">
        <v>3.792641976E9</v>
      </c>
      <c r="G38" s="317" t="s">
        <v>2265</v>
      </c>
      <c r="H38" s="317" t="s">
        <v>2266</v>
      </c>
      <c r="I38" s="443">
        <v>45954.0</v>
      </c>
      <c r="J38" s="365">
        <v>37.0</v>
      </c>
      <c r="K38" s="431"/>
      <c r="L38" s="317"/>
      <c r="M38" s="320" t="s">
        <v>80</v>
      </c>
      <c r="N38" s="118" t="b">
        <v>0</v>
      </c>
      <c r="O38" s="119"/>
      <c r="Q38" s="284" t="s">
        <v>81</v>
      </c>
      <c r="R38" s="285" t="b">
        <v>0</v>
      </c>
      <c r="S38" s="285" t="b">
        <v>1</v>
      </c>
      <c r="T38" s="286" t="b">
        <v>1</v>
      </c>
    </row>
    <row r="39" outlineLevel="1">
      <c r="A39" s="317" t="s">
        <v>611</v>
      </c>
      <c r="B39" s="317" t="s">
        <v>74</v>
      </c>
      <c r="C39" s="316">
        <v>45955.0</v>
      </c>
      <c r="D39" s="317" t="s">
        <v>2267</v>
      </c>
      <c r="E39" s="317" t="s">
        <v>1243</v>
      </c>
      <c r="F39" s="317">
        <v>3.428069517E9</v>
      </c>
      <c r="G39" s="317" t="s">
        <v>2268</v>
      </c>
      <c r="H39" s="317" t="s">
        <v>2269</v>
      </c>
      <c r="I39" s="318">
        <v>45955.0</v>
      </c>
      <c r="J39" s="365">
        <v>37.0</v>
      </c>
      <c r="K39" s="431"/>
      <c r="L39" s="317"/>
      <c r="M39" s="320" t="s">
        <v>80</v>
      </c>
      <c r="N39" s="118" t="b">
        <v>1</v>
      </c>
      <c r="O39" s="119" t="s">
        <v>2270</v>
      </c>
      <c r="Q39" s="284" t="s">
        <v>81</v>
      </c>
      <c r="R39" s="285" t="b">
        <v>0</v>
      </c>
      <c r="S39" s="285" t="b">
        <v>1</v>
      </c>
      <c r="T39" s="286" t="b">
        <v>1</v>
      </c>
    </row>
    <row r="40" outlineLevel="1">
      <c r="A40" s="317" t="s">
        <v>611</v>
      </c>
      <c r="B40" s="317" t="s">
        <v>74</v>
      </c>
      <c r="C40" s="316">
        <v>45955.0</v>
      </c>
      <c r="D40" s="317" t="s">
        <v>2267</v>
      </c>
      <c r="E40" s="317" t="s">
        <v>1243</v>
      </c>
      <c r="F40" s="317">
        <v>3.428069517E9</v>
      </c>
      <c r="G40" s="317" t="s">
        <v>2268</v>
      </c>
      <c r="H40" s="317" t="s">
        <v>2269</v>
      </c>
      <c r="I40" s="318">
        <v>45955.0</v>
      </c>
      <c r="J40" s="365">
        <v>37.0</v>
      </c>
      <c r="K40" s="431"/>
      <c r="L40" s="317"/>
      <c r="M40" s="320" t="s">
        <v>80</v>
      </c>
      <c r="N40" s="118" t="b">
        <v>1</v>
      </c>
      <c r="O40" s="119"/>
      <c r="Q40" s="284" t="s">
        <v>81</v>
      </c>
      <c r="R40" s="285" t="b">
        <v>0</v>
      </c>
      <c r="S40" s="285" t="b">
        <v>1</v>
      </c>
      <c r="T40" s="286" t="b">
        <v>1</v>
      </c>
    </row>
    <row r="41" outlineLevel="1">
      <c r="A41" s="317" t="s">
        <v>611</v>
      </c>
      <c r="B41" s="317" t="s">
        <v>74</v>
      </c>
      <c r="C41" s="316">
        <v>45955.0</v>
      </c>
      <c r="D41" s="317" t="s">
        <v>2267</v>
      </c>
      <c r="E41" s="317" t="s">
        <v>1243</v>
      </c>
      <c r="F41" s="317">
        <v>3.428069517E9</v>
      </c>
      <c r="G41" s="317" t="s">
        <v>2268</v>
      </c>
      <c r="H41" s="317" t="s">
        <v>2269</v>
      </c>
      <c r="I41" s="318">
        <v>45955.0</v>
      </c>
      <c r="J41" s="365">
        <v>37.0</v>
      </c>
      <c r="K41" s="431"/>
      <c r="L41" s="317"/>
      <c r="M41" s="317" t="s">
        <v>80</v>
      </c>
      <c r="N41" s="118" t="b">
        <v>1</v>
      </c>
      <c r="O41" s="119"/>
      <c r="Q41" s="284" t="s">
        <v>81</v>
      </c>
      <c r="R41" s="285" t="b">
        <v>0</v>
      </c>
      <c r="S41" s="285" t="b">
        <v>1</v>
      </c>
      <c r="T41" s="286" t="b">
        <v>1</v>
      </c>
    </row>
    <row r="42" outlineLevel="1">
      <c r="A42" s="317" t="s">
        <v>73</v>
      </c>
      <c r="B42" s="317" t="s">
        <v>74</v>
      </c>
      <c r="C42" s="316">
        <v>45955.0</v>
      </c>
      <c r="D42" s="320" t="s">
        <v>836</v>
      </c>
      <c r="E42" s="317" t="s">
        <v>347</v>
      </c>
      <c r="F42" s="317">
        <v>3.389317331E9</v>
      </c>
      <c r="G42" s="317" t="s">
        <v>837</v>
      </c>
      <c r="H42" s="317" t="s">
        <v>838</v>
      </c>
      <c r="I42" s="318">
        <v>45955.0</v>
      </c>
      <c r="J42" s="365">
        <v>37.0</v>
      </c>
      <c r="K42" s="431"/>
      <c r="L42" s="317"/>
      <c r="M42" s="317" t="s">
        <v>80</v>
      </c>
      <c r="N42" s="118" t="b">
        <v>1</v>
      </c>
      <c r="O42" s="119"/>
      <c r="Q42" s="284" t="s">
        <v>81</v>
      </c>
      <c r="R42" s="285" t="b">
        <v>0</v>
      </c>
      <c r="S42" s="285" t="b">
        <v>1</v>
      </c>
      <c r="T42" s="286" t="b">
        <v>1</v>
      </c>
    </row>
    <row r="43" ht="18.75" customHeight="1" outlineLevel="1">
      <c r="A43" s="317" t="s">
        <v>73</v>
      </c>
      <c r="B43" s="317" t="s">
        <v>74</v>
      </c>
      <c r="C43" s="316">
        <v>45955.0</v>
      </c>
      <c r="D43" s="320" t="s">
        <v>943</v>
      </c>
      <c r="E43" s="317" t="s">
        <v>496</v>
      </c>
      <c r="F43" s="317">
        <v>3.496136343E9</v>
      </c>
      <c r="G43" s="317" t="s">
        <v>2041</v>
      </c>
      <c r="H43" s="317" t="s">
        <v>2042</v>
      </c>
      <c r="I43" s="318">
        <v>45955.0</v>
      </c>
      <c r="J43" s="365">
        <v>37.0</v>
      </c>
      <c r="K43" s="431"/>
      <c r="L43" s="317"/>
      <c r="M43" s="320" t="s">
        <v>80</v>
      </c>
      <c r="N43" s="118" t="b">
        <v>1</v>
      </c>
      <c r="O43" s="119" t="s">
        <v>2271</v>
      </c>
      <c r="Q43" s="284" t="s">
        <v>81</v>
      </c>
      <c r="R43" s="285" t="b">
        <v>0</v>
      </c>
      <c r="S43" s="285" t="b">
        <v>1</v>
      </c>
      <c r="T43" s="286" t="b">
        <v>1</v>
      </c>
    </row>
    <row r="44" outlineLevel="1">
      <c r="A44" s="317" t="s">
        <v>73</v>
      </c>
      <c r="B44" s="317" t="s">
        <v>74</v>
      </c>
      <c r="C44" s="316">
        <v>45955.0</v>
      </c>
      <c r="D44" s="320" t="s">
        <v>943</v>
      </c>
      <c r="E44" s="317" t="s">
        <v>496</v>
      </c>
      <c r="F44" s="317">
        <v>3.496136343E9</v>
      </c>
      <c r="G44" s="317" t="s">
        <v>2041</v>
      </c>
      <c r="H44" s="317" t="s">
        <v>2042</v>
      </c>
      <c r="I44" s="318">
        <v>45955.0</v>
      </c>
      <c r="J44" s="365">
        <v>37.0</v>
      </c>
      <c r="K44" s="431"/>
      <c r="L44" s="432"/>
      <c r="M44" s="317" t="s">
        <v>80</v>
      </c>
      <c r="N44" s="118" t="b">
        <v>1</v>
      </c>
      <c r="O44" s="119"/>
      <c r="Q44" s="284" t="s">
        <v>81</v>
      </c>
      <c r="R44" s="285" t="b">
        <v>0</v>
      </c>
      <c r="S44" s="285" t="b">
        <v>1</v>
      </c>
      <c r="T44" s="286" t="b">
        <v>1</v>
      </c>
    </row>
    <row r="45" outlineLevel="1">
      <c r="A45" s="317" t="s">
        <v>73</v>
      </c>
      <c r="B45" s="317" t="s">
        <v>74</v>
      </c>
      <c r="C45" s="316">
        <v>45956.0</v>
      </c>
      <c r="D45" s="317" t="s">
        <v>2272</v>
      </c>
      <c r="E45" s="317" t="s">
        <v>2273</v>
      </c>
      <c r="F45" s="317">
        <v>3.661461214E9</v>
      </c>
      <c r="G45" s="317" t="s">
        <v>2274</v>
      </c>
      <c r="H45" s="317" t="s">
        <v>2275</v>
      </c>
      <c r="I45" s="318">
        <v>45956.0</v>
      </c>
      <c r="J45" s="365">
        <v>37.0</v>
      </c>
      <c r="K45" s="431"/>
      <c r="L45" s="317"/>
      <c r="M45" s="320" t="s">
        <v>80</v>
      </c>
      <c r="N45" s="118" t="b">
        <v>1</v>
      </c>
      <c r="O45" s="119"/>
      <c r="Q45" s="284" t="s">
        <v>81</v>
      </c>
      <c r="R45" s="285" t="b">
        <v>0</v>
      </c>
      <c r="S45" s="285" t="b">
        <v>1</v>
      </c>
      <c r="T45" s="286" t="b">
        <v>1</v>
      </c>
    </row>
    <row r="46" outlineLevel="1">
      <c r="A46" s="317" t="s">
        <v>73</v>
      </c>
      <c r="B46" s="317" t="s">
        <v>74</v>
      </c>
      <c r="C46" s="316">
        <v>45959.0</v>
      </c>
      <c r="D46" s="317" t="s">
        <v>2276</v>
      </c>
      <c r="E46" s="317" t="s">
        <v>650</v>
      </c>
      <c r="F46" s="317">
        <v>3.756793687E9</v>
      </c>
      <c r="G46" s="471" t="s">
        <v>2277</v>
      </c>
      <c r="H46" s="317" t="s">
        <v>2278</v>
      </c>
      <c r="I46" s="443">
        <v>45959.0</v>
      </c>
      <c r="J46" s="365">
        <v>37.0</v>
      </c>
      <c r="K46" s="431"/>
      <c r="L46" s="317"/>
      <c r="M46" s="317" t="s">
        <v>80</v>
      </c>
      <c r="N46" s="118" t="b">
        <v>1</v>
      </c>
      <c r="O46" s="119"/>
      <c r="Q46" s="284" t="s">
        <v>81</v>
      </c>
      <c r="R46" s="285" t="b">
        <v>0</v>
      </c>
      <c r="S46" s="285" t="b">
        <v>1</v>
      </c>
      <c r="T46" s="286" t="b">
        <v>1</v>
      </c>
    </row>
    <row r="47" outlineLevel="1">
      <c r="A47" s="317" t="s">
        <v>73</v>
      </c>
      <c r="B47" s="317" t="s">
        <v>74</v>
      </c>
      <c r="C47" s="316">
        <v>45961.0</v>
      </c>
      <c r="D47" s="317" t="s">
        <v>2279</v>
      </c>
      <c r="E47" s="317" t="s">
        <v>298</v>
      </c>
      <c r="F47" s="317">
        <v>3.922034571E9</v>
      </c>
      <c r="G47" s="317" t="s">
        <v>2280</v>
      </c>
      <c r="H47" s="317" t="s">
        <v>2281</v>
      </c>
      <c r="I47" s="443">
        <v>45961.0</v>
      </c>
      <c r="J47" s="365">
        <v>37.0</v>
      </c>
      <c r="K47" s="431"/>
      <c r="L47" s="317"/>
      <c r="M47" s="317" t="s">
        <v>80</v>
      </c>
      <c r="N47" s="118" t="b">
        <v>1</v>
      </c>
      <c r="O47" s="119"/>
      <c r="Q47" s="284" t="s">
        <v>81</v>
      </c>
      <c r="R47" s="285" t="b">
        <v>0</v>
      </c>
      <c r="S47" s="285" t="b">
        <v>1</v>
      </c>
      <c r="T47" s="286" t="b">
        <v>1</v>
      </c>
    </row>
    <row r="48" outlineLevel="1">
      <c r="A48" s="317" t="s">
        <v>73</v>
      </c>
      <c r="B48" s="317" t="s">
        <v>74</v>
      </c>
      <c r="C48" s="316">
        <v>45961.0</v>
      </c>
      <c r="D48" s="317" t="s">
        <v>2282</v>
      </c>
      <c r="E48" s="317" t="s">
        <v>2283</v>
      </c>
      <c r="F48" s="317">
        <v>3.922143888E9</v>
      </c>
      <c r="G48" s="317" t="s">
        <v>2284</v>
      </c>
      <c r="H48" s="317" t="s">
        <v>2285</v>
      </c>
      <c r="I48" s="443">
        <v>45961.0</v>
      </c>
      <c r="J48" s="365">
        <v>37.0</v>
      </c>
      <c r="K48" s="431"/>
      <c r="L48" s="317"/>
      <c r="M48" s="317" t="s">
        <v>80</v>
      </c>
      <c r="N48" s="118" t="b">
        <v>1</v>
      </c>
      <c r="O48" s="119"/>
      <c r="Q48" s="284" t="s">
        <v>81</v>
      </c>
      <c r="R48" s="285" t="b">
        <v>0</v>
      </c>
      <c r="S48" s="285" t="b">
        <v>1</v>
      </c>
      <c r="T48" s="286" t="b">
        <v>1</v>
      </c>
    </row>
    <row r="49" outlineLevel="1">
      <c r="A49" s="317" t="s">
        <v>73</v>
      </c>
      <c r="B49" s="317" t="s">
        <v>74</v>
      </c>
      <c r="C49" s="316">
        <v>45962.0</v>
      </c>
      <c r="D49" s="317" t="s">
        <v>2286</v>
      </c>
      <c r="E49" s="317" t="s">
        <v>12</v>
      </c>
      <c r="F49" s="317">
        <v>3.515017955E9</v>
      </c>
      <c r="G49" s="317" t="s">
        <v>2287</v>
      </c>
      <c r="H49" s="317" t="s">
        <v>2288</v>
      </c>
      <c r="I49" s="443">
        <v>45962.0</v>
      </c>
      <c r="J49" s="365">
        <v>37.0</v>
      </c>
      <c r="K49" s="431"/>
      <c r="L49" s="317"/>
      <c r="M49" s="317" t="s">
        <v>80</v>
      </c>
      <c r="N49" s="118" t="b">
        <v>1</v>
      </c>
      <c r="O49" s="119"/>
      <c r="Q49" s="284" t="s">
        <v>81</v>
      </c>
      <c r="R49" s="285" t="b">
        <v>0</v>
      </c>
      <c r="S49" s="285" t="b">
        <v>1</v>
      </c>
      <c r="T49" s="286" t="b">
        <v>1</v>
      </c>
    </row>
    <row r="50" outlineLevel="1">
      <c r="A50" s="317" t="s">
        <v>73</v>
      </c>
      <c r="B50" s="317" t="s">
        <v>74</v>
      </c>
      <c r="C50" s="472">
        <v>45962.0</v>
      </c>
      <c r="D50" s="317" t="s">
        <v>2289</v>
      </c>
      <c r="E50" s="317" t="s">
        <v>294</v>
      </c>
      <c r="F50" s="317">
        <v>3.755545464E9</v>
      </c>
      <c r="G50" s="317" t="s">
        <v>2290</v>
      </c>
      <c r="H50" s="317" t="s">
        <v>2291</v>
      </c>
      <c r="I50" s="439">
        <v>45962.0</v>
      </c>
      <c r="J50" s="365">
        <v>37.0</v>
      </c>
      <c r="K50" s="431"/>
      <c r="L50" s="317"/>
      <c r="M50" s="320" t="s">
        <v>80</v>
      </c>
      <c r="N50" s="118" t="b">
        <v>1</v>
      </c>
      <c r="O50" s="119"/>
      <c r="Q50" s="284" t="s">
        <v>81</v>
      </c>
      <c r="R50" s="285" t="b">
        <v>0</v>
      </c>
      <c r="S50" s="285" t="b">
        <v>1</v>
      </c>
      <c r="T50" s="286" t="b">
        <v>1</v>
      </c>
    </row>
    <row r="51" outlineLevel="1">
      <c r="A51" s="317" t="s">
        <v>73</v>
      </c>
      <c r="B51" s="317" t="s">
        <v>74</v>
      </c>
      <c r="C51" s="472">
        <v>45962.0</v>
      </c>
      <c r="D51" s="317" t="s">
        <v>2292</v>
      </c>
      <c r="E51" s="317" t="s">
        <v>589</v>
      </c>
      <c r="F51" s="317">
        <v>3.911093519E9</v>
      </c>
      <c r="G51" s="317" t="s">
        <v>2293</v>
      </c>
      <c r="H51" s="317" t="s">
        <v>2294</v>
      </c>
      <c r="I51" s="439">
        <v>45962.0</v>
      </c>
      <c r="J51" s="365">
        <v>37.0</v>
      </c>
      <c r="K51" s="431"/>
      <c r="L51" s="317"/>
      <c r="M51" s="320" t="s">
        <v>80</v>
      </c>
      <c r="N51" s="118" t="b">
        <v>1</v>
      </c>
      <c r="O51" s="119"/>
      <c r="Q51" s="284" t="s">
        <v>81</v>
      </c>
      <c r="R51" s="285" t="b">
        <v>0</v>
      </c>
      <c r="S51" s="285" t="b">
        <v>1</v>
      </c>
      <c r="T51" s="286" t="b">
        <v>1</v>
      </c>
    </row>
    <row r="52" outlineLevel="1">
      <c r="A52" s="317" t="s">
        <v>73</v>
      </c>
      <c r="B52" s="317" t="s">
        <v>74</v>
      </c>
      <c r="C52" s="472">
        <v>45962.0</v>
      </c>
      <c r="D52" s="317" t="s">
        <v>2295</v>
      </c>
      <c r="E52" s="317" t="s">
        <v>7</v>
      </c>
      <c r="F52" s="317">
        <v>3.928824893E9</v>
      </c>
      <c r="G52" s="317" t="s">
        <v>2296</v>
      </c>
      <c r="H52" s="317" t="s">
        <v>2297</v>
      </c>
      <c r="I52" s="439">
        <v>45962.0</v>
      </c>
      <c r="J52" s="365">
        <v>37.0</v>
      </c>
      <c r="K52" s="431"/>
      <c r="L52" s="317"/>
      <c r="M52" s="320" t="s">
        <v>80</v>
      </c>
      <c r="N52" s="118" t="b">
        <v>1</v>
      </c>
      <c r="O52" s="119"/>
      <c r="Q52" s="284" t="s">
        <v>81</v>
      </c>
      <c r="R52" s="285" t="b">
        <v>0</v>
      </c>
      <c r="S52" s="285" t="b">
        <v>1</v>
      </c>
      <c r="T52" s="286" t="b">
        <v>1</v>
      </c>
    </row>
    <row r="53" outlineLevel="1">
      <c r="A53" s="317" t="s">
        <v>73</v>
      </c>
      <c r="B53" s="317" t="s">
        <v>74</v>
      </c>
      <c r="C53" s="473">
        <v>45963.0</v>
      </c>
      <c r="D53" s="320" t="s">
        <v>2298</v>
      </c>
      <c r="E53" s="320" t="s">
        <v>912</v>
      </c>
      <c r="F53" s="320">
        <v>3.385745575E9</v>
      </c>
      <c r="G53" s="320" t="s">
        <v>2299</v>
      </c>
      <c r="H53" s="320" t="s">
        <v>2300</v>
      </c>
      <c r="I53" s="439">
        <v>45963.0</v>
      </c>
      <c r="J53" s="365">
        <v>37.0</v>
      </c>
      <c r="K53" s="431"/>
      <c r="L53" s="317"/>
      <c r="M53" s="320" t="s">
        <v>100</v>
      </c>
      <c r="N53" s="118" t="b">
        <v>1</v>
      </c>
      <c r="O53" s="119"/>
      <c r="Q53" s="284" t="s">
        <v>81</v>
      </c>
      <c r="R53" s="285" t="b">
        <v>1</v>
      </c>
      <c r="S53" s="285" t="b">
        <v>0</v>
      </c>
      <c r="T53" s="286" t="b">
        <v>1</v>
      </c>
    </row>
    <row r="54" outlineLevel="1">
      <c r="A54" s="317" t="s">
        <v>73</v>
      </c>
      <c r="B54" s="317" t="s">
        <v>74</v>
      </c>
      <c r="C54" s="536">
        <v>45963.0</v>
      </c>
      <c r="D54" s="116" t="s">
        <v>2301</v>
      </c>
      <c r="E54" s="317" t="s">
        <v>351</v>
      </c>
      <c r="F54" s="317">
        <v>3.44428614E9</v>
      </c>
      <c r="G54" s="317" t="s">
        <v>2302</v>
      </c>
      <c r="H54" s="317" t="s">
        <v>2303</v>
      </c>
      <c r="I54" s="318">
        <v>45963.0</v>
      </c>
      <c r="J54" s="365">
        <v>37.0</v>
      </c>
      <c r="K54" s="431"/>
      <c r="L54" s="432"/>
      <c r="M54" s="317" t="s">
        <v>80</v>
      </c>
      <c r="N54" s="118" t="b">
        <v>1</v>
      </c>
      <c r="O54" s="119"/>
      <c r="Q54" s="284" t="s">
        <v>81</v>
      </c>
      <c r="R54" s="285" t="b">
        <v>0</v>
      </c>
      <c r="S54" s="285" t="b">
        <v>1</v>
      </c>
      <c r="T54" s="286" t="b">
        <v>1</v>
      </c>
    </row>
    <row r="55" outlineLevel="1">
      <c r="A55" s="317" t="s">
        <v>73</v>
      </c>
      <c r="B55" s="317" t="s">
        <v>74</v>
      </c>
      <c r="C55" s="473">
        <v>45964.0</v>
      </c>
      <c r="D55" s="317" t="s">
        <v>2304</v>
      </c>
      <c r="E55" s="317" t="s">
        <v>87</v>
      </c>
      <c r="F55" s="317">
        <v>3.475605123E9</v>
      </c>
      <c r="G55" s="317" t="s">
        <v>2305</v>
      </c>
      <c r="H55" s="317" t="s">
        <v>2306</v>
      </c>
      <c r="I55" s="439">
        <v>45964.0</v>
      </c>
      <c r="J55" s="365"/>
      <c r="K55" s="431">
        <v>35.0</v>
      </c>
      <c r="L55" s="317" t="s">
        <v>99</v>
      </c>
      <c r="M55" s="320" t="s">
        <v>80</v>
      </c>
      <c r="N55" s="118" t="b">
        <v>1</v>
      </c>
      <c r="O55" s="119"/>
      <c r="Q55" s="284" t="s">
        <v>81</v>
      </c>
      <c r="R55" s="285" t="b">
        <v>0</v>
      </c>
      <c r="S55" s="285" t="b">
        <v>1</v>
      </c>
      <c r="T55" s="286" t="b">
        <v>1</v>
      </c>
    </row>
    <row r="56" outlineLevel="1">
      <c r="A56" s="317" t="s">
        <v>73</v>
      </c>
      <c r="B56" s="317" t="s">
        <v>74</v>
      </c>
      <c r="C56" s="472">
        <v>45964.0</v>
      </c>
      <c r="D56" s="317" t="s">
        <v>2307</v>
      </c>
      <c r="E56" s="317" t="s">
        <v>1088</v>
      </c>
      <c r="F56" s="317">
        <v>3.513503997E9</v>
      </c>
      <c r="G56" s="317" t="s">
        <v>2308</v>
      </c>
      <c r="H56" s="317" t="s">
        <v>2309</v>
      </c>
      <c r="I56" s="439">
        <v>45964.0</v>
      </c>
      <c r="J56" s="365">
        <v>37.0</v>
      </c>
      <c r="K56" s="431"/>
      <c r="L56" s="317"/>
      <c r="M56" s="320" t="s">
        <v>100</v>
      </c>
      <c r="N56" s="118" t="b">
        <v>1</v>
      </c>
      <c r="O56" s="119"/>
      <c r="Q56" s="284" t="s">
        <v>81</v>
      </c>
      <c r="R56" s="285" t="b">
        <v>1</v>
      </c>
      <c r="S56" s="285" t="b">
        <v>0</v>
      </c>
      <c r="T56" s="286" t="b">
        <v>1</v>
      </c>
    </row>
    <row r="57" outlineLevel="1">
      <c r="A57" s="317" t="s">
        <v>73</v>
      </c>
      <c r="B57" s="317" t="s">
        <v>74</v>
      </c>
      <c r="C57" s="472">
        <v>45965.0</v>
      </c>
      <c r="D57" s="317" t="s">
        <v>2310</v>
      </c>
      <c r="E57" s="317" t="s">
        <v>1443</v>
      </c>
      <c r="F57" s="317">
        <v>3.51652652E9</v>
      </c>
      <c r="G57" s="475" t="s">
        <v>2311</v>
      </c>
      <c r="H57" s="317" t="s">
        <v>2312</v>
      </c>
      <c r="I57" s="439">
        <v>45965.0</v>
      </c>
      <c r="J57" s="365">
        <v>37.0</v>
      </c>
      <c r="K57" s="431"/>
      <c r="L57" s="317"/>
      <c r="M57" s="317" t="s">
        <v>80</v>
      </c>
      <c r="N57" s="118" t="b">
        <v>1</v>
      </c>
      <c r="O57" s="119"/>
      <c r="Q57" s="284" t="s">
        <v>81</v>
      </c>
      <c r="R57" s="285" t="b">
        <v>0</v>
      </c>
      <c r="S57" s="285" t="b">
        <v>1</v>
      </c>
      <c r="T57" s="286" t="b">
        <v>1</v>
      </c>
    </row>
    <row r="58" outlineLevel="1">
      <c r="A58" s="317" t="s">
        <v>73</v>
      </c>
      <c r="B58" s="317" t="s">
        <v>74</v>
      </c>
      <c r="C58" s="316">
        <v>45966.0</v>
      </c>
      <c r="D58" s="317" t="s">
        <v>2313</v>
      </c>
      <c r="E58" s="317" t="s">
        <v>580</v>
      </c>
      <c r="F58" s="317">
        <v>3.669328503E9</v>
      </c>
      <c r="G58" s="475" t="s">
        <v>2314</v>
      </c>
      <c r="H58" s="317" t="s">
        <v>2315</v>
      </c>
      <c r="I58" s="443">
        <v>45966.0</v>
      </c>
      <c r="J58" s="365">
        <v>37.0</v>
      </c>
      <c r="K58" s="436"/>
      <c r="L58" s="317"/>
      <c r="M58" s="317" t="s">
        <v>80</v>
      </c>
      <c r="N58" s="118" t="b">
        <v>1</v>
      </c>
      <c r="O58" s="119"/>
      <c r="Q58" s="284" t="s">
        <v>81</v>
      </c>
      <c r="R58" s="285" t="b">
        <v>0</v>
      </c>
      <c r="S58" s="285" t="b">
        <v>1</v>
      </c>
      <c r="T58" s="286" t="b">
        <v>1</v>
      </c>
    </row>
    <row r="59" outlineLevel="1">
      <c r="A59" s="317" t="s">
        <v>73</v>
      </c>
      <c r="B59" s="317" t="s">
        <v>74</v>
      </c>
      <c r="C59" s="316">
        <v>45966.0</v>
      </c>
      <c r="D59" s="317" t="s">
        <v>2316</v>
      </c>
      <c r="E59" s="317" t="s">
        <v>338</v>
      </c>
      <c r="F59" s="317">
        <v>3.287488816E9</v>
      </c>
      <c r="G59" s="475" t="s">
        <v>2317</v>
      </c>
      <c r="H59" s="317" t="s">
        <v>2318</v>
      </c>
      <c r="I59" s="443">
        <v>45966.0</v>
      </c>
      <c r="J59" s="365">
        <v>37.0</v>
      </c>
      <c r="K59" s="436"/>
      <c r="L59" s="317"/>
      <c r="M59" s="317" t="s">
        <v>80</v>
      </c>
      <c r="N59" s="118" t="b">
        <v>1</v>
      </c>
      <c r="O59" s="119"/>
      <c r="Q59" s="284" t="s">
        <v>81</v>
      </c>
      <c r="R59" s="285" t="b">
        <v>0</v>
      </c>
      <c r="S59" s="285" t="b">
        <v>1</v>
      </c>
      <c r="T59" s="286" t="b">
        <v>1</v>
      </c>
    </row>
    <row r="60" outlineLevel="1">
      <c r="A60" s="317" t="s">
        <v>73</v>
      </c>
      <c r="B60" s="317" t="s">
        <v>74</v>
      </c>
      <c r="C60" s="316">
        <v>45968.0</v>
      </c>
      <c r="D60" s="317" t="s">
        <v>2319</v>
      </c>
      <c r="E60" s="317" t="s">
        <v>2320</v>
      </c>
      <c r="F60" s="317">
        <v>3.481181249E9</v>
      </c>
      <c r="G60" s="475" t="s">
        <v>2321</v>
      </c>
      <c r="H60" s="317" t="s">
        <v>2322</v>
      </c>
      <c r="I60" s="443">
        <v>45968.0</v>
      </c>
      <c r="J60" s="365">
        <v>37.0</v>
      </c>
      <c r="K60" s="436"/>
      <c r="L60" s="317"/>
      <c r="M60" s="317" t="s">
        <v>80</v>
      </c>
      <c r="N60" s="118" t="b">
        <v>0</v>
      </c>
      <c r="O60" s="119"/>
      <c r="Q60" s="284" t="s">
        <v>81</v>
      </c>
      <c r="R60" s="285" t="b">
        <v>0</v>
      </c>
      <c r="S60" s="285" t="b">
        <v>1</v>
      </c>
      <c r="T60" s="286" t="b">
        <v>1</v>
      </c>
    </row>
    <row r="61" outlineLevel="1">
      <c r="A61" s="317" t="s">
        <v>73</v>
      </c>
      <c r="B61" s="317" t="s">
        <v>74</v>
      </c>
      <c r="C61" s="316">
        <v>45968.0</v>
      </c>
      <c r="D61" s="317" t="s">
        <v>1831</v>
      </c>
      <c r="E61" s="317" t="s">
        <v>650</v>
      </c>
      <c r="F61" s="317">
        <v>3.38385569E9</v>
      </c>
      <c r="G61" s="475" t="s">
        <v>2323</v>
      </c>
      <c r="H61" s="317" t="s">
        <v>2324</v>
      </c>
      <c r="I61" s="443">
        <v>45968.0</v>
      </c>
      <c r="J61" s="365">
        <v>37.0</v>
      </c>
      <c r="K61" s="436"/>
      <c r="L61" s="317"/>
      <c r="M61" s="317" t="s">
        <v>80</v>
      </c>
      <c r="N61" s="118" t="b">
        <v>1</v>
      </c>
      <c r="O61" s="119"/>
      <c r="Q61" s="284" t="s">
        <v>81</v>
      </c>
      <c r="R61" s="285" t="b">
        <v>0</v>
      </c>
      <c r="S61" s="285" t="b">
        <v>1</v>
      </c>
      <c r="T61" s="286" t="b">
        <v>1</v>
      </c>
    </row>
    <row r="62" outlineLevel="1">
      <c r="A62" s="317" t="s">
        <v>73</v>
      </c>
      <c r="B62" s="317" t="s">
        <v>74</v>
      </c>
      <c r="C62" s="316">
        <v>45969.0</v>
      </c>
      <c r="D62" s="317" t="s">
        <v>2325</v>
      </c>
      <c r="E62" s="317" t="s">
        <v>294</v>
      </c>
      <c r="F62" s="317">
        <v>3.385712471E9</v>
      </c>
      <c r="G62" s="475" t="s">
        <v>2326</v>
      </c>
      <c r="H62" s="317" t="s">
        <v>2327</v>
      </c>
      <c r="I62" s="318">
        <v>45969.0</v>
      </c>
      <c r="J62" s="365">
        <v>37.0</v>
      </c>
      <c r="K62" s="431"/>
      <c r="L62" s="317"/>
      <c r="M62" s="317" t="s">
        <v>80</v>
      </c>
      <c r="N62" s="118" t="b">
        <v>1</v>
      </c>
      <c r="O62" s="119"/>
      <c r="Q62" s="284" t="s">
        <v>81</v>
      </c>
      <c r="R62" s="285" t="b">
        <v>0</v>
      </c>
      <c r="S62" s="285" t="b">
        <v>1</v>
      </c>
      <c r="T62" s="286" t="b">
        <v>1</v>
      </c>
    </row>
    <row r="63" outlineLevel="1">
      <c r="A63" s="317" t="s">
        <v>73</v>
      </c>
      <c r="B63" s="317" t="s">
        <v>74</v>
      </c>
      <c r="C63" s="316">
        <v>45969.0</v>
      </c>
      <c r="D63" s="317" t="s">
        <v>2328</v>
      </c>
      <c r="E63" s="317" t="s">
        <v>1088</v>
      </c>
      <c r="F63" s="317">
        <v>3.295425826E9</v>
      </c>
      <c r="G63" s="475" t="s">
        <v>2329</v>
      </c>
      <c r="H63" s="317" t="s">
        <v>2330</v>
      </c>
      <c r="I63" s="318">
        <v>45969.0</v>
      </c>
      <c r="J63" s="365">
        <v>37.0</v>
      </c>
      <c r="K63" s="431"/>
      <c r="L63" s="317"/>
      <c r="M63" s="317" t="s">
        <v>80</v>
      </c>
      <c r="N63" s="118" t="b">
        <v>1</v>
      </c>
      <c r="O63" s="119"/>
      <c r="Q63" s="284" t="s">
        <v>81</v>
      </c>
      <c r="R63" s="285" t="b">
        <v>0</v>
      </c>
      <c r="S63" s="285" t="b">
        <v>1</v>
      </c>
      <c r="T63" s="286" t="b">
        <v>1</v>
      </c>
    </row>
    <row r="64" outlineLevel="1">
      <c r="A64" s="317" t="s">
        <v>368</v>
      </c>
      <c r="B64" s="317" t="s">
        <v>74</v>
      </c>
      <c r="C64" s="316">
        <v>45965.0</v>
      </c>
      <c r="D64" s="317" t="s">
        <v>2331</v>
      </c>
      <c r="E64" s="538" t="s">
        <v>180</v>
      </c>
      <c r="F64" s="317">
        <v>3.755139539E9</v>
      </c>
      <c r="G64" s="475" t="s">
        <v>2332</v>
      </c>
      <c r="H64" s="317" t="s">
        <v>2333</v>
      </c>
      <c r="I64" s="318">
        <v>45965.0</v>
      </c>
      <c r="J64" s="365">
        <v>37.0</v>
      </c>
      <c r="K64" s="431"/>
      <c r="L64" s="317"/>
      <c r="M64" s="317" t="s">
        <v>80</v>
      </c>
      <c r="N64" s="118" t="b">
        <v>1</v>
      </c>
      <c r="O64" s="119"/>
      <c r="Q64" s="284" t="s">
        <v>81</v>
      </c>
      <c r="R64" s="285" t="b">
        <v>0</v>
      </c>
      <c r="S64" s="285" t="b">
        <v>1</v>
      </c>
      <c r="T64" s="286" t="b">
        <v>1</v>
      </c>
    </row>
    <row r="65" outlineLevel="1">
      <c r="A65" s="320" t="s">
        <v>368</v>
      </c>
      <c r="B65" s="317" t="s">
        <v>74</v>
      </c>
      <c r="C65" s="465">
        <v>45969.0</v>
      </c>
      <c r="D65" s="320" t="s">
        <v>2334</v>
      </c>
      <c r="E65" s="320" t="s">
        <v>2335</v>
      </c>
      <c r="F65" s="320">
        <v>3.298268284E9</v>
      </c>
      <c r="G65" s="471" t="s">
        <v>2336</v>
      </c>
      <c r="H65" s="320" t="s">
        <v>2337</v>
      </c>
      <c r="I65" s="478">
        <v>45969.0</v>
      </c>
      <c r="J65" s="365">
        <v>37.0</v>
      </c>
      <c r="K65" s="431"/>
      <c r="L65" s="317"/>
      <c r="M65" s="320" t="s">
        <v>80</v>
      </c>
      <c r="N65" s="154" t="b">
        <v>1</v>
      </c>
      <c r="O65" s="119"/>
      <c r="Q65" s="284" t="s">
        <v>81</v>
      </c>
      <c r="R65" s="285" t="b">
        <v>0</v>
      </c>
      <c r="S65" s="285" t="b">
        <v>1</v>
      </c>
      <c r="T65" s="286" t="b">
        <v>1</v>
      </c>
    </row>
    <row r="66" outlineLevel="1">
      <c r="A66" s="317" t="s">
        <v>368</v>
      </c>
      <c r="B66" s="317" t="s">
        <v>74</v>
      </c>
      <c r="C66" s="316">
        <v>45969.0</v>
      </c>
      <c r="D66" s="317" t="s">
        <v>950</v>
      </c>
      <c r="E66" s="317" t="s">
        <v>351</v>
      </c>
      <c r="F66" s="317">
        <v>3.703038263E9</v>
      </c>
      <c r="G66" s="475" t="s">
        <v>951</v>
      </c>
      <c r="H66" s="317" t="s">
        <v>952</v>
      </c>
      <c r="I66" s="443">
        <v>45969.0</v>
      </c>
      <c r="J66" s="365">
        <v>37.0</v>
      </c>
      <c r="K66" s="431"/>
      <c r="L66" s="317"/>
      <c r="M66" s="317" t="s">
        <v>80</v>
      </c>
      <c r="N66" s="118" t="b">
        <v>1</v>
      </c>
      <c r="O66" s="119"/>
      <c r="Q66" s="284" t="s">
        <v>81</v>
      </c>
      <c r="R66" s="285" t="b">
        <v>0</v>
      </c>
      <c r="S66" s="285" t="b">
        <v>1</v>
      </c>
      <c r="T66" s="286" t="b">
        <v>1</v>
      </c>
    </row>
    <row r="67" outlineLevel="1">
      <c r="A67" s="317"/>
      <c r="B67" s="317"/>
      <c r="C67" s="316"/>
      <c r="D67" s="317"/>
      <c r="E67" s="317"/>
      <c r="F67" s="317"/>
      <c r="G67" s="475"/>
      <c r="H67" s="317"/>
      <c r="I67" s="443"/>
      <c r="J67" s="365"/>
      <c r="K67" s="431"/>
      <c r="L67" s="317"/>
      <c r="M67" s="317"/>
      <c r="N67" s="118" t="b">
        <v>0</v>
      </c>
      <c r="O67" s="119"/>
      <c r="Q67" s="284"/>
      <c r="R67" s="285" t="b">
        <v>0</v>
      </c>
      <c r="S67" s="285" t="b">
        <v>0</v>
      </c>
      <c r="T67" s="286" t="b">
        <v>0</v>
      </c>
    </row>
    <row r="68" outlineLevel="1">
      <c r="A68" s="317"/>
      <c r="B68" s="317"/>
      <c r="C68" s="316"/>
      <c r="D68" s="317"/>
      <c r="E68" s="317"/>
      <c r="F68" s="317"/>
      <c r="G68" s="539" t="s">
        <v>2338</v>
      </c>
      <c r="H68" s="317"/>
      <c r="I68" s="316"/>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419"/>
      <c r="D70" s="336"/>
      <c r="E70" s="336"/>
      <c r="F70" s="420"/>
      <c r="G70" s="336"/>
      <c r="H70" s="336"/>
      <c r="I70" s="479"/>
      <c r="J70" s="365"/>
      <c r="K70" s="431"/>
      <c r="L70" s="317"/>
      <c r="M70" s="317"/>
      <c r="N70" s="118" t="b">
        <v>0</v>
      </c>
      <c r="O70" s="119"/>
      <c r="Q70" s="284"/>
      <c r="R70" s="285" t="b">
        <v>0</v>
      </c>
      <c r="S70" s="285" t="b">
        <v>0</v>
      </c>
      <c r="T70" s="286" t="b">
        <v>0</v>
      </c>
    </row>
    <row r="71">
      <c r="A71" s="348" t="s">
        <v>116</v>
      </c>
      <c r="B71" s="349">
        <f>COUNTIF(B4:B70,"ONLINE")+COUNTIF(B4:B70,"SEDE*")</f>
        <v>63</v>
      </c>
      <c r="C71" s="348" t="s">
        <v>116</v>
      </c>
      <c r="D71" s="349">
        <f t="shared" ref="D71:E71" si="1">COUNTIF(D4:D70, "*")</f>
        <v>63</v>
      </c>
      <c r="E71" s="349">
        <f t="shared" si="1"/>
        <v>63</v>
      </c>
      <c r="F71" s="480">
        <f>COUNTA(F4:F70)</f>
        <v>63</v>
      </c>
      <c r="G71" s="349">
        <f t="shared" ref="G71:H71" si="2">COUNTIF(G4:G70, "*")</f>
        <v>64</v>
      </c>
      <c r="H71" s="349">
        <f t="shared" si="2"/>
        <v>63</v>
      </c>
      <c r="I71" s="348" t="s">
        <v>116</v>
      </c>
      <c r="J71" s="481">
        <f t="shared" ref="J71:K71" si="3">SUM(J4:J70)</f>
        <v>1933</v>
      </c>
      <c r="K71" s="482">
        <f t="shared" si="3"/>
        <v>290</v>
      </c>
      <c r="L71" s="349">
        <f t="shared" ref="L71:M71" si="4">COUNTIF(L4:L70, "*")</f>
        <v>9</v>
      </c>
      <c r="M71" s="349">
        <f t="shared" si="4"/>
        <v>63</v>
      </c>
      <c r="N71" s="349">
        <f>SUMPRODUCT(--N4:N70)</f>
        <v>58</v>
      </c>
      <c r="O71" s="349">
        <f t="shared" ref="O71:Q71" si="5">COUNTIF(O4:O70, "*")</f>
        <v>4</v>
      </c>
      <c r="P71" s="349">
        <f t="shared" si="5"/>
        <v>0</v>
      </c>
      <c r="Q71" s="349">
        <f t="shared" si="5"/>
        <v>63</v>
      </c>
      <c r="R71" s="349">
        <f t="shared" ref="R71:T71" si="6">SUMPRODUCT(--R4:R70)</f>
        <v>10</v>
      </c>
      <c r="S71" s="349">
        <f t="shared" si="6"/>
        <v>53</v>
      </c>
      <c r="T71" s="349">
        <f t="shared" si="6"/>
        <v>63</v>
      </c>
    </row>
    <row r="72">
      <c r="A72" s="245" t="s">
        <v>117</v>
      </c>
      <c r="B72" s="246">
        <f>COUNTIF(B4:B70, "SEDE*")</f>
        <v>2</v>
      </c>
      <c r="C72" s="351"/>
      <c r="D72" s="351"/>
      <c r="E72" s="351"/>
      <c r="F72" s="351"/>
      <c r="G72" s="351"/>
      <c r="H72" s="245" t="s">
        <v>1946</v>
      </c>
      <c r="I72" s="355" t="s">
        <v>121</v>
      </c>
      <c r="J72" s="483" t="str">
        <f>COUNTIFS($B$4:$B$70,"*SEDE*",$J$4:$J$70, $F$154)&amp; " da €"&amp;$F$154</f>
        <v>1 da €32</v>
      </c>
      <c r="K72" s="484" t="str">
        <f>COUNTIFS($B$4:$B$70,"*SEDE*",$K$4:$K$70, $F$153)&amp; " da €"&amp;$F$153</f>
        <v>0 da €30</v>
      </c>
      <c r="L72" s="483" t="str">
        <f>COUNTIFS($B$4:$B$70,"*SEDE*",$J$4:$J$70, $F$156)&amp; " da €"&amp;$F$156</f>
        <v>1 da €37</v>
      </c>
      <c r="M72" s="484" t="str">
        <f>COUNTIFS($B$4:$B$70,"*SEDE*",$K$4:$K$70, $F$155)&amp; " da €"&amp;$F$155</f>
        <v>0 da €35</v>
      </c>
      <c r="N72" s="483" t="str">
        <f>COUNTIFS($B$4:$B$70,"*SEDE*",$J$4:$J$70, $G$154)&amp; " da €"&amp;$G$154</f>
        <v>0 da €42</v>
      </c>
      <c r="O72" s="484" t="str">
        <f>COUNTIFS($B$4:$B$70,"*SEDE*",$K$4:$K$70, $G$153)&amp; " da €"&amp;$G$153</f>
        <v>0 da €40</v>
      </c>
      <c r="P72" s="485" t="s">
        <v>40</v>
      </c>
      <c r="Q72" s="486">
        <f>SUM(J73,K73,L73,M73,N73,O73)</f>
        <v>69</v>
      </c>
      <c r="R72" s="351"/>
      <c r="S72" s="351"/>
      <c r="T72" s="351"/>
    </row>
    <row r="73">
      <c r="A73" s="245" t="s">
        <v>74</v>
      </c>
      <c r="B73" s="246">
        <f>COUNTIF(B4:B70, "ONLINE")</f>
        <v>61</v>
      </c>
      <c r="C73" s="351"/>
      <c r="D73" s="351"/>
      <c r="E73" s="351"/>
      <c r="F73" s="351"/>
      <c r="G73" s="351"/>
      <c r="I73" s="355" t="s">
        <v>122</v>
      </c>
      <c r="J73" s="483">
        <f>SUMIFS($J$4:$J$70,$B$4:$B$70,"*SEDE*",$J$4:$J$70,$F$154)</f>
        <v>32</v>
      </c>
      <c r="K73" s="369">
        <f>SUMIFS($K$4:$K$70,$B$4:$B$70,"*SEDE*",$K$4:$K$70,$F$153)</f>
        <v>0</v>
      </c>
      <c r="L73" s="368">
        <f>SUMIFS($J$4:$J$70,$B$4:$B$70,"*SEDE*",$J$4:$J$70,$F$156)</f>
        <v>37</v>
      </c>
      <c r="M73" s="369">
        <f>SUMIFS($K$4:$K$70,$B$4:$B$70,"*SEDE*",$K$4:$K$70,$F$155)</f>
        <v>0</v>
      </c>
      <c r="N73" s="368">
        <f>SUMIFS($J$4:$J$70,$B$4:$B$70,"*SEDE*",$J$4:$J$70,$G$154)</f>
        <v>0</v>
      </c>
      <c r="O73" s="369">
        <f>SUMIFS($K$4:$K$70,$B$4:$B$70,"*SEDE*",$K$4:$K$70,$G$153)</f>
        <v>0</v>
      </c>
      <c r="R73" s="351"/>
      <c r="S73" s="351"/>
      <c r="T73" s="351"/>
    </row>
    <row r="74">
      <c r="A74" s="245"/>
      <c r="B74" s="246"/>
      <c r="C74" s="351"/>
      <c r="D74" s="351"/>
      <c r="E74" s="351"/>
      <c r="F74" s="351"/>
      <c r="G74" s="351"/>
      <c r="I74" s="355" t="s">
        <v>123</v>
      </c>
      <c r="J74" s="368" t="str">
        <f>COUNTIFS($B$4:$B$70,"*ONLINE*",$J$4:$J$70, $F$154)&amp; " da €"&amp;$F$154</f>
        <v>12 da €32</v>
      </c>
      <c r="K74" s="484" t="str">
        <f>COUNTIFS($B$4:$B$70,"*ONLINE*",$K$4:$K$70, $F$153)&amp; " da €"&amp;$F$153</f>
        <v>5 da €30</v>
      </c>
      <c r="L74" s="368" t="str">
        <f>COUNTIFS($B$4:$B$70,"*ONLINE*",$J$4:$J$70, $F$156)&amp; " da €"&amp;$F$156</f>
        <v>40 da €37</v>
      </c>
      <c r="M74" s="369" t="str">
        <f>COUNTIFS($B$4:$B$70,"*ONLINE*",$K$4:$K$70, $F$155)&amp; " da €"&amp;$F$155</f>
        <v>4 da €35</v>
      </c>
      <c r="N74" s="368" t="str">
        <f>COUNTIFS($B$4:$B$70,"*ONLINE*",$J$4:$J$70, $G$154)&amp; " da €"&amp;$G$154</f>
        <v>0 da €42</v>
      </c>
      <c r="O74" s="369" t="str">
        <f>COUNTIFS($B$4:$B$70,"*ONLINE*",$K$4:$K$70, $G$153)&amp; " da €"&amp;$G$153</f>
        <v>0 da €40</v>
      </c>
      <c r="P74" s="425" t="s">
        <v>40</v>
      </c>
      <c r="Q74" s="486">
        <f>SUM(J75,K75,L75,M75,N75,O75)</f>
        <v>2154</v>
      </c>
      <c r="R74" s="351"/>
      <c r="S74" s="351"/>
      <c r="T74" s="351"/>
    </row>
    <row r="75">
      <c r="A75" s="245"/>
      <c r="B75" s="246"/>
      <c r="C75" s="351"/>
      <c r="D75" s="351"/>
      <c r="E75" s="351"/>
      <c r="F75" s="351"/>
      <c r="G75" s="351"/>
      <c r="I75" s="355" t="s">
        <v>124</v>
      </c>
      <c r="J75" s="483">
        <f>SUMIFS($J$4:$J$70,$B$4:$B$70,"*ONLINE*",$J$4:$J$70,$F$154)</f>
        <v>384</v>
      </c>
      <c r="K75" s="484">
        <f>SUMIFS($K$4:$K$70,$B$4:$B$70,"*ONLINE*",$K$4:$K$70,$F$153)</f>
        <v>150</v>
      </c>
      <c r="L75" s="483">
        <f>SUMIFS($J$4:$J$70,$B$4:$B$70,"*ONLINE*",$J$4:$J$70,$F$156)</f>
        <v>1480</v>
      </c>
      <c r="M75" s="369">
        <f>SUMIFS($K$4:$K$70,$B$4:$B$70,"*ONLINE*",$K$4:$K$70,$F$155)</f>
        <v>140</v>
      </c>
      <c r="N75" s="483">
        <f>SUMIFS($J$4:$J$70,$B$4:$B$70,"*ONLINE*",$J$4:$J$70,$G$154)</f>
        <v>0</v>
      </c>
      <c r="O75" s="369">
        <f>SUMIFS($K$4:$K$70,$B$4:$B$70,"*ONLINE*",$K$4:$K$70,$G$153)</f>
        <v>0</v>
      </c>
      <c r="R75" s="245" t="s">
        <v>120</v>
      </c>
      <c r="S75" s="378" t="str">
        <f>IF(SUM(J71:K71) = SUM(Q72:Q75), "OK", "ERRORE")</f>
        <v>OK</v>
      </c>
      <c r="T75" s="351"/>
    </row>
    <row r="76" ht="26.25" customHeight="1" collapsed="1">
      <c r="A76" s="428" t="s">
        <v>2005</v>
      </c>
      <c r="R76" s="429"/>
      <c r="S76" s="429"/>
      <c r="T76" s="429"/>
    </row>
    <row r="77" hidden="1" outlineLevel="1">
      <c r="A77" s="317"/>
      <c r="B77" s="317"/>
      <c r="C77" s="316"/>
      <c r="D77" s="336"/>
      <c r="E77" s="336"/>
      <c r="F77" s="420"/>
      <c r="G77" s="317"/>
      <c r="H77" s="317"/>
      <c r="I77" s="318"/>
      <c r="J77" s="319"/>
      <c r="K77" s="431"/>
      <c r="L77" s="317"/>
      <c r="M77" s="317"/>
      <c r="N77" s="118" t="b">
        <v>0</v>
      </c>
      <c r="O77" s="487"/>
      <c r="Q77" s="284"/>
      <c r="R77" s="285" t="b">
        <v>0</v>
      </c>
      <c r="S77" s="285" t="b">
        <v>0</v>
      </c>
      <c r="T77" s="286" t="b">
        <v>0</v>
      </c>
    </row>
    <row r="78" hidden="1" outlineLevel="1">
      <c r="A78" s="317"/>
      <c r="B78" s="317"/>
      <c r="C78" s="316"/>
      <c r="D78" s="317"/>
      <c r="E78" s="317"/>
      <c r="F78" s="317"/>
      <c r="G78" s="317"/>
      <c r="H78" s="317"/>
      <c r="I78" s="318"/>
      <c r="J78" s="319"/>
      <c r="K78" s="431"/>
      <c r="L78" s="317"/>
      <c r="M78" s="317"/>
      <c r="N78" s="118" t="b">
        <v>0</v>
      </c>
      <c r="O78" s="487"/>
      <c r="Q78" s="284"/>
      <c r="R78" s="285" t="b">
        <v>0</v>
      </c>
      <c r="S78" s="285" t="b">
        <v>0</v>
      </c>
      <c r="T78" s="286" t="b">
        <v>0</v>
      </c>
    </row>
    <row r="79" hidden="1" outlineLevel="1">
      <c r="A79" s="317"/>
      <c r="B79" s="317"/>
      <c r="C79" s="316"/>
      <c r="D79" s="317"/>
      <c r="E79" s="317"/>
      <c r="F79" s="317"/>
      <c r="G79" s="320"/>
      <c r="H79" s="320"/>
      <c r="I79" s="439"/>
      <c r="J79" s="435"/>
      <c r="K79" s="431"/>
      <c r="L79" s="317"/>
      <c r="M79" s="317"/>
      <c r="N79" s="118" t="b">
        <v>0</v>
      </c>
      <c r="O79" s="487"/>
      <c r="Q79" s="284"/>
      <c r="R79" s="285" t="b">
        <v>0</v>
      </c>
      <c r="S79" s="285" t="b">
        <v>0</v>
      </c>
      <c r="T79" s="286" t="b">
        <v>0</v>
      </c>
    </row>
    <row r="80" hidden="1" outlineLevel="1">
      <c r="A80" s="317"/>
      <c r="B80" s="317"/>
      <c r="C80" s="316"/>
      <c r="D80" s="317"/>
      <c r="E80" s="317"/>
      <c r="F80" s="317"/>
      <c r="G80" s="317"/>
      <c r="H80" s="317"/>
      <c r="I80" s="318"/>
      <c r="J80" s="319"/>
      <c r="K80" s="431"/>
      <c r="L80" s="317"/>
      <c r="M80" s="317"/>
      <c r="N80" s="118" t="b">
        <v>0</v>
      </c>
      <c r="O80" s="487"/>
      <c r="Q80" s="284"/>
      <c r="R80" s="285" t="b">
        <v>0</v>
      </c>
      <c r="S80" s="285" t="b">
        <v>0</v>
      </c>
      <c r="T80" s="286" t="b">
        <v>0</v>
      </c>
    </row>
    <row r="81" hidden="1" outlineLevel="1">
      <c r="A81" s="317"/>
      <c r="B81" s="317"/>
      <c r="C81" s="316"/>
      <c r="D81" s="317"/>
      <c r="E81" s="317"/>
      <c r="F81" s="317"/>
      <c r="G81" s="317"/>
      <c r="H81" s="317"/>
      <c r="I81" s="318"/>
      <c r="J81" s="319"/>
      <c r="K81" s="431"/>
      <c r="L81" s="317"/>
      <c r="M81" s="317"/>
      <c r="N81" s="118" t="b">
        <v>0</v>
      </c>
      <c r="O81" s="487"/>
      <c r="Q81" s="284"/>
      <c r="R81" s="285" t="b">
        <v>0</v>
      </c>
      <c r="S81" s="285" t="b">
        <v>0</v>
      </c>
      <c r="T81" s="286" t="b">
        <v>0</v>
      </c>
    </row>
    <row r="82" hidden="1" outlineLevel="1">
      <c r="A82" s="317"/>
      <c r="B82" s="317"/>
      <c r="C82" s="465"/>
      <c r="D82" s="320"/>
      <c r="E82" s="320"/>
      <c r="F82" s="320"/>
      <c r="G82" s="320"/>
      <c r="H82" s="320"/>
      <c r="I82" s="318"/>
      <c r="J82" s="319"/>
      <c r="K82" s="436"/>
      <c r="L82" s="317"/>
      <c r="M82" s="317"/>
      <c r="N82" s="118" t="b">
        <v>0</v>
      </c>
      <c r="O82" s="487"/>
      <c r="Q82" s="284"/>
      <c r="R82" s="285" t="b">
        <v>0</v>
      </c>
      <c r="S82" s="285" t="b">
        <v>0</v>
      </c>
      <c r="T82" s="286" t="b">
        <v>0</v>
      </c>
    </row>
    <row r="83" hidden="1" outlineLevel="1">
      <c r="A83" s="317"/>
      <c r="B83" s="317"/>
      <c r="C83" s="465"/>
      <c r="D83" s="320"/>
      <c r="E83" s="320"/>
      <c r="F83" s="320"/>
      <c r="G83" s="320"/>
      <c r="H83" s="320"/>
      <c r="I83" s="478"/>
      <c r="J83" s="319"/>
      <c r="K83" s="431"/>
      <c r="L83" s="317"/>
      <c r="M83" s="317"/>
      <c r="N83" s="118" t="b">
        <v>0</v>
      </c>
      <c r="O83" s="487"/>
      <c r="Q83" s="284"/>
      <c r="R83" s="285" t="b">
        <v>0</v>
      </c>
      <c r="S83" s="285" t="b">
        <v>0</v>
      </c>
      <c r="T83" s="286" t="b">
        <v>0</v>
      </c>
    </row>
    <row r="84" hidden="1" outlineLevel="1">
      <c r="A84" s="317"/>
      <c r="B84" s="317"/>
      <c r="C84" s="465"/>
      <c r="D84" s="320"/>
      <c r="E84" s="320"/>
      <c r="F84" s="320"/>
      <c r="G84" s="320"/>
      <c r="H84" s="320"/>
      <c r="I84" s="439"/>
      <c r="J84" s="435"/>
      <c r="K84" s="431"/>
      <c r="L84" s="317"/>
      <c r="M84" s="317"/>
      <c r="N84" s="118" t="b">
        <v>0</v>
      </c>
      <c r="O84" s="487"/>
      <c r="Q84" s="284"/>
      <c r="R84" s="285" t="b">
        <v>0</v>
      </c>
      <c r="S84" s="285" t="b">
        <v>0</v>
      </c>
      <c r="T84" s="286" t="b">
        <v>0</v>
      </c>
    </row>
    <row r="85" hidden="1" outlineLevel="1">
      <c r="A85" s="317"/>
      <c r="B85" s="317"/>
      <c r="C85" s="465"/>
      <c r="D85" s="320"/>
      <c r="E85" s="320"/>
      <c r="F85" s="320"/>
      <c r="G85" s="320"/>
      <c r="H85" s="320"/>
      <c r="I85" s="439"/>
      <c r="J85" s="319"/>
      <c r="K85" s="431"/>
      <c r="L85" s="317"/>
      <c r="M85" s="317"/>
      <c r="N85" s="118" t="b">
        <v>0</v>
      </c>
      <c r="O85" s="487"/>
      <c r="Q85" s="284"/>
      <c r="R85" s="285" t="b">
        <v>0</v>
      </c>
      <c r="S85" s="285" t="b">
        <v>0</v>
      </c>
      <c r="T85" s="286" t="b">
        <v>0</v>
      </c>
    </row>
    <row r="86" hidden="1" outlineLevel="1">
      <c r="A86" s="317"/>
      <c r="B86" s="317"/>
      <c r="C86" s="465"/>
      <c r="D86" s="320"/>
      <c r="E86" s="320"/>
      <c r="F86" s="320"/>
      <c r="G86" s="320"/>
      <c r="H86" s="320"/>
      <c r="I86" s="478"/>
      <c r="J86" s="319"/>
      <c r="K86" s="431"/>
      <c r="L86" s="317"/>
      <c r="M86" s="317"/>
      <c r="N86" s="118" t="b">
        <v>0</v>
      </c>
      <c r="O86" s="487"/>
      <c r="Q86" s="284"/>
      <c r="R86" s="285" t="b">
        <v>0</v>
      </c>
      <c r="S86" s="285" t="b">
        <v>0</v>
      </c>
      <c r="T86" s="286" t="b">
        <v>0</v>
      </c>
    </row>
    <row r="87" hidden="1" outlineLevel="1">
      <c r="A87" s="317"/>
      <c r="B87" s="317"/>
      <c r="C87" s="465"/>
      <c r="D87" s="320"/>
      <c r="E87" s="320"/>
      <c r="F87" s="320"/>
      <c r="G87" s="320"/>
      <c r="H87" s="320"/>
      <c r="I87" s="439"/>
      <c r="J87" s="319"/>
      <c r="K87" s="436"/>
      <c r="L87" s="317"/>
      <c r="M87" s="317"/>
      <c r="N87" s="118" t="b">
        <v>0</v>
      </c>
      <c r="O87" s="487"/>
      <c r="Q87" s="284"/>
      <c r="R87" s="285" t="b">
        <v>0</v>
      </c>
      <c r="S87" s="285" t="b">
        <v>0</v>
      </c>
      <c r="T87" s="286" t="b">
        <v>0</v>
      </c>
    </row>
    <row r="88" hidden="1" outlineLevel="1">
      <c r="A88" s="317"/>
      <c r="B88" s="317"/>
      <c r="C88" s="465"/>
      <c r="D88" s="320"/>
      <c r="E88" s="320"/>
      <c r="F88" s="320"/>
      <c r="G88" s="320"/>
      <c r="H88" s="320"/>
      <c r="I88" s="439"/>
      <c r="J88" s="319"/>
      <c r="K88" s="431"/>
      <c r="L88" s="317"/>
      <c r="M88" s="317"/>
      <c r="N88" s="118" t="b">
        <v>0</v>
      </c>
      <c r="O88" s="487"/>
      <c r="Q88" s="284"/>
      <c r="R88" s="285" t="b">
        <v>0</v>
      </c>
      <c r="S88" s="285" t="b">
        <v>0</v>
      </c>
      <c r="T88" s="286" t="b">
        <v>0</v>
      </c>
    </row>
    <row r="89" hidden="1" outlineLevel="1">
      <c r="A89" s="317"/>
      <c r="B89" s="317"/>
      <c r="C89" s="465"/>
      <c r="D89" s="320"/>
      <c r="E89" s="320"/>
      <c r="F89" s="320"/>
      <c r="G89" s="320"/>
      <c r="H89" s="320"/>
      <c r="I89" s="439"/>
      <c r="J89" s="319"/>
      <c r="K89" s="431"/>
      <c r="L89" s="317"/>
      <c r="M89" s="317"/>
      <c r="N89" s="118" t="b">
        <v>0</v>
      </c>
      <c r="O89" s="487"/>
      <c r="Q89" s="284"/>
      <c r="R89" s="285" t="b">
        <v>0</v>
      </c>
      <c r="S89" s="285" t="b">
        <v>0</v>
      </c>
      <c r="T89" s="286" t="b">
        <v>0</v>
      </c>
    </row>
    <row r="90" hidden="1" outlineLevel="1">
      <c r="A90" s="317"/>
      <c r="B90" s="317"/>
      <c r="C90" s="465"/>
      <c r="D90" s="320"/>
      <c r="E90" s="320"/>
      <c r="F90" s="320"/>
      <c r="G90" s="320"/>
      <c r="H90" s="320"/>
      <c r="I90" s="439"/>
      <c r="J90" s="319"/>
      <c r="K90" s="436"/>
      <c r="L90" s="317"/>
      <c r="M90" s="317"/>
      <c r="N90" s="118" t="b">
        <v>0</v>
      </c>
      <c r="O90" s="487"/>
      <c r="Q90" s="284"/>
      <c r="R90" s="285" t="b">
        <v>0</v>
      </c>
      <c r="S90" s="285" t="b">
        <v>0</v>
      </c>
      <c r="T90" s="286" t="b">
        <v>0</v>
      </c>
    </row>
    <row r="91" hidden="1" outlineLevel="1">
      <c r="A91" s="317"/>
      <c r="B91" s="317"/>
      <c r="C91" s="465"/>
      <c r="D91" s="320"/>
      <c r="E91" s="320"/>
      <c r="F91" s="320"/>
      <c r="G91" s="320"/>
      <c r="H91" s="320"/>
      <c r="I91" s="439"/>
      <c r="J91" s="319"/>
      <c r="K91" s="431"/>
      <c r="L91" s="317"/>
      <c r="M91" s="317"/>
      <c r="N91" s="118" t="b">
        <v>0</v>
      </c>
      <c r="O91" s="487"/>
      <c r="Q91" s="284"/>
      <c r="R91" s="285" t="b">
        <v>0</v>
      </c>
      <c r="S91" s="285" t="b">
        <v>0</v>
      </c>
      <c r="T91" s="286" t="b">
        <v>0</v>
      </c>
    </row>
    <row r="92" hidden="1"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hidden="1" outlineLevel="1">
      <c r="A93" s="432"/>
      <c r="B93" s="432"/>
      <c r="C93" s="490"/>
      <c r="D93" s="488"/>
      <c r="E93" s="488"/>
      <c r="F93" s="488"/>
      <c r="G93" s="488"/>
      <c r="H93" s="488"/>
      <c r="I93" s="489"/>
      <c r="J93" s="435"/>
      <c r="K93" s="436"/>
      <c r="L93" s="432"/>
      <c r="M93" s="432"/>
      <c r="N93" s="118" t="b">
        <v>0</v>
      </c>
      <c r="O93" s="487"/>
      <c r="Q93" s="438"/>
      <c r="R93" s="285" t="b">
        <v>0</v>
      </c>
      <c r="S93" s="285" t="b">
        <v>0</v>
      </c>
      <c r="T93" s="286" t="b">
        <v>0</v>
      </c>
    </row>
    <row r="94" hidden="1" outlineLevel="1">
      <c r="A94" s="317"/>
      <c r="B94" s="317"/>
      <c r="C94" s="465"/>
      <c r="D94" s="320"/>
      <c r="E94" s="320"/>
      <c r="F94" s="320"/>
      <c r="G94" s="320"/>
      <c r="H94" s="320"/>
      <c r="I94" s="439"/>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316"/>
      <c r="D100" s="317"/>
      <c r="E100" s="317"/>
      <c r="F100" s="317"/>
      <c r="G100" s="317"/>
      <c r="H100" s="317"/>
      <c r="I100" s="318"/>
      <c r="J100" s="319"/>
      <c r="K100" s="436"/>
      <c r="L100" s="317"/>
      <c r="M100" s="317"/>
      <c r="N100" s="118" t="b">
        <v>0</v>
      </c>
      <c r="O100" s="487"/>
      <c r="Q100" s="284"/>
      <c r="R100" s="285" t="b">
        <v>0</v>
      </c>
      <c r="S100" s="285" t="b">
        <v>0</v>
      </c>
      <c r="T100" s="286" t="b">
        <v>0</v>
      </c>
    </row>
    <row r="101" hidden="1" outlineLevel="1">
      <c r="A101" s="317"/>
      <c r="B101" s="317"/>
      <c r="C101" s="316"/>
      <c r="D101" s="317"/>
      <c r="E101" s="317"/>
      <c r="F101" s="317"/>
      <c r="G101" s="342"/>
      <c r="H101" s="317"/>
      <c r="I101" s="318"/>
      <c r="J101" s="319"/>
      <c r="K101" s="436"/>
      <c r="L101" s="317"/>
      <c r="M101" s="317"/>
      <c r="N101" s="118" t="b">
        <v>0</v>
      </c>
      <c r="O101" s="487"/>
      <c r="Q101" s="284"/>
      <c r="R101" s="285" t="b">
        <v>0</v>
      </c>
      <c r="S101" s="285" t="b">
        <v>0</v>
      </c>
      <c r="T101" s="286" t="b">
        <v>0</v>
      </c>
    </row>
    <row r="102" hidden="1" outlineLevel="1">
      <c r="A102" s="317"/>
      <c r="B102" s="317"/>
      <c r="C102" s="316"/>
      <c r="D102" s="317"/>
      <c r="E102" s="317"/>
      <c r="F102" s="317"/>
      <c r="G102" s="317"/>
      <c r="H102" s="317"/>
      <c r="I102" s="318"/>
      <c r="J102" s="319"/>
      <c r="K102" s="436"/>
      <c r="L102" s="317"/>
      <c r="M102" s="317"/>
      <c r="N102" s="118" t="b">
        <v>0</v>
      </c>
      <c r="O102" s="487"/>
      <c r="Q102" s="284"/>
      <c r="R102" s="285" t="b">
        <v>0</v>
      </c>
      <c r="S102" s="285" t="b">
        <v>0</v>
      </c>
      <c r="T102" s="286" t="b">
        <v>0</v>
      </c>
    </row>
    <row r="103" hidden="1" outlineLevel="1">
      <c r="A103" s="317"/>
      <c r="B103" s="317"/>
      <c r="C103" s="316"/>
      <c r="D103" s="317"/>
      <c r="E103" s="317"/>
      <c r="F103" s="317"/>
      <c r="G103" s="317"/>
      <c r="H103" s="317"/>
      <c r="I103" s="443"/>
      <c r="J103" s="319"/>
      <c r="K103" s="431"/>
      <c r="L103" s="317"/>
      <c r="M103" s="317"/>
      <c r="N103" s="118" t="b">
        <v>0</v>
      </c>
      <c r="O103" s="487"/>
      <c r="Q103" s="284"/>
      <c r="R103" s="285" t="b">
        <v>0</v>
      </c>
      <c r="S103" s="285" t="b">
        <v>0</v>
      </c>
      <c r="T103" s="286" t="b">
        <v>0</v>
      </c>
    </row>
    <row r="104" hidden="1" outlineLevel="1">
      <c r="A104" s="317"/>
      <c r="B104" s="317"/>
      <c r="C104" s="316"/>
      <c r="D104" s="317"/>
      <c r="E104" s="317"/>
      <c r="F104" s="317"/>
      <c r="G104" s="317"/>
      <c r="H104" s="317"/>
      <c r="I104" s="318"/>
      <c r="J104" s="319"/>
      <c r="K104" s="431"/>
      <c r="L104" s="317"/>
      <c r="M104" s="317"/>
      <c r="N104" s="118" t="b">
        <v>0</v>
      </c>
      <c r="O104" s="487"/>
      <c r="Q104" s="284"/>
      <c r="R104" s="285" t="b">
        <v>0</v>
      </c>
      <c r="S104" s="285" t="b">
        <v>0</v>
      </c>
      <c r="T104" s="286" t="b">
        <v>0</v>
      </c>
    </row>
    <row r="105" hidden="1" outlineLevel="1">
      <c r="A105" s="317"/>
      <c r="B105" s="317"/>
      <c r="C105" s="316"/>
      <c r="D105" s="317"/>
      <c r="E105" s="317"/>
      <c r="F105" s="317"/>
      <c r="G105" s="317"/>
      <c r="H105" s="317"/>
      <c r="I105" s="496"/>
      <c r="J105" s="319"/>
      <c r="K105" s="431"/>
      <c r="L105" s="317"/>
      <c r="M105" s="317"/>
      <c r="N105" s="118" t="b">
        <v>0</v>
      </c>
      <c r="O105" s="487"/>
      <c r="Q105" s="284"/>
      <c r="R105" s="285" t="b">
        <v>0</v>
      </c>
      <c r="S105" s="285" t="b">
        <v>0</v>
      </c>
      <c r="T105" s="286" t="b">
        <v>0</v>
      </c>
    </row>
    <row r="106" hidden="1"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hidden="1" outlineLevel="1">
      <c r="A107" s="317"/>
      <c r="B107" s="317"/>
      <c r="C107" s="316"/>
      <c r="D107" s="317"/>
      <c r="E107" s="317"/>
      <c r="F107" s="317"/>
      <c r="G107" s="317"/>
      <c r="H107" s="317"/>
      <c r="I107" s="316"/>
      <c r="J107" s="319"/>
      <c r="K107" s="431"/>
      <c r="L107" s="317"/>
      <c r="M107" s="317"/>
      <c r="N107" s="118" t="b">
        <v>0</v>
      </c>
      <c r="O107" s="487"/>
      <c r="Q107" s="284"/>
      <c r="R107" s="285" t="b">
        <v>0</v>
      </c>
      <c r="S107" s="285" t="b">
        <v>0</v>
      </c>
      <c r="T107" s="286" t="b">
        <v>0</v>
      </c>
    </row>
    <row r="108" hidden="1" outlineLevel="1">
      <c r="A108" s="317"/>
      <c r="B108" s="317"/>
      <c r="C108" s="496"/>
      <c r="D108" s="317"/>
      <c r="E108" s="317"/>
      <c r="F108" s="317"/>
      <c r="G108" s="317"/>
      <c r="H108" s="317"/>
      <c r="I108" s="318"/>
      <c r="J108" s="319"/>
      <c r="K108" s="431"/>
      <c r="L108" s="317"/>
      <c r="M108" s="317"/>
      <c r="N108" s="118" t="b">
        <v>0</v>
      </c>
      <c r="O108" s="487"/>
      <c r="Q108" s="284"/>
      <c r="R108" s="285" t="b">
        <v>0</v>
      </c>
      <c r="S108" s="285" t="b">
        <v>0</v>
      </c>
      <c r="T108" s="286" t="b">
        <v>0</v>
      </c>
    </row>
    <row r="109" hidden="1" outlineLevel="1">
      <c r="A109" s="317"/>
      <c r="B109" s="317"/>
      <c r="C109" s="316"/>
      <c r="D109" s="317"/>
      <c r="E109" s="317"/>
      <c r="F109" s="317"/>
      <c r="G109" s="342"/>
      <c r="H109" s="317"/>
      <c r="I109" s="316"/>
      <c r="J109" s="319"/>
      <c r="K109" s="436"/>
      <c r="L109" s="317"/>
      <c r="M109" s="317"/>
      <c r="N109" s="118" t="b">
        <v>0</v>
      </c>
      <c r="O109" s="487"/>
      <c r="Q109" s="284"/>
      <c r="R109" s="285" t="b">
        <v>0</v>
      </c>
      <c r="S109" s="285" t="b">
        <v>0</v>
      </c>
      <c r="T109" s="286" t="b">
        <v>0</v>
      </c>
    </row>
    <row r="110" hidden="1" outlineLevel="1">
      <c r="A110" s="317"/>
      <c r="B110" s="317"/>
      <c r="C110" s="316"/>
      <c r="D110" s="317"/>
      <c r="E110" s="317"/>
      <c r="F110" s="317"/>
      <c r="G110" s="317"/>
      <c r="H110" s="317"/>
      <c r="I110" s="316"/>
      <c r="J110" s="319"/>
      <c r="K110" s="436"/>
      <c r="L110" s="317"/>
      <c r="M110" s="317"/>
      <c r="N110" s="118" t="b">
        <v>0</v>
      </c>
      <c r="O110" s="487"/>
      <c r="Q110" s="284"/>
      <c r="R110" s="285" t="b">
        <v>0</v>
      </c>
      <c r="S110" s="285" t="b">
        <v>0</v>
      </c>
      <c r="T110" s="286" t="b">
        <v>0</v>
      </c>
    </row>
    <row r="111" hidden="1" outlineLevel="1">
      <c r="A111" s="432"/>
      <c r="B111" s="432"/>
      <c r="C111" s="497"/>
      <c r="D111" s="432"/>
      <c r="E111" s="432"/>
      <c r="F111" s="432"/>
      <c r="G111" s="432"/>
      <c r="H111" s="432"/>
      <c r="I111" s="441"/>
      <c r="J111" s="435"/>
      <c r="K111" s="436"/>
      <c r="L111" s="432"/>
      <c r="M111" s="432"/>
      <c r="N111" s="118" t="b">
        <v>0</v>
      </c>
      <c r="O111" s="487"/>
      <c r="Q111" s="438"/>
      <c r="R111" s="285" t="b">
        <v>0</v>
      </c>
      <c r="S111" s="285" t="b">
        <v>0</v>
      </c>
      <c r="T111" s="286" t="b">
        <v>0</v>
      </c>
    </row>
    <row r="112" hidden="1" outlineLevel="1">
      <c r="A112" s="432"/>
      <c r="B112" s="432"/>
      <c r="C112" s="497"/>
      <c r="D112" s="131"/>
      <c r="E112" s="432"/>
      <c r="F112" s="317"/>
      <c r="G112" s="317"/>
      <c r="H112" s="317"/>
      <c r="I112" s="318"/>
      <c r="J112" s="319"/>
      <c r="K112" s="436"/>
      <c r="L112" s="432"/>
      <c r="M112" s="317"/>
      <c r="N112" s="118" t="b">
        <v>0</v>
      </c>
      <c r="O112" s="487"/>
      <c r="Q112" s="284"/>
      <c r="R112" s="285" t="b">
        <v>0</v>
      </c>
      <c r="S112" s="285" t="b">
        <v>0</v>
      </c>
      <c r="T112" s="286" t="b">
        <v>0</v>
      </c>
    </row>
    <row r="113" hidden="1" outlineLevel="1">
      <c r="A113" s="432"/>
      <c r="B113" s="432"/>
      <c r="C113" s="477"/>
      <c r="D113" s="432"/>
      <c r="E113" s="432"/>
      <c r="F113" s="432"/>
      <c r="G113" s="432"/>
      <c r="H113" s="351"/>
      <c r="I113" s="441"/>
      <c r="J113" s="435"/>
      <c r="K113" s="436"/>
      <c r="L113" s="432"/>
      <c r="M113" s="432"/>
      <c r="N113" s="118" t="b">
        <v>0</v>
      </c>
      <c r="O113" s="487"/>
      <c r="Q113" s="438"/>
      <c r="R113" s="285" t="b">
        <v>0</v>
      </c>
      <c r="S113" s="285" t="b">
        <v>0</v>
      </c>
      <c r="T113" s="286" t="b">
        <v>0</v>
      </c>
    </row>
    <row r="114" hidden="1" outlineLevel="1">
      <c r="A114" s="317"/>
      <c r="B114" s="317"/>
      <c r="C114" s="496"/>
      <c r="D114" s="317"/>
      <c r="E114" s="317"/>
      <c r="F114" s="317"/>
      <c r="G114" s="317"/>
      <c r="H114" s="317"/>
      <c r="I114" s="318"/>
      <c r="J114" s="319"/>
      <c r="K114" s="431"/>
      <c r="L114" s="317"/>
      <c r="M114" s="317"/>
      <c r="N114" s="118" t="b">
        <v>0</v>
      </c>
      <c r="O114" s="487"/>
      <c r="Q114" s="284"/>
      <c r="R114" s="285" t="b">
        <v>0</v>
      </c>
      <c r="S114" s="285" t="b">
        <v>0</v>
      </c>
      <c r="T114" s="286" t="b">
        <v>0</v>
      </c>
    </row>
    <row r="115" hidden="1" outlineLevel="1">
      <c r="A115" s="317"/>
      <c r="B115" s="317"/>
      <c r="C115" s="316"/>
      <c r="D115" s="317"/>
      <c r="E115" s="317"/>
      <c r="F115" s="324"/>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318"/>
      <c r="J116" s="319"/>
      <c r="K116" s="436"/>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432"/>
      <c r="B118" s="432"/>
      <c r="C118" s="440"/>
      <c r="D118" s="432"/>
      <c r="E118" s="432"/>
      <c r="F118" s="432"/>
      <c r="G118" s="432"/>
      <c r="H118" s="432"/>
      <c r="I118" s="441"/>
      <c r="J118" s="435"/>
      <c r="K118" s="436"/>
      <c r="L118" s="432"/>
      <c r="M118" s="317"/>
      <c r="N118" s="118" t="b">
        <v>0</v>
      </c>
      <c r="O118" s="487"/>
      <c r="Q118" s="284"/>
      <c r="R118" s="285" t="b">
        <v>0</v>
      </c>
      <c r="S118" s="285" t="b">
        <v>0</v>
      </c>
      <c r="T118" s="286" t="b">
        <v>0</v>
      </c>
    </row>
    <row r="119" hidden="1" outlineLevel="1">
      <c r="A119" s="317"/>
      <c r="B119" s="317"/>
      <c r="C119" s="316"/>
      <c r="D119" s="317"/>
      <c r="E119" s="317"/>
      <c r="F119" s="317"/>
      <c r="G119" s="317"/>
      <c r="H119" s="317"/>
      <c r="I119" s="318"/>
      <c r="J119" s="319"/>
      <c r="K119" s="431"/>
      <c r="L119" s="317"/>
      <c r="M119" s="317"/>
      <c r="N119" s="118" t="b">
        <v>0</v>
      </c>
      <c r="O119" s="487"/>
      <c r="Q119" s="284"/>
      <c r="R119" s="285" t="b">
        <v>0</v>
      </c>
      <c r="S119" s="285" t="b">
        <v>0</v>
      </c>
      <c r="T119" s="286" t="b">
        <v>0</v>
      </c>
    </row>
    <row r="120" hidden="1" outlineLevel="1">
      <c r="A120" s="317"/>
      <c r="B120" s="317"/>
      <c r="C120" s="440"/>
      <c r="D120" s="432"/>
      <c r="E120" s="432"/>
      <c r="F120" s="432"/>
      <c r="G120" s="432"/>
      <c r="H120" s="432"/>
      <c r="I120" s="441"/>
      <c r="J120" s="435"/>
      <c r="K120" s="436"/>
      <c r="L120" s="432"/>
      <c r="M120" s="432"/>
      <c r="N120" s="118" t="b">
        <v>0</v>
      </c>
      <c r="O120" s="487"/>
      <c r="Q120" s="438"/>
      <c r="R120" s="285" t="b">
        <v>0</v>
      </c>
      <c r="S120" s="285" t="b">
        <v>0</v>
      </c>
      <c r="T120" s="286" t="b">
        <v>0</v>
      </c>
    </row>
    <row r="121" hidden="1" outlineLevel="1">
      <c r="A121" s="432"/>
      <c r="B121" s="432"/>
      <c r="C121" s="440"/>
      <c r="D121" s="432"/>
      <c r="E121" s="432"/>
      <c r="F121" s="432"/>
      <c r="G121" s="432"/>
      <c r="H121" s="432"/>
      <c r="I121" s="441"/>
      <c r="J121" s="435"/>
      <c r="K121" s="436"/>
      <c r="L121" s="432"/>
      <c r="M121" s="317"/>
      <c r="N121" s="118" t="b">
        <v>0</v>
      </c>
      <c r="O121" s="487"/>
      <c r="Q121" s="438"/>
      <c r="R121" s="285" t="b">
        <v>0</v>
      </c>
      <c r="S121" s="285" t="b">
        <v>0</v>
      </c>
      <c r="T121" s="286" t="b">
        <v>0</v>
      </c>
    </row>
    <row r="122" hidden="1" outlineLevel="1">
      <c r="A122" s="317"/>
      <c r="B122" s="317"/>
      <c r="C122" s="316"/>
      <c r="D122" s="317"/>
      <c r="E122" s="317"/>
      <c r="F122" s="317"/>
      <c r="G122" s="317"/>
      <c r="H122" s="317"/>
      <c r="I122" s="318"/>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8"/>
      <c r="J123" s="319"/>
      <c r="K123" s="431"/>
      <c r="L123" s="317"/>
      <c r="M123" s="317"/>
      <c r="N123" s="118" t="b">
        <v>0</v>
      </c>
      <c r="O123" s="487"/>
      <c r="Q123" s="284"/>
      <c r="R123" s="285" t="b">
        <v>0</v>
      </c>
      <c r="S123" s="285" t="b">
        <v>0</v>
      </c>
      <c r="T123" s="286" t="b">
        <v>0</v>
      </c>
    </row>
    <row r="124" hidden="1" outlineLevel="1">
      <c r="A124" s="317"/>
      <c r="B124" s="317"/>
      <c r="C124" s="316"/>
      <c r="D124" s="317"/>
      <c r="E124" s="317"/>
      <c r="F124" s="317"/>
      <c r="G124" s="317"/>
      <c r="H124" s="317"/>
      <c r="I124" s="318"/>
      <c r="J124" s="319"/>
      <c r="K124" s="436"/>
      <c r="L124" s="317"/>
      <c r="M124" s="317"/>
      <c r="N124" s="118" t="b">
        <v>0</v>
      </c>
      <c r="O124" s="487"/>
      <c r="Q124" s="284"/>
      <c r="R124" s="285" t="b">
        <v>0</v>
      </c>
      <c r="S124" s="285" t="b">
        <v>0</v>
      </c>
      <c r="T124" s="286" t="b">
        <v>0</v>
      </c>
    </row>
    <row r="125" hidden="1" outlineLevel="1">
      <c r="A125" s="317"/>
      <c r="B125" s="317"/>
      <c r="C125" s="316"/>
      <c r="D125" s="317"/>
      <c r="E125" s="317"/>
      <c r="F125" s="317"/>
      <c r="G125" s="317"/>
      <c r="H125" s="317"/>
      <c r="I125" s="318"/>
      <c r="J125" s="319"/>
      <c r="K125" s="431"/>
      <c r="L125" s="317"/>
      <c r="M125" s="317"/>
      <c r="N125" s="118" t="b">
        <v>0</v>
      </c>
      <c r="O125" s="487"/>
      <c r="Q125" s="284"/>
      <c r="R125" s="285" t="b">
        <v>0</v>
      </c>
      <c r="S125" s="285" t="b">
        <v>0</v>
      </c>
      <c r="T125" s="286" t="b">
        <v>0</v>
      </c>
    </row>
    <row r="126" hidden="1"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hidden="1"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435"/>
      <c r="K129" s="431"/>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6"/>
      <c r="L130" s="317"/>
      <c r="M130" s="317"/>
      <c r="N130" s="118" t="b">
        <v>0</v>
      </c>
      <c r="O130" s="487"/>
      <c r="Q130" s="284"/>
      <c r="R130" s="285" t="b">
        <v>0</v>
      </c>
      <c r="S130" s="285" t="b">
        <v>0</v>
      </c>
      <c r="T130" s="286" t="b">
        <v>0</v>
      </c>
    </row>
    <row r="131" hidden="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hidden="1" outlineLevel="1">
      <c r="A132" s="317"/>
      <c r="B132" s="317"/>
      <c r="C132" s="444"/>
      <c r="D132" s="317"/>
      <c r="E132" s="317"/>
      <c r="F132" s="317"/>
      <c r="G132" s="317"/>
      <c r="H132" s="317"/>
      <c r="I132" s="318"/>
      <c r="J132" s="319"/>
      <c r="K132" s="436"/>
      <c r="L132" s="317"/>
      <c r="M132" s="317"/>
      <c r="N132" s="118" t="b">
        <v>0</v>
      </c>
      <c r="O132" s="487"/>
      <c r="Q132" s="284"/>
      <c r="R132" s="285" t="b">
        <v>0</v>
      </c>
      <c r="S132" s="285" t="b">
        <v>0</v>
      </c>
      <c r="T132" s="286" t="b">
        <v>0</v>
      </c>
    </row>
    <row r="133" hidden="1"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hidden="1"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hidden="1"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hidden="1"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444"/>
      <c r="D138" s="317"/>
      <c r="E138" s="317"/>
      <c r="F138" s="317"/>
      <c r="G138" s="317"/>
      <c r="H138" s="317"/>
      <c r="I138" s="318"/>
      <c r="J138" s="435"/>
      <c r="K138" s="431"/>
      <c r="L138" s="317"/>
      <c r="M138" s="317"/>
      <c r="N138" s="118" t="b">
        <v>0</v>
      </c>
      <c r="O138" s="487"/>
      <c r="Q138" s="284"/>
      <c r="R138" s="285" t="b">
        <v>0</v>
      </c>
      <c r="S138" s="285" t="b">
        <v>0</v>
      </c>
      <c r="T138" s="286" t="b">
        <v>0</v>
      </c>
    </row>
    <row r="139" hidden="1"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hidden="1" outlineLevel="1">
      <c r="A140" s="317"/>
      <c r="B140" s="317"/>
      <c r="C140" s="444"/>
      <c r="D140" s="317"/>
      <c r="E140" s="317"/>
      <c r="F140" s="317"/>
      <c r="G140" s="317"/>
      <c r="H140" s="317"/>
      <c r="I140" s="318"/>
      <c r="J140" s="319"/>
      <c r="K140" s="436"/>
      <c r="L140" s="317"/>
      <c r="M140" s="317"/>
      <c r="N140" s="118" t="b">
        <v>0</v>
      </c>
      <c r="O140" s="487"/>
      <c r="Q140" s="284"/>
      <c r="R140" s="285" t="b">
        <v>0</v>
      </c>
      <c r="S140" s="285" t="b">
        <v>0</v>
      </c>
      <c r="T140" s="286" t="b">
        <v>0</v>
      </c>
    </row>
    <row r="141" hidden="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hidden="1" outlineLevel="1">
      <c r="A142" s="317"/>
      <c r="B142" s="317"/>
      <c r="C142" s="498"/>
      <c r="D142" s="336"/>
      <c r="E142" s="336"/>
      <c r="F142" s="420"/>
      <c r="G142" s="317"/>
      <c r="H142" s="317"/>
      <c r="I142" s="318"/>
      <c r="J142" s="319"/>
      <c r="K142" s="431"/>
      <c r="L142" s="317"/>
      <c r="M142" s="317"/>
      <c r="N142" s="118" t="b">
        <v>0</v>
      </c>
      <c r="O142" s="487"/>
      <c r="Q142" s="284"/>
      <c r="R142" s="285" t="b">
        <v>0</v>
      </c>
      <c r="S142" s="285" t="b">
        <v>0</v>
      </c>
      <c r="T142" s="286" t="b">
        <v>0</v>
      </c>
    </row>
    <row r="143" hidden="1" outlineLevel="1">
      <c r="A143" s="317"/>
      <c r="B143" s="317"/>
      <c r="C143" s="498"/>
      <c r="D143" s="279"/>
      <c r="E143" s="279"/>
      <c r="F143" s="346"/>
      <c r="G143" s="317"/>
      <c r="H143" s="317"/>
      <c r="I143" s="318"/>
      <c r="J143" s="319"/>
      <c r="K143" s="431"/>
      <c r="L143" s="317"/>
      <c r="M143" s="317"/>
      <c r="N143" s="118" t="b">
        <v>0</v>
      </c>
      <c r="O143" s="487"/>
      <c r="Q143" s="284"/>
      <c r="R143" s="285" t="b">
        <v>0</v>
      </c>
      <c r="S143" s="285" t="b">
        <v>0</v>
      </c>
      <c r="T143" s="286" t="b">
        <v>0</v>
      </c>
    </row>
    <row r="144" hidden="1" outlineLevel="1">
      <c r="A144" s="432"/>
      <c r="B144" s="432"/>
      <c r="C144" s="440"/>
      <c r="D144" s="432"/>
      <c r="E144" s="432"/>
      <c r="F144" s="432"/>
      <c r="G144" s="432"/>
      <c r="H144" s="351"/>
      <c r="I144" s="441"/>
      <c r="J144" s="319"/>
      <c r="K144" s="436"/>
      <c r="L144" s="317"/>
      <c r="M144" s="432"/>
      <c r="N144" s="118" t="b">
        <v>0</v>
      </c>
      <c r="O144" s="487"/>
      <c r="Q144" s="284"/>
      <c r="R144" s="285" t="b">
        <v>0</v>
      </c>
      <c r="S144" s="285" t="b">
        <v>0</v>
      </c>
      <c r="T144" s="286" t="b">
        <v>0</v>
      </c>
    </row>
    <row r="145" hidden="1" outlineLevel="1">
      <c r="A145" s="317"/>
      <c r="B145" s="317"/>
      <c r="C145" s="316"/>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316"/>
      <c r="D147" s="317"/>
      <c r="E147" s="317"/>
      <c r="F147" s="445"/>
      <c r="G147" s="317"/>
      <c r="H147" s="317"/>
      <c r="I147" s="318"/>
      <c r="J147" s="435"/>
      <c r="K147" s="431"/>
      <c r="L147" s="317"/>
      <c r="M147" s="317"/>
      <c r="N147" s="118" t="b">
        <v>0</v>
      </c>
      <c r="O147" s="487"/>
      <c r="Q147" s="284"/>
      <c r="R147" s="285" t="b">
        <v>0</v>
      </c>
      <c r="S147" s="285" t="b">
        <v>0</v>
      </c>
      <c r="T147" s="286" t="b">
        <v>0</v>
      </c>
    </row>
    <row r="148">
      <c r="A148" s="348" t="s">
        <v>116</v>
      </c>
      <c r="B148" s="349">
        <f>COUNTIF(B77:B147,"ONLINE")+COUNTIF(B77:B147,"SEDE*")</f>
        <v>0</v>
      </c>
      <c r="C148" s="348" t="s">
        <v>116</v>
      </c>
      <c r="D148" s="349">
        <f t="shared" ref="D148:E148" si="7">COUNTIF(D77:D147, "*")</f>
        <v>0</v>
      </c>
      <c r="E148" s="349">
        <f t="shared" si="7"/>
        <v>0</v>
      </c>
      <c r="F148" s="480">
        <f>COUNTA(F77:F147)</f>
        <v>0</v>
      </c>
      <c r="G148" s="349">
        <f t="shared" ref="G148:H148" si="8">COUNTIF(G77:G147, "*")</f>
        <v>0</v>
      </c>
      <c r="H148" s="349">
        <f t="shared" si="8"/>
        <v>0</v>
      </c>
      <c r="I148" s="348" t="s">
        <v>116</v>
      </c>
      <c r="J148" s="481">
        <f t="shared" ref="J148:K148" si="9">SUM(J77:J147)</f>
        <v>0</v>
      </c>
      <c r="K148" s="482">
        <f t="shared" si="9"/>
        <v>0</v>
      </c>
      <c r="L148" s="349">
        <f t="shared" ref="L148:M148" si="10">COUNTIF(L77:L147, "*")</f>
        <v>0</v>
      </c>
      <c r="M148" s="349">
        <f t="shared" si="10"/>
        <v>0</v>
      </c>
      <c r="N148" s="349">
        <f>SUMPRODUCT(--N77:N147)</f>
        <v>0</v>
      </c>
      <c r="O148" s="349">
        <f t="shared" ref="O148:Q148" si="11">COUNTIF(O77:O147, "*")</f>
        <v>0</v>
      </c>
      <c r="P148" s="349">
        <f t="shared" si="11"/>
        <v>0</v>
      </c>
      <c r="Q148" s="349">
        <f t="shared" si="11"/>
        <v>0</v>
      </c>
      <c r="R148" s="349">
        <f t="shared" ref="R148:T148" si="12">SUMPRODUCT(--R77:R147)</f>
        <v>0</v>
      </c>
      <c r="S148" s="349">
        <f t="shared" si="12"/>
        <v>0</v>
      </c>
      <c r="T148" s="349">
        <f t="shared" si="12"/>
        <v>0</v>
      </c>
    </row>
    <row r="149">
      <c r="A149" s="245" t="s">
        <v>117</v>
      </c>
      <c r="B149" s="246">
        <f>COUNTIF(B77:B147, "SEDE*")</f>
        <v>0</v>
      </c>
      <c r="C149" s="351"/>
      <c r="D149" s="351"/>
      <c r="E149" s="351"/>
      <c r="F149" s="351"/>
      <c r="G149" s="351"/>
      <c r="H149" s="245" t="s">
        <v>1974</v>
      </c>
      <c r="I149" s="355" t="s">
        <v>121</v>
      </c>
      <c r="J149" s="483" t="str">
        <f>COUNTIFS($B$77:$B$147,"*SEDE*",$J$77:$J$147, $F$154)&amp; " da €"&amp;$F$154</f>
        <v>0 da €32</v>
      </c>
      <c r="K149" s="484" t="str">
        <f>COUNTIFS($B$77:$B$147,"*SEDE*",$K$77:$K$147, $F$153)&amp; " da €"&amp;$F$153</f>
        <v>0 da €30</v>
      </c>
      <c r="L149" s="368" t="str">
        <f>COUNTIFS($B$77:$B$147,"*SEDE*",$J$77:$J$147, $F$156)&amp; " da €"&amp;$F$156</f>
        <v>0 da €37</v>
      </c>
      <c r="M149" s="369" t="str">
        <f>COUNTIFS($B$77:$B$147,"*SEDE*",$K$77:$K$147, $F$155)&amp; " da €"&amp;$F$155</f>
        <v>0 da €35</v>
      </c>
      <c r="N149" s="365" t="str">
        <f>COUNTIFS($B$77:$B$147,"*SEDE*",$J$77:$J$147, $G$154)&amp; " da €"&amp;$G$154</f>
        <v>0 da €42</v>
      </c>
      <c r="O149" s="373" t="str">
        <f>COUNTIFS($B$77:$B$147,"*SEDE*",$K$77:$K$147, $G$153)&amp; " da €"&amp;$G$153</f>
        <v>0 da €40</v>
      </c>
      <c r="P149" s="499" t="s">
        <v>40</v>
      </c>
      <c r="Q149" s="486">
        <f>SUM(J150,K150,L150,M150,N150,O150)</f>
        <v>0</v>
      </c>
      <c r="R149" s="500"/>
      <c r="S149" s="351"/>
      <c r="T149" s="351"/>
    </row>
    <row r="150">
      <c r="A150" s="245" t="s">
        <v>74</v>
      </c>
      <c r="B150" s="246">
        <f>COUNTIF(B77:B147, "ONLINE")</f>
        <v>0</v>
      </c>
      <c r="C150" s="245"/>
      <c r="D150" s="317"/>
      <c r="E150" s="351"/>
      <c r="I150" s="367" t="s">
        <v>122</v>
      </c>
      <c r="J150" s="368">
        <f>SUMIFS($J$77:$J$147,$B$77:$B$147,"*SEDE*",$J$77:$J$147,$F$154)</f>
        <v>0</v>
      </c>
      <c r="K150" s="436">
        <f>SUMIFS($K$77:$K$147,$B$77:$B$147,"*SEDE*",$K$77:$K$147,$F$153)</f>
        <v>0</v>
      </c>
      <c r="L150" s="368">
        <f>SUMIFS($J$77:$J$147,$B$77:$B$147,"*SEDE*",$J$77:$J$147,$F$156)</f>
        <v>0</v>
      </c>
      <c r="M150" s="436">
        <f>SUMIFS($K$77:$K$147,$B$77:$B$147,"*SEDE*",$K$77:$K$147,$F$155)</f>
        <v>0</v>
      </c>
      <c r="N150" s="501">
        <f>SUMIFS($J$77:$J$147,$B$77:$B$147,"*SEDE*",$J$77:$J$147,$G$154)</f>
        <v>0</v>
      </c>
      <c r="O150" s="436">
        <f>SUMIFS($K$77:$K$147,$B$77:$B$147,"*SEDE*",$K$77:$K$147,$G$153)</f>
        <v>0</v>
      </c>
      <c r="R150" s="500"/>
      <c r="S150" s="351"/>
      <c r="T150" s="351"/>
    </row>
    <row r="151">
      <c r="A151" s="245"/>
      <c r="B151" s="246"/>
      <c r="C151" s="245"/>
      <c r="D151" s="351"/>
      <c r="E151" s="351"/>
      <c r="F151" s="502"/>
      <c r="G151" s="503"/>
      <c r="I151" s="355" t="s">
        <v>123</v>
      </c>
      <c r="J151" s="368" t="str">
        <f>COUNTIFS($B$77:$B$147,"*ONLINE*",$J$77:$J$147, $F$154)&amp; " da €"&amp;$F$154</f>
        <v>0 da €32</v>
      </c>
      <c r="K151" s="484" t="str">
        <f>COUNTIFS($B$77:$B$147,"*ONLINE*",$K$77:$K$147, $F$153)&amp; " da €"&amp;$F$153</f>
        <v>0 da €30</v>
      </c>
      <c r="L151" s="368" t="str">
        <f>COUNTIFS($B$77:$B$147,"*ONLINE*",$J$77:$J$147, $F$156)&amp; " da €"&amp;$F$156</f>
        <v>0 da €37</v>
      </c>
      <c r="M151" s="369" t="str">
        <f>COUNTIFS($B$77:$B$147,"*ONLINE*",$K$77:$K$147, $F$155)&amp; " da €"&amp;$F$155</f>
        <v>0 da €35</v>
      </c>
      <c r="N151" s="483" t="str">
        <f>COUNTIFS($B$77:$B$147,"*ONLINE*",$J$77:$J$147, $G$154)&amp; " da €"&amp;$G$154</f>
        <v>0 da €42</v>
      </c>
      <c r="O151" s="484" t="str">
        <f>COUNTIFS($B$77:$B$147,"*ONLINE*",$K$77:$K$147, $G$153)&amp; " da €"&amp;$G$153</f>
        <v>0 da €40</v>
      </c>
      <c r="P151" s="485" t="s">
        <v>40</v>
      </c>
      <c r="Q151" s="486">
        <f>SUM(J152,K152,L152,M152,N152,O152)</f>
        <v>0</v>
      </c>
      <c r="R151" s="500"/>
      <c r="S151" s="351"/>
      <c r="T151" s="351"/>
    </row>
    <row r="152">
      <c r="A152" s="379"/>
      <c r="B152" s="379"/>
      <c r="C152" s="245"/>
      <c r="D152" s="351"/>
      <c r="E152" s="351"/>
      <c r="F152" s="502"/>
      <c r="G152" s="503"/>
      <c r="H152" s="196"/>
      <c r="I152" s="355" t="s">
        <v>124</v>
      </c>
      <c r="J152" s="483">
        <f>SUMIFS($J$77:$J$147,$B$77:$B$147,"*ONLINE*",$J$77:$J$147,$F$154)</f>
        <v>0</v>
      </c>
      <c r="K152" s="484">
        <f>SUMIFS($K$77:$K$147,$B$77:$B$147,"*ONLINE*",$K$77:$K$147,$F$153)</f>
        <v>0</v>
      </c>
      <c r="L152" s="368">
        <f>SUMIFS($J$77:$J$147,$B$77:$B$147,"*ONLINE*",$J$77:$J$147,$F$156)</f>
        <v>0</v>
      </c>
      <c r="M152" s="436">
        <f>SUMIFS($K$77:$K$147,$B$77:$B$147,"*ONLINE*",$K$77:$K$147,$F$155)</f>
        <v>0</v>
      </c>
      <c r="N152" s="365">
        <f>SUMIFS($J$77:$J$147,$B$77:$B$147,"*ONLINE*",$J$77:$J$147,$G$154)</f>
        <v>0</v>
      </c>
      <c r="O152" s="436">
        <f>SUMIFS($K$77:$K$147,$B$77:$B$147,"*ONLINE*",$K$77:$K$147,$G$153)</f>
        <v>0</v>
      </c>
      <c r="P152" s="196"/>
      <c r="Q152" s="196"/>
      <c r="R152" s="245" t="s">
        <v>120</v>
      </c>
      <c r="S152" s="378" t="str">
        <f>IF(SUM(J148:K148) = SUM(Q149:Q152), "OK", "ERRORE")</f>
        <v>OK</v>
      </c>
      <c r="T152" s="351"/>
    </row>
    <row r="153">
      <c r="A153" s="208" t="s">
        <v>127</v>
      </c>
      <c r="B153" s="504">
        <f t="shared" ref="B153:B154" si="13">SUM(B72,B149)</f>
        <v>2</v>
      </c>
      <c r="C153" s="505"/>
      <c r="D153" s="452"/>
      <c r="E153" s="506" t="s">
        <v>1596</v>
      </c>
      <c r="F153" s="353">
        <v>30.0</v>
      </c>
      <c r="G153" s="507">
        <v>40.0</v>
      </c>
      <c r="H153" s="508" t="s">
        <v>1975</v>
      </c>
      <c r="I153" s="509" t="s">
        <v>132</v>
      </c>
      <c r="J153" s="510" t="str">
        <f>COUNTIFS($B$4:$B$70,"*SEDE*",$J$4:$J$70, $F$154)+COUNTIFS($B$77:$B$147,"*SEDE*",$J$77:$J$147, $F$154)&amp; " da €"&amp;$F$154</f>
        <v>1 da €32</v>
      </c>
      <c r="K153" s="511" t="str">
        <f>COUNTIFS($B$4:$B$70,"*SEDE*",$K$4:$K$70, $F$153)+COUNTIFS($B$77:$B$147,"*SEDE*",$K$77:$K$147, $F$153)&amp; " da €"&amp;$F$153</f>
        <v>0 da €30</v>
      </c>
      <c r="L153" s="510" t="str">
        <f>COUNTIFS($B$4:$B$70,"*SEDE*",$J$4:$J$70, $F$156)+COUNTIFS($B$77:$B$147,"*SEDE*",$J$77:$J$147, $F$156)&amp; " da €"&amp;$F$156</f>
        <v>1 da €37</v>
      </c>
      <c r="M153" s="511" t="str">
        <f>COUNTIFS($B$4:$B$70,"*SEDE*",$K$4:$K$70, $F$155)+COUNTIFS($B$77:$B$147,"*SEDE*",$K$77:$K$147, $F$155)&amp; " da €"&amp;$F$155</f>
        <v>0 da €35</v>
      </c>
      <c r="N153" s="510" t="str">
        <f>COUNTIFS($B$4:$B$70,"*SEDE*",$J$4:$J$70, $G$154)+COUNTIFS($B$77:$B$147,"*SEDE*",$J$77:$J$147, $G$154)&amp; " da €"&amp;$G$154</f>
        <v>0 da €42</v>
      </c>
      <c r="O153" s="511" t="str">
        <f>COUNTIFS($B$4:$B$70,"*SEDE*",$K$4:$K$70, $G$153)+COUNTIFS($B$77:$B$147,"*SEDE*",$K$77:$K$147, $G$153)&amp; " da €"&amp;$G$153</f>
        <v>0 da €40</v>
      </c>
      <c r="P153" s="512" t="s">
        <v>127</v>
      </c>
      <c r="Q153" s="359">
        <f>SUM(J154,K154,L154,M154,N154,O154)</f>
        <v>69</v>
      </c>
      <c r="R153" s="205" t="s">
        <v>130</v>
      </c>
      <c r="S153" s="513">
        <f>SUM(J71,K71,J148,K148)</f>
        <v>2223</v>
      </c>
      <c r="T153" s="207"/>
    </row>
    <row r="154">
      <c r="A154" s="208" t="s">
        <v>131</v>
      </c>
      <c r="B154" s="504">
        <f t="shared" si="13"/>
        <v>61</v>
      </c>
      <c r="C154" s="245"/>
      <c r="D154" s="351"/>
      <c r="E154" s="514"/>
      <c r="F154" s="365">
        <v>32.0</v>
      </c>
      <c r="G154" s="319">
        <v>42.0</v>
      </c>
      <c r="I154" s="515" t="s">
        <v>122</v>
      </c>
      <c r="J154" s="455">
        <f t="shared" ref="J154:O154" si="14">SUM(J73,J150)</f>
        <v>32</v>
      </c>
      <c r="K154" s="456">
        <f t="shared" si="14"/>
        <v>0</v>
      </c>
      <c r="L154" s="455">
        <f t="shared" si="14"/>
        <v>37</v>
      </c>
      <c r="M154" s="456">
        <f t="shared" si="14"/>
        <v>0</v>
      </c>
      <c r="N154" s="455">
        <f t="shared" si="14"/>
        <v>0</v>
      </c>
      <c r="O154" s="456">
        <f t="shared" si="14"/>
        <v>0</v>
      </c>
    </row>
    <row r="155">
      <c r="A155" s="213" t="s">
        <v>133</v>
      </c>
      <c r="B155" s="371">
        <f>SUM(B153:B154)</f>
        <v>63</v>
      </c>
      <c r="C155" s="245"/>
      <c r="D155" s="351"/>
      <c r="E155" s="514"/>
      <c r="F155" s="373">
        <v>35.0</v>
      </c>
      <c r="G155" s="431">
        <v>0.0</v>
      </c>
      <c r="I155" s="515" t="s">
        <v>135</v>
      </c>
      <c r="J155" s="483" t="str">
        <f>COUNTIFS($B$4:$B$70,"*ONLINE*",$J$4:$J$70, $F$154)+COUNTIFS($B$77:$B$147,"*ONLINE*",$J$77:$J$147, $F$154)&amp; " da €"&amp;$F$154</f>
        <v>12 da €32</v>
      </c>
      <c r="K155" s="92" t="str">
        <f>COUNTIFS($B$4:$B$70,"*ONLINE*",$K$4:$K$70, $F$153)+COUNTIFS($B$77:$B$147,"*ONLINE*",$K$77:$K$147, $F$153)&amp; " da €"&amp;$F$153</f>
        <v>5 da €30</v>
      </c>
      <c r="L155" s="516" t="str">
        <f>COUNTIFS($B$4:$B$70,"*ONLINE*",$J$4:$J$70, $F$156)+COUNTIFS($B$77:$B$147,"*ONLINE*",$J$77:$J$147, $F$156)&amp; " da €"&amp;$F$156</f>
        <v>40 da €37</v>
      </c>
      <c r="M155" s="92" t="str">
        <f>COUNTIFS($B$4:$B$70,"*ONLINE*",$K$4:$K$70, $F$155)+COUNTIFS($B$77:$B$147,"*ONLINE*",$K$77:$K$147, $F$155)&amp; " da €"&amp;$F$155</f>
        <v>4 da €35</v>
      </c>
      <c r="N155" s="516" t="str">
        <f>COUNTIFS($B$4:$B$70,"*ONLINE*",$J$4:$J$70, $G$154)+COUNTIFS($B$77:$B$147,"*ONLINE*",$J$77:$J$147, $G$154)&amp; " da €"&amp;$G$154</f>
        <v>0 da €42</v>
      </c>
      <c r="O155" s="92" t="str">
        <f>COUNTIFS($B$4:$B$70,"*ONLINE*",$K$4:$K$70, $G$153)+COUNTIFS($B$77:$B$147,"*ONLINE*",$K$77:$K$147, $G$153)&amp; " da €"&amp;$G$153</f>
        <v>0 da €40</v>
      </c>
      <c r="P155" s="512" t="s">
        <v>131</v>
      </c>
      <c r="Q155" s="359">
        <f>SUM(J156,K156,L156,M156,N156,O156)</f>
        <v>2154</v>
      </c>
    </row>
    <row r="156">
      <c r="A156" s="517" t="s">
        <v>134</v>
      </c>
      <c r="B156" s="518">
        <f>COUNTIF(M4:M147,"*NON TESSERATO*")</f>
        <v>52</v>
      </c>
      <c r="C156" s="245"/>
      <c r="D156" s="351"/>
      <c r="E156" s="519"/>
      <c r="F156" s="382">
        <v>37.0</v>
      </c>
      <c r="G156" s="520">
        <v>0.0</v>
      </c>
      <c r="H156" s="196"/>
      <c r="I156" s="521" t="s">
        <v>124</v>
      </c>
      <c r="J156" s="522">
        <f t="shared" ref="J156:O156" si="15">SUM(J75,J152)</f>
        <v>384</v>
      </c>
      <c r="K156" s="523">
        <f t="shared" si="15"/>
        <v>150</v>
      </c>
      <c r="L156" s="522">
        <f t="shared" si="15"/>
        <v>1480</v>
      </c>
      <c r="M156" s="523">
        <f t="shared" si="15"/>
        <v>140</v>
      </c>
      <c r="N156" s="522">
        <f t="shared" si="15"/>
        <v>0</v>
      </c>
      <c r="O156" s="523">
        <f t="shared" si="15"/>
        <v>0</v>
      </c>
      <c r="P156" s="196"/>
      <c r="Q156" s="196"/>
      <c r="R156" s="196"/>
      <c r="S156" s="196"/>
      <c r="T156" s="196"/>
    </row>
    <row r="157">
      <c r="A157" s="524" t="s">
        <v>136</v>
      </c>
      <c r="B157" s="525">
        <f>COUNTIF(M4:M147,"*TESSERATO*")-COUNTIF(M4:M147,"*NON TESSERATO*")</f>
        <v>11</v>
      </c>
      <c r="C157" s="245"/>
      <c r="D157" s="351"/>
      <c r="E157" s="526"/>
      <c r="F157" s="485"/>
      <c r="G157" s="527"/>
      <c r="H157" s="508"/>
      <c r="I157" s="515"/>
      <c r="J157" s="528"/>
      <c r="K157" s="528"/>
      <c r="L157" s="528"/>
      <c r="M157" s="528"/>
      <c r="N157" s="528"/>
      <c r="O157" s="528"/>
      <c r="P157" s="529"/>
      <c r="Q157" s="530"/>
      <c r="R157" s="531"/>
      <c r="S157" s="530"/>
      <c r="T157"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70:P70"/>
    <mergeCell ref="H72:H75"/>
    <mergeCell ref="P72:P73"/>
    <mergeCell ref="Q72:Q73"/>
    <mergeCell ref="P74:P75"/>
    <mergeCell ref="Q74:Q75"/>
    <mergeCell ref="A76:Q76"/>
    <mergeCell ref="O63:P63"/>
    <mergeCell ref="O64:P64"/>
    <mergeCell ref="O65:P65"/>
    <mergeCell ref="O66:P66"/>
    <mergeCell ref="O67:P67"/>
    <mergeCell ref="O68:P68"/>
    <mergeCell ref="O69:P69"/>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P151:P152"/>
    <mergeCell ref="P153:P154"/>
    <mergeCell ref="Q153:Q154"/>
    <mergeCell ref="R153:R156"/>
    <mergeCell ref="S153:T156"/>
    <mergeCell ref="Q155:Q156"/>
    <mergeCell ref="O147:P147"/>
    <mergeCell ref="H149:H152"/>
    <mergeCell ref="P149:P150"/>
    <mergeCell ref="Q149:Q150"/>
    <mergeCell ref="Q151:Q152"/>
    <mergeCell ref="E153:E156"/>
    <mergeCell ref="H153:H156"/>
    <mergeCell ref="P155:P156"/>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s>
  <conditionalFormatting sqref="A4:P70 T4:T70 A77:P147 T77:T147">
    <cfRule type="expression" dxfId="0" priority="1">
      <formula>$T4</formula>
    </cfRule>
  </conditionalFormatting>
  <conditionalFormatting sqref="S75 S152">
    <cfRule type="cellIs" dxfId="2" priority="2" operator="equal">
      <formula>"ERRORE"</formula>
    </cfRule>
  </conditionalFormatting>
  <conditionalFormatting sqref="S75 S152">
    <cfRule type="cellIs" dxfId="0" priority="3" operator="equal">
      <formula>"OK"</formula>
    </cfRule>
  </conditionalFormatting>
  <conditionalFormatting sqref="S4:S70 S77:S147">
    <cfRule type="expression" dxfId="1" priority="4">
      <formula>$S4</formula>
    </cfRule>
  </conditionalFormatting>
  <conditionalFormatting sqref="S4:S70 S77:S147">
    <cfRule type="expression" dxfId="2" priority="5">
      <formula>$M4="DIGIT - TESSERATO"</formula>
    </cfRule>
  </conditionalFormatting>
  <conditionalFormatting sqref="R4:R70 R77:R147">
    <cfRule type="expression" dxfId="3" priority="6">
      <formula>$R4</formula>
    </cfRule>
  </conditionalFormatting>
  <conditionalFormatting sqref="R4:R70 R77:R147">
    <cfRule type="expression" dxfId="4" priority="7">
      <formula>$M4="CASH - TESSERATO"</formula>
    </cfRule>
  </conditionalFormatting>
  <conditionalFormatting sqref="R4:R70 R77:R147">
    <cfRule type="expression" dxfId="4" priority="8">
      <formula>$M4="CASH - NON TESSERATO"</formula>
    </cfRule>
  </conditionalFormatting>
  <conditionalFormatting sqref="S4:S70 S77:S147">
    <cfRule type="expression" dxfId="2" priority="9">
      <formula>$M4="DIGIT - NON TESSERATO"</formula>
    </cfRule>
  </conditionalFormatting>
  <conditionalFormatting sqref="Q4:Q70 Q77:Q147">
    <cfRule type="expression" dxfId="0" priority="10">
      <formula>ISBLANK($Q4)=FALSE</formula>
    </cfRule>
  </conditionalFormatting>
  <conditionalFormatting sqref="A4:P70 A77:P147">
    <cfRule type="expression" dxfId="5" priority="11">
      <formula>$N4</formula>
    </cfRule>
  </conditionalFormatting>
  <dataValidations>
    <dataValidation type="list" allowBlank="1" showInputMessage="1" prompt="Fai clic e immetti un valore dall'elenco di elementi" sqref="M4:M70 M77:M147">
      <formula1>"CASH - TESSERATO,CASH - NON TESSERATO,DIGIT - TESSERATO,DIGIT - NON TESSERATO"</formula1>
    </dataValidation>
    <dataValidation type="list" allowBlank="1" showInputMessage="1" showErrorMessage="1" prompt="Fai clic e immetti un valore dall'intervallo" sqref="A4:A70 A77:A147">
      <formula1>elenchi!$M$2:$M$100</formula1>
    </dataValidation>
    <dataValidation type="list" allowBlank="1" showErrorMessage="1" sqref="B4:B70 B77:B147">
      <formula1>"ONLINE,SEDE Estefany,SEDE Giuditta,SEDE Alexandra,SEDE Nura,SEDE Joel"</formula1>
    </dataValidation>
    <dataValidation type="list" allowBlank="1" showErrorMessage="1" sqref="L4:L70 L77:L147">
      <formula1>"NURA02WS,GIUDITTA02WS,ALEXANDRA02WS,ESTEFANY02WS,JOEL02WS,MASSI02WS,SANTO02WS,SARA02WS,OMAGGIO100"</formula1>
    </dataValidation>
    <dataValidation type="list" allowBlank="1" sqref="Q4:Q70 Q77:Q147">
      <formula1>"INSERITO,CELL,EMAIL,COD FISCALE,INDIRIZZO"</formula1>
    </dataValidation>
    <dataValidation type="custom" allowBlank="1" showDropDown="1" showInputMessage="1" prompt="Immetti una data valida" sqref="I4:I5 C4:C70 I7:I70 C77:C147 I77:I147">
      <formula1>OR(NOT(ISERROR(DATEVALUE(C4))), AND(ISNUMBER(C4), LEFT(CELL("format", C4))="D"))</formula1>
    </dataValidation>
  </dataValidations>
  <hyperlinks>
    <hyperlink r:id="rId4" location="gid=1113522688"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2339</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2340</v>
      </c>
      <c r="R3" s="464" t="s">
        <v>1945</v>
      </c>
      <c r="S3" s="464"/>
      <c r="T3" s="464"/>
    </row>
    <row r="4" outlineLevel="1">
      <c r="A4" s="320" t="s">
        <v>73</v>
      </c>
      <c r="B4" s="320" t="s">
        <v>74</v>
      </c>
      <c r="C4" s="465">
        <v>45895.0</v>
      </c>
      <c r="D4" s="320" t="s">
        <v>2341</v>
      </c>
      <c r="E4" s="320" t="s">
        <v>180</v>
      </c>
      <c r="F4" s="320">
        <v>3.423550544E9</v>
      </c>
      <c r="G4" s="320" t="s">
        <v>477</v>
      </c>
      <c r="H4" s="320" t="s">
        <v>2342</v>
      </c>
      <c r="I4" s="439">
        <v>45895.0</v>
      </c>
      <c r="J4" s="365">
        <v>32.0</v>
      </c>
      <c r="K4" s="431"/>
      <c r="L4" s="317"/>
      <c r="M4" s="320" t="s">
        <v>100</v>
      </c>
      <c r="N4" s="118" t="b">
        <v>1</v>
      </c>
      <c r="O4" s="119"/>
      <c r="Q4" s="284" t="s">
        <v>81</v>
      </c>
      <c r="R4" s="285" t="b">
        <v>1</v>
      </c>
      <c r="S4" s="285" t="b">
        <v>0</v>
      </c>
      <c r="T4" s="286" t="b">
        <v>1</v>
      </c>
    </row>
    <row r="5" outlineLevel="1">
      <c r="A5" s="320" t="s">
        <v>73</v>
      </c>
      <c r="B5" s="320" t="s">
        <v>74</v>
      </c>
      <c r="C5" s="465">
        <v>45895.0</v>
      </c>
      <c r="D5" s="320" t="s">
        <v>2079</v>
      </c>
      <c r="E5" s="320" t="s">
        <v>351</v>
      </c>
      <c r="F5" s="320">
        <v>3.290782335E9</v>
      </c>
      <c r="G5" s="320" t="s">
        <v>2080</v>
      </c>
      <c r="H5" s="320" t="s">
        <v>2081</v>
      </c>
      <c r="I5" s="439">
        <v>45895.0</v>
      </c>
      <c r="J5" s="365">
        <v>32.0</v>
      </c>
      <c r="K5" s="431"/>
      <c r="L5" s="317"/>
      <c r="M5" s="320" t="s">
        <v>100</v>
      </c>
      <c r="N5" s="118" t="b">
        <v>1</v>
      </c>
      <c r="O5" s="119"/>
      <c r="Q5" s="284" t="s">
        <v>81</v>
      </c>
      <c r="R5" s="285" t="b">
        <v>1</v>
      </c>
      <c r="S5" s="285" t="b">
        <v>0</v>
      </c>
      <c r="T5" s="286" t="b">
        <v>1</v>
      </c>
    </row>
    <row r="6" outlineLevel="1">
      <c r="A6" s="320" t="s">
        <v>73</v>
      </c>
      <c r="B6" s="320" t="s">
        <v>74</v>
      </c>
      <c r="C6" s="465">
        <v>45896.0</v>
      </c>
      <c r="D6" s="320" t="s">
        <v>2343</v>
      </c>
      <c r="E6" s="320" t="s">
        <v>2344</v>
      </c>
      <c r="F6" s="320">
        <v>5.493515319913E12</v>
      </c>
      <c r="G6" s="111" t="s">
        <v>2345</v>
      </c>
      <c r="H6" s="320" t="s">
        <v>2346</v>
      </c>
      <c r="I6" s="466">
        <v>45896.0</v>
      </c>
      <c r="J6" s="365">
        <v>32.0</v>
      </c>
      <c r="K6" s="431"/>
      <c r="L6" s="317"/>
      <c r="M6" s="320" t="s">
        <v>80</v>
      </c>
      <c r="N6" s="118" t="b">
        <v>1</v>
      </c>
      <c r="O6" s="119"/>
      <c r="Q6" s="284" t="s">
        <v>81</v>
      </c>
      <c r="R6" s="285" t="b">
        <v>0</v>
      </c>
      <c r="S6" s="285" t="b">
        <v>1</v>
      </c>
      <c r="T6" s="286" t="b">
        <v>1</v>
      </c>
    </row>
    <row r="7" outlineLevel="1">
      <c r="A7" s="320" t="s">
        <v>73</v>
      </c>
      <c r="B7" s="320" t="s">
        <v>74</v>
      </c>
      <c r="C7" s="465">
        <v>45899.0</v>
      </c>
      <c r="D7" s="320" t="s">
        <v>2347</v>
      </c>
      <c r="E7" s="320" t="s">
        <v>2348</v>
      </c>
      <c r="F7" s="320">
        <v>3.51402905E8</v>
      </c>
      <c r="G7" s="111" t="s">
        <v>2349</v>
      </c>
      <c r="H7" s="320" t="s">
        <v>2350</v>
      </c>
      <c r="I7" s="439">
        <v>45899.0</v>
      </c>
      <c r="J7" s="365">
        <v>32.0</v>
      </c>
      <c r="K7" s="431"/>
      <c r="L7" s="317"/>
      <c r="M7" s="320" t="s">
        <v>80</v>
      </c>
      <c r="N7" s="118" t="b">
        <v>1</v>
      </c>
      <c r="O7" s="119"/>
      <c r="Q7" s="284" t="s">
        <v>81</v>
      </c>
      <c r="R7" s="285" t="b">
        <v>0</v>
      </c>
      <c r="S7" s="285" t="b">
        <v>1</v>
      </c>
      <c r="T7" s="286" t="b">
        <v>1</v>
      </c>
    </row>
    <row r="8" outlineLevel="1">
      <c r="A8" s="320" t="s">
        <v>73</v>
      </c>
      <c r="B8" s="320" t="s">
        <v>74</v>
      </c>
      <c r="C8" s="465">
        <v>45899.0</v>
      </c>
      <c r="D8" s="320" t="s">
        <v>2351</v>
      </c>
      <c r="E8" s="320" t="s">
        <v>2352</v>
      </c>
      <c r="F8" s="320">
        <v>3.519822663E9</v>
      </c>
      <c r="G8" s="320" t="s">
        <v>2353</v>
      </c>
      <c r="H8" s="320" t="s">
        <v>2354</v>
      </c>
      <c r="I8" s="439">
        <v>45899.0</v>
      </c>
      <c r="J8" s="365">
        <v>32.0</v>
      </c>
      <c r="K8" s="436"/>
      <c r="L8" s="432"/>
      <c r="M8" s="320" t="s">
        <v>100</v>
      </c>
      <c r="N8" s="118" t="b">
        <v>0</v>
      </c>
      <c r="O8" s="467"/>
      <c r="Q8" s="284" t="s">
        <v>81</v>
      </c>
      <c r="R8" s="285" t="b">
        <v>1</v>
      </c>
      <c r="S8" s="285" t="b">
        <v>0</v>
      </c>
      <c r="T8" s="286" t="b">
        <v>1</v>
      </c>
    </row>
    <row r="9" outlineLevel="1">
      <c r="A9" s="320" t="s">
        <v>73</v>
      </c>
      <c r="B9" s="320" t="s">
        <v>74</v>
      </c>
      <c r="C9" s="465">
        <v>45899.0</v>
      </c>
      <c r="D9" s="320" t="s">
        <v>2355</v>
      </c>
      <c r="E9" s="320" t="s">
        <v>2356</v>
      </c>
      <c r="F9" s="320">
        <v>3.339192044E9</v>
      </c>
      <c r="G9" s="320" t="s">
        <v>2357</v>
      </c>
      <c r="H9" s="320" t="s">
        <v>2358</v>
      </c>
      <c r="I9" s="465">
        <v>45899.0</v>
      </c>
      <c r="J9" s="365">
        <v>32.0</v>
      </c>
      <c r="K9" s="431"/>
      <c r="L9" s="317"/>
      <c r="M9" s="320" t="s">
        <v>80</v>
      </c>
      <c r="N9" s="118" t="b">
        <v>0</v>
      </c>
      <c r="O9" s="119"/>
      <c r="Q9" s="284" t="s">
        <v>81</v>
      </c>
      <c r="R9" s="285" t="b">
        <v>0</v>
      </c>
      <c r="S9" s="285" t="b">
        <v>1</v>
      </c>
      <c r="T9" s="286" t="b">
        <v>1</v>
      </c>
    </row>
    <row r="10" outlineLevel="1">
      <c r="A10" s="320" t="s">
        <v>73</v>
      </c>
      <c r="B10" s="320" t="s">
        <v>94</v>
      </c>
      <c r="C10" s="465">
        <v>45905.0</v>
      </c>
      <c r="D10" s="320" t="s">
        <v>2359</v>
      </c>
      <c r="E10" s="320" t="s">
        <v>2360</v>
      </c>
      <c r="F10" s="320">
        <v>3.49751675E9</v>
      </c>
      <c r="G10" s="468" t="s">
        <v>2361</v>
      </c>
      <c r="H10" s="320" t="s">
        <v>2362</v>
      </c>
      <c r="I10" s="439">
        <v>45905.0</v>
      </c>
      <c r="J10" s="365"/>
      <c r="K10" s="431">
        <v>30.0</v>
      </c>
      <c r="L10" s="317" t="s">
        <v>99</v>
      </c>
      <c r="M10" s="320" t="s">
        <v>100</v>
      </c>
      <c r="N10" s="118" t="b">
        <v>1</v>
      </c>
      <c r="O10" s="119"/>
      <c r="Q10" s="284" t="s">
        <v>81</v>
      </c>
      <c r="R10" s="285" t="b">
        <v>1</v>
      </c>
      <c r="S10" s="285" t="b">
        <v>0</v>
      </c>
      <c r="T10" s="286" t="b">
        <v>1</v>
      </c>
    </row>
    <row r="11" outlineLevel="1">
      <c r="A11" s="320" t="s">
        <v>73</v>
      </c>
      <c r="B11" s="320" t="s">
        <v>74</v>
      </c>
      <c r="C11" s="465">
        <v>45904.0</v>
      </c>
      <c r="D11" s="320" t="s">
        <v>2363</v>
      </c>
      <c r="E11" s="320" t="s">
        <v>2364</v>
      </c>
      <c r="F11" s="320">
        <v>3.420039409E9</v>
      </c>
      <c r="G11" s="320" t="s">
        <v>2365</v>
      </c>
      <c r="H11" s="320" t="s">
        <v>2366</v>
      </c>
      <c r="I11" s="478">
        <v>45902.0</v>
      </c>
      <c r="J11" s="365"/>
      <c r="K11" s="431">
        <v>30.0</v>
      </c>
      <c r="L11" s="317" t="s">
        <v>99</v>
      </c>
      <c r="M11" s="320" t="s">
        <v>80</v>
      </c>
      <c r="N11" s="118" t="b">
        <v>1</v>
      </c>
      <c r="O11" s="119"/>
      <c r="Q11" s="284" t="s">
        <v>81</v>
      </c>
      <c r="R11" s="285" t="b">
        <v>0</v>
      </c>
      <c r="S11" s="285" t="b">
        <v>1</v>
      </c>
      <c r="T11" s="286" t="b">
        <v>1</v>
      </c>
    </row>
    <row r="12" outlineLevel="1">
      <c r="A12" s="320" t="s">
        <v>73</v>
      </c>
      <c r="B12" s="320" t="s">
        <v>74</v>
      </c>
      <c r="C12" s="465">
        <v>45910.0</v>
      </c>
      <c r="D12" s="320" t="s">
        <v>2367</v>
      </c>
      <c r="E12" s="320" t="s">
        <v>2368</v>
      </c>
      <c r="F12" s="320">
        <v>3.45110466E9</v>
      </c>
      <c r="G12" s="320" t="s">
        <v>2369</v>
      </c>
      <c r="H12" s="320" t="s">
        <v>2370</v>
      </c>
      <c r="I12" s="439">
        <v>45910.0</v>
      </c>
      <c r="J12" s="365">
        <v>32.0</v>
      </c>
      <c r="K12" s="431"/>
      <c r="L12" s="317"/>
      <c r="M12" s="320" t="s">
        <v>100</v>
      </c>
      <c r="N12" s="118" t="b">
        <v>1</v>
      </c>
      <c r="O12" s="119"/>
      <c r="Q12" s="284" t="s">
        <v>81</v>
      </c>
      <c r="R12" s="285" t="b">
        <v>1</v>
      </c>
      <c r="S12" s="285" t="b">
        <v>0</v>
      </c>
      <c r="T12" s="286" t="b">
        <v>1</v>
      </c>
    </row>
    <row r="13" outlineLevel="1">
      <c r="A13" s="320" t="s">
        <v>73</v>
      </c>
      <c r="B13" s="320" t="s">
        <v>74</v>
      </c>
      <c r="C13" s="465">
        <v>45910.0</v>
      </c>
      <c r="D13" s="320" t="s">
        <v>2371</v>
      </c>
      <c r="E13" s="320" t="s">
        <v>2372</v>
      </c>
      <c r="F13" s="445">
        <v>3.476027572E9</v>
      </c>
      <c r="G13" s="320" t="s">
        <v>2373</v>
      </c>
      <c r="H13" s="320" t="s">
        <v>2374</v>
      </c>
      <c r="I13" s="439">
        <v>45910.0</v>
      </c>
      <c r="J13" s="365">
        <v>32.0</v>
      </c>
      <c r="K13" s="431"/>
      <c r="L13" s="317"/>
      <c r="M13" s="320" t="s">
        <v>80</v>
      </c>
      <c r="N13" s="118" t="b">
        <v>1</v>
      </c>
      <c r="O13" s="119"/>
      <c r="Q13" s="284" t="s">
        <v>81</v>
      </c>
      <c r="R13" s="285" t="b">
        <v>0</v>
      </c>
      <c r="S13" s="285" t="b">
        <v>1</v>
      </c>
      <c r="T13" s="286" t="b">
        <v>1</v>
      </c>
    </row>
    <row r="14" outlineLevel="1">
      <c r="A14" s="317" t="s">
        <v>73</v>
      </c>
      <c r="B14" s="317" t="s">
        <v>74</v>
      </c>
      <c r="C14" s="316">
        <v>45910.0</v>
      </c>
      <c r="D14" s="116" t="s">
        <v>2375</v>
      </c>
      <c r="E14" s="116" t="s">
        <v>2376</v>
      </c>
      <c r="F14" s="317">
        <v>3.402691291E9</v>
      </c>
      <c r="G14" s="317" t="s">
        <v>2377</v>
      </c>
      <c r="H14" s="317" t="s">
        <v>2378</v>
      </c>
      <c r="I14" s="135">
        <v>45910.0</v>
      </c>
      <c r="J14" s="365">
        <v>32.0</v>
      </c>
      <c r="K14" s="431"/>
      <c r="L14" s="317"/>
      <c r="M14" s="320" t="s">
        <v>80</v>
      </c>
      <c r="N14" s="118" t="b">
        <v>1</v>
      </c>
      <c r="O14" s="119"/>
      <c r="Q14" s="284" t="s">
        <v>81</v>
      </c>
      <c r="R14" s="285" t="b">
        <v>0</v>
      </c>
      <c r="S14" s="285" t="b">
        <v>1</v>
      </c>
      <c r="T14" s="286" t="b">
        <v>1</v>
      </c>
    </row>
    <row r="15" outlineLevel="1">
      <c r="A15" s="317" t="s">
        <v>611</v>
      </c>
      <c r="B15" s="317" t="s">
        <v>612</v>
      </c>
      <c r="C15" s="316">
        <v>45920.0</v>
      </c>
      <c r="D15" s="317" t="s">
        <v>2379</v>
      </c>
      <c r="E15" s="317" t="s">
        <v>2380</v>
      </c>
      <c r="F15" s="317">
        <v>3.451077611E9</v>
      </c>
      <c r="G15" s="317" t="s">
        <v>2381</v>
      </c>
      <c r="H15" s="317" t="s">
        <v>2382</v>
      </c>
      <c r="I15" s="443">
        <v>45920.0</v>
      </c>
      <c r="J15" s="365"/>
      <c r="K15" s="431">
        <v>30.0</v>
      </c>
      <c r="L15" s="317" t="s">
        <v>394</v>
      </c>
      <c r="M15" s="320" t="s">
        <v>162</v>
      </c>
      <c r="N15" s="118" t="b">
        <v>0</v>
      </c>
      <c r="O15" s="119"/>
      <c r="Q15" s="284" t="s">
        <v>81</v>
      </c>
      <c r="R15" s="285" t="b">
        <v>1</v>
      </c>
      <c r="S15" s="285" t="b">
        <v>0</v>
      </c>
      <c r="T15" s="286" t="b">
        <v>1</v>
      </c>
    </row>
    <row r="16" outlineLevel="1">
      <c r="A16" s="320" t="s">
        <v>73</v>
      </c>
      <c r="B16" s="320" t="s">
        <v>74</v>
      </c>
      <c r="C16" s="316">
        <v>45912.0</v>
      </c>
      <c r="D16" s="320" t="s">
        <v>2019</v>
      </c>
      <c r="E16" s="320" t="s">
        <v>2020</v>
      </c>
      <c r="F16" s="320">
        <v>3.668786797E9</v>
      </c>
      <c r="G16" s="320" t="s">
        <v>2021</v>
      </c>
      <c r="H16" s="320" t="s">
        <v>2022</v>
      </c>
      <c r="I16" s="443">
        <v>45912.0</v>
      </c>
      <c r="J16" s="365">
        <v>32.0</v>
      </c>
      <c r="K16" s="431"/>
      <c r="L16" s="317"/>
      <c r="M16" s="320" t="s">
        <v>80</v>
      </c>
      <c r="N16" s="118" t="b">
        <v>1</v>
      </c>
      <c r="O16" s="119"/>
      <c r="Q16" s="284" t="s">
        <v>81</v>
      </c>
      <c r="R16" s="285" t="b">
        <v>0</v>
      </c>
      <c r="S16" s="285" t="b">
        <v>1</v>
      </c>
      <c r="T16" s="286" t="b">
        <v>1</v>
      </c>
    </row>
    <row r="17" outlineLevel="1">
      <c r="A17" s="320" t="s">
        <v>73</v>
      </c>
      <c r="B17" s="320" t="s">
        <v>74</v>
      </c>
      <c r="C17" s="316">
        <v>45915.0</v>
      </c>
      <c r="D17" s="320" t="s">
        <v>2383</v>
      </c>
      <c r="E17" s="320" t="s">
        <v>2384</v>
      </c>
      <c r="F17" s="320">
        <v>3.757022477E9</v>
      </c>
      <c r="G17" s="320" t="s">
        <v>2385</v>
      </c>
      <c r="H17" s="320" t="s">
        <v>2386</v>
      </c>
      <c r="I17" s="443">
        <v>45915.0</v>
      </c>
      <c r="J17" s="365"/>
      <c r="K17" s="431">
        <v>30.0</v>
      </c>
      <c r="L17" s="317" t="s">
        <v>99</v>
      </c>
      <c r="M17" s="320" t="s">
        <v>100</v>
      </c>
      <c r="N17" s="118" t="b">
        <v>1</v>
      </c>
      <c r="O17" s="119"/>
      <c r="Q17" s="284" t="s">
        <v>81</v>
      </c>
      <c r="R17" s="285" t="b">
        <v>1</v>
      </c>
      <c r="S17" s="285" t="b">
        <v>0</v>
      </c>
      <c r="T17" s="286" t="b">
        <v>1</v>
      </c>
    </row>
    <row r="18" outlineLevel="1">
      <c r="A18" s="317" t="s">
        <v>73</v>
      </c>
      <c r="B18" s="317" t="s">
        <v>74</v>
      </c>
      <c r="C18" s="316">
        <v>45919.0</v>
      </c>
      <c r="D18" s="317" t="s">
        <v>2387</v>
      </c>
      <c r="E18" s="317" t="s">
        <v>2388</v>
      </c>
      <c r="F18" s="317">
        <v>3.1628955998E10</v>
      </c>
      <c r="G18" s="317" t="s">
        <v>2389</v>
      </c>
      <c r="H18" s="317" t="s">
        <v>2390</v>
      </c>
      <c r="I18" s="135">
        <v>45919.0</v>
      </c>
      <c r="J18" s="365">
        <v>32.0</v>
      </c>
      <c r="K18" s="431"/>
      <c r="L18" s="317"/>
      <c r="M18" s="320" t="s">
        <v>80</v>
      </c>
      <c r="N18" s="118" t="b">
        <v>1</v>
      </c>
      <c r="O18" s="119"/>
      <c r="Q18" s="284" t="s">
        <v>81</v>
      </c>
      <c r="R18" s="285" t="b">
        <v>0</v>
      </c>
      <c r="S18" s="285" t="b">
        <v>1</v>
      </c>
      <c r="T18" s="286" t="b">
        <v>1</v>
      </c>
    </row>
    <row r="19" outlineLevel="1">
      <c r="A19" s="317" t="s">
        <v>73</v>
      </c>
      <c r="B19" s="317" t="s">
        <v>74</v>
      </c>
      <c r="C19" s="316">
        <v>45920.0</v>
      </c>
      <c r="D19" s="317" t="s">
        <v>2391</v>
      </c>
      <c r="E19" s="317" t="s">
        <v>703</v>
      </c>
      <c r="F19" s="317">
        <v>3.396673032E9</v>
      </c>
      <c r="G19" s="317" t="s">
        <v>2392</v>
      </c>
      <c r="H19" s="317" t="s">
        <v>2393</v>
      </c>
      <c r="I19" s="443">
        <v>45920.0</v>
      </c>
      <c r="J19" s="365">
        <v>32.0</v>
      </c>
      <c r="K19" s="431"/>
      <c r="L19" s="317"/>
      <c r="M19" s="320" t="s">
        <v>80</v>
      </c>
      <c r="N19" s="118" t="b">
        <v>1</v>
      </c>
      <c r="O19" s="119"/>
      <c r="Q19" s="284" t="s">
        <v>81</v>
      </c>
      <c r="R19" s="285" t="b">
        <v>0</v>
      </c>
      <c r="S19" s="285" t="b">
        <v>1</v>
      </c>
      <c r="T19" s="286" t="b">
        <v>1</v>
      </c>
    </row>
    <row r="20" outlineLevel="1">
      <c r="A20" s="317" t="s">
        <v>73</v>
      </c>
      <c r="B20" s="317" t="s">
        <v>74</v>
      </c>
      <c r="C20" s="316">
        <v>45921.0</v>
      </c>
      <c r="D20" s="317" t="s">
        <v>2394</v>
      </c>
      <c r="E20" s="317" t="s">
        <v>2395</v>
      </c>
      <c r="F20" s="317">
        <v>3.483241417E9</v>
      </c>
      <c r="G20" s="317" t="s">
        <v>2396</v>
      </c>
      <c r="H20" s="317" t="s">
        <v>2397</v>
      </c>
      <c r="I20" s="443">
        <v>45921.0</v>
      </c>
      <c r="J20" s="365">
        <v>32.0</v>
      </c>
      <c r="K20" s="431"/>
      <c r="L20" s="317"/>
      <c r="M20" s="317" t="s">
        <v>100</v>
      </c>
      <c r="N20" s="118" t="b">
        <v>1</v>
      </c>
      <c r="O20" s="119"/>
      <c r="Q20" s="284" t="s">
        <v>81</v>
      </c>
      <c r="R20" s="285" t="b">
        <v>1</v>
      </c>
      <c r="S20" s="285" t="b">
        <v>0</v>
      </c>
      <c r="T20" s="286" t="b">
        <v>1</v>
      </c>
    </row>
    <row r="21" outlineLevel="1">
      <c r="A21" s="317" t="s">
        <v>73</v>
      </c>
      <c r="B21" s="317" t="s">
        <v>74</v>
      </c>
      <c r="C21" s="316">
        <v>45922.0</v>
      </c>
      <c r="D21" s="317" t="s">
        <v>2398</v>
      </c>
      <c r="E21" s="317" t="s">
        <v>2399</v>
      </c>
      <c r="F21" s="317">
        <v>3.456945763E9</v>
      </c>
      <c r="G21" s="317" t="s">
        <v>2400</v>
      </c>
      <c r="H21" s="317" t="s">
        <v>2401</v>
      </c>
      <c r="I21" s="135">
        <v>45922.0</v>
      </c>
      <c r="J21" s="365">
        <v>32.0</v>
      </c>
      <c r="K21" s="431"/>
      <c r="L21" s="317"/>
      <c r="M21" s="320" t="s">
        <v>80</v>
      </c>
      <c r="N21" s="118" t="b">
        <v>1</v>
      </c>
      <c r="O21" s="119"/>
      <c r="Q21" s="284" t="s">
        <v>81</v>
      </c>
      <c r="R21" s="285" t="b">
        <v>0</v>
      </c>
      <c r="S21" s="285" t="b">
        <v>1</v>
      </c>
      <c r="T21" s="286" t="b">
        <v>1</v>
      </c>
    </row>
    <row r="22" outlineLevel="1">
      <c r="A22" s="320" t="s">
        <v>73</v>
      </c>
      <c r="B22" s="320" t="s">
        <v>74</v>
      </c>
      <c r="C22" s="316">
        <v>45923.0</v>
      </c>
      <c r="D22" s="320" t="s">
        <v>2402</v>
      </c>
      <c r="E22" s="320" t="s">
        <v>2403</v>
      </c>
      <c r="F22" s="320">
        <v>3.463473564E9</v>
      </c>
      <c r="G22" s="416" t="s">
        <v>2404</v>
      </c>
      <c r="H22" s="416" t="s">
        <v>2405</v>
      </c>
      <c r="I22" s="439">
        <v>45923.0</v>
      </c>
      <c r="J22" s="365">
        <v>32.0</v>
      </c>
      <c r="K22" s="431"/>
      <c r="L22" s="317"/>
      <c r="M22" s="320" t="s">
        <v>80</v>
      </c>
      <c r="N22" s="118" t="b">
        <v>1</v>
      </c>
      <c r="O22" s="119"/>
      <c r="Q22" s="284" t="s">
        <v>81</v>
      </c>
      <c r="R22" s="285" t="b">
        <v>0</v>
      </c>
      <c r="S22" s="285" t="b">
        <v>1</v>
      </c>
      <c r="T22" s="286" t="b">
        <v>1</v>
      </c>
    </row>
    <row r="23" outlineLevel="1">
      <c r="A23" s="317" t="s">
        <v>73</v>
      </c>
      <c r="B23" s="317" t="s">
        <v>74</v>
      </c>
      <c r="C23" s="316">
        <v>45924.0</v>
      </c>
      <c r="D23" s="317" t="s">
        <v>2406</v>
      </c>
      <c r="E23" s="317" t="s">
        <v>2407</v>
      </c>
      <c r="F23" s="317">
        <v>3.466361027E9</v>
      </c>
      <c r="G23" s="317" t="s">
        <v>2408</v>
      </c>
      <c r="H23" s="317" t="s">
        <v>2409</v>
      </c>
      <c r="I23" s="443">
        <v>45924.0</v>
      </c>
      <c r="J23" s="365">
        <v>32.0</v>
      </c>
      <c r="K23" s="431"/>
      <c r="L23" s="317"/>
      <c r="M23" s="320" t="s">
        <v>80</v>
      </c>
      <c r="N23" s="118" t="b">
        <v>1</v>
      </c>
      <c r="O23" s="119" t="s">
        <v>2410</v>
      </c>
      <c r="Q23" s="284" t="s">
        <v>81</v>
      </c>
      <c r="R23" s="285" t="b">
        <v>0</v>
      </c>
      <c r="S23" s="285" t="b">
        <v>1</v>
      </c>
      <c r="T23" s="286" t="b">
        <v>1</v>
      </c>
    </row>
    <row r="24" outlineLevel="1">
      <c r="A24" s="317" t="s">
        <v>73</v>
      </c>
      <c r="B24" s="317" t="s">
        <v>74</v>
      </c>
      <c r="C24" s="316">
        <v>45924.0</v>
      </c>
      <c r="D24" s="532" t="s">
        <v>2406</v>
      </c>
      <c r="E24" s="532" t="s">
        <v>2407</v>
      </c>
      <c r="F24" s="317">
        <v>3.466361027E9</v>
      </c>
      <c r="G24" s="317" t="s">
        <v>2408</v>
      </c>
      <c r="H24" s="317" t="s">
        <v>2409</v>
      </c>
      <c r="I24" s="443">
        <v>45924.0</v>
      </c>
      <c r="J24" s="365">
        <v>32.0</v>
      </c>
      <c r="K24" s="431"/>
      <c r="L24" s="317"/>
      <c r="M24" s="320" t="s">
        <v>80</v>
      </c>
      <c r="N24" s="118" t="b">
        <v>1</v>
      </c>
      <c r="O24" s="119"/>
      <c r="Q24" s="284" t="s">
        <v>81</v>
      </c>
      <c r="R24" s="285" t="b">
        <v>0</v>
      </c>
      <c r="S24" s="285" t="b">
        <v>1</v>
      </c>
      <c r="T24" s="286" t="b">
        <v>1</v>
      </c>
    </row>
    <row r="25" outlineLevel="1">
      <c r="A25" s="317" t="s">
        <v>611</v>
      </c>
      <c r="B25" s="317" t="s">
        <v>74</v>
      </c>
      <c r="C25" s="316">
        <v>45907.0</v>
      </c>
      <c r="D25" s="317" t="s">
        <v>537</v>
      </c>
      <c r="E25" s="317" t="s">
        <v>538</v>
      </c>
      <c r="F25" s="432">
        <v>3.384362858E9</v>
      </c>
      <c r="G25" s="317" t="s">
        <v>539</v>
      </c>
      <c r="H25" s="317" t="s">
        <v>540</v>
      </c>
      <c r="I25" s="318">
        <v>45907.0</v>
      </c>
      <c r="J25" s="365">
        <v>32.0</v>
      </c>
      <c r="K25" s="431"/>
      <c r="L25" s="317"/>
      <c r="M25" s="320" t="s">
        <v>80</v>
      </c>
      <c r="N25" s="118" t="b">
        <v>1</v>
      </c>
      <c r="O25" s="119"/>
      <c r="Q25" s="284" t="s">
        <v>81</v>
      </c>
      <c r="R25" s="285" t="b">
        <v>0</v>
      </c>
      <c r="S25" s="285" t="b">
        <v>1</v>
      </c>
      <c r="T25" s="286" t="b">
        <v>1</v>
      </c>
    </row>
    <row r="26" outlineLevel="1">
      <c r="A26" s="317" t="s">
        <v>73</v>
      </c>
      <c r="B26" s="317" t="s">
        <v>74</v>
      </c>
      <c r="C26" s="316">
        <v>45924.0</v>
      </c>
      <c r="D26" s="317" t="s">
        <v>2411</v>
      </c>
      <c r="E26" s="317" t="s">
        <v>2412</v>
      </c>
      <c r="F26" s="317">
        <v>3.519764843E9</v>
      </c>
      <c r="G26" s="317" t="s">
        <v>2413</v>
      </c>
      <c r="H26" s="317" t="s">
        <v>2414</v>
      </c>
      <c r="I26" s="318">
        <v>45924.0</v>
      </c>
      <c r="J26" s="365">
        <v>32.0</v>
      </c>
      <c r="K26" s="431"/>
      <c r="L26" s="317"/>
      <c r="M26" s="320" t="s">
        <v>80</v>
      </c>
      <c r="N26" s="118" t="b">
        <v>0</v>
      </c>
      <c r="O26" s="119"/>
      <c r="Q26" s="284" t="s">
        <v>81</v>
      </c>
      <c r="R26" s="285" t="b">
        <v>0</v>
      </c>
      <c r="S26" s="285" t="b">
        <v>1</v>
      </c>
      <c r="T26" s="286" t="b">
        <v>1</v>
      </c>
    </row>
    <row r="27" outlineLevel="1">
      <c r="A27" s="317" t="s">
        <v>611</v>
      </c>
      <c r="B27" s="317" t="s">
        <v>74</v>
      </c>
      <c r="C27" s="316">
        <v>45930.0</v>
      </c>
      <c r="D27" s="317" t="s">
        <v>2047</v>
      </c>
      <c r="E27" s="317" t="s">
        <v>1217</v>
      </c>
      <c r="F27" s="317">
        <v>3.387838344E9</v>
      </c>
      <c r="G27" s="317" t="s">
        <v>2048</v>
      </c>
      <c r="H27" s="317" t="s">
        <v>2049</v>
      </c>
      <c r="I27" s="318">
        <v>45930.0</v>
      </c>
      <c r="J27" s="365">
        <v>32.0</v>
      </c>
      <c r="K27" s="436"/>
      <c r="L27" s="317"/>
      <c r="M27" s="320" t="s">
        <v>80</v>
      </c>
      <c r="N27" s="118" t="b">
        <v>1</v>
      </c>
      <c r="O27" s="119"/>
      <c r="Q27" s="284" t="s">
        <v>81</v>
      </c>
      <c r="R27" s="285" t="b">
        <v>0</v>
      </c>
      <c r="S27" s="285" t="b">
        <v>1</v>
      </c>
      <c r="T27" s="286" t="b">
        <v>1</v>
      </c>
    </row>
    <row r="28" outlineLevel="1">
      <c r="A28" s="317" t="s">
        <v>611</v>
      </c>
      <c r="B28" s="317" t="s">
        <v>74</v>
      </c>
      <c r="C28" s="316">
        <v>45934.0</v>
      </c>
      <c r="D28" s="317" t="s">
        <v>2415</v>
      </c>
      <c r="E28" s="317" t="s">
        <v>2416</v>
      </c>
      <c r="F28" s="317">
        <v>3.662108705E9</v>
      </c>
      <c r="G28" s="540" t="s">
        <v>2417</v>
      </c>
      <c r="H28" s="469" t="s">
        <v>2418</v>
      </c>
      <c r="I28" s="318">
        <v>45934.0</v>
      </c>
      <c r="J28" s="365">
        <v>37.0</v>
      </c>
      <c r="K28" s="436"/>
      <c r="L28" s="432"/>
      <c r="M28" s="320" t="s">
        <v>80</v>
      </c>
      <c r="N28" s="118" t="b">
        <v>1</v>
      </c>
      <c r="O28" s="119"/>
      <c r="Q28" s="284" t="s">
        <v>81</v>
      </c>
      <c r="R28" s="285" t="b">
        <v>0</v>
      </c>
      <c r="S28" s="285" t="b">
        <v>1</v>
      </c>
      <c r="T28" s="286" t="b">
        <v>1</v>
      </c>
    </row>
    <row r="29" outlineLevel="1">
      <c r="A29" s="317" t="s">
        <v>611</v>
      </c>
      <c r="B29" s="317" t="s">
        <v>74</v>
      </c>
      <c r="C29" s="316">
        <v>45936.0</v>
      </c>
      <c r="D29" s="317" t="s">
        <v>495</v>
      </c>
      <c r="E29" s="317" t="s">
        <v>496</v>
      </c>
      <c r="F29" s="317">
        <v>3.423729995E9</v>
      </c>
      <c r="G29" s="317" t="s">
        <v>497</v>
      </c>
      <c r="H29" s="317" t="s">
        <v>498</v>
      </c>
      <c r="I29" s="318">
        <v>45936.0</v>
      </c>
      <c r="J29" s="365"/>
      <c r="K29" s="431">
        <v>35.0</v>
      </c>
      <c r="L29" s="317" t="s">
        <v>79</v>
      </c>
      <c r="M29" s="320" t="s">
        <v>80</v>
      </c>
      <c r="N29" s="118" t="b">
        <v>1</v>
      </c>
      <c r="O29" s="119"/>
      <c r="Q29" s="284" t="s">
        <v>81</v>
      </c>
      <c r="R29" s="285" t="b">
        <v>0</v>
      </c>
      <c r="S29" s="285" t="b">
        <v>1</v>
      </c>
      <c r="T29" s="286" t="b">
        <v>1</v>
      </c>
    </row>
    <row r="30" outlineLevel="1">
      <c r="A30" s="317" t="s">
        <v>611</v>
      </c>
      <c r="B30" s="317" t="s">
        <v>74</v>
      </c>
      <c r="C30" s="316">
        <v>45937.0</v>
      </c>
      <c r="D30" s="317" t="s">
        <v>2419</v>
      </c>
      <c r="E30" s="317" t="s">
        <v>1106</v>
      </c>
      <c r="F30" s="317">
        <v>3.355460087E9</v>
      </c>
      <c r="G30" s="317" t="s">
        <v>2420</v>
      </c>
      <c r="H30" s="317" t="s">
        <v>2421</v>
      </c>
      <c r="I30" s="318">
        <v>45937.0</v>
      </c>
      <c r="J30" s="365">
        <v>37.0</v>
      </c>
      <c r="K30" s="431"/>
      <c r="L30" s="317"/>
      <c r="M30" s="320" t="s">
        <v>80</v>
      </c>
      <c r="N30" s="118" t="b">
        <v>1</v>
      </c>
      <c r="O30" s="119"/>
      <c r="Q30" s="284" t="s">
        <v>81</v>
      </c>
      <c r="R30" s="285" t="b">
        <v>0</v>
      </c>
      <c r="S30" s="285" t="b">
        <v>1</v>
      </c>
      <c r="T30" s="286" t="b">
        <v>1</v>
      </c>
    </row>
    <row r="31" outlineLevel="1">
      <c r="A31" s="320" t="s">
        <v>611</v>
      </c>
      <c r="B31" s="320" t="s">
        <v>74</v>
      </c>
      <c r="C31" s="465">
        <v>45937.0</v>
      </c>
      <c r="D31" s="320" t="s">
        <v>2422</v>
      </c>
      <c r="E31" s="320" t="s">
        <v>2423</v>
      </c>
      <c r="F31" s="320">
        <v>3.516583407E9</v>
      </c>
      <c r="G31" s="111" t="s">
        <v>2424</v>
      </c>
      <c r="H31" s="320" t="s">
        <v>2425</v>
      </c>
      <c r="I31" s="439">
        <v>45937.0</v>
      </c>
      <c r="J31" s="365">
        <v>37.0</v>
      </c>
      <c r="K31" s="431"/>
      <c r="L31" s="317"/>
      <c r="M31" s="320" t="s">
        <v>80</v>
      </c>
      <c r="N31" s="118" t="b">
        <v>1</v>
      </c>
      <c r="O31" s="119"/>
      <c r="Q31" s="284" t="s">
        <v>81</v>
      </c>
      <c r="R31" s="285" t="b">
        <v>0</v>
      </c>
      <c r="S31" s="285" t="b">
        <v>1</v>
      </c>
      <c r="T31" s="286" t="b">
        <v>1</v>
      </c>
    </row>
    <row r="32" outlineLevel="1">
      <c r="A32" s="317" t="s">
        <v>611</v>
      </c>
      <c r="B32" s="317" t="s">
        <v>74</v>
      </c>
      <c r="C32" s="316">
        <v>45938.0</v>
      </c>
      <c r="D32" s="317" t="s">
        <v>2426</v>
      </c>
      <c r="E32" s="317" t="s">
        <v>643</v>
      </c>
      <c r="F32" s="317">
        <v>3.662764646E9</v>
      </c>
      <c r="G32" s="317" t="s">
        <v>2427</v>
      </c>
      <c r="H32" s="317" t="s">
        <v>2428</v>
      </c>
      <c r="I32" s="318">
        <v>45938.0</v>
      </c>
      <c r="J32" s="365">
        <v>37.0</v>
      </c>
      <c r="K32" s="431"/>
      <c r="L32" s="317"/>
      <c r="M32" s="320" t="s">
        <v>80</v>
      </c>
      <c r="N32" s="118" t="b">
        <v>1</v>
      </c>
      <c r="O32" s="119"/>
      <c r="Q32" s="284" t="s">
        <v>81</v>
      </c>
      <c r="R32" s="285" t="b">
        <v>0</v>
      </c>
      <c r="S32" s="285" t="b">
        <v>1</v>
      </c>
      <c r="T32" s="286" t="b">
        <v>1</v>
      </c>
    </row>
    <row r="33" outlineLevel="1">
      <c r="A33" s="317" t="s">
        <v>611</v>
      </c>
      <c r="B33" s="317" t="s">
        <v>74</v>
      </c>
      <c r="C33" s="316">
        <v>45938.0</v>
      </c>
      <c r="D33" s="317" t="s">
        <v>2429</v>
      </c>
      <c r="E33" s="317" t="s">
        <v>76</v>
      </c>
      <c r="F33" s="317">
        <v>3.899541586E9</v>
      </c>
      <c r="G33" s="317" t="s">
        <v>2430</v>
      </c>
      <c r="H33" s="317" t="s">
        <v>2431</v>
      </c>
      <c r="I33" s="318">
        <v>45938.0</v>
      </c>
      <c r="J33" s="365">
        <v>37.0</v>
      </c>
      <c r="K33" s="431"/>
      <c r="L33" s="317"/>
      <c r="M33" s="320" t="s">
        <v>100</v>
      </c>
      <c r="N33" s="118" t="b">
        <v>0</v>
      </c>
      <c r="O33" s="119"/>
      <c r="Q33" s="284" t="s">
        <v>81</v>
      </c>
      <c r="R33" s="285" t="b">
        <v>1</v>
      </c>
      <c r="S33" s="285" t="b">
        <v>0</v>
      </c>
      <c r="T33" s="286" t="b">
        <v>1</v>
      </c>
    </row>
    <row r="34" outlineLevel="1">
      <c r="A34" s="317" t="s">
        <v>611</v>
      </c>
      <c r="B34" s="317" t="s">
        <v>74</v>
      </c>
      <c r="C34" s="316">
        <v>45938.0</v>
      </c>
      <c r="D34" s="317" t="s">
        <v>2432</v>
      </c>
      <c r="E34" s="317" t="s">
        <v>2433</v>
      </c>
      <c r="F34" s="317">
        <v>3.2713316313E10</v>
      </c>
      <c r="G34" s="317" t="s">
        <v>2434</v>
      </c>
      <c r="H34" s="317" t="s">
        <v>2435</v>
      </c>
      <c r="I34" s="443">
        <v>45938.0</v>
      </c>
      <c r="J34" s="365">
        <v>37.0</v>
      </c>
      <c r="K34" s="431"/>
      <c r="L34" s="317"/>
      <c r="M34" s="320" t="s">
        <v>80</v>
      </c>
      <c r="N34" s="118" t="b">
        <v>1</v>
      </c>
      <c r="O34" s="119"/>
      <c r="Q34" s="284" t="s">
        <v>81</v>
      </c>
      <c r="R34" s="285" t="b">
        <v>0</v>
      </c>
      <c r="S34" s="285" t="b">
        <v>1</v>
      </c>
      <c r="T34" s="286" t="b">
        <v>1</v>
      </c>
    </row>
    <row r="35" outlineLevel="1">
      <c r="A35" s="317" t="s">
        <v>611</v>
      </c>
      <c r="B35" s="317" t="s">
        <v>74</v>
      </c>
      <c r="C35" s="316">
        <v>45938.0</v>
      </c>
      <c r="D35" s="317" t="s">
        <v>2436</v>
      </c>
      <c r="E35" s="317" t="s">
        <v>7</v>
      </c>
      <c r="F35" s="317">
        <v>3.400902836E9</v>
      </c>
      <c r="G35" s="317" t="s">
        <v>2437</v>
      </c>
      <c r="H35" s="317" t="s">
        <v>2438</v>
      </c>
      <c r="I35" s="443">
        <v>45938.0</v>
      </c>
      <c r="J35" s="365">
        <v>37.0</v>
      </c>
      <c r="K35" s="431"/>
      <c r="L35" s="317"/>
      <c r="M35" s="320" t="s">
        <v>100</v>
      </c>
      <c r="N35" s="118" t="b">
        <v>1</v>
      </c>
      <c r="O35" s="119"/>
      <c r="Q35" s="284" t="s">
        <v>81</v>
      </c>
      <c r="R35" s="285" t="b">
        <v>1</v>
      </c>
      <c r="S35" s="285" t="b">
        <v>0</v>
      </c>
      <c r="T35" s="286" t="b">
        <v>1</v>
      </c>
    </row>
    <row r="36" outlineLevel="1">
      <c r="A36" s="317" t="s">
        <v>611</v>
      </c>
      <c r="B36" s="317" t="s">
        <v>74</v>
      </c>
      <c r="C36" s="316">
        <v>45940.0</v>
      </c>
      <c r="D36" s="317" t="s">
        <v>2439</v>
      </c>
      <c r="E36" s="317" t="s">
        <v>180</v>
      </c>
      <c r="F36" s="317">
        <v>3.476007757E9</v>
      </c>
      <c r="G36" s="317" t="s">
        <v>2440</v>
      </c>
      <c r="H36" s="317" t="s">
        <v>2441</v>
      </c>
      <c r="I36" s="443">
        <v>45940.0</v>
      </c>
      <c r="J36" s="365">
        <v>37.0</v>
      </c>
      <c r="K36" s="431"/>
      <c r="L36" s="317"/>
      <c r="M36" s="320" t="s">
        <v>80</v>
      </c>
      <c r="N36" s="118" t="b">
        <v>0</v>
      </c>
      <c r="O36" s="119"/>
      <c r="Q36" s="284" t="s">
        <v>81</v>
      </c>
      <c r="R36" s="285" t="b">
        <v>0</v>
      </c>
      <c r="S36" s="285" t="b">
        <v>1</v>
      </c>
      <c r="T36" s="286" t="b">
        <v>1</v>
      </c>
    </row>
    <row r="37" outlineLevel="1">
      <c r="A37" s="317" t="s">
        <v>611</v>
      </c>
      <c r="B37" s="317" t="s">
        <v>74</v>
      </c>
      <c r="C37" s="316">
        <v>45941.0</v>
      </c>
      <c r="D37" s="317" t="s">
        <v>2442</v>
      </c>
      <c r="E37" s="317" t="s">
        <v>1061</v>
      </c>
      <c r="F37" s="317">
        <v>3.474849277E9</v>
      </c>
      <c r="G37" s="317" t="s">
        <v>2443</v>
      </c>
      <c r="H37" s="317" t="s">
        <v>2444</v>
      </c>
      <c r="I37" s="443">
        <v>45941.0</v>
      </c>
      <c r="J37" s="365"/>
      <c r="K37" s="431">
        <v>35.0</v>
      </c>
      <c r="L37" s="317" t="s">
        <v>106</v>
      </c>
      <c r="M37" s="320" t="s">
        <v>80</v>
      </c>
      <c r="N37" s="118" t="b">
        <v>1</v>
      </c>
      <c r="O37" s="119"/>
      <c r="Q37" s="284" t="s">
        <v>81</v>
      </c>
      <c r="R37" s="285" t="b">
        <v>0</v>
      </c>
      <c r="S37" s="285" t="b">
        <v>1</v>
      </c>
      <c r="T37" s="286" t="b">
        <v>1</v>
      </c>
    </row>
    <row r="38" outlineLevel="1">
      <c r="A38" s="317" t="s">
        <v>611</v>
      </c>
      <c r="B38" s="317" t="s">
        <v>74</v>
      </c>
      <c r="C38" s="316">
        <v>45942.0</v>
      </c>
      <c r="D38" s="317" t="s">
        <v>2445</v>
      </c>
      <c r="E38" s="317" t="s">
        <v>2446</v>
      </c>
      <c r="F38" s="317">
        <v>7.7780005673E10</v>
      </c>
      <c r="G38" s="532" t="s">
        <v>2447</v>
      </c>
      <c r="H38" s="317" t="s">
        <v>2448</v>
      </c>
      <c r="I38" s="443">
        <v>45942.0</v>
      </c>
      <c r="J38" s="365">
        <v>37.0</v>
      </c>
      <c r="K38" s="431"/>
      <c r="L38" s="317"/>
      <c r="M38" s="320" t="s">
        <v>80</v>
      </c>
      <c r="N38" s="118" t="b">
        <v>1</v>
      </c>
      <c r="O38" s="119"/>
      <c r="Q38" s="284" t="s">
        <v>81</v>
      </c>
      <c r="R38" s="285" t="b">
        <v>0</v>
      </c>
      <c r="S38" s="285" t="b">
        <v>1</v>
      </c>
      <c r="T38" s="286" t="b">
        <v>1</v>
      </c>
    </row>
    <row r="39" outlineLevel="1">
      <c r="A39" s="432" t="s">
        <v>73</v>
      </c>
      <c r="B39" s="432" t="s">
        <v>74</v>
      </c>
      <c r="C39" s="440">
        <v>45924.0</v>
      </c>
      <c r="D39" s="432" t="s">
        <v>2449</v>
      </c>
      <c r="E39" s="432" t="s">
        <v>496</v>
      </c>
      <c r="F39" s="432">
        <v>3.359981386E9</v>
      </c>
      <c r="G39" s="432" t="s">
        <v>2450</v>
      </c>
      <c r="H39" s="432" t="s">
        <v>2451</v>
      </c>
      <c r="I39" s="441">
        <v>45924.0</v>
      </c>
      <c r="J39" s="368">
        <v>32.0</v>
      </c>
      <c r="K39" s="436"/>
      <c r="L39" s="432"/>
      <c r="M39" s="488" t="s">
        <v>80</v>
      </c>
      <c r="N39" s="118" t="b">
        <v>1</v>
      </c>
      <c r="O39" s="467"/>
      <c r="Q39" s="438" t="s">
        <v>81</v>
      </c>
      <c r="R39" s="285" t="b">
        <v>0</v>
      </c>
      <c r="S39" s="285" t="b">
        <v>1</v>
      </c>
      <c r="T39" s="286" t="b">
        <v>1</v>
      </c>
    </row>
    <row r="40" outlineLevel="1">
      <c r="A40" s="432" t="s">
        <v>73</v>
      </c>
      <c r="B40" s="432" t="s">
        <v>74</v>
      </c>
      <c r="C40" s="440">
        <v>45918.0</v>
      </c>
      <c r="D40" s="432" t="s">
        <v>2452</v>
      </c>
      <c r="E40" s="432" t="s">
        <v>2433</v>
      </c>
      <c r="F40" s="432">
        <v>3.517400089E9</v>
      </c>
      <c r="G40" s="432" t="s">
        <v>2453</v>
      </c>
      <c r="H40" s="432" t="s">
        <v>2454</v>
      </c>
      <c r="I40" s="441">
        <v>45918.0</v>
      </c>
      <c r="J40" s="368">
        <v>32.0</v>
      </c>
      <c r="K40" s="436"/>
      <c r="L40" s="432"/>
      <c r="M40" s="488" t="s">
        <v>80</v>
      </c>
      <c r="N40" s="118" t="b">
        <v>1</v>
      </c>
      <c r="O40" s="467"/>
      <c r="Q40" s="438" t="s">
        <v>81</v>
      </c>
      <c r="R40" s="285" t="b">
        <v>0</v>
      </c>
      <c r="S40" s="285" t="b">
        <v>1</v>
      </c>
      <c r="T40" s="286" t="b">
        <v>1</v>
      </c>
    </row>
    <row r="41" outlineLevel="1">
      <c r="A41" s="317" t="s">
        <v>101</v>
      </c>
      <c r="B41" s="317" t="s">
        <v>102</v>
      </c>
      <c r="C41" s="316">
        <v>45947.0</v>
      </c>
      <c r="D41" s="317" t="s">
        <v>2455</v>
      </c>
      <c r="E41" s="317" t="s">
        <v>2038</v>
      </c>
      <c r="F41" s="317">
        <v>3.42836221E8</v>
      </c>
      <c r="G41" s="317" t="s">
        <v>2456</v>
      </c>
      <c r="H41" s="317" t="s">
        <v>2457</v>
      </c>
      <c r="I41" s="318">
        <v>45947.0</v>
      </c>
      <c r="J41" s="365"/>
      <c r="K41" s="431">
        <v>35.0</v>
      </c>
      <c r="L41" s="317" t="s">
        <v>106</v>
      </c>
      <c r="M41" s="317" t="s">
        <v>100</v>
      </c>
      <c r="N41" s="118" t="b">
        <v>1</v>
      </c>
      <c r="O41" s="119"/>
      <c r="Q41" s="284" t="s">
        <v>81</v>
      </c>
      <c r="R41" s="285" t="b">
        <v>1</v>
      </c>
      <c r="S41" s="285" t="b">
        <v>0</v>
      </c>
      <c r="T41" s="286" t="b">
        <v>1</v>
      </c>
    </row>
    <row r="42" outlineLevel="1">
      <c r="A42" s="317" t="s">
        <v>611</v>
      </c>
      <c r="B42" s="317" t="s">
        <v>612</v>
      </c>
      <c r="C42" s="316">
        <v>45950.0</v>
      </c>
      <c r="D42" s="320" t="s">
        <v>2458</v>
      </c>
      <c r="E42" s="317" t="s">
        <v>251</v>
      </c>
      <c r="F42" s="317">
        <v>3.385378233E9</v>
      </c>
      <c r="G42" s="317" t="s">
        <v>2459</v>
      </c>
      <c r="H42" s="317" t="s">
        <v>2460</v>
      </c>
      <c r="I42" s="318">
        <v>45950.0</v>
      </c>
      <c r="J42" s="365"/>
      <c r="K42" s="431">
        <v>35.0</v>
      </c>
      <c r="L42" s="317" t="s">
        <v>394</v>
      </c>
      <c r="M42" s="317" t="s">
        <v>162</v>
      </c>
      <c r="N42" s="118" t="b">
        <v>1</v>
      </c>
      <c r="O42" s="119"/>
      <c r="Q42" s="284" t="s">
        <v>81</v>
      </c>
      <c r="R42" s="285" t="b">
        <v>1</v>
      </c>
      <c r="S42" s="285" t="b">
        <v>0</v>
      </c>
      <c r="T42" s="286" t="b">
        <v>1</v>
      </c>
    </row>
    <row r="43" outlineLevel="1">
      <c r="A43" s="317" t="s">
        <v>611</v>
      </c>
      <c r="B43" s="317" t="s">
        <v>612</v>
      </c>
      <c r="C43" s="316">
        <v>45950.0</v>
      </c>
      <c r="D43" s="320" t="s">
        <v>2458</v>
      </c>
      <c r="E43" s="317" t="s">
        <v>1243</v>
      </c>
      <c r="F43" s="317">
        <v>3.385378223E9</v>
      </c>
      <c r="G43" s="317" t="s">
        <v>2461</v>
      </c>
      <c r="H43" s="317" t="s">
        <v>2462</v>
      </c>
      <c r="I43" s="318">
        <v>45950.0</v>
      </c>
      <c r="J43" s="365"/>
      <c r="K43" s="431">
        <v>35.0</v>
      </c>
      <c r="L43" s="317" t="s">
        <v>394</v>
      </c>
      <c r="M43" s="320" t="s">
        <v>162</v>
      </c>
      <c r="N43" s="118" t="b">
        <v>1</v>
      </c>
      <c r="O43" s="119"/>
      <c r="Q43" s="284" t="s">
        <v>81</v>
      </c>
      <c r="R43" s="285" t="b">
        <v>1</v>
      </c>
      <c r="S43" s="285" t="b">
        <v>0</v>
      </c>
      <c r="T43" s="286" t="b">
        <v>1</v>
      </c>
    </row>
    <row r="44" outlineLevel="1">
      <c r="A44" s="317" t="s">
        <v>73</v>
      </c>
      <c r="B44" s="317" t="s">
        <v>74</v>
      </c>
      <c r="C44" s="444">
        <v>45952.0</v>
      </c>
      <c r="D44" s="317" t="s">
        <v>2463</v>
      </c>
      <c r="E44" s="317" t="s">
        <v>2364</v>
      </c>
      <c r="F44" s="317">
        <v>3.271170218E9</v>
      </c>
      <c r="G44" s="468" t="s">
        <v>2464</v>
      </c>
      <c r="H44" s="317" t="s">
        <v>2465</v>
      </c>
      <c r="I44" s="318">
        <v>45952.0</v>
      </c>
      <c r="J44" s="365"/>
      <c r="K44" s="431">
        <v>35.0</v>
      </c>
      <c r="L44" s="317" t="s">
        <v>99</v>
      </c>
      <c r="M44" s="317" t="s">
        <v>80</v>
      </c>
      <c r="N44" s="118" t="b">
        <v>1</v>
      </c>
      <c r="O44" s="119" t="s">
        <v>2466</v>
      </c>
      <c r="Q44" s="284" t="s">
        <v>81</v>
      </c>
      <c r="R44" s="285" t="b">
        <v>0</v>
      </c>
      <c r="S44" s="285" t="b">
        <v>1</v>
      </c>
      <c r="T44" s="286" t="b">
        <v>1</v>
      </c>
    </row>
    <row r="45" outlineLevel="1">
      <c r="A45" s="317" t="s">
        <v>2026</v>
      </c>
      <c r="B45" s="317" t="s">
        <v>74</v>
      </c>
      <c r="C45" s="316">
        <v>45950.0</v>
      </c>
      <c r="D45" s="317" t="s">
        <v>588</v>
      </c>
      <c r="E45" s="317" t="s">
        <v>589</v>
      </c>
      <c r="F45" s="317">
        <v>3.204460419E9</v>
      </c>
      <c r="G45" s="317" t="s">
        <v>590</v>
      </c>
      <c r="H45" s="317" t="s">
        <v>591</v>
      </c>
      <c r="I45" s="318">
        <v>45950.0</v>
      </c>
      <c r="J45" s="365">
        <v>37.0</v>
      </c>
      <c r="K45" s="431"/>
      <c r="L45" s="317"/>
      <c r="M45" s="320" t="s">
        <v>80</v>
      </c>
      <c r="N45" s="118" t="b">
        <v>0</v>
      </c>
      <c r="O45" s="119"/>
      <c r="Q45" s="284" t="s">
        <v>81</v>
      </c>
      <c r="R45" s="285" t="b">
        <v>0</v>
      </c>
      <c r="S45" s="285" t="b">
        <v>1</v>
      </c>
      <c r="T45" s="286" t="b">
        <v>1</v>
      </c>
    </row>
    <row r="46" outlineLevel="1">
      <c r="A46" s="317" t="s">
        <v>2026</v>
      </c>
      <c r="B46" s="317" t="s">
        <v>74</v>
      </c>
      <c r="C46" s="316">
        <v>45951.0</v>
      </c>
      <c r="D46" s="317" t="s">
        <v>2467</v>
      </c>
      <c r="E46" s="317" t="s">
        <v>2468</v>
      </c>
      <c r="F46" s="317">
        <v>3.489094928E9</v>
      </c>
      <c r="G46" s="471" t="s">
        <v>2469</v>
      </c>
      <c r="H46" s="317" t="s">
        <v>2470</v>
      </c>
      <c r="I46" s="443">
        <v>45951.0</v>
      </c>
      <c r="J46" s="365">
        <v>37.0</v>
      </c>
      <c r="K46" s="431"/>
      <c r="L46" s="317"/>
      <c r="M46" s="317" t="s">
        <v>80</v>
      </c>
      <c r="N46" s="118" t="b">
        <v>0</v>
      </c>
      <c r="O46" s="119"/>
      <c r="Q46" s="284" t="s">
        <v>81</v>
      </c>
      <c r="R46" s="285" t="b">
        <v>0</v>
      </c>
      <c r="S46" s="285" t="b">
        <v>1</v>
      </c>
      <c r="T46" s="286" t="b">
        <v>1</v>
      </c>
    </row>
    <row r="47" outlineLevel="1">
      <c r="A47" s="317" t="s">
        <v>2026</v>
      </c>
      <c r="B47" s="317" t="s">
        <v>74</v>
      </c>
      <c r="C47" s="316">
        <v>45951.0</v>
      </c>
      <c r="D47" s="317" t="s">
        <v>810</v>
      </c>
      <c r="E47" s="317" t="s">
        <v>2471</v>
      </c>
      <c r="F47" s="317">
        <v>3.332963894E9</v>
      </c>
      <c r="G47" s="317" t="s">
        <v>812</v>
      </c>
      <c r="H47" s="317" t="s">
        <v>813</v>
      </c>
      <c r="I47" s="443">
        <v>45951.0</v>
      </c>
      <c r="J47" s="365">
        <v>37.0</v>
      </c>
      <c r="K47" s="431"/>
      <c r="L47" s="317"/>
      <c r="M47" s="317" t="s">
        <v>80</v>
      </c>
      <c r="N47" s="118" t="b">
        <v>0</v>
      </c>
      <c r="O47" s="119"/>
      <c r="Q47" s="284" t="s">
        <v>81</v>
      </c>
      <c r="R47" s="285" t="b">
        <v>0</v>
      </c>
      <c r="S47" s="285" t="b">
        <v>1</v>
      </c>
      <c r="T47" s="286" t="b">
        <v>1</v>
      </c>
    </row>
    <row r="48" outlineLevel="1">
      <c r="A48" s="317" t="s">
        <v>2026</v>
      </c>
      <c r="B48" s="317" t="s">
        <v>74</v>
      </c>
      <c r="C48" s="316">
        <v>45951.0</v>
      </c>
      <c r="D48" s="317" t="s">
        <v>2472</v>
      </c>
      <c r="E48" s="317" t="s">
        <v>2473</v>
      </c>
      <c r="F48" s="317">
        <v>3.803408368E9</v>
      </c>
      <c r="G48" s="317" t="s">
        <v>2474</v>
      </c>
      <c r="H48" s="317" t="s">
        <v>2475</v>
      </c>
      <c r="I48" s="443">
        <v>45951.0</v>
      </c>
      <c r="J48" s="365">
        <v>37.0</v>
      </c>
      <c r="K48" s="431"/>
      <c r="L48" s="317"/>
      <c r="M48" s="317" t="s">
        <v>100</v>
      </c>
      <c r="N48" s="118" t="b">
        <v>1</v>
      </c>
      <c r="O48" s="119"/>
      <c r="Q48" s="284" t="s">
        <v>81</v>
      </c>
      <c r="R48" s="285" t="b">
        <v>1</v>
      </c>
      <c r="S48" s="285" t="b">
        <v>0</v>
      </c>
      <c r="T48" s="286" t="b">
        <v>1</v>
      </c>
    </row>
    <row r="49" outlineLevel="1">
      <c r="A49" s="317" t="s">
        <v>101</v>
      </c>
      <c r="B49" s="541" t="s">
        <v>102</v>
      </c>
      <c r="C49" s="316">
        <v>45954.0</v>
      </c>
      <c r="D49" s="317" t="s">
        <v>2476</v>
      </c>
      <c r="E49" s="317" t="s">
        <v>2477</v>
      </c>
      <c r="F49" s="317">
        <f>393289249243</f>
        <v>393289249243</v>
      </c>
      <c r="G49" s="317" t="s">
        <v>2478</v>
      </c>
      <c r="H49" s="317" t="s">
        <v>2479</v>
      </c>
      <c r="I49" s="443">
        <v>45955.0</v>
      </c>
      <c r="J49" s="368"/>
      <c r="K49" s="431">
        <v>35.0</v>
      </c>
      <c r="L49" s="317" t="s">
        <v>106</v>
      </c>
      <c r="M49" s="317" t="s">
        <v>449</v>
      </c>
      <c r="N49" s="118" t="b">
        <v>1</v>
      </c>
      <c r="O49" s="119" t="s">
        <v>2466</v>
      </c>
      <c r="Q49" s="284" t="s">
        <v>81</v>
      </c>
      <c r="R49" s="285" t="b">
        <v>0</v>
      </c>
      <c r="S49" s="285" t="b">
        <v>1</v>
      </c>
      <c r="T49" s="286" t="b">
        <v>1</v>
      </c>
    </row>
    <row r="50" outlineLevel="1">
      <c r="A50" s="317" t="s">
        <v>611</v>
      </c>
      <c r="B50" s="317" t="s">
        <v>612</v>
      </c>
      <c r="C50" s="472">
        <v>45955.0</v>
      </c>
      <c r="D50" s="317" t="s">
        <v>1162</v>
      </c>
      <c r="E50" s="317" t="s">
        <v>464</v>
      </c>
      <c r="F50" s="317">
        <v>3.348264949E9</v>
      </c>
      <c r="G50" s="317" t="s">
        <v>2480</v>
      </c>
      <c r="H50" s="317" t="s">
        <v>1164</v>
      </c>
      <c r="I50" s="439">
        <v>45955.0</v>
      </c>
      <c r="J50" s="365"/>
      <c r="K50" s="431">
        <v>35.0</v>
      </c>
      <c r="L50" s="317" t="s">
        <v>394</v>
      </c>
      <c r="M50" s="320" t="s">
        <v>162</v>
      </c>
      <c r="N50" s="118" t="b">
        <v>1</v>
      </c>
      <c r="O50" s="119"/>
      <c r="Q50" s="284" t="s">
        <v>81</v>
      </c>
      <c r="R50" s="285" t="b">
        <v>1</v>
      </c>
      <c r="S50" s="285" t="b">
        <v>0</v>
      </c>
      <c r="T50" s="286" t="b">
        <v>1</v>
      </c>
    </row>
    <row r="51" outlineLevel="1">
      <c r="A51" s="317" t="s">
        <v>611</v>
      </c>
      <c r="B51" s="317" t="s">
        <v>74</v>
      </c>
      <c r="C51" s="472">
        <v>45954.0</v>
      </c>
      <c r="D51" s="317" t="s">
        <v>2085</v>
      </c>
      <c r="E51" s="317" t="s">
        <v>1061</v>
      </c>
      <c r="F51" s="317">
        <v>3.486902926E9</v>
      </c>
      <c r="G51" s="317" t="s">
        <v>2481</v>
      </c>
      <c r="H51" s="317" t="s">
        <v>2087</v>
      </c>
      <c r="I51" s="439">
        <v>45954.0</v>
      </c>
      <c r="J51" s="365">
        <v>37.0</v>
      </c>
      <c r="K51" s="431"/>
      <c r="L51" s="317"/>
      <c r="M51" s="320" t="s">
        <v>80</v>
      </c>
      <c r="N51" s="118" t="b">
        <v>1</v>
      </c>
      <c r="O51" s="119"/>
      <c r="Q51" s="284" t="s">
        <v>81</v>
      </c>
      <c r="R51" s="285" t="b">
        <v>0</v>
      </c>
      <c r="S51" s="285" t="b">
        <v>1</v>
      </c>
      <c r="T51" s="286" t="b">
        <v>1</v>
      </c>
    </row>
    <row r="52" outlineLevel="1">
      <c r="A52" s="317" t="s">
        <v>368</v>
      </c>
      <c r="B52" s="317" t="s">
        <v>74</v>
      </c>
      <c r="C52" s="472">
        <v>45955.0</v>
      </c>
      <c r="D52" s="317" t="s">
        <v>2482</v>
      </c>
      <c r="E52" s="317" t="s">
        <v>2483</v>
      </c>
      <c r="F52" s="317">
        <v>3.427445543E9</v>
      </c>
      <c r="G52" s="317" t="s">
        <v>2484</v>
      </c>
      <c r="H52" s="317" t="s">
        <v>2485</v>
      </c>
      <c r="I52" s="439">
        <v>45955.0</v>
      </c>
      <c r="J52" s="365">
        <v>37.0</v>
      </c>
      <c r="K52" s="431"/>
      <c r="L52" s="317"/>
      <c r="M52" s="320" t="s">
        <v>80</v>
      </c>
      <c r="N52" s="118" t="b">
        <v>1</v>
      </c>
      <c r="O52" s="119"/>
      <c r="Q52" s="284" t="s">
        <v>81</v>
      </c>
      <c r="R52" s="285" t="b">
        <v>0</v>
      </c>
      <c r="S52" s="285" t="b">
        <v>1</v>
      </c>
      <c r="T52" s="286" t="b">
        <v>1</v>
      </c>
    </row>
    <row r="53" outlineLevel="1">
      <c r="A53" s="317"/>
      <c r="B53" s="317"/>
      <c r="C53" s="473"/>
      <c r="D53" s="320"/>
      <c r="E53" s="320"/>
      <c r="F53" s="320"/>
      <c r="G53" s="320"/>
      <c r="H53" s="320"/>
      <c r="I53" s="439"/>
      <c r="J53" s="365"/>
      <c r="K53" s="431"/>
      <c r="L53" s="317"/>
      <c r="M53" s="320"/>
      <c r="N53" s="118" t="b">
        <v>0</v>
      </c>
      <c r="O53" s="119"/>
      <c r="Q53" s="284"/>
      <c r="R53" s="285" t="b">
        <v>0</v>
      </c>
      <c r="S53" s="285" t="b">
        <v>0</v>
      </c>
      <c r="T53" s="286" t="b">
        <v>0</v>
      </c>
    </row>
    <row r="54" outlineLevel="1">
      <c r="A54" s="432"/>
      <c r="B54" s="432"/>
      <c r="C54" s="474"/>
      <c r="D54" s="131"/>
      <c r="E54" s="432"/>
      <c r="F54" s="432"/>
      <c r="G54" s="432"/>
      <c r="H54" s="432"/>
      <c r="I54" s="441"/>
      <c r="J54" s="365"/>
      <c r="K54" s="431"/>
      <c r="L54" s="432"/>
      <c r="M54" s="432"/>
      <c r="N54" s="118" t="b">
        <v>0</v>
      </c>
      <c r="O54" s="119"/>
      <c r="Q54" s="438"/>
      <c r="R54" s="285" t="b">
        <v>0</v>
      </c>
      <c r="S54" s="285" t="b">
        <v>0</v>
      </c>
      <c r="T54" s="286" t="b">
        <v>0</v>
      </c>
    </row>
    <row r="55" outlineLevel="1">
      <c r="A55" s="317"/>
      <c r="B55" s="317"/>
      <c r="C55" s="473"/>
      <c r="D55" s="317"/>
      <c r="E55" s="317"/>
      <c r="F55" s="317"/>
      <c r="G55" s="317"/>
      <c r="H55" s="317"/>
      <c r="I55" s="439"/>
      <c r="J55" s="365"/>
      <c r="K55" s="431"/>
      <c r="L55" s="317"/>
      <c r="M55" s="320"/>
      <c r="N55" s="118" t="b">
        <v>0</v>
      </c>
      <c r="O55" s="119"/>
      <c r="Q55" s="284"/>
      <c r="R55" s="285" t="b">
        <v>0</v>
      </c>
      <c r="S55" s="285" t="b">
        <v>0</v>
      </c>
      <c r="T55" s="286" t="b">
        <v>0</v>
      </c>
    </row>
    <row r="56" outlineLevel="1">
      <c r="A56" s="317"/>
      <c r="B56" s="317"/>
      <c r="C56" s="472"/>
      <c r="D56" s="317"/>
      <c r="E56" s="317"/>
      <c r="F56" s="317"/>
      <c r="G56" s="317"/>
      <c r="H56" s="317"/>
      <c r="I56" s="439"/>
      <c r="J56" s="368"/>
      <c r="K56" s="431"/>
      <c r="L56" s="317"/>
      <c r="M56" s="320"/>
      <c r="N56" s="118" t="b">
        <v>0</v>
      </c>
      <c r="O56" s="119"/>
      <c r="Q56" s="284"/>
      <c r="R56" s="285" t="b">
        <v>0</v>
      </c>
      <c r="S56" s="285" t="b">
        <v>0</v>
      </c>
      <c r="T56" s="286" t="b">
        <v>0</v>
      </c>
    </row>
    <row r="57" outlineLevel="1">
      <c r="A57" s="317"/>
      <c r="B57" s="317"/>
      <c r="C57" s="472"/>
      <c r="D57" s="317"/>
      <c r="E57" s="317"/>
      <c r="F57" s="317"/>
      <c r="G57" s="475"/>
      <c r="H57" s="317"/>
      <c r="I57" s="439"/>
      <c r="J57" s="368"/>
      <c r="K57" s="431"/>
      <c r="L57" s="317"/>
      <c r="M57" s="317"/>
      <c r="N57" s="118" t="b">
        <v>0</v>
      </c>
      <c r="O57" s="119"/>
      <c r="Q57" s="284"/>
      <c r="R57" s="285" t="b">
        <v>0</v>
      </c>
      <c r="S57" s="285" t="b">
        <v>0</v>
      </c>
      <c r="T57" s="286" t="b">
        <v>0</v>
      </c>
    </row>
    <row r="58" outlineLevel="1">
      <c r="A58" s="432"/>
      <c r="B58" s="432"/>
      <c r="C58" s="440"/>
      <c r="D58" s="432"/>
      <c r="E58" s="542" t="s">
        <v>2004</v>
      </c>
      <c r="F58" s="543"/>
      <c r="G58" s="476"/>
      <c r="H58" s="432"/>
      <c r="I58" s="477"/>
      <c r="J58" s="368"/>
      <c r="K58" s="436"/>
      <c r="L58" s="317"/>
      <c r="M58" s="432"/>
      <c r="N58" s="118" t="b">
        <v>0</v>
      </c>
      <c r="O58" s="119"/>
      <c r="Q58" s="284"/>
      <c r="R58" s="285" t="b">
        <v>0</v>
      </c>
      <c r="S58" s="285" t="b">
        <v>0</v>
      </c>
      <c r="T58" s="286" t="b">
        <v>0</v>
      </c>
    </row>
    <row r="59" outlineLevel="1">
      <c r="A59" s="432"/>
      <c r="B59" s="432"/>
      <c r="C59" s="440"/>
      <c r="D59" s="432"/>
      <c r="E59" s="432"/>
      <c r="F59" s="432"/>
      <c r="G59" s="476"/>
      <c r="H59" s="432"/>
      <c r="I59" s="477"/>
      <c r="J59" s="368"/>
      <c r="K59" s="436"/>
      <c r="L59" s="317"/>
      <c r="M59" s="432"/>
      <c r="N59" s="118" t="b">
        <v>0</v>
      </c>
      <c r="O59" s="119"/>
      <c r="Q59" s="284"/>
      <c r="R59" s="285" t="b">
        <v>0</v>
      </c>
      <c r="S59" s="285" t="b">
        <v>0</v>
      </c>
      <c r="T59" s="286" t="b">
        <v>0</v>
      </c>
    </row>
    <row r="60" outlineLevel="1">
      <c r="A60" s="432"/>
      <c r="B60" s="432"/>
      <c r="C60" s="440"/>
      <c r="D60" s="432"/>
      <c r="E60" s="432"/>
      <c r="F60" s="432"/>
      <c r="G60" s="476"/>
      <c r="H60" s="432"/>
      <c r="I60" s="477"/>
      <c r="J60" s="368"/>
      <c r="K60" s="436"/>
      <c r="L60" s="317"/>
      <c r="M60" s="432"/>
      <c r="N60" s="118" t="b">
        <v>0</v>
      </c>
      <c r="O60" s="119"/>
      <c r="Q60" s="284"/>
      <c r="R60" s="285" t="b">
        <v>0</v>
      </c>
      <c r="S60" s="285" t="b">
        <v>0</v>
      </c>
      <c r="T60" s="286" t="b">
        <v>0</v>
      </c>
    </row>
    <row r="61" outlineLevel="1">
      <c r="A61" s="432"/>
      <c r="B61" s="432"/>
      <c r="C61" s="440"/>
      <c r="D61" s="432"/>
      <c r="E61" s="432"/>
      <c r="F61" s="432"/>
      <c r="G61" s="476"/>
      <c r="H61" s="432"/>
      <c r="I61" s="477"/>
      <c r="J61" s="368"/>
      <c r="K61" s="436"/>
      <c r="L61" s="317"/>
      <c r="M61" s="432"/>
      <c r="N61" s="118" t="b">
        <v>0</v>
      </c>
      <c r="O61" s="119"/>
      <c r="Q61" s="284"/>
      <c r="R61" s="285" t="b">
        <v>0</v>
      </c>
      <c r="S61" s="285" t="b">
        <v>0</v>
      </c>
      <c r="T61" s="286" t="b">
        <v>0</v>
      </c>
    </row>
    <row r="62" outlineLevel="1">
      <c r="A62" s="317"/>
      <c r="B62" s="317"/>
      <c r="C62" s="316"/>
      <c r="D62" s="317"/>
      <c r="E62" s="317"/>
      <c r="F62" s="317"/>
      <c r="G62" s="475"/>
      <c r="H62" s="317"/>
      <c r="I62" s="318"/>
      <c r="J62" s="368"/>
      <c r="K62" s="431"/>
      <c r="L62" s="317"/>
      <c r="M62" s="317"/>
      <c r="N62" s="118" t="b">
        <v>0</v>
      </c>
      <c r="O62" s="119"/>
      <c r="Q62" s="284"/>
      <c r="R62" s="285" t="b">
        <v>0</v>
      </c>
      <c r="S62" s="285" t="b">
        <v>0</v>
      </c>
      <c r="T62" s="286" t="b">
        <v>0</v>
      </c>
    </row>
    <row r="63" outlineLevel="1">
      <c r="A63" s="317"/>
      <c r="B63" s="317"/>
      <c r="C63" s="316"/>
      <c r="D63" s="317"/>
      <c r="E63" s="317"/>
      <c r="F63" s="317"/>
      <c r="G63" s="475"/>
      <c r="H63" s="317"/>
      <c r="I63" s="318"/>
      <c r="J63" s="368"/>
      <c r="K63" s="431"/>
      <c r="L63" s="317"/>
      <c r="M63" s="317"/>
      <c r="N63" s="118" t="b">
        <v>0</v>
      </c>
      <c r="O63" s="119"/>
      <c r="Q63" s="284"/>
      <c r="R63" s="285" t="b">
        <v>0</v>
      </c>
      <c r="S63" s="285" t="b">
        <v>0</v>
      </c>
      <c r="T63" s="286" t="b">
        <v>0</v>
      </c>
    </row>
    <row r="64" outlineLevel="1">
      <c r="A64" s="317"/>
      <c r="B64" s="317"/>
      <c r="C64" s="316"/>
      <c r="D64" s="317"/>
      <c r="E64" s="317"/>
      <c r="F64" s="317"/>
      <c r="G64" s="475"/>
      <c r="H64" s="317"/>
      <c r="I64" s="318"/>
      <c r="J64" s="368"/>
      <c r="K64" s="431"/>
      <c r="L64" s="317"/>
      <c r="M64" s="317"/>
      <c r="N64" s="118" t="b">
        <v>0</v>
      </c>
      <c r="O64" s="119"/>
      <c r="Q64" s="284"/>
      <c r="R64" s="285" t="b">
        <v>0</v>
      </c>
      <c r="S64" s="285" t="b">
        <v>0</v>
      </c>
      <c r="T64" s="286" t="b">
        <v>0</v>
      </c>
    </row>
    <row r="65" outlineLevel="1">
      <c r="A65" s="320"/>
      <c r="B65" s="317"/>
      <c r="C65" s="465"/>
      <c r="D65" s="320"/>
      <c r="E65" s="320"/>
      <c r="F65" s="320"/>
      <c r="G65" s="471"/>
      <c r="H65" s="320"/>
      <c r="I65" s="478"/>
      <c r="J65" s="365"/>
      <c r="K65" s="431"/>
      <c r="L65" s="317"/>
      <c r="M65" s="320"/>
      <c r="N65" s="154" t="b">
        <v>0</v>
      </c>
      <c r="O65" s="119"/>
      <c r="Q65" s="284"/>
      <c r="R65" s="285" t="b">
        <v>0</v>
      </c>
      <c r="S65" s="285" t="b">
        <v>0</v>
      </c>
      <c r="T65" s="286" t="b">
        <v>0</v>
      </c>
    </row>
    <row r="66" outlineLevel="1">
      <c r="A66" s="317"/>
      <c r="B66" s="317"/>
      <c r="C66" s="316"/>
      <c r="D66" s="317"/>
      <c r="E66" s="317"/>
      <c r="F66" s="317"/>
      <c r="G66" s="475"/>
      <c r="H66" s="317"/>
      <c r="I66" s="443"/>
      <c r="J66" s="368"/>
      <c r="K66" s="431"/>
      <c r="L66" s="317"/>
      <c r="M66" s="317"/>
      <c r="N66" s="118" t="b">
        <v>0</v>
      </c>
      <c r="O66" s="119"/>
      <c r="Q66" s="284"/>
      <c r="R66" s="285" t="b">
        <v>0</v>
      </c>
      <c r="S66" s="285" t="b">
        <v>0</v>
      </c>
      <c r="T66" s="286" t="b">
        <v>0</v>
      </c>
    </row>
    <row r="67" outlineLevel="1">
      <c r="A67" s="317"/>
      <c r="B67" s="317"/>
      <c r="C67" s="316"/>
      <c r="D67" s="317"/>
      <c r="E67" s="317"/>
      <c r="F67" s="317"/>
      <c r="G67" s="475"/>
      <c r="H67" s="317"/>
      <c r="I67" s="443"/>
      <c r="J67" s="365"/>
      <c r="K67" s="431"/>
      <c r="L67" s="317"/>
      <c r="M67" s="317"/>
      <c r="N67" s="118" t="b">
        <v>0</v>
      </c>
      <c r="O67" s="119"/>
      <c r="Q67" s="284"/>
      <c r="R67" s="285" t="b">
        <v>0</v>
      </c>
      <c r="S67" s="285" t="b">
        <v>0</v>
      </c>
      <c r="T67" s="286" t="b">
        <v>0</v>
      </c>
    </row>
    <row r="68" outlineLevel="1">
      <c r="A68" s="317"/>
      <c r="B68" s="317"/>
      <c r="C68" s="316"/>
      <c r="D68" s="317"/>
      <c r="E68" s="317"/>
      <c r="F68" s="317"/>
      <c r="G68" s="475"/>
      <c r="H68" s="317"/>
      <c r="I68" s="316"/>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419"/>
      <c r="D70" s="336"/>
      <c r="E70" s="336"/>
      <c r="F70" s="420"/>
      <c r="G70" s="336"/>
      <c r="H70" s="336"/>
      <c r="I70" s="479"/>
      <c r="J70" s="365"/>
      <c r="K70" s="431"/>
      <c r="L70" s="317"/>
      <c r="M70" s="317"/>
      <c r="N70" s="118" t="b">
        <v>0</v>
      </c>
      <c r="O70" s="119"/>
      <c r="Q70" s="284"/>
      <c r="R70" s="285" t="b">
        <v>0</v>
      </c>
      <c r="S70" s="285" t="b">
        <v>0</v>
      </c>
      <c r="T70" s="286" t="b">
        <v>0</v>
      </c>
    </row>
    <row r="71">
      <c r="A71" s="348" t="s">
        <v>116</v>
      </c>
      <c r="B71" s="349">
        <f>COUNTIF(B4:B70,"ONLINE")+COUNTIF(B4:B70,"SEDE*")</f>
        <v>49</v>
      </c>
      <c r="C71" s="348" t="s">
        <v>116</v>
      </c>
      <c r="D71" s="349">
        <f t="shared" ref="D71:E71" si="1">COUNTIF(D4:D70, "*")</f>
        <v>49</v>
      </c>
      <c r="E71" s="349">
        <f t="shared" si="1"/>
        <v>50</v>
      </c>
      <c r="F71" s="480">
        <f>COUNTA(F4:F70)</f>
        <v>49</v>
      </c>
      <c r="G71" s="349">
        <f t="shared" ref="G71:H71" si="2">COUNTIF(G4:G70, "*")</f>
        <v>49</v>
      </c>
      <c r="H71" s="349">
        <f t="shared" si="2"/>
        <v>49</v>
      </c>
      <c r="I71" s="348" t="s">
        <v>116</v>
      </c>
      <c r="J71" s="481">
        <f t="shared" ref="J71:K71" si="3">SUM(J4:J70)</f>
        <v>1259</v>
      </c>
      <c r="K71" s="482">
        <f t="shared" si="3"/>
        <v>400</v>
      </c>
      <c r="L71" s="349">
        <f t="shared" ref="L71:M71" si="4">COUNTIF(L4:L70, "*")</f>
        <v>12</v>
      </c>
      <c r="M71" s="349">
        <f t="shared" si="4"/>
        <v>49</v>
      </c>
      <c r="N71" s="349">
        <f>SUMPRODUCT(--N4:N70)</f>
        <v>40</v>
      </c>
      <c r="O71" s="349">
        <f t="shared" ref="O71:Q71" si="5">COUNTIF(O4:O70, "*")</f>
        <v>3</v>
      </c>
      <c r="P71" s="349">
        <f t="shared" si="5"/>
        <v>0</v>
      </c>
      <c r="Q71" s="349">
        <f t="shared" si="5"/>
        <v>49</v>
      </c>
      <c r="R71" s="349">
        <f t="shared" ref="R71:T71" si="6">SUMPRODUCT(--R4:R70)</f>
        <v>15</v>
      </c>
      <c r="S71" s="349">
        <f t="shared" si="6"/>
        <v>34</v>
      </c>
      <c r="T71" s="349">
        <f t="shared" si="6"/>
        <v>49</v>
      </c>
    </row>
    <row r="72">
      <c r="A72" s="245" t="s">
        <v>117</v>
      </c>
      <c r="B72" s="246">
        <f>COUNTIF(B4:B70, "SEDE*")</f>
        <v>7</v>
      </c>
      <c r="C72" s="351"/>
      <c r="D72" s="351"/>
      <c r="E72" s="351"/>
      <c r="F72" s="351"/>
      <c r="G72" s="351"/>
      <c r="H72" s="245" t="s">
        <v>1946</v>
      </c>
      <c r="I72" s="355" t="s">
        <v>121</v>
      </c>
      <c r="J72" s="483" t="str">
        <f>COUNTIFS($B$4:$B$70,"*SEDE*",$J$4:$J$70, $F$154)&amp; " da €"&amp;$F$154</f>
        <v>0 da €32</v>
      </c>
      <c r="K72" s="484" t="str">
        <f>COUNTIFS($B$4:$B$70,"*SEDE*",$K$4:$K$70, $F$153)&amp; " da €"&amp;$F$153</f>
        <v>2 da €30</v>
      </c>
      <c r="L72" s="483" t="str">
        <f>COUNTIFS($B$4:$B$70,"*SEDE*",$J$4:$J$70, $F$156)&amp; " da €"&amp;$F$156</f>
        <v>0 da €37</v>
      </c>
      <c r="M72" s="484" t="str">
        <f>COUNTIFS($B$4:$B$70,"*SEDE*",$K$4:$K$70, $F$155)&amp; " da €"&amp;$F$155</f>
        <v>5 da €35</v>
      </c>
      <c r="N72" s="483" t="str">
        <f>COUNTIFS($B$4:$B$70,"*SEDE*",$J$4:$J$70, $G$154)&amp; " da €"&amp;$G$154</f>
        <v>0 da €42</v>
      </c>
      <c r="O72" s="484" t="str">
        <f>COUNTIFS($B$4:$B$70,"*SEDE*",$K$4:$K$70, $G$153)&amp; " da €"&amp;$G$153</f>
        <v>0 da €40</v>
      </c>
      <c r="P72" s="485" t="s">
        <v>40</v>
      </c>
      <c r="Q72" s="486">
        <f>SUM(J73,K73,L73,M73,N73,O73)</f>
        <v>235</v>
      </c>
      <c r="R72" s="351"/>
      <c r="S72" s="351"/>
      <c r="T72" s="351"/>
    </row>
    <row r="73">
      <c r="A73" s="245" t="s">
        <v>74</v>
      </c>
      <c r="B73" s="246">
        <f>COUNTIF(B4:B70, "ONLINE")</f>
        <v>42</v>
      </c>
      <c r="C73" s="351"/>
      <c r="D73" s="351"/>
      <c r="E73" s="351"/>
      <c r="F73" s="351"/>
      <c r="G73" s="351"/>
      <c r="I73" s="355" t="s">
        <v>122</v>
      </c>
      <c r="J73" s="483">
        <f>SUMIFS($J$4:$J$70,$B$4:$B$70,"*SEDE*",$J$4:$J$70,$F$154)</f>
        <v>0</v>
      </c>
      <c r="K73" s="369">
        <f>SUMIFS($K$4:$K$70,$B$4:$B$70,"*SEDE*",$K$4:$K$70,$F$153)</f>
        <v>60</v>
      </c>
      <c r="L73" s="368">
        <f>SUMIFS($J$4:$J$70,$B$4:$B$70,"*SEDE*",$J$4:$J$70,$F$156)</f>
        <v>0</v>
      </c>
      <c r="M73" s="369">
        <f>SUMIFS($K$4:$K$70,$B$4:$B$70,"*SEDE*",$K$4:$K$70,$F$155)</f>
        <v>175</v>
      </c>
      <c r="N73" s="368">
        <f>SUMIFS($J$4:$J$70,$B$4:$B$70,"*SEDE*",$J$4:$J$70,$G$154)</f>
        <v>0</v>
      </c>
      <c r="O73" s="369">
        <f>SUMIFS($K$4:$K$70,$B$4:$B$70,"*SEDE*",$K$4:$K$70,$G$153)</f>
        <v>0</v>
      </c>
      <c r="R73" s="351"/>
      <c r="S73" s="351"/>
      <c r="T73" s="351"/>
    </row>
    <row r="74">
      <c r="A74" s="245"/>
      <c r="B74" s="246"/>
      <c r="C74" s="351"/>
      <c r="D74" s="351"/>
      <c r="E74" s="351"/>
      <c r="F74" s="351"/>
      <c r="G74" s="351"/>
      <c r="I74" s="355" t="s">
        <v>123</v>
      </c>
      <c r="J74" s="368" t="str">
        <f>COUNTIFS($B$4:$B$70,"*ONLINE*",$J$4:$J$70, $F$154)&amp; " da €"&amp;$F$154</f>
        <v>22 da €32</v>
      </c>
      <c r="K74" s="484" t="str">
        <f>COUNTIFS($B$4:$B$70,"*ONLINE*",$K$4:$K$70, $F$153)&amp; " da €"&amp;$F$153</f>
        <v>2 da €30</v>
      </c>
      <c r="L74" s="368" t="str">
        <f>COUNTIFS($B$4:$B$70,"*ONLINE*",$J$4:$J$70, $F$156)&amp; " da €"&amp;$F$156</f>
        <v>15 da €37</v>
      </c>
      <c r="M74" s="369" t="str">
        <f>COUNTIFS($B$4:$B$70,"*ONLINE*",$K$4:$K$70, $F$155)&amp; " da €"&amp;$F$155</f>
        <v>3 da €35</v>
      </c>
      <c r="N74" s="368" t="str">
        <f>COUNTIFS($B$4:$B$70,"*ONLINE*",$J$4:$J$70, $G$154)&amp; " da €"&amp;$G$154</f>
        <v>0 da €42</v>
      </c>
      <c r="O74" s="369" t="str">
        <f>COUNTIFS($B$4:$B$70,"*ONLINE*",$K$4:$K$70, $G$153)&amp; " da €"&amp;$G$153</f>
        <v>0 da €40</v>
      </c>
      <c r="P74" s="425" t="s">
        <v>40</v>
      </c>
      <c r="Q74" s="486">
        <f>SUM(J75,K75,L75,M75,N75,O75)</f>
        <v>1424</v>
      </c>
      <c r="R74" s="351"/>
      <c r="S74" s="351"/>
      <c r="T74" s="351"/>
    </row>
    <row r="75">
      <c r="A75" s="245"/>
      <c r="B75" s="246"/>
      <c r="C75" s="351"/>
      <c r="D75" s="351"/>
      <c r="E75" s="351"/>
      <c r="F75" s="351"/>
      <c r="G75" s="351"/>
      <c r="I75" s="355" t="s">
        <v>124</v>
      </c>
      <c r="J75" s="483">
        <f>SUMIFS($J$4:$J$70,$B$4:$B$70,"*ONLINE*",$J$4:$J$70,$F$154)</f>
        <v>704</v>
      </c>
      <c r="K75" s="484">
        <f>SUMIFS($K$4:$K$70,$B$4:$B$70,"*ONLINE*",$K$4:$K$70,$F$153)</f>
        <v>60</v>
      </c>
      <c r="L75" s="483">
        <f>SUMIFS($J$4:$J$70,$B$4:$B$70,"*ONLINE*",$J$4:$J$70,$F$156)</f>
        <v>555</v>
      </c>
      <c r="M75" s="369">
        <f>SUMIFS($K$4:$K$70,$B$4:$B$70,"*ONLINE*",$K$4:$K$70,$F$155)</f>
        <v>105</v>
      </c>
      <c r="N75" s="483">
        <f>SUMIFS($J$4:$J$70,$B$4:$B$70,"*ONLINE*",$J$4:$J$70,$G$154)</f>
        <v>0</v>
      </c>
      <c r="O75" s="369">
        <f>SUMIFS($K$4:$K$70,$B$4:$B$70,"*ONLINE*",$K$4:$K$70,$G$153)</f>
        <v>0</v>
      </c>
      <c r="R75" s="245" t="s">
        <v>120</v>
      </c>
      <c r="S75" s="378" t="str">
        <f>IF(SUM(J71:K71) = SUM(Q72:Q75), "OK", "ERRORE")</f>
        <v>OK</v>
      </c>
      <c r="T75" s="351"/>
    </row>
    <row r="76" ht="26.25" customHeight="1" collapsed="1">
      <c r="A76" s="428" t="s">
        <v>2005</v>
      </c>
      <c r="R76" s="429"/>
      <c r="S76" s="429"/>
      <c r="T76" s="429"/>
    </row>
    <row r="77" hidden="1" outlineLevel="1">
      <c r="A77" s="317"/>
      <c r="B77" s="317"/>
      <c r="C77" s="316"/>
      <c r="D77" s="336"/>
      <c r="E77" s="336"/>
      <c r="F77" s="420"/>
      <c r="G77" s="317"/>
      <c r="H77" s="317"/>
      <c r="I77" s="318"/>
      <c r="J77" s="319"/>
      <c r="K77" s="431"/>
      <c r="L77" s="317"/>
      <c r="M77" s="317"/>
      <c r="N77" s="118" t="b">
        <v>0</v>
      </c>
      <c r="O77" s="487"/>
      <c r="Q77" s="284"/>
      <c r="R77" s="285" t="b">
        <v>0</v>
      </c>
      <c r="S77" s="285" t="b">
        <v>0</v>
      </c>
      <c r="T77" s="286" t="b">
        <v>0</v>
      </c>
    </row>
    <row r="78" hidden="1" outlineLevel="1">
      <c r="A78" s="317"/>
      <c r="B78" s="317"/>
      <c r="C78" s="316"/>
      <c r="D78" s="317"/>
      <c r="E78" s="317"/>
      <c r="F78" s="317"/>
      <c r="G78" s="317"/>
      <c r="H78" s="317"/>
      <c r="I78" s="318"/>
      <c r="J78" s="319"/>
      <c r="K78" s="431"/>
      <c r="L78" s="317"/>
      <c r="M78" s="317"/>
      <c r="N78" s="118" t="b">
        <v>0</v>
      </c>
      <c r="O78" s="487"/>
      <c r="Q78" s="284"/>
      <c r="R78" s="285" t="b">
        <v>0</v>
      </c>
      <c r="S78" s="285" t="b">
        <v>0</v>
      </c>
      <c r="T78" s="286" t="b">
        <v>0</v>
      </c>
    </row>
    <row r="79" hidden="1" outlineLevel="1">
      <c r="A79" s="317"/>
      <c r="B79" s="317"/>
      <c r="C79" s="316"/>
      <c r="D79" s="317"/>
      <c r="E79" s="317"/>
      <c r="F79" s="317"/>
      <c r="G79" s="320"/>
      <c r="H79" s="320"/>
      <c r="I79" s="439"/>
      <c r="J79" s="435"/>
      <c r="K79" s="431"/>
      <c r="L79" s="317"/>
      <c r="M79" s="317"/>
      <c r="N79" s="118" t="b">
        <v>0</v>
      </c>
      <c r="O79" s="487"/>
      <c r="Q79" s="284"/>
      <c r="R79" s="285" t="b">
        <v>0</v>
      </c>
      <c r="S79" s="285" t="b">
        <v>0</v>
      </c>
      <c r="T79" s="286" t="b">
        <v>0</v>
      </c>
    </row>
    <row r="80" hidden="1" outlineLevel="1">
      <c r="A80" s="317"/>
      <c r="B80" s="317"/>
      <c r="C80" s="316"/>
      <c r="D80" s="317"/>
      <c r="E80" s="317"/>
      <c r="F80" s="317"/>
      <c r="G80" s="317"/>
      <c r="H80" s="317"/>
      <c r="I80" s="318"/>
      <c r="J80" s="319"/>
      <c r="K80" s="431"/>
      <c r="L80" s="317"/>
      <c r="M80" s="317"/>
      <c r="N80" s="118" t="b">
        <v>0</v>
      </c>
      <c r="O80" s="487"/>
      <c r="Q80" s="284"/>
      <c r="R80" s="285" t="b">
        <v>0</v>
      </c>
      <c r="S80" s="285" t="b">
        <v>0</v>
      </c>
      <c r="T80" s="286" t="b">
        <v>0</v>
      </c>
    </row>
    <row r="81" hidden="1" outlineLevel="1">
      <c r="A81" s="317"/>
      <c r="B81" s="317"/>
      <c r="C81" s="316"/>
      <c r="D81" s="317"/>
      <c r="E81" s="317"/>
      <c r="F81" s="317"/>
      <c r="G81" s="317"/>
      <c r="H81" s="317"/>
      <c r="I81" s="318"/>
      <c r="J81" s="319"/>
      <c r="K81" s="431"/>
      <c r="L81" s="317"/>
      <c r="M81" s="317"/>
      <c r="N81" s="118" t="b">
        <v>0</v>
      </c>
      <c r="O81" s="487"/>
      <c r="Q81" s="284"/>
      <c r="R81" s="285" t="b">
        <v>0</v>
      </c>
      <c r="S81" s="285" t="b">
        <v>0</v>
      </c>
      <c r="T81" s="286" t="b">
        <v>0</v>
      </c>
    </row>
    <row r="82" hidden="1" outlineLevel="1">
      <c r="A82" s="317"/>
      <c r="B82" s="317"/>
      <c r="C82" s="465"/>
      <c r="D82" s="320"/>
      <c r="E82" s="320"/>
      <c r="F82" s="320"/>
      <c r="G82" s="320"/>
      <c r="H82" s="320"/>
      <c r="I82" s="318"/>
      <c r="J82" s="319"/>
      <c r="K82" s="436"/>
      <c r="L82" s="317"/>
      <c r="M82" s="317"/>
      <c r="N82" s="118" t="b">
        <v>0</v>
      </c>
      <c r="O82" s="487"/>
      <c r="Q82" s="284"/>
      <c r="R82" s="285" t="b">
        <v>0</v>
      </c>
      <c r="S82" s="285" t="b">
        <v>0</v>
      </c>
      <c r="T82" s="286" t="b">
        <v>0</v>
      </c>
    </row>
    <row r="83" hidden="1" outlineLevel="1">
      <c r="A83" s="317"/>
      <c r="B83" s="317"/>
      <c r="C83" s="465"/>
      <c r="D83" s="320"/>
      <c r="E83" s="320"/>
      <c r="F83" s="320"/>
      <c r="G83" s="320"/>
      <c r="H83" s="320"/>
      <c r="I83" s="478"/>
      <c r="J83" s="319"/>
      <c r="K83" s="431"/>
      <c r="L83" s="317"/>
      <c r="M83" s="317"/>
      <c r="N83" s="118" t="b">
        <v>0</v>
      </c>
      <c r="O83" s="487"/>
      <c r="Q83" s="284"/>
      <c r="R83" s="285" t="b">
        <v>0</v>
      </c>
      <c r="S83" s="285" t="b">
        <v>0</v>
      </c>
      <c r="T83" s="286" t="b">
        <v>0</v>
      </c>
    </row>
    <row r="84" hidden="1" outlineLevel="1">
      <c r="A84" s="317"/>
      <c r="B84" s="317"/>
      <c r="C84" s="465"/>
      <c r="D84" s="320"/>
      <c r="E84" s="320"/>
      <c r="F84" s="320"/>
      <c r="G84" s="320"/>
      <c r="H84" s="320"/>
      <c r="I84" s="439"/>
      <c r="J84" s="435"/>
      <c r="K84" s="431"/>
      <c r="L84" s="317"/>
      <c r="M84" s="317"/>
      <c r="N84" s="118" t="b">
        <v>0</v>
      </c>
      <c r="O84" s="487"/>
      <c r="Q84" s="284"/>
      <c r="R84" s="285" t="b">
        <v>0</v>
      </c>
      <c r="S84" s="285" t="b">
        <v>0</v>
      </c>
      <c r="T84" s="286" t="b">
        <v>0</v>
      </c>
    </row>
    <row r="85" hidden="1" outlineLevel="1">
      <c r="A85" s="317"/>
      <c r="B85" s="317"/>
      <c r="C85" s="465"/>
      <c r="D85" s="320"/>
      <c r="E85" s="320"/>
      <c r="F85" s="320"/>
      <c r="G85" s="320"/>
      <c r="H85" s="320"/>
      <c r="I85" s="439"/>
      <c r="J85" s="319"/>
      <c r="K85" s="431"/>
      <c r="L85" s="317"/>
      <c r="M85" s="317"/>
      <c r="N85" s="118" t="b">
        <v>0</v>
      </c>
      <c r="O85" s="487"/>
      <c r="Q85" s="284"/>
      <c r="R85" s="285" t="b">
        <v>0</v>
      </c>
      <c r="S85" s="285" t="b">
        <v>0</v>
      </c>
      <c r="T85" s="286" t="b">
        <v>0</v>
      </c>
    </row>
    <row r="86" hidden="1" outlineLevel="1">
      <c r="A86" s="317"/>
      <c r="B86" s="317"/>
      <c r="C86" s="465"/>
      <c r="D86" s="320"/>
      <c r="E86" s="320"/>
      <c r="F86" s="320"/>
      <c r="G86" s="320"/>
      <c r="H86" s="320"/>
      <c r="I86" s="478"/>
      <c r="J86" s="319"/>
      <c r="K86" s="431"/>
      <c r="L86" s="317"/>
      <c r="M86" s="317"/>
      <c r="N86" s="118" t="b">
        <v>0</v>
      </c>
      <c r="O86" s="487"/>
      <c r="Q86" s="284"/>
      <c r="R86" s="285" t="b">
        <v>0</v>
      </c>
      <c r="S86" s="285" t="b">
        <v>0</v>
      </c>
      <c r="T86" s="286" t="b">
        <v>0</v>
      </c>
    </row>
    <row r="87" hidden="1" outlineLevel="1">
      <c r="A87" s="317"/>
      <c r="B87" s="317"/>
      <c r="C87" s="465"/>
      <c r="D87" s="320"/>
      <c r="E87" s="320"/>
      <c r="F87" s="320"/>
      <c r="G87" s="320"/>
      <c r="H87" s="320"/>
      <c r="I87" s="439"/>
      <c r="J87" s="319"/>
      <c r="K87" s="436"/>
      <c r="L87" s="317"/>
      <c r="M87" s="317"/>
      <c r="N87" s="118" t="b">
        <v>0</v>
      </c>
      <c r="O87" s="487"/>
      <c r="Q87" s="284"/>
      <c r="R87" s="285" t="b">
        <v>0</v>
      </c>
      <c r="S87" s="285" t="b">
        <v>0</v>
      </c>
      <c r="T87" s="286" t="b">
        <v>0</v>
      </c>
    </row>
    <row r="88" hidden="1" outlineLevel="1">
      <c r="A88" s="317"/>
      <c r="B88" s="317"/>
      <c r="C88" s="465"/>
      <c r="D88" s="320"/>
      <c r="E88" s="320"/>
      <c r="F88" s="320"/>
      <c r="G88" s="320"/>
      <c r="H88" s="320"/>
      <c r="I88" s="439"/>
      <c r="J88" s="319"/>
      <c r="K88" s="431"/>
      <c r="L88" s="317"/>
      <c r="M88" s="317"/>
      <c r="N88" s="118" t="b">
        <v>0</v>
      </c>
      <c r="O88" s="487"/>
      <c r="Q88" s="284"/>
      <c r="R88" s="285" t="b">
        <v>0</v>
      </c>
      <c r="S88" s="285" t="b">
        <v>0</v>
      </c>
      <c r="T88" s="286" t="b">
        <v>0</v>
      </c>
    </row>
    <row r="89" hidden="1" outlineLevel="1">
      <c r="A89" s="317"/>
      <c r="B89" s="317"/>
      <c r="C89" s="465"/>
      <c r="D89" s="320"/>
      <c r="E89" s="320"/>
      <c r="F89" s="320"/>
      <c r="G89" s="320"/>
      <c r="H89" s="320"/>
      <c r="I89" s="439"/>
      <c r="J89" s="319"/>
      <c r="K89" s="431"/>
      <c r="L89" s="317"/>
      <c r="M89" s="317"/>
      <c r="N89" s="118" t="b">
        <v>0</v>
      </c>
      <c r="O89" s="487"/>
      <c r="Q89" s="284"/>
      <c r="R89" s="285" t="b">
        <v>0</v>
      </c>
      <c r="S89" s="285" t="b">
        <v>0</v>
      </c>
      <c r="T89" s="286" t="b">
        <v>0</v>
      </c>
    </row>
    <row r="90" hidden="1" outlineLevel="1">
      <c r="A90" s="317"/>
      <c r="B90" s="317"/>
      <c r="C90" s="465"/>
      <c r="D90" s="320"/>
      <c r="E90" s="320"/>
      <c r="F90" s="320"/>
      <c r="G90" s="320"/>
      <c r="H90" s="320"/>
      <c r="I90" s="439"/>
      <c r="J90" s="319"/>
      <c r="K90" s="436"/>
      <c r="L90" s="317"/>
      <c r="M90" s="317"/>
      <c r="N90" s="118" t="b">
        <v>0</v>
      </c>
      <c r="O90" s="487"/>
      <c r="Q90" s="284"/>
      <c r="R90" s="285" t="b">
        <v>0</v>
      </c>
      <c r="S90" s="285" t="b">
        <v>0</v>
      </c>
      <c r="T90" s="286" t="b">
        <v>0</v>
      </c>
    </row>
    <row r="91" hidden="1" outlineLevel="1">
      <c r="A91" s="317"/>
      <c r="B91" s="317"/>
      <c r="C91" s="465"/>
      <c r="D91" s="320"/>
      <c r="E91" s="320"/>
      <c r="F91" s="320"/>
      <c r="G91" s="320"/>
      <c r="H91" s="320"/>
      <c r="I91" s="439"/>
      <c r="J91" s="319"/>
      <c r="K91" s="431"/>
      <c r="L91" s="317"/>
      <c r="M91" s="317"/>
      <c r="N91" s="118" t="b">
        <v>0</v>
      </c>
      <c r="O91" s="487"/>
      <c r="Q91" s="284"/>
      <c r="R91" s="285" t="b">
        <v>0</v>
      </c>
      <c r="S91" s="285" t="b">
        <v>0</v>
      </c>
      <c r="T91" s="286" t="b">
        <v>0</v>
      </c>
    </row>
    <row r="92" hidden="1"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hidden="1" outlineLevel="1">
      <c r="A93" s="432"/>
      <c r="B93" s="432"/>
      <c r="C93" s="490"/>
      <c r="D93" s="488"/>
      <c r="E93" s="488"/>
      <c r="F93" s="488"/>
      <c r="G93" s="488"/>
      <c r="H93" s="488"/>
      <c r="I93" s="489"/>
      <c r="J93" s="435"/>
      <c r="K93" s="436"/>
      <c r="L93" s="432"/>
      <c r="M93" s="432"/>
      <c r="N93" s="118" t="b">
        <v>0</v>
      </c>
      <c r="O93" s="487"/>
      <c r="Q93" s="438"/>
      <c r="R93" s="285" t="b">
        <v>0</v>
      </c>
      <c r="S93" s="285" t="b">
        <v>0</v>
      </c>
      <c r="T93" s="286" t="b">
        <v>0</v>
      </c>
    </row>
    <row r="94" hidden="1" outlineLevel="1">
      <c r="A94" s="317"/>
      <c r="B94" s="317"/>
      <c r="C94" s="465"/>
      <c r="D94" s="320"/>
      <c r="E94" s="320"/>
      <c r="F94" s="320"/>
      <c r="G94" s="320"/>
      <c r="H94" s="320"/>
      <c r="I94" s="439"/>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316"/>
      <c r="D100" s="317"/>
      <c r="E100" s="317"/>
      <c r="F100" s="317"/>
      <c r="G100" s="317"/>
      <c r="H100" s="317"/>
      <c r="I100" s="318"/>
      <c r="J100" s="319"/>
      <c r="K100" s="436"/>
      <c r="L100" s="317"/>
      <c r="M100" s="317"/>
      <c r="N100" s="118" t="b">
        <v>0</v>
      </c>
      <c r="O100" s="487"/>
      <c r="Q100" s="284"/>
      <c r="R100" s="285" t="b">
        <v>0</v>
      </c>
      <c r="S100" s="285" t="b">
        <v>0</v>
      </c>
      <c r="T100" s="286" t="b">
        <v>0</v>
      </c>
    </row>
    <row r="101" hidden="1" outlineLevel="1">
      <c r="A101" s="317"/>
      <c r="B101" s="317"/>
      <c r="C101" s="316"/>
      <c r="D101" s="317"/>
      <c r="E101" s="317"/>
      <c r="F101" s="317"/>
      <c r="G101" s="342"/>
      <c r="H101" s="317"/>
      <c r="I101" s="318"/>
      <c r="J101" s="319"/>
      <c r="K101" s="436"/>
      <c r="L101" s="317"/>
      <c r="M101" s="317"/>
      <c r="N101" s="118" t="b">
        <v>0</v>
      </c>
      <c r="O101" s="487"/>
      <c r="Q101" s="284"/>
      <c r="R101" s="285" t="b">
        <v>0</v>
      </c>
      <c r="S101" s="285" t="b">
        <v>0</v>
      </c>
      <c r="T101" s="286" t="b">
        <v>0</v>
      </c>
    </row>
    <row r="102" hidden="1" outlineLevel="1">
      <c r="A102" s="317"/>
      <c r="B102" s="317"/>
      <c r="C102" s="316"/>
      <c r="D102" s="317"/>
      <c r="E102" s="317"/>
      <c r="F102" s="317"/>
      <c r="G102" s="317"/>
      <c r="H102" s="317"/>
      <c r="I102" s="318"/>
      <c r="J102" s="319"/>
      <c r="K102" s="436"/>
      <c r="L102" s="317"/>
      <c r="M102" s="317"/>
      <c r="N102" s="118" t="b">
        <v>0</v>
      </c>
      <c r="O102" s="487"/>
      <c r="Q102" s="284"/>
      <c r="R102" s="285" t="b">
        <v>0</v>
      </c>
      <c r="S102" s="285" t="b">
        <v>0</v>
      </c>
      <c r="T102" s="286" t="b">
        <v>0</v>
      </c>
    </row>
    <row r="103" hidden="1" outlineLevel="1">
      <c r="A103" s="317"/>
      <c r="B103" s="317"/>
      <c r="C103" s="316"/>
      <c r="D103" s="317"/>
      <c r="E103" s="317"/>
      <c r="F103" s="317"/>
      <c r="G103" s="317"/>
      <c r="H103" s="317"/>
      <c r="I103" s="443"/>
      <c r="J103" s="319"/>
      <c r="K103" s="431"/>
      <c r="L103" s="317"/>
      <c r="M103" s="317"/>
      <c r="N103" s="118" t="b">
        <v>0</v>
      </c>
      <c r="O103" s="487"/>
      <c r="Q103" s="284"/>
      <c r="R103" s="285" t="b">
        <v>0</v>
      </c>
      <c r="S103" s="285" t="b">
        <v>0</v>
      </c>
      <c r="T103" s="286" t="b">
        <v>0</v>
      </c>
    </row>
    <row r="104" hidden="1" outlineLevel="1">
      <c r="A104" s="317"/>
      <c r="B104" s="317"/>
      <c r="C104" s="316"/>
      <c r="D104" s="317"/>
      <c r="E104" s="317"/>
      <c r="F104" s="317"/>
      <c r="G104" s="317"/>
      <c r="H104" s="317"/>
      <c r="I104" s="318"/>
      <c r="J104" s="319"/>
      <c r="K104" s="431"/>
      <c r="L104" s="317"/>
      <c r="M104" s="317"/>
      <c r="N104" s="118" t="b">
        <v>0</v>
      </c>
      <c r="O104" s="487"/>
      <c r="Q104" s="284"/>
      <c r="R104" s="285" t="b">
        <v>0</v>
      </c>
      <c r="S104" s="285" t="b">
        <v>0</v>
      </c>
      <c r="T104" s="286" t="b">
        <v>0</v>
      </c>
    </row>
    <row r="105" hidden="1" outlineLevel="1">
      <c r="A105" s="317"/>
      <c r="B105" s="317"/>
      <c r="C105" s="316"/>
      <c r="D105" s="317"/>
      <c r="E105" s="317"/>
      <c r="F105" s="317"/>
      <c r="G105" s="317"/>
      <c r="H105" s="317"/>
      <c r="I105" s="496"/>
      <c r="J105" s="319"/>
      <c r="K105" s="431"/>
      <c r="L105" s="317"/>
      <c r="M105" s="317"/>
      <c r="N105" s="118" t="b">
        <v>0</v>
      </c>
      <c r="O105" s="487"/>
      <c r="Q105" s="284"/>
      <c r="R105" s="285" t="b">
        <v>0</v>
      </c>
      <c r="S105" s="285" t="b">
        <v>0</v>
      </c>
      <c r="T105" s="286" t="b">
        <v>0</v>
      </c>
    </row>
    <row r="106" hidden="1"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hidden="1" outlineLevel="1">
      <c r="A107" s="317"/>
      <c r="B107" s="317"/>
      <c r="C107" s="316"/>
      <c r="D107" s="317"/>
      <c r="E107" s="317"/>
      <c r="F107" s="317"/>
      <c r="G107" s="317"/>
      <c r="H107" s="317"/>
      <c r="I107" s="316"/>
      <c r="J107" s="319"/>
      <c r="K107" s="431"/>
      <c r="L107" s="317"/>
      <c r="M107" s="317"/>
      <c r="N107" s="118" t="b">
        <v>0</v>
      </c>
      <c r="O107" s="487"/>
      <c r="Q107" s="284"/>
      <c r="R107" s="285" t="b">
        <v>0</v>
      </c>
      <c r="S107" s="285" t="b">
        <v>0</v>
      </c>
      <c r="T107" s="286" t="b">
        <v>0</v>
      </c>
    </row>
    <row r="108" hidden="1" outlineLevel="1">
      <c r="A108" s="317"/>
      <c r="B108" s="317"/>
      <c r="C108" s="496"/>
      <c r="D108" s="317"/>
      <c r="E108" s="317"/>
      <c r="F108" s="317"/>
      <c r="G108" s="317"/>
      <c r="H108" s="317"/>
      <c r="I108" s="318"/>
      <c r="J108" s="319"/>
      <c r="K108" s="431"/>
      <c r="L108" s="317"/>
      <c r="M108" s="317"/>
      <c r="N108" s="118" t="b">
        <v>0</v>
      </c>
      <c r="O108" s="487"/>
      <c r="Q108" s="284"/>
      <c r="R108" s="285" t="b">
        <v>0</v>
      </c>
      <c r="S108" s="285" t="b">
        <v>0</v>
      </c>
      <c r="T108" s="286" t="b">
        <v>0</v>
      </c>
    </row>
    <row r="109" hidden="1" outlineLevel="1">
      <c r="A109" s="317"/>
      <c r="B109" s="317"/>
      <c r="C109" s="316"/>
      <c r="D109" s="317"/>
      <c r="E109" s="317"/>
      <c r="F109" s="317"/>
      <c r="G109" s="342"/>
      <c r="H109" s="317"/>
      <c r="I109" s="316"/>
      <c r="J109" s="319"/>
      <c r="K109" s="436"/>
      <c r="L109" s="317"/>
      <c r="M109" s="317"/>
      <c r="N109" s="118" t="b">
        <v>0</v>
      </c>
      <c r="O109" s="487"/>
      <c r="Q109" s="284"/>
      <c r="R109" s="285" t="b">
        <v>0</v>
      </c>
      <c r="S109" s="285" t="b">
        <v>0</v>
      </c>
      <c r="T109" s="286" t="b">
        <v>0</v>
      </c>
    </row>
    <row r="110" hidden="1" outlineLevel="1">
      <c r="A110" s="317"/>
      <c r="B110" s="317"/>
      <c r="C110" s="316"/>
      <c r="D110" s="317"/>
      <c r="E110" s="317"/>
      <c r="F110" s="317"/>
      <c r="G110" s="317"/>
      <c r="H110" s="317"/>
      <c r="I110" s="316"/>
      <c r="J110" s="319"/>
      <c r="K110" s="436"/>
      <c r="L110" s="317"/>
      <c r="M110" s="317"/>
      <c r="N110" s="118" t="b">
        <v>0</v>
      </c>
      <c r="O110" s="487"/>
      <c r="Q110" s="284"/>
      <c r="R110" s="285" t="b">
        <v>0</v>
      </c>
      <c r="S110" s="285" t="b">
        <v>0</v>
      </c>
      <c r="T110" s="286" t="b">
        <v>0</v>
      </c>
    </row>
    <row r="111" hidden="1" outlineLevel="1">
      <c r="A111" s="432"/>
      <c r="B111" s="432"/>
      <c r="C111" s="497"/>
      <c r="D111" s="432"/>
      <c r="E111" s="432"/>
      <c r="F111" s="432"/>
      <c r="G111" s="432"/>
      <c r="H111" s="432"/>
      <c r="I111" s="441"/>
      <c r="J111" s="435"/>
      <c r="K111" s="436"/>
      <c r="L111" s="432"/>
      <c r="M111" s="432"/>
      <c r="N111" s="118" t="b">
        <v>0</v>
      </c>
      <c r="O111" s="487"/>
      <c r="Q111" s="438"/>
      <c r="R111" s="285" t="b">
        <v>0</v>
      </c>
      <c r="S111" s="285" t="b">
        <v>0</v>
      </c>
      <c r="T111" s="286" t="b">
        <v>0</v>
      </c>
    </row>
    <row r="112" hidden="1" outlineLevel="1">
      <c r="A112" s="432"/>
      <c r="B112" s="432"/>
      <c r="C112" s="497"/>
      <c r="D112" s="131"/>
      <c r="E112" s="432"/>
      <c r="F112" s="317"/>
      <c r="G112" s="317"/>
      <c r="H112" s="317"/>
      <c r="I112" s="318"/>
      <c r="J112" s="319"/>
      <c r="K112" s="436"/>
      <c r="L112" s="432"/>
      <c r="M112" s="317"/>
      <c r="N112" s="118" t="b">
        <v>0</v>
      </c>
      <c r="O112" s="487"/>
      <c r="Q112" s="284"/>
      <c r="R112" s="285" t="b">
        <v>0</v>
      </c>
      <c r="S112" s="285" t="b">
        <v>0</v>
      </c>
      <c r="T112" s="286" t="b">
        <v>0</v>
      </c>
    </row>
    <row r="113" hidden="1" outlineLevel="1">
      <c r="A113" s="432"/>
      <c r="B113" s="432"/>
      <c r="C113" s="477"/>
      <c r="D113" s="432"/>
      <c r="E113" s="432"/>
      <c r="F113" s="432"/>
      <c r="G113" s="432"/>
      <c r="H113" s="351"/>
      <c r="I113" s="441"/>
      <c r="J113" s="435"/>
      <c r="K113" s="436"/>
      <c r="L113" s="432"/>
      <c r="M113" s="432"/>
      <c r="N113" s="118" t="b">
        <v>0</v>
      </c>
      <c r="O113" s="487"/>
      <c r="Q113" s="438"/>
      <c r="R113" s="285" t="b">
        <v>0</v>
      </c>
      <c r="S113" s="285" t="b">
        <v>0</v>
      </c>
      <c r="T113" s="286" t="b">
        <v>0</v>
      </c>
    </row>
    <row r="114" hidden="1" outlineLevel="1">
      <c r="A114" s="317"/>
      <c r="B114" s="317"/>
      <c r="C114" s="496"/>
      <c r="D114" s="317"/>
      <c r="E114" s="317"/>
      <c r="F114" s="317"/>
      <c r="G114" s="317"/>
      <c r="H114" s="317"/>
      <c r="I114" s="318"/>
      <c r="J114" s="319"/>
      <c r="K114" s="431"/>
      <c r="L114" s="317"/>
      <c r="M114" s="317"/>
      <c r="N114" s="118" t="b">
        <v>0</v>
      </c>
      <c r="O114" s="487"/>
      <c r="Q114" s="284"/>
      <c r="R114" s="285" t="b">
        <v>0</v>
      </c>
      <c r="S114" s="285" t="b">
        <v>0</v>
      </c>
      <c r="T114" s="286" t="b">
        <v>0</v>
      </c>
    </row>
    <row r="115" hidden="1" outlineLevel="1">
      <c r="A115" s="317"/>
      <c r="B115" s="317"/>
      <c r="C115" s="316"/>
      <c r="D115" s="317"/>
      <c r="E115" s="317"/>
      <c r="F115" s="324"/>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318"/>
      <c r="J116" s="319"/>
      <c r="K116" s="436"/>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432"/>
      <c r="B118" s="432"/>
      <c r="C118" s="440"/>
      <c r="D118" s="432"/>
      <c r="E118" s="432"/>
      <c r="F118" s="432"/>
      <c r="G118" s="432"/>
      <c r="H118" s="432"/>
      <c r="I118" s="441"/>
      <c r="J118" s="435"/>
      <c r="K118" s="436"/>
      <c r="L118" s="432"/>
      <c r="M118" s="317"/>
      <c r="N118" s="118" t="b">
        <v>0</v>
      </c>
      <c r="O118" s="487"/>
      <c r="Q118" s="284"/>
      <c r="R118" s="285" t="b">
        <v>0</v>
      </c>
      <c r="S118" s="285" t="b">
        <v>0</v>
      </c>
      <c r="T118" s="286" t="b">
        <v>0</v>
      </c>
    </row>
    <row r="119" hidden="1" outlineLevel="1">
      <c r="A119" s="317"/>
      <c r="B119" s="317"/>
      <c r="C119" s="316"/>
      <c r="D119" s="317"/>
      <c r="E119" s="317"/>
      <c r="F119" s="317"/>
      <c r="G119" s="317"/>
      <c r="H119" s="317"/>
      <c r="I119" s="318"/>
      <c r="J119" s="319"/>
      <c r="K119" s="431"/>
      <c r="L119" s="317"/>
      <c r="M119" s="317"/>
      <c r="N119" s="118" t="b">
        <v>0</v>
      </c>
      <c r="O119" s="487"/>
      <c r="Q119" s="284"/>
      <c r="R119" s="285" t="b">
        <v>0</v>
      </c>
      <c r="S119" s="285" t="b">
        <v>0</v>
      </c>
      <c r="T119" s="286" t="b">
        <v>0</v>
      </c>
    </row>
    <row r="120" hidden="1" outlineLevel="1">
      <c r="A120" s="317"/>
      <c r="B120" s="317"/>
      <c r="C120" s="440"/>
      <c r="D120" s="432"/>
      <c r="E120" s="432"/>
      <c r="F120" s="432"/>
      <c r="G120" s="432"/>
      <c r="H120" s="432"/>
      <c r="I120" s="441"/>
      <c r="J120" s="435"/>
      <c r="K120" s="436"/>
      <c r="L120" s="432"/>
      <c r="M120" s="432"/>
      <c r="N120" s="118" t="b">
        <v>0</v>
      </c>
      <c r="O120" s="487"/>
      <c r="Q120" s="438"/>
      <c r="R120" s="285" t="b">
        <v>0</v>
      </c>
      <c r="S120" s="285" t="b">
        <v>0</v>
      </c>
      <c r="T120" s="286" t="b">
        <v>0</v>
      </c>
    </row>
    <row r="121" hidden="1" outlineLevel="1">
      <c r="A121" s="432"/>
      <c r="B121" s="432"/>
      <c r="C121" s="440"/>
      <c r="D121" s="432"/>
      <c r="E121" s="432"/>
      <c r="F121" s="432"/>
      <c r="G121" s="432"/>
      <c r="H121" s="432"/>
      <c r="I121" s="441"/>
      <c r="J121" s="435"/>
      <c r="K121" s="436"/>
      <c r="L121" s="432"/>
      <c r="M121" s="317"/>
      <c r="N121" s="118" t="b">
        <v>0</v>
      </c>
      <c r="O121" s="487"/>
      <c r="Q121" s="438"/>
      <c r="R121" s="285" t="b">
        <v>0</v>
      </c>
      <c r="S121" s="285" t="b">
        <v>0</v>
      </c>
      <c r="T121" s="286" t="b">
        <v>0</v>
      </c>
    </row>
    <row r="122" hidden="1" outlineLevel="1">
      <c r="A122" s="317"/>
      <c r="B122" s="317"/>
      <c r="C122" s="316"/>
      <c r="D122" s="317"/>
      <c r="E122" s="317"/>
      <c r="F122" s="317"/>
      <c r="G122" s="317"/>
      <c r="H122" s="317"/>
      <c r="I122" s="318"/>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8"/>
      <c r="J123" s="319"/>
      <c r="K123" s="431"/>
      <c r="L123" s="317"/>
      <c r="M123" s="317"/>
      <c r="N123" s="118" t="b">
        <v>0</v>
      </c>
      <c r="O123" s="487"/>
      <c r="Q123" s="284"/>
      <c r="R123" s="285" t="b">
        <v>0</v>
      </c>
      <c r="S123" s="285" t="b">
        <v>0</v>
      </c>
      <c r="T123" s="286" t="b">
        <v>0</v>
      </c>
    </row>
    <row r="124" hidden="1" outlineLevel="1">
      <c r="A124" s="317"/>
      <c r="B124" s="317"/>
      <c r="C124" s="316"/>
      <c r="D124" s="317"/>
      <c r="E124" s="317"/>
      <c r="F124" s="317"/>
      <c r="G124" s="317"/>
      <c r="H124" s="317"/>
      <c r="I124" s="318"/>
      <c r="J124" s="319"/>
      <c r="K124" s="436"/>
      <c r="L124" s="317"/>
      <c r="M124" s="317"/>
      <c r="N124" s="118" t="b">
        <v>0</v>
      </c>
      <c r="O124" s="487"/>
      <c r="Q124" s="284"/>
      <c r="R124" s="285" t="b">
        <v>0</v>
      </c>
      <c r="S124" s="285" t="b">
        <v>0</v>
      </c>
      <c r="T124" s="286" t="b">
        <v>0</v>
      </c>
    </row>
    <row r="125" hidden="1" outlineLevel="1">
      <c r="A125" s="317"/>
      <c r="B125" s="317"/>
      <c r="C125" s="316"/>
      <c r="D125" s="317"/>
      <c r="E125" s="317"/>
      <c r="F125" s="317"/>
      <c r="G125" s="317"/>
      <c r="H125" s="317"/>
      <c r="I125" s="318"/>
      <c r="J125" s="319"/>
      <c r="K125" s="431"/>
      <c r="L125" s="317"/>
      <c r="M125" s="317"/>
      <c r="N125" s="118" t="b">
        <v>0</v>
      </c>
      <c r="O125" s="487"/>
      <c r="Q125" s="284"/>
      <c r="R125" s="285" t="b">
        <v>0</v>
      </c>
      <c r="S125" s="285" t="b">
        <v>0</v>
      </c>
      <c r="T125" s="286" t="b">
        <v>0</v>
      </c>
    </row>
    <row r="126" hidden="1"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hidden="1"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435"/>
      <c r="K129" s="431"/>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6"/>
      <c r="L130" s="317"/>
      <c r="M130" s="317"/>
      <c r="N130" s="118" t="b">
        <v>0</v>
      </c>
      <c r="O130" s="487"/>
      <c r="Q130" s="284"/>
      <c r="R130" s="285" t="b">
        <v>0</v>
      </c>
      <c r="S130" s="285" t="b">
        <v>0</v>
      </c>
      <c r="T130" s="286" t="b">
        <v>0</v>
      </c>
    </row>
    <row r="131" hidden="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hidden="1" outlineLevel="1">
      <c r="A132" s="317"/>
      <c r="B132" s="317"/>
      <c r="C132" s="444"/>
      <c r="D132" s="317"/>
      <c r="E132" s="317"/>
      <c r="F132" s="317"/>
      <c r="G132" s="317"/>
      <c r="H132" s="317"/>
      <c r="I132" s="318"/>
      <c r="J132" s="319"/>
      <c r="K132" s="436"/>
      <c r="L132" s="317"/>
      <c r="M132" s="317"/>
      <c r="N132" s="118" t="b">
        <v>0</v>
      </c>
      <c r="O132" s="487"/>
      <c r="Q132" s="284"/>
      <c r="R132" s="285" t="b">
        <v>0</v>
      </c>
      <c r="S132" s="285" t="b">
        <v>0</v>
      </c>
      <c r="T132" s="286" t="b">
        <v>0</v>
      </c>
    </row>
    <row r="133" hidden="1"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hidden="1"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hidden="1"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hidden="1"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444"/>
      <c r="D138" s="317"/>
      <c r="E138" s="317"/>
      <c r="F138" s="317"/>
      <c r="G138" s="317"/>
      <c r="H138" s="317"/>
      <c r="I138" s="318"/>
      <c r="J138" s="435"/>
      <c r="K138" s="431"/>
      <c r="L138" s="317"/>
      <c r="M138" s="317"/>
      <c r="N138" s="118" t="b">
        <v>0</v>
      </c>
      <c r="O138" s="487"/>
      <c r="Q138" s="284"/>
      <c r="R138" s="285" t="b">
        <v>0</v>
      </c>
      <c r="S138" s="285" t="b">
        <v>0</v>
      </c>
      <c r="T138" s="286" t="b">
        <v>0</v>
      </c>
    </row>
    <row r="139" hidden="1"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hidden="1" outlineLevel="1">
      <c r="A140" s="317"/>
      <c r="B140" s="317"/>
      <c r="C140" s="444"/>
      <c r="D140" s="317"/>
      <c r="E140" s="317"/>
      <c r="F140" s="317"/>
      <c r="G140" s="317"/>
      <c r="H140" s="317"/>
      <c r="I140" s="318"/>
      <c r="J140" s="319"/>
      <c r="K140" s="436"/>
      <c r="L140" s="317"/>
      <c r="M140" s="317"/>
      <c r="N140" s="118" t="b">
        <v>0</v>
      </c>
      <c r="O140" s="487"/>
      <c r="Q140" s="284"/>
      <c r="R140" s="285" t="b">
        <v>0</v>
      </c>
      <c r="S140" s="285" t="b">
        <v>0</v>
      </c>
      <c r="T140" s="286" t="b">
        <v>0</v>
      </c>
    </row>
    <row r="141" hidden="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hidden="1" outlineLevel="1">
      <c r="A142" s="317"/>
      <c r="B142" s="317"/>
      <c r="C142" s="498"/>
      <c r="D142" s="336"/>
      <c r="E142" s="336"/>
      <c r="F142" s="420"/>
      <c r="G142" s="317"/>
      <c r="H142" s="317"/>
      <c r="I142" s="318"/>
      <c r="J142" s="319"/>
      <c r="K142" s="431"/>
      <c r="L142" s="317"/>
      <c r="M142" s="317"/>
      <c r="N142" s="118" t="b">
        <v>0</v>
      </c>
      <c r="O142" s="487"/>
      <c r="Q142" s="284"/>
      <c r="R142" s="285" t="b">
        <v>0</v>
      </c>
      <c r="S142" s="285" t="b">
        <v>0</v>
      </c>
      <c r="T142" s="286" t="b">
        <v>0</v>
      </c>
    </row>
    <row r="143" hidden="1" outlineLevel="1">
      <c r="A143" s="317"/>
      <c r="B143" s="317"/>
      <c r="C143" s="498"/>
      <c r="D143" s="279"/>
      <c r="E143" s="279"/>
      <c r="F143" s="346"/>
      <c r="G143" s="317"/>
      <c r="H143" s="317"/>
      <c r="I143" s="318"/>
      <c r="J143" s="319"/>
      <c r="K143" s="431"/>
      <c r="L143" s="317"/>
      <c r="M143" s="317"/>
      <c r="N143" s="118" t="b">
        <v>0</v>
      </c>
      <c r="O143" s="487"/>
      <c r="Q143" s="284"/>
      <c r="R143" s="285" t="b">
        <v>0</v>
      </c>
      <c r="S143" s="285" t="b">
        <v>0</v>
      </c>
      <c r="T143" s="286" t="b">
        <v>0</v>
      </c>
    </row>
    <row r="144" hidden="1" outlineLevel="1">
      <c r="A144" s="432"/>
      <c r="B144" s="432"/>
      <c r="C144" s="440"/>
      <c r="D144" s="432"/>
      <c r="E144" s="432"/>
      <c r="F144" s="432"/>
      <c r="G144" s="432"/>
      <c r="H144" s="351"/>
      <c r="I144" s="441"/>
      <c r="J144" s="319"/>
      <c r="K144" s="436"/>
      <c r="L144" s="317"/>
      <c r="M144" s="432"/>
      <c r="N144" s="118" t="b">
        <v>0</v>
      </c>
      <c r="O144" s="487"/>
      <c r="Q144" s="284"/>
      <c r="R144" s="285" t="b">
        <v>0</v>
      </c>
      <c r="S144" s="285" t="b">
        <v>0</v>
      </c>
      <c r="T144" s="286" t="b">
        <v>0</v>
      </c>
    </row>
    <row r="145" hidden="1" outlineLevel="1">
      <c r="A145" s="317"/>
      <c r="B145" s="317"/>
      <c r="C145" s="316"/>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316"/>
      <c r="D147" s="317"/>
      <c r="E147" s="317"/>
      <c r="F147" s="445"/>
      <c r="G147" s="317"/>
      <c r="H147" s="317"/>
      <c r="I147" s="318"/>
      <c r="J147" s="435"/>
      <c r="K147" s="431"/>
      <c r="L147" s="317"/>
      <c r="M147" s="317"/>
      <c r="N147" s="118" t="b">
        <v>0</v>
      </c>
      <c r="O147" s="487"/>
      <c r="Q147" s="284"/>
      <c r="R147" s="285" t="b">
        <v>0</v>
      </c>
      <c r="S147" s="285" t="b">
        <v>0</v>
      </c>
      <c r="T147" s="286" t="b">
        <v>0</v>
      </c>
    </row>
    <row r="148">
      <c r="A148" s="348" t="s">
        <v>116</v>
      </c>
      <c r="B148" s="349">
        <f>COUNTIF(B77:B147,"ONLINE")+COUNTIF(B77:B147,"SEDE*")</f>
        <v>0</v>
      </c>
      <c r="C148" s="348" t="s">
        <v>116</v>
      </c>
      <c r="D148" s="349">
        <f t="shared" ref="D148:E148" si="7">COUNTIF(D77:D147, "*")</f>
        <v>0</v>
      </c>
      <c r="E148" s="349">
        <f t="shared" si="7"/>
        <v>0</v>
      </c>
      <c r="F148" s="480">
        <f>COUNTA(F77:F147)</f>
        <v>0</v>
      </c>
      <c r="G148" s="349">
        <f t="shared" ref="G148:H148" si="8">COUNTIF(G77:G147, "*")</f>
        <v>0</v>
      </c>
      <c r="H148" s="349">
        <f t="shared" si="8"/>
        <v>0</v>
      </c>
      <c r="I148" s="348" t="s">
        <v>116</v>
      </c>
      <c r="J148" s="481">
        <f t="shared" ref="J148:K148" si="9">SUM(J77:J147)</f>
        <v>0</v>
      </c>
      <c r="K148" s="482">
        <f t="shared" si="9"/>
        <v>0</v>
      </c>
      <c r="L148" s="349">
        <f t="shared" ref="L148:M148" si="10">COUNTIF(L77:L147, "*")</f>
        <v>0</v>
      </c>
      <c r="M148" s="349">
        <f t="shared" si="10"/>
        <v>0</v>
      </c>
      <c r="N148" s="349">
        <f>SUMPRODUCT(--N77:N147)</f>
        <v>0</v>
      </c>
      <c r="O148" s="349">
        <f t="shared" ref="O148:Q148" si="11">COUNTIF(O77:O147, "*")</f>
        <v>0</v>
      </c>
      <c r="P148" s="349">
        <f t="shared" si="11"/>
        <v>0</v>
      </c>
      <c r="Q148" s="349">
        <f t="shared" si="11"/>
        <v>0</v>
      </c>
      <c r="R148" s="349">
        <f t="shared" ref="R148:T148" si="12">SUMPRODUCT(--R77:R147)</f>
        <v>0</v>
      </c>
      <c r="S148" s="349">
        <f t="shared" si="12"/>
        <v>0</v>
      </c>
      <c r="T148" s="349">
        <f t="shared" si="12"/>
        <v>0</v>
      </c>
    </row>
    <row r="149">
      <c r="A149" s="245" t="s">
        <v>117</v>
      </c>
      <c r="B149" s="246">
        <f>COUNTIF(B77:B147, "SEDE*")</f>
        <v>0</v>
      </c>
      <c r="C149" s="351"/>
      <c r="D149" s="351"/>
      <c r="E149" s="351"/>
      <c r="F149" s="351"/>
      <c r="G149" s="351"/>
      <c r="H149" s="245" t="s">
        <v>1974</v>
      </c>
      <c r="I149" s="355" t="s">
        <v>121</v>
      </c>
      <c r="J149" s="483" t="str">
        <f>COUNTIFS($B$77:$B$147,"*SEDE*",$J$77:$J$147, $F$154)&amp; " da €"&amp;$F$154</f>
        <v>0 da €32</v>
      </c>
      <c r="K149" s="484" t="str">
        <f>COUNTIFS($B$77:$B$147,"*SEDE*",$K$77:$K$147, $F$153)&amp; " da €"&amp;$F$153</f>
        <v>0 da €30</v>
      </c>
      <c r="L149" s="368" t="str">
        <f>COUNTIFS($B$77:$B$147,"*SEDE*",$J$77:$J$147, $F$156)&amp; " da €"&amp;$F$156</f>
        <v>0 da €37</v>
      </c>
      <c r="M149" s="369" t="str">
        <f>COUNTIFS($B$77:$B$147,"*SEDE*",$K$77:$K$147, $F$155)&amp; " da €"&amp;$F$155</f>
        <v>0 da €35</v>
      </c>
      <c r="N149" s="365" t="str">
        <f>COUNTIFS($B$77:$B$147,"*SEDE*",$J$77:$J$147, $G$154)&amp; " da €"&amp;$G$154</f>
        <v>0 da €42</v>
      </c>
      <c r="O149" s="373" t="str">
        <f>COUNTIFS($B$77:$B$147,"*SEDE*",$K$77:$K$147, $G$153)&amp; " da €"&amp;$G$153</f>
        <v>0 da €40</v>
      </c>
      <c r="P149" s="499" t="s">
        <v>40</v>
      </c>
      <c r="Q149" s="486">
        <f>SUM(J150,K150,L150,M150,N150,O150)</f>
        <v>0</v>
      </c>
      <c r="R149" s="500"/>
      <c r="S149" s="351"/>
      <c r="T149" s="351"/>
    </row>
    <row r="150">
      <c r="A150" s="245" t="s">
        <v>74</v>
      </c>
      <c r="B150" s="246">
        <f>COUNTIF(B77:B147, "ONLINE")</f>
        <v>0</v>
      </c>
      <c r="C150" s="245"/>
      <c r="D150" s="317"/>
      <c r="E150" s="351"/>
      <c r="I150" s="367" t="s">
        <v>122</v>
      </c>
      <c r="J150" s="368">
        <f>SUMIFS($J$77:$J$147,$B$77:$B$147,"*SEDE*",$J$77:$J$147,$F$154)</f>
        <v>0</v>
      </c>
      <c r="K150" s="436">
        <f>SUMIFS($K$77:$K$147,$B$77:$B$147,"*SEDE*",$K$77:$K$147,$F$153)</f>
        <v>0</v>
      </c>
      <c r="L150" s="368">
        <f>SUMIFS($J$77:$J$147,$B$77:$B$147,"*SEDE*",$J$77:$J$147,$F$156)</f>
        <v>0</v>
      </c>
      <c r="M150" s="436">
        <f>SUMIFS($K$77:$K$147,$B$77:$B$147,"*SEDE*",$K$77:$K$147,$F$155)</f>
        <v>0</v>
      </c>
      <c r="N150" s="501">
        <f>SUMIFS($J$77:$J$147,$B$77:$B$147,"*SEDE*",$J$77:$J$147,$G$154)</f>
        <v>0</v>
      </c>
      <c r="O150" s="436">
        <f>SUMIFS($K$77:$K$147,$B$77:$B$147,"*SEDE*",$K$77:$K$147,$G$153)</f>
        <v>0</v>
      </c>
      <c r="R150" s="500"/>
      <c r="S150" s="351"/>
      <c r="T150" s="351"/>
    </row>
    <row r="151">
      <c r="A151" s="245"/>
      <c r="B151" s="246"/>
      <c r="C151" s="245"/>
      <c r="D151" s="351"/>
      <c r="E151" s="351"/>
      <c r="F151" s="502"/>
      <c r="G151" s="503"/>
      <c r="I151" s="355" t="s">
        <v>123</v>
      </c>
      <c r="J151" s="368" t="str">
        <f>COUNTIFS($B$77:$B$147,"*ONLINE*",$J$77:$J$147, $F$154)&amp; " da €"&amp;$F$154</f>
        <v>0 da €32</v>
      </c>
      <c r="K151" s="484" t="str">
        <f>COUNTIFS($B$77:$B$147,"*ONLINE*",$K$77:$K$147, $F$153)&amp; " da €"&amp;$F$153</f>
        <v>0 da €30</v>
      </c>
      <c r="L151" s="368" t="str">
        <f>COUNTIFS($B$77:$B$147,"*ONLINE*",$J$77:$J$147, $F$156)&amp; " da €"&amp;$F$156</f>
        <v>0 da €37</v>
      </c>
      <c r="M151" s="369" t="str">
        <f>COUNTIFS($B$77:$B$147,"*ONLINE*",$K$77:$K$147, $F$155)&amp; " da €"&amp;$F$155</f>
        <v>0 da €35</v>
      </c>
      <c r="N151" s="483" t="str">
        <f>COUNTIFS($B$77:$B$147,"*ONLINE*",$J$77:$J$147, $G$154)&amp; " da €"&amp;$G$154</f>
        <v>0 da €42</v>
      </c>
      <c r="O151" s="484" t="str">
        <f>COUNTIFS($B$77:$B$147,"*ONLINE*",$K$77:$K$147, $G$153)&amp; " da €"&amp;$G$153</f>
        <v>0 da €40</v>
      </c>
      <c r="P151" s="485" t="s">
        <v>40</v>
      </c>
      <c r="Q151" s="486">
        <f>SUM(J152,K152,L152,M152,N152,O152)</f>
        <v>0</v>
      </c>
      <c r="R151" s="500"/>
      <c r="S151" s="351"/>
      <c r="T151" s="351"/>
    </row>
    <row r="152">
      <c r="A152" s="379"/>
      <c r="B152" s="379"/>
      <c r="C152" s="245"/>
      <c r="D152" s="351"/>
      <c r="E152" s="351"/>
      <c r="F152" s="502"/>
      <c r="G152" s="503"/>
      <c r="H152" s="196"/>
      <c r="I152" s="355" t="s">
        <v>124</v>
      </c>
      <c r="J152" s="483">
        <f>SUMIFS($J$77:$J$147,$B$77:$B$147,"*ONLINE*",$J$77:$J$147,$F$154)</f>
        <v>0</v>
      </c>
      <c r="K152" s="484">
        <f>SUMIFS($K$77:$K$147,$B$77:$B$147,"*ONLINE*",$K$77:$K$147,$F$153)</f>
        <v>0</v>
      </c>
      <c r="L152" s="368">
        <f>SUMIFS($J$77:$J$147,$B$77:$B$147,"*ONLINE*",$J$77:$J$147,$F$156)</f>
        <v>0</v>
      </c>
      <c r="M152" s="436">
        <f>SUMIFS($K$77:$K$147,$B$77:$B$147,"*ONLINE*",$K$77:$K$147,$F$155)</f>
        <v>0</v>
      </c>
      <c r="N152" s="365">
        <f>SUMIFS($J$77:$J$147,$B$77:$B$147,"*ONLINE*",$J$77:$J$147,$G$154)</f>
        <v>0</v>
      </c>
      <c r="O152" s="436">
        <f>SUMIFS($K$77:$K$147,$B$77:$B$147,"*ONLINE*",$K$77:$K$147,$G$153)</f>
        <v>0</v>
      </c>
      <c r="P152" s="196"/>
      <c r="Q152" s="196"/>
      <c r="R152" s="245" t="s">
        <v>120</v>
      </c>
      <c r="S152" s="378" t="str">
        <f>IF(SUM(J148:K148) = SUM(Q149:Q152), "OK", "ERRORE")</f>
        <v>OK</v>
      </c>
      <c r="T152" s="351"/>
    </row>
    <row r="153">
      <c r="A153" s="208" t="s">
        <v>127</v>
      </c>
      <c r="B153" s="504">
        <f t="shared" ref="B153:B154" si="13">SUM(B72,B149)</f>
        <v>7</v>
      </c>
      <c r="C153" s="505"/>
      <c r="D153" s="452"/>
      <c r="E153" s="506" t="s">
        <v>1596</v>
      </c>
      <c r="F153" s="353">
        <v>30.0</v>
      </c>
      <c r="G153" s="507">
        <v>40.0</v>
      </c>
      <c r="H153" s="508" t="s">
        <v>1975</v>
      </c>
      <c r="I153" s="509" t="s">
        <v>132</v>
      </c>
      <c r="J153" s="510" t="str">
        <f>COUNTIFS($B$4:$B$70,"*SEDE*",$J$4:$J$70, $F$154)+COUNTIFS($B$77:$B$147,"*SEDE*",$J$77:$J$147, $F$154)&amp; " da €"&amp;$F$154</f>
        <v>0 da €32</v>
      </c>
      <c r="K153" s="511" t="str">
        <f>COUNTIFS($B$4:$B$70,"*SEDE*",$K$4:$K$70, $F$153)+COUNTIFS($B$77:$B$147,"*SEDE*",$K$77:$K$147, $F$153)&amp; " da €"&amp;$F$153</f>
        <v>2 da €30</v>
      </c>
      <c r="L153" s="510" t="str">
        <f>COUNTIFS($B$4:$B$70,"*SEDE*",$J$4:$J$70, $F$156)+COUNTIFS($B$77:$B$147,"*SEDE*",$J$77:$J$147, $F$156)&amp; " da €"&amp;$F$156</f>
        <v>0 da €37</v>
      </c>
      <c r="M153" s="511" t="str">
        <f>COUNTIFS($B$4:$B$70,"*SEDE*",$K$4:$K$70, $F$155)+COUNTIFS($B$77:$B$147,"*SEDE*",$K$77:$K$147, $F$155)&amp; " da €"&amp;$F$155</f>
        <v>5 da €35</v>
      </c>
      <c r="N153" s="510" t="str">
        <f>COUNTIFS($B$4:$B$70,"*SEDE*",$J$4:$J$70, $G$154)+COUNTIFS($B$77:$B$147,"*SEDE*",$J$77:$J$147, $G$154)&amp; " da €"&amp;$G$154</f>
        <v>0 da €42</v>
      </c>
      <c r="O153" s="511" t="str">
        <f>COUNTIFS($B$4:$B$70,"*SEDE*",$K$4:$K$70, $G$153)+COUNTIFS($B$77:$B$147,"*SEDE*",$K$77:$K$147, $G$153)&amp; " da €"&amp;$G$153</f>
        <v>0 da €40</v>
      </c>
      <c r="P153" s="512" t="s">
        <v>127</v>
      </c>
      <c r="Q153" s="359">
        <f>SUM(J154,K154,L154,M154,N154,O154)</f>
        <v>235</v>
      </c>
      <c r="R153" s="205" t="s">
        <v>130</v>
      </c>
      <c r="S153" s="513">
        <f>SUM(J71,K71,J148,K148)</f>
        <v>1659</v>
      </c>
      <c r="T153" s="207"/>
    </row>
    <row r="154">
      <c r="A154" s="208" t="s">
        <v>131</v>
      </c>
      <c r="B154" s="504">
        <f t="shared" si="13"/>
        <v>42</v>
      </c>
      <c r="C154" s="245"/>
      <c r="D154" s="351"/>
      <c r="E154" s="514"/>
      <c r="F154" s="365">
        <v>32.0</v>
      </c>
      <c r="G154" s="319">
        <v>42.0</v>
      </c>
      <c r="I154" s="515" t="s">
        <v>122</v>
      </c>
      <c r="J154" s="455">
        <f t="shared" ref="J154:O154" si="14">SUM(J73,J150)</f>
        <v>0</v>
      </c>
      <c r="K154" s="456">
        <f t="shared" si="14"/>
        <v>60</v>
      </c>
      <c r="L154" s="455">
        <f t="shared" si="14"/>
        <v>0</v>
      </c>
      <c r="M154" s="456">
        <f t="shared" si="14"/>
        <v>175</v>
      </c>
      <c r="N154" s="455">
        <f t="shared" si="14"/>
        <v>0</v>
      </c>
      <c r="O154" s="456">
        <f t="shared" si="14"/>
        <v>0</v>
      </c>
    </row>
    <row r="155">
      <c r="A155" s="213" t="s">
        <v>133</v>
      </c>
      <c r="B155" s="371">
        <f>SUM(B153:B154)</f>
        <v>49</v>
      </c>
      <c r="C155" s="245"/>
      <c r="D155" s="351"/>
      <c r="E155" s="514"/>
      <c r="F155" s="373">
        <v>35.0</v>
      </c>
      <c r="G155" s="431">
        <v>0.0</v>
      </c>
      <c r="I155" s="515" t="s">
        <v>135</v>
      </c>
      <c r="J155" s="483" t="str">
        <f>COUNTIFS($B$4:$B$70,"*ONLINE*",$J$4:$J$70, $F$154)+COUNTIFS($B$77:$B$147,"*ONLINE*",$J$77:$J$147, $F$154)&amp; " da €"&amp;$F$154</f>
        <v>22 da €32</v>
      </c>
      <c r="K155" s="92" t="str">
        <f>COUNTIFS($B$4:$B$70,"*ONLINE*",$K$4:$K$70, $F$153)+COUNTIFS($B$77:$B$147,"*ONLINE*",$K$77:$K$147, $F$153)&amp; " da €"&amp;$F$153</f>
        <v>2 da €30</v>
      </c>
      <c r="L155" s="516" t="str">
        <f>COUNTIFS($B$4:$B$70,"*ONLINE*",$J$4:$J$70, $F$156)+COUNTIFS($B$77:$B$147,"*ONLINE*",$J$77:$J$147, $F$156)&amp; " da €"&amp;$F$156</f>
        <v>15 da €37</v>
      </c>
      <c r="M155" s="92" t="str">
        <f>COUNTIFS($B$4:$B$70,"*ONLINE*",$K$4:$K$70, $F$155)+COUNTIFS($B$77:$B$147,"*ONLINE*",$K$77:$K$147, $F$155)&amp; " da €"&amp;$F$155</f>
        <v>3 da €35</v>
      </c>
      <c r="N155" s="516" t="str">
        <f>COUNTIFS($B$4:$B$70,"*ONLINE*",$J$4:$J$70, $G$154)+COUNTIFS($B$77:$B$147,"*ONLINE*",$J$77:$J$147, $G$154)&amp; " da €"&amp;$G$154</f>
        <v>0 da €42</v>
      </c>
      <c r="O155" s="92" t="str">
        <f>COUNTIFS($B$4:$B$70,"*ONLINE*",$K$4:$K$70, $G$153)+COUNTIFS($B$77:$B$147,"*ONLINE*",$K$77:$K$147, $G$153)&amp; " da €"&amp;$G$153</f>
        <v>0 da €40</v>
      </c>
      <c r="P155" s="512" t="s">
        <v>131</v>
      </c>
      <c r="Q155" s="359">
        <f>SUM(J156,K156,L156,M156,N156,O156)</f>
        <v>1424</v>
      </c>
    </row>
    <row r="156">
      <c r="A156" s="517" t="s">
        <v>134</v>
      </c>
      <c r="B156" s="518">
        <f>COUNTIF(M4:M147,"*NON TESSERATO*")</f>
        <v>34</v>
      </c>
      <c r="C156" s="245"/>
      <c r="D156" s="351"/>
      <c r="E156" s="519"/>
      <c r="F156" s="382">
        <v>37.0</v>
      </c>
      <c r="G156" s="520">
        <v>0.0</v>
      </c>
      <c r="H156" s="196"/>
      <c r="I156" s="521" t="s">
        <v>124</v>
      </c>
      <c r="J156" s="522">
        <f t="shared" ref="J156:O156" si="15">SUM(J75,J152)</f>
        <v>704</v>
      </c>
      <c r="K156" s="523">
        <f t="shared" si="15"/>
        <v>60</v>
      </c>
      <c r="L156" s="522">
        <f t="shared" si="15"/>
        <v>555</v>
      </c>
      <c r="M156" s="523">
        <f t="shared" si="15"/>
        <v>105</v>
      </c>
      <c r="N156" s="522">
        <f t="shared" si="15"/>
        <v>0</v>
      </c>
      <c r="O156" s="523">
        <f t="shared" si="15"/>
        <v>0</v>
      </c>
      <c r="P156" s="196"/>
      <c r="Q156" s="196"/>
      <c r="R156" s="196"/>
      <c r="S156" s="196"/>
      <c r="T156" s="196"/>
    </row>
    <row r="157">
      <c r="A157" s="524" t="s">
        <v>136</v>
      </c>
      <c r="B157" s="525">
        <f>COUNTIF(M4:M147,"*TESSERATO*")-COUNTIF(M4:M147,"*NON TESSERATO*")</f>
        <v>15</v>
      </c>
      <c r="C157" s="245"/>
      <c r="D157" s="351"/>
      <c r="E157" s="526"/>
      <c r="F157" s="485"/>
      <c r="G157" s="527"/>
      <c r="H157" s="508"/>
      <c r="I157" s="515"/>
      <c r="J157" s="528"/>
      <c r="K157" s="528"/>
      <c r="L157" s="528"/>
      <c r="M157" s="528"/>
      <c r="N157" s="528"/>
      <c r="O157" s="528"/>
      <c r="P157" s="529"/>
      <c r="Q157" s="530"/>
      <c r="R157" s="531"/>
      <c r="S157" s="530"/>
      <c r="T157"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70:P70"/>
    <mergeCell ref="H72:H75"/>
    <mergeCell ref="P72:P73"/>
    <mergeCell ref="Q72:Q73"/>
    <mergeCell ref="P74:P75"/>
    <mergeCell ref="Q74:Q75"/>
    <mergeCell ref="A76:Q76"/>
    <mergeCell ref="O63:P63"/>
    <mergeCell ref="O64:P64"/>
    <mergeCell ref="O65:P65"/>
    <mergeCell ref="O66:P66"/>
    <mergeCell ref="O67:P67"/>
    <mergeCell ref="O68:P68"/>
    <mergeCell ref="O69:P69"/>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P151:P152"/>
    <mergeCell ref="P153:P154"/>
    <mergeCell ref="Q153:Q154"/>
    <mergeCell ref="R153:R156"/>
    <mergeCell ref="S153:T156"/>
    <mergeCell ref="Q155:Q156"/>
    <mergeCell ref="O147:P147"/>
    <mergeCell ref="H149:H152"/>
    <mergeCell ref="P149:P150"/>
    <mergeCell ref="Q149:Q150"/>
    <mergeCell ref="Q151:Q152"/>
    <mergeCell ref="E153:E156"/>
    <mergeCell ref="H153:H156"/>
    <mergeCell ref="P155:P156"/>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s>
  <conditionalFormatting sqref="A4:P70 T4:T70 A77:P147 T77:T147">
    <cfRule type="expression" dxfId="0" priority="1">
      <formula>$T4</formula>
    </cfRule>
  </conditionalFormatting>
  <conditionalFormatting sqref="S75 S152">
    <cfRule type="cellIs" dxfId="2" priority="2" operator="equal">
      <formula>"ERRORE"</formula>
    </cfRule>
  </conditionalFormatting>
  <conditionalFormatting sqref="S75 S152">
    <cfRule type="cellIs" dxfId="0" priority="3" operator="equal">
      <formula>"OK"</formula>
    </cfRule>
  </conditionalFormatting>
  <conditionalFormatting sqref="S4:S70 S77:S147">
    <cfRule type="expression" dxfId="1" priority="4">
      <formula>$S4</formula>
    </cfRule>
  </conditionalFormatting>
  <conditionalFormatting sqref="S4:S70 S77:S147">
    <cfRule type="expression" dxfId="2" priority="5">
      <formula>$M4="DIGIT - TESSERATO"</formula>
    </cfRule>
  </conditionalFormatting>
  <conditionalFormatting sqref="R4:R70 R77:R147">
    <cfRule type="expression" dxfId="3" priority="6">
      <formula>$R4</formula>
    </cfRule>
  </conditionalFormatting>
  <conditionalFormatting sqref="R4:R70 R77:R147">
    <cfRule type="expression" dxfId="4" priority="7">
      <formula>$M4="CASH - TESSERATO"</formula>
    </cfRule>
  </conditionalFormatting>
  <conditionalFormatting sqref="R4:R70 R77:R147">
    <cfRule type="expression" dxfId="4" priority="8">
      <formula>$M4="CASH - NON TESSERATO"</formula>
    </cfRule>
  </conditionalFormatting>
  <conditionalFormatting sqref="S4:S70 S77:S147">
    <cfRule type="expression" dxfId="2" priority="9">
      <formula>$M4="DIGIT - NON TESSERATO"</formula>
    </cfRule>
  </conditionalFormatting>
  <conditionalFormatting sqref="Q4:Q70 Q77:Q147">
    <cfRule type="expression" dxfId="0" priority="10">
      <formula>ISBLANK($Q4)=FALSE</formula>
    </cfRule>
  </conditionalFormatting>
  <conditionalFormatting sqref="A4:P70 A77:P147">
    <cfRule type="expression" dxfId="5" priority="11">
      <formula>$N4</formula>
    </cfRule>
  </conditionalFormatting>
  <dataValidations>
    <dataValidation type="list" allowBlank="1" showInputMessage="1" prompt="Fai clic e immetti un valore dall'elenco di elementi" sqref="M4:M70 M77:M147">
      <formula1>"CASH - TESSERATO,CASH - NON TESSERATO,DIGIT - TESSERATO,DIGIT - NON TESSERATO"</formula1>
    </dataValidation>
    <dataValidation type="list" allowBlank="1" showInputMessage="1" showErrorMessage="1" prompt="Fai clic e immetti un valore dall'intervallo" sqref="A4:A70 A77:A147">
      <formula1>elenchi!$M$2:$M$100</formula1>
    </dataValidation>
    <dataValidation type="list" allowBlank="1" showErrorMessage="1" sqref="B4:B70 B77:B147">
      <formula1>"ONLINE,SEDE Estefany,SEDE Giuditta,SEDE Alexandra,SEDE Nura,SEDE Joel"</formula1>
    </dataValidation>
    <dataValidation type="list" allowBlank="1" showErrorMessage="1" sqref="L4:L70 L77:L147">
      <formula1>"NURA02WS,GIUDITTA02WS,ALEXANDRA02WS,ESTEFANY02WS,JOEL02WS,MASSI02WS,SANTO02WS,SARA02WS,OMAGGIO100"</formula1>
    </dataValidation>
    <dataValidation type="list" allowBlank="1" sqref="Q4:Q70 Q77:Q147">
      <formula1>"INSERITO,CELL,EMAIL,COD FISCALE,INDIRIZZO"</formula1>
    </dataValidation>
    <dataValidation type="custom" allowBlank="1" showDropDown="1" showInputMessage="1" prompt="Immetti una data valida" sqref="I4:I5 C4:C70 I7:I70 C77:C147 I77:I147">
      <formula1>OR(NOT(ISERROR(DATEVALUE(C4))), AND(ISNUMBER(C4), LEFT(CELL("format", C4))="D"))</formula1>
    </dataValidation>
  </dataValidations>
  <hyperlinks>
    <hyperlink r:id="rId4" location="gid=346376049"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7.2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ht="33.75" customHeight="1">
      <c r="A1" s="459" t="s">
        <v>2486</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2487</v>
      </c>
      <c r="R3" s="464" t="s">
        <v>1945</v>
      </c>
      <c r="S3" s="464"/>
      <c r="T3" s="464"/>
    </row>
    <row r="4" outlineLevel="1">
      <c r="A4" s="320" t="s">
        <v>73</v>
      </c>
      <c r="B4" s="320" t="s">
        <v>74</v>
      </c>
      <c r="C4" s="465">
        <v>45902.0</v>
      </c>
      <c r="D4" s="320" t="s">
        <v>555</v>
      </c>
      <c r="E4" s="320" t="s">
        <v>556</v>
      </c>
      <c r="F4" s="320">
        <v>3.317286206E9</v>
      </c>
      <c r="G4" s="320" t="s">
        <v>557</v>
      </c>
      <c r="H4" s="320" t="s">
        <v>558</v>
      </c>
      <c r="I4" s="439">
        <v>45902.0</v>
      </c>
      <c r="J4" s="365"/>
      <c r="K4" s="431">
        <v>43.0</v>
      </c>
      <c r="L4" s="317" t="s">
        <v>106</v>
      </c>
      <c r="M4" s="320" t="s">
        <v>100</v>
      </c>
      <c r="N4" s="118" t="b">
        <v>1</v>
      </c>
      <c r="O4" s="119"/>
      <c r="Q4" s="284" t="s">
        <v>81</v>
      </c>
      <c r="R4" s="285" t="b">
        <v>1</v>
      </c>
      <c r="S4" s="285" t="b">
        <v>0</v>
      </c>
      <c r="T4" s="286" t="b">
        <v>1</v>
      </c>
    </row>
    <row r="5" outlineLevel="1">
      <c r="A5" s="320" t="s">
        <v>73</v>
      </c>
      <c r="B5" s="320" t="s">
        <v>74</v>
      </c>
      <c r="C5" s="465">
        <v>45908.0</v>
      </c>
      <c r="D5" s="320" t="s">
        <v>947</v>
      </c>
      <c r="E5" s="320" t="s">
        <v>589</v>
      </c>
      <c r="F5" s="320">
        <v>4.1794608513E10</v>
      </c>
      <c r="G5" s="320" t="s">
        <v>2488</v>
      </c>
      <c r="H5" s="320" t="s">
        <v>949</v>
      </c>
      <c r="I5" s="439">
        <v>45908.0</v>
      </c>
      <c r="J5" s="365">
        <v>45.0</v>
      </c>
      <c r="K5" s="431"/>
      <c r="L5" s="317"/>
      <c r="M5" s="320" t="s">
        <v>80</v>
      </c>
      <c r="N5" s="118" t="b">
        <v>1</v>
      </c>
      <c r="O5" s="119"/>
      <c r="Q5" s="284" t="s">
        <v>81</v>
      </c>
      <c r="R5" s="285" t="b">
        <v>0</v>
      </c>
      <c r="S5" s="285" t="b">
        <v>1</v>
      </c>
      <c r="T5" s="286" t="b">
        <v>1</v>
      </c>
    </row>
    <row r="6" outlineLevel="1">
      <c r="A6" s="320" t="s">
        <v>73</v>
      </c>
      <c r="B6" s="320" t="s">
        <v>74</v>
      </c>
      <c r="C6" s="465">
        <v>45910.0</v>
      </c>
      <c r="D6" s="320" t="s">
        <v>2489</v>
      </c>
      <c r="E6" s="320" t="s">
        <v>2490</v>
      </c>
      <c r="F6" s="320">
        <v>3.486450547E9</v>
      </c>
      <c r="G6" s="111" t="s">
        <v>2491</v>
      </c>
      <c r="H6" s="320" t="s">
        <v>2492</v>
      </c>
      <c r="I6" s="466">
        <v>45910.0</v>
      </c>
      <c r="J6" s="365">
        <v>45.0</v>
      </c>
      <c r="K6" s="431"/>
      <c r="L6" s="317"/>
      <c r="M6" s="320" t="s">
        <v>80</v>
      </c>
      <c r="N6" s="118" t="b">
        <v>0</v>
      </c>
      <c r="O6" s="119"/>
      <c r="Q6" s="284" t="s">
        <v>81</v>
      </c>
      <c r="R6" s="285" t="b">
        <v>0</v>
      </c>
      <c r="S6" s="285" t="b">
        <v>1</v>
      </c>
      <c r="T6" s="286" t="b">
        <v>1</v>
      </c>
    </row>
    <row r="7" outlineLevel="1">
      <c r="A7" s="320" t="s">
        <v>73</v>
      </c>
      <c r="B7" s="320" t="s">
        <v>74</v>
      </c>
      <c r="C7" s="465">
        <v>45911.0</v>
      </c>
      <c r="D7" s="320" t="s">
        <v>2493</v>
      </c>
      <c r="E7" s="320" t="s">
        <v>7</v>
      </c>
      <c r="F7" s="320">
        <v>3.460031869E9</v>
      </c>
      <c r="G7" s="111" t="s">
        <v>2494</v>
      </c>
      <c r="H7" s="320" t="s">
        <v>2495</v>
      </c>
      <c r="I7" s="439">
        <v>45911.0</v>
      </c>
      <c r="J7" s="365"/>
      <c r="K7" s="431">
        <v>43.0</v>
      </c>
      <c r="L7" s="317" t="s">
        <v>902</v>
      </c>
      <c r="M7" s="320" t="s">
        <v>80</v>
      </c>
      <c r="N7" s="118" t="b">
        <v>1</v>
      </c>
      <c r="O7" s="119"/>
      <c r="Q7" s="284" t="s">
        <v>81</v>
      </c>
      <c r="R7" s="285" t="b">
        <v>0</v>
      </c>
      <c r="S7" s="285" t="b">
        <v>1</v>
      </c>
      <c r="T7" s="286" t="b">
        <v>1</v>
      </c>
    </row>
    <row r="8" outlineLevel="1">
      <c r="A8" s="320" t="s">
        <v>73</v>
      </c>
      <c r="B8" s="320" t="s">
        <v>74</v>
      </c>
      <c r="C8" s="465">
        <v>45911.0</v>
      </c>
      <c r="D8" s="320" t="s">
        <v>576</v>
      </c>
      <c r="E8" s="320" t="s">
        <v>165</v>
      </c>
      <c r="F8" s="320">
        <v>3.337184341E9</v>
      </c>
      <c r="G8" s="320" t="s">
        <v>577</v>
      </c>
      <c r="H8" s="320" t="s">
        <v>578</v>
      </c>
      <c r="I8" s="439">
        <v>45911.0</v>
      </c>
      <c r="J8" s="365"/>
      <c r="K8" s="431">
        <v>43.0</v>
      </c>
      <c r="L8" s="317" t="s">
        <v>106</v>
      </c>
      <c r="M8" s="320" t="s">
        <v>100</v>
      </c>
      <c r="N8" s="118" t="b">
        <v>1</v>
      </c>
      <c r="O8" s="467"/>
      <c r="Q8" s="284" t="s">
        <v>81</v>
      </c>
      <c r="R8" s="285" t="b">
        <v>1</v>
      </c>
      <c r="S8" s="285" t="b">
        <v>0</v>
      </c>
      <c r="T8" s="286" t="b">
        <v>1</v>
      </c>
    </row>
    <row r="9" outlineLevel="1">
      <c r="A9" s="320" t="s">
        <v>73</v>
      </c>
      <c r="B9" s="320" t="s">
        <v>74</v>
      </c>
      <c r="C9" s="465">
        <v>45913.0</v>
      </c>
      <c r="D9" s="320" t="s">
        <v>2187</v>
      </c>
      <c r="E9" s="320" t="s">
        <v>2188</v>
      </c>
      <c r="F9" s="320">
        <v>3.920703008E9</v>
      </c>
      <c r="G9" s="320" t="s">
        <v>2189</v>
      </c>
      <c r="H9" s="320" t="s">
        <v>2190</v>
      </c>
      <c r="I9" s="465">
        <v>45913.0</v>
      </c>
      <c r="J9" s="365">
        <v>45.0</v>
      </c>
      <c r="K9" s="431"/>
      <c r="L9" s="317"/>
      <c r="M9" s="320" t="s">
        <v>80</v>
      </c>
      <c r="N9" s="118" t="b">
        <v>1</v>
      </c>
      <c r="O9" s="119"/>
      <c r="Q9" s="284" t="s">
        <v>81</v>
      </c>
      <c r="R9" s="285" t="b">
        <v>0</v>
      </c>
      <c r="S9" s="285" t="b">
        <v>1</v>
      </c>
      <c r="T9" s="286" t="b">
        <v>1</v>
      </c>
    </row>
    <row r="10" outlineLevel="1">
      <c r="A10" s="320" t="s">
        <v>73</v>
      </c>
      <c r="B10" s="320" t="s">
        <v>74</v>
      </c>
      <c r="C10" s="465">
        <v>45915.0</v>
      </c>
      <c r="D10" s="320" t="s">
        <v>82</v>
      </c>
      <c r="E10" s="320" t="s">
        <v>83</v>
      </c>
      <c r="F10" s="320">
        <v>3.47856998E9</v>
      </c>
      <c r="G10" s="468" t="s">
        <v>84</v>
      </c>
      <c r="H10" s="320" t="s">
        <v>85</v>
      </c>
      <c r="I10" s="439">
        <v>45915.0</v>
      </c>
      <c r="J10" s="365">
        <v>45.0</v>
      </c>
      <c r="K10" s="431"/>
      <c r="L10" s="317"/>
      <c r="M10" s="320" t="s">
        <v>80</v>
      </c>
      <c r="N10" s="118" t="b">
        <v>1</v>
      </c>
      <c r="O10" s="119"/>
      <c r="Q10" s="284" t="s">
        <v>81</v>
      </c>
      <c r="R10" s="285" t="b">
        <v>0</v>
      </c>
      <c r="S10" s="285" t="b">
        <v>1</v>
      </c>
      <c r="T10" s="286" t="b">
        <v>1</v>
      </c>
    </row>
    <row r="11" outlineLevel="1">
      <c r="A11" s="320" t="s">
        <v>73</v>
      </c>
      <c r="B11" s="320" t="s">
        <v>74</v>
      </c>
      <c r="C11" s="465">
        <v>45917.0</v>
      </c>
      <c r="D11" s="320" t="s">
        <v>2496</v>
      </c>
      <c r="E11" s="320" t="s">
        <v>713</v>
      </c>
      <c r="F11" s="320">
        <v>3.927442232E9</v>
      </c>
      <c r="G11" s="320" t="s">
        <v>2497</v>
      </c>
      <c r="H11" s="320" t="s">
        <v>2498</v>
      </c>
      <c r="I11" s="478">
        <v>45917.0</v>
      </c>
      <c r="J11" s="365">
        <v>45.0</v>
      </c>
      <c r="K11" s="431"/>
      <c r="L11" s="317"/>
      <c r="M11" s="320" t="s">
        <v>80</v>
      </c>
      <c r="N11" s="118" t="b">
        <v>1</v>
      </c>
      <c r="O11" s="119"/>
      <c r="Q11" s="284" t="s">
        <v>81</v>
      </c>
      <c r="R11" s="285" t="b">
        <v>0</v>
      </c>
      <c r="S11" s="285" t="b">
        <v>1</v>
      </c>
      <c r="T11" s="286" t="b">
        <v>1</v>
      </c>
    </row>
    <row r="12" outlineLevel="1">
      <c r="A12" s="320" t="s">
        <v>73</v>
      </c>
      <c r="B12" s="320" t="s">
        <v>74</v>
      </c>
      <c r="C12" s="465">
        <v>45922.0</v>
      </c>
      <c r="D12" s="320" t="s">
        <v>2499</v>
      </c>
      <c r="E12" s="320" t="s">
        <v>1113</v>
      </c>
      <c r="F12" s="320">
        <v>3.283191398E9</v>
      </c>
      <c r="G12" s="320" t="s">
        <v>2500</v>
      </c>
      <c r="H12" s="320" t="s">
        <v>2501</v>
      </c>
      <c r="I12" s="439">
        <v>45922.0</v>
      </c>
      <c r="J12" s="365">
        <v>45.0</v>
      </c>
      <c r="K12" s="431"/>
      <c r="L12" s="317"/>
      <c r="M12" s="320" t="s">
        <v>80</v>
      </c>
      <c r="N12" s="118" t="b">
        <v>0</v>
      </c>
      <c r="O12" s="119"/>
      <c r="Q12" s="284" t="s">
        <v>81</v>
      </c>
      <c r="R12" s="285" t="b">
        <v>0</v>
      </c>
      <c r="S12" s="285" t="b">
        <v>1</v>
      </c>
      <c r="T12" s="286" t="b">
        <v>1</v>
      </c>
    </row>
    <row r="13" outlineLevel="1">
      <c r="A13" s="320" t="s">
        <v>73</v>
      </c>
      <c r="B13" s="320" t="s">
        <v>74</v>
      </c>
      <c r="C13" s="465">
        <v>45924.0</v>
      </c>
      <c r="D13" s="320" t="s">
        <v>2196</v>
      </c>
      <c r="E13" s="320" t="s">
        <v>2038</v>
      </c>
      <c r="F13" s="445">
        <v>3.779649122E9</v>
      </c>
      <c r="G13" s="320" t="s">
        <v>2197</v>
      </c>
      <c r="H13" s="320" t="s">
        <v>2198</v>
      </c>
      <c r="I13" s="439">
        <v>45924.0</v>
      </c>
      <c r="J13" s="365">
        <v>45.0</v>
      </c>
      <c r="K13" s="431"/>
      <c r="L13" s="317"/>
      <c r="M13" s="320" t="s">
        <v>80</v>
      </c>
      <c r="N13" s="118" t="b">
        <v>0</v>
      </c>
      <c r="O13" s="119"/>
      <c r="Q13" s="284" t="s">
        <v>81</v>
      </c>
      <c r="R13" s="285" t="b">
        <v>0</v>
      </c>
      <c r="S13" s="285" t="b">
        <v>1</v>
      </c>
      <c r="T13" s="286" t="b">
        <v>1</v>
      </c>
    </row>
    <row r="14" outlineLevel="1">
      <c r="A14" s="317" t="s">
        <v>611</v>
      </c>
      <c r="B14" s="317" t="s">
        <v>74</v>
      </c>
      <c r="C14" s="316">
        <v>45907.0</v>
      </c>
      <c r="D14" s="116" t="s">
        <v>634</v>
      </c>
      <c r="E14" s="116" t="s">
        <v>2202</v>
      </c>
      <c r="F14" s="317">
        <v>3.738832549E9</v>
      </c>
      <c r="G14" s="317" t="s">
        <v>636</v>
      </c>
      <c r="H14" s="317" t="s">
        <v>637</v>
      </c>
      <c r="I14" s="135">
        <v>45907.0</v>
      </c>
      <c r="J14" s="365">
        <v>45.0</v>
      </c>
      <c r="K14" s="431"/>
      <c r="L14" s="317"/>
      <c r="M14" s="320" t="s">
        <v>80</v>
      </c>
      <c r="N14" s="118" t="b">
        <v>1</v>
      </c>
      <c r="O14" s="119"/>
      <c r="Q14" s="284" t="s">
        <v>81</v>
      </c>
      <c r="R14" s="285" t="b">
        <v>0</v>
      </c>
      <c r="S14" s="285" t="b">
        <v>1</v>
      </c>
      <c r="T14" s="286" t="b">
        <v>1</v>
      </c>
    </row>
    <row r="15" outlineLevel="1">
      <c r="A15" s="317" t="s">
        <v>611</v>
      </c>
      <c r="B15" s="317" t="s">
        <v>74</v>
      </c>
      <c r="C15" s="316">
        <v>45907.0</v>
      </c>
      <c r="D15" s="317" t="s">
        <v>2502</v>
      </c>
      <c r="E15" s="317" t="s">
        <v>2202</v>
      </c>
      <c r="F15" s="317">
        <v>3.332932548E9</v>
      </c>
      <c r="G15" s="317" t="s">
        <v>2503</v>
      </c>
      <c r="H15" s="317" t="s">
        <v>2504</v>
      </c>
      <c r="I15" s="443">
        <v>45907.0</v>
      </c>
      <c r="J15" s="365">
        <v>45.0</v>
      </c>
      <c r="K15" s="431"/>
      <c r="L15" s="317"/>
      <c r="M15" s="320" t="s">
        <v>80</v>
      </c>
      <c r="N15" s="118" t="b">
        <v>1</v>
      </c>
      <c r="O15" s="119"/>
      <c r="Q15" s="284" t="s">
        <v>81</v>
      </c>
      <c r="R15" s="285" t="b">
        <v>0</v>
      </c>
      <c r="S15" s="285" t="b">
        <v>1</v>
      </c>
      <c r="T15" s="286" t="b">
        <v>1</v>
      </c>
    </row>
    <row r="16" outlineLevel="1">
      <c r="A16" s="320" t="s">
        <v>611</v>
      </c>
      <c r="B16" s="320" t="s">
        <v>74</v>
      </c>
      <c r="C16" s="316">
        <v>45929.0</v>
      </c>
      <c r="D16" s="320" t="s">
        <v>2505</v>
      </c>
      <c r="E16" s="320" t="s">
        <v>713</v>
      </c>
      <c r="F16" s="320">
        <v>3.388486613E9</v>
      </c>
      <c r="G16" s="320" t="s">
        <v>2506</v>
      </c>
      <c r="H16" s="320" t="s">
        <v>2507</v>
      </c>
      <c r="I16" s="443">
        <v>45929.0</v>
      </c>
      <c r="J16" s="365">
        <v>45.0</v>
      </c>
      <c r="K16" s="431"/>
      <c r="L16" s="317"/>
      <c r="M16" s="320" t="s">
        <v>80</v>
      </c>
      <c r="N16" s="118" t="b">
        <v>1</v>
      </c>
      <c r="O16" s="119"/>
      <c r="Q16" s="284" t="s">
        <v>81</v>
      </c>
      <c r="R16" s="285" t="b">
        <v>0</v>
      </c>
      <c r="S16" s="285" t="b">
        <v>1</v>
      </c>
      <c r="T16" s="286" t="b">
        <v>1</v>
      </c>
    </row>
    <row r="17" outlineLevel="1">
      <c r="A17" s="320" t="s">
        <v>611</v>
      </c>
      <c r="B17" s="320" t="s">
        <v>74</v>
      </c>
      <c r="C17" s="316">
        <v>45929.0</v>
      </c>
      <c r="D17" s="320" t="s">
        <v>709</v>
      </c>
      <c r="E17" s="320" t="s">
        <v>2320</v>
      </c>
      <c r="F17" s="320">
        <v>3.341848225E9</v>
      </c>
      <c r="G17" s="320" t="s">
        <v>2508</v>
      </c>
      <c r="H17" s="320" t="s">
        <v>2509</v>
      </c>
      <c r="I17" s="443">
        <v>45929.0</v>
      </c>
      <c r="J17" s="365">
        <v>45.0</v>
      </c>
      <c r="K17" s="431"/>
      <c r="L17" s="317"/>
      <c r="M17" s="320" t="s">
        <v>80</v>
      </c>
      <c r="N17" s="118" t="b">
        <v>1</v>
      </c>
      <c r="O17" s="119"/>
      <c r="Q17" s="284" t="s">
        <v>81</v>
      </c>
      <c r="R17" s="285" t="b">
        <v>0</v>
      </c>
      <c r="S17" s="285" t="b">
        <v>1</v>
      </c>
      <c r="T17" s="286" t="b">
        <v>1</v>
      </c>
    </row>
    <row r="18" outlineLevel="1">
      <c r="A18" s="317" t="s">
        <v>611</v>
      </c>
      <c r="B18" s="317" t="s">
        <v>74</v>
      </c>
      <c r="C18" s="316">
        <v>45929.0</v>
      </c>
      <c r="D18" s="317" t="s">
        <v>1831</v>
      </c>
      <c r="E18" s="317" t="s">
        <v>604</v>
      </c>
      <c r="F18" s="317">
        <v>3.383775144E9</v>
      </c>
      <c r="G18" s="317" t="s">
        <v>2510</v>
      </c>
      <c r="H18" s="317" t="s">
        <v>2511</v>
      </c>
      <c r="I18" s="135">
        <v>45929.0</v>
      </c>
      <c r="J18" s="365">
        <v>45.0</v>
      </c>
      <c r="K18" s="431"/>
      <c r="L18" s="317"/>
      <c r="M18" s="320" t="s">
        <v>80</v>
      </c>
      <c r="N18" s="118" t="b">
        <v>1</v>
      </c>
      <c r="O18" s="119"/>
      <c r="Q18" s="284" t="s">
        <v>81</v>
      </c>
      <c r="R18" s="285" t="b">
        <v>0</v>
      </c>
      <c r="S18" s="285" t="b">
        <v>1</v>
      </c>
      <c r="T18" s="286" t="b">
        <v>1</v>
      </c>
    </row>
    <row r="19" outlineLevel="1">
      <c r="A19" s="317" t="s">
        <v>611</v>
      </c>
      <c r="B19" s="317" t="s">
        <v>74</v>
      </c>
      <c r="C19" s="316">
        <v>45930.0</v>
      </c>
      <c r="D19" s="532" t="s">
        <v>2512</v>
      </c>
      <c r="E19" s="532" t="s">
        <v>580</v>
      </c>
      <c r="F19" s="317">
        <v>3.471335918E9</v>
      </c>
      <c r="G19" s="317" t="s">
        <v>2513</v>
      </c>
      <c r="H19" s="317" t="s">
        <v>2514</v>
      </c>
      <c r="I19" s="443">
        <v>45930.0</v>
      </c>
      <c r="J19" s="365">
        <v>45.0</v>
      </c>
      <c r="K19" s="431"/>
      <c r="L19" s="317"/>
      <c r="M19" s="320" t="s">
        <v>80</v>
      </c>
      <c r="N19" s="118" t="b">
        <v>1</v>
      </c>
      <c r="O19" s="119" t="s">
        <v>2515</v>
      </c>
      <c r="Q19" s="284" t="s">
        <v>81</v>
      </c>
      <c r="R19" s="285" t="b">
        <v>0</v>
      </c>
      <c r="S19" s="285" t="b">
        <v>1</v>
      </c>
      <c r="T19" s="286" t="b">
        <v>1</v>
      </c>
    </row>
    <row r="20" outlineLevel="1">
      <c r="A20" s="317" t="s">
        <v>611</v>
      </c>
      <c r="B20" s="317" t="s">
        <v>74</v>
      </c>
      <c r="C20" s="316">
        <v>45930.0</v>
      </c>
      <c r="D20" s="317" t="s">
        <v>800</v>
      </c>
      <c r="E20" s="317" t="s">
        <v>472</v>
      </c>
      <c r="F20" s="317">
        <v>3.343328185E9</v>
      </c>
      <c r="G20" s="317" t="s">
        <v>801</v>
      </c>
      <c r="H20" s="317" t="s">
        <v>802</v>
      </c>
      <c r="I20" s="443">
        <v>45930.0</v>
      </c>
      <c r="J20" s="365">
        <v>45.0</v>
      </c>
      <c r="K20" s="431"/>
      <c r="L20" s="317"/>
      <c r="M20" s="317" t="s">
        <v>80</v>
      </c>
      <c r="N20" s="118" t="b">
        <v>1</v>
      </c>
      <c r="O20" s="119"/>
      <c r="Q20" s="284" t="s">
        <v>81</v>
      </c>
      <c r="R20" s="285" t="b">
        <v>0</v>
      </c>
      <c r="S20" s="285" t="b">
        <v>1</v>
      </c>
      <c r="T20" s="286" t="b">
        <v>1</v>
      </c>
    </row>
    <row r="21" outlineLevel="1">
      <c r="A21" s="317" t="s">
        <v>611</v>
      </c>
      <c r="B21" s="317" t="s">
        <v>74</v>
      </c>
      <c r="C21" s="316">
        <v>45931.0</v>
      </c>
      <c r="D21" s="317" t="s">
        <v>2516</v>
      </c>
      <c r="E21" s="317" t="s">
        <v>472</v>
      </c>
      <c r="F21" s="317">
        <v>3.381097865E9</v>
      </c>
      <c r="G21" s="317" t="s">
        <v>2517</v>
      </c>
      <c r="H21" s="317" t="s">
        <v>2518</v>
      </c>
      <c r="I21" s="135">
        <v>45931.0</v>
      </c>
      <c r="J21" s="365">
        <v>45.0</v>
      </c>
      <c r="K21" s="431"/>
      <c r="L21" s="317"/>
      <c r="M21" s="320" t="s">
        <v>100</v>
      </c>
      <c r="N21" s="118" t="b">
        <v>1</v>
      </c>
      <c r="O21" s="119"/>
      <c r="Q21" s="284" t="s">
        <v>81</v>
      </c>
      <c r="R21" s="285" t="b">
        <v>1</v>
      </c>
      <c r="S21" s="285" t="b">
        <v>0</v>
      </c>
      <c r="T21" s="286" t="b">
        <v>1</v>
      </c>
    </row>
    <row r="22" outlineLevel="1">
      <c r="A22" s="320" t="s">
        <v>611</v>
      </c>
      <c r="B22" s="320" t="s">
        <v>74</v>
      </c>
      <c r="C22" s="316">
        <v>45931.0</v>
      </c>
      <c r="D22" s="320" t="s">
        <v>2519</v>
      </c>
      <c r="E22" s="320" t="s">
        <v>2520</v>
      </c>
      <c r="F22" s="320">
        <v>3.481955108E9</v>
      </c>
      <c r="G22" s="416" t="s">
        <v>156</v>
      </c>
      <c r="H22" s="416" t="s">
        <v>157</v>
      </c>
      <c r="I22" s="439">
        <v>45931.0</v>
      </c>
      <c r="J22" s="365">
        <v>45.0</v>
      </c>
      <c r="K22" s="431"/>
      <c r="L22" s="317"/>
      <c r="M22" s="320" t="s">
        <v>80</v>
      </c>
      <c r="N22" s="118" t="b">
        <v>1</v>
      </c>
      <c r="O22" s="119"/>
      <c r="Q22" s="284" t="s">
        <v>81</v>
      </c>
      <c r="R22" s="285" t="b">
        <v>0</v>
      </c>
      <c r="S22" s="285" t="b">
        <v>1</v>
      </c>
      <c r="T22" s="286" t="b">
        <v>1</v>
      </c>
    </row>
    <row r="23" outlineLevel="1">
      <c r="A23" s="317" t="s">
        <v>611</v>
      </c>
      <c r="B23" s="317" t="s">
        <v>74</v>
      </c>
      <c r="C23" s="316">
        <v>45934.0</v>
      </c>
      <c r="D23" s="317" t="s">
        <v>792</v>
      </c>
      <c r="E23" s="317" t="s">
        <v>793</v>
      </c>
      <c r="F23" s="317">
        <v>3.20094462E9</v>
      </c>
      <c r="G23" s="317" t="s">
        <v>794</v>
      </c>
      <c r="H23" s="317" t="s">
        <v>795</v>
      </c>
      <c r="I23" s="443">
        <v>45934.0</v>
      </c>
      <c r="J23" s="365">
        <v>45.0</v>
      </c>
      <c r="K23" s="431"/>
      <c r="L23" s="317"/>
      <c r="M23" s="320" t="s">
        <v>80</v>
      </c>
      <c r="N23" s="118" t="b">
        <v>1</v>
      </c>
      <c r="O23" s="119"/>
      <c r="Q23" s="284" t="s">
        <v>81</v>
      </c>
      <c r="R23" s="285" t="b">
        <v>0</v>
      </c>
      <c r="S23" s="285" t="b">
        <v>1</v>
      </c>
      <c r="T23" s="286" t="b">
        <v>1</v>
      </c>
    </row>
    <row r="24" outlineLevel="1">
      <c r="A24" s="317" t="s">
        <v>611</v>
      </c>
      <c r="B24" s="317" t="s">
        <v>74</v>
      </c>
      <c r="C24" s="316">
        <v>45938.0</v>
      </c>
      <c r="D24" s="317" t="s">
        <v>2521</v>
      </c>
      <c r="E24" s="317" t="s">
        <v>91</v>
      </c>
      <c r="F24" s="317">
        <v>3.314715259E9</v>
      </c>
      <c r="G24" s="317" t="s">
        <v>2522</v>
      </c>
      <c r="H24" s="317" t="s">
        <v>2523</v>
      </c>
      <c r="I24" s="318">
        <v>45938.0</v>
      </c>
      <c r="J24" s="365">
        <v>45.0</v>
      </c>
      <c r="K24" s="431"/>
      <c r="L24" s="317"/>
      <c r="M24" s="320" t="s">
        <v>80</v>
      </c>
      <c r="N24" s="118" t="b">
        <v>1</v>
      </c>
      <c r="O24" s="119"/>
      <c r="Q24" s="284" t="s">
        <v>81</v>
      </c>
      <c r="R24" s="285" t="b">
        <v>0</v>
      </c>
      <c r="S24" s="285" t="b">
        <v>1</v>
      </c>
      <c r="T24" s="286" t="b">
        <v>1</v>
      </c>
    </row>
    <row r="25" outlineLevel="1">
      <c r="A25" s="317" t="s">
        <v>611</v>
      </c>
      <c r="B25" s="317" t="s">
        <v>74</v>
      </c>
      <c r="C25" s="316">
        <v>45938.0</v>
      </c>
      <c r="D25" s="317" t="s">
        <v>2524</v>
      </c>
      <c r="E25" s="317" t="s">
        <v>2525</v>
      </c>
      <c r="F25" s="317">
        <v>3.475517658E9</v>
      </c>
      <c r="G25" s="317" t="s">
        <v>2526</v>
      </c>
      <c r="H25" s="317" t="s">
        <v>2527</v>
      </c>
      <c r="I25" s="318">
        <v>45938.0</v>
      </c>
      <c r="J25" s="365">
        <v>45.0</v>
      </c>
      <c r="K25" s="431"/>
      <c r="L25" s="317"/>
      <c r="M25" s="320" t="s">
        <v>80</v>
      </c>
      <c r="N25" s="118" t="b">
        <v>1</v>
      </c>
      <c r="O25" s="119"/>
      <c r="Q25" s="284" t="s">
        <v>81</v>
      </c>
      <c r="R25" s="285" t="b">
        <v>0</v>
      </c>
      <c r="S25" s="285" t="b">
        <v>1</v>
      </c>
      <c r="T25" s="286" t="b">
        <v>1</v>
      </c>
    </row>
    <row r="26" outlineLevel="1">
      <c r="A26" s="317" t="s">
        <v>611</v>
      </c>
      <c r="B26" s="317" t="s">
        <v>74</v>
      </c>
      <c r="C26" s="316">
        <v>45930.0</v>
      </c>
      <c r="D26" s="532" t="s">
        <v>2512</v>
      </c>
      <c r="E26" s="532" t="s">
        <v>580</v>
      </c>
      <c r="F26" s="532">
        <v>3.471335918E9</v>
      </c>
      <c r="G26" s="317" t="s">
        <v>2513</v>
      </c>
      <c r="H26" s="317" t="s">
        <v>2514</v>
      </c>
      <c r="I26" s="443">
        <v>45930.0</v>
      </c>
      <c r="J26" s="365">
        <v>45.0</v>
      </c>
      <c r="K26" s="431"/>
      <c r="L26" s="317"/>
      <c r="M26" s="320" t="s">
        <v>80</v>
      </c>
      <c r="N26" s="118" t="b">
        <v>1</v>
      </c>
      <c r="O26" s="119" t="s">
        <v>2528</v>
      </c>
      <c r="Q26" s="284" t="s">
        <v>81</v>
      </c>
      <c r="R26" s="285" t="b">
        <v>0</v>
      </c>
      <c r="S26" s="285" t="b">
        <v>1</v>
      </c>
      <c r="T26" s="286" t="b">
        <v>1</v>
      </c>
    </row>
    <row r="27" outlineLevel="1">
      <c r="A27" s="317" t="s">
        <v>611</v>
      </c>
      <c r="B27" s="317" t="s">
        <v>74</v>
      </c>
      <c r="C27" s="316">
        <v>45940.0</v>
      </c>
      <c r="D27" s="317" t="s">
        <v>2529</v>
      </c>
      <c r="E27" s="317" t="s">
        <v>407</v>
      </c>
      <c r="F27" s="317">
        <v>3.91703782E9</v>
      </c>
      <c r="G27" s="317" t="s">
        <v>2530</v>
      </c>
      <c r="H27" s="317" t="s">
        <v>2531</v>
      </c>
      <c r="I27" s="318">
        <v>45940.0</v>
      </c>
      <c r="J27" s="365"/>
      <c r="K27" s="431">
        <v>43.0</v>
      </c>
      <c r="L27" s="317" t="s">
        <v>99</v>
      </c>
      <c r="M27" s="320" t="s">
        <v>80</v>
      </c>
      <c r="N27" s="118" t="b">
        <v>1</v>
      </c>
      <c r="O27" s="119"/>
      <c r="Q27" s="284" t="s">
        <v>81</v>
      </c>
      <c r="R27" s="285" t="b">
        <v>0</v>
      </c>
      <c r="S27" s="285" t="b">
        <v>1</v>
      </c>
      <c r="T27" s="286" t="b">
        <v>1</v>
      </c>
    </row>
    <row r="28" outlineLevel="1">
      <c r="A28" s="317" t="s">
        <v>611</v>
      </c>
      <c r="B28" s="317" t="s">
        <v>74</v>
      </c>
      <c r="C28" s="316">
        <v>45941.0</v>
      </c>
      <c r="D28" s="317" t="s">
        <v>2532</v>
      </c>
      <c r="E28" s="317" t="s">
        <v>87</v>
      </c>
      <c r="F28" s="317">
        <v>3.475605123E9</v>
      </c>
      <c r="G28" s="469" t="s">
        <v>2305</v>
      </c>
      <c r="H28" s="469" t="s">
        <v>2306</v>
      </c>
      <c r="I28" s="318">
        <v>45941.0</v>
      </c>
      <c r="J28" s="365">
        <v>45.0</v>
      </c>
      <c r="K28" s="436"/>
      <c r="L28" s="432"/>
      <c r="M28" s="320" t="s">
        <v>80</v>
      </c>
      <c r="N28" s="118" t="b">
        <v>1</v>
      </c>
      <c r="O28" s="119"/>
      <c r="Q28" s="284" t="s">
        <v>81</v>
      </c>
      <c r="R28" s="285" t="b">
        <v>0</v>
      </c>
      <c r="S28" s="285" t="b">
        <v>1</v>
      </c>
      <c r="T28" s="286" t="b">
        <v>1</v>
      </c>
    </row>
    <row r="29" outlineLevel="1">
      <c r="A29" s="317" t="s">
        <v>611</v>
      </c>
      <c r="B29" s="317" t="s">
        <v>74</v>
      </c>
      <c r="C29" s="316">
        <v>45943.0</v>
      </c>
      <c r="D29" s="317" t="s">
        <v>2533</v>
      </c>
      <c r="E29" s="317" t="s">
        <v>7</v>
      </c>
      <c r="F29" s="317">
        <v>3.460219105E9</v>
      </c>
      <c r="G29" s="317" t="s">
        <v>2534</v>
      </c>
      <c r="H29" s="317" t="s">
        <v>2535</v>
      </c>
      <c r="I29" s="318">
        <v>45943.0</v>
      </c>
      <c r="J29" s="365"/>
      <c r="K29" s="431">
        <v>43.0</v>
      </c>
      <c r="L29" s="317" t="s">
        <v>99</v>
      </c>
      <c r="M29" s="320" t="s">
        <v>80</v>
      </c>
      <c r="N29" s="118" t="b">
        <v>1</v>
      </c>
      <c r="O29" s="119"/>
      <c r="Q29" s="284" t="s">
        <v>81</v>
      </c>
      <c r="R29" s="285" t="b">
        <v>0</v>
      </c>
      <c r="S29" s="285" t="b">
        <v>1</v>
      </c>
      <c r="T29" s="286" t="b">
        <v>1</v>
      </c>
    </row>
    <row r="30" outlineLevel="1">
      <c r="A30" s="317" t="s">
        <v>611</v>
      </c>
      <c r="B30" s="317" t="s">
        <v>74</v>
      </c>
      <c r="C30" s="316">
        <v>45943.0</v>
      </c>
      <c r="D30" s="317" t="s">
        <v>2536</v>
      </c>
      <c r="E30" s="317" t="s">
        <v>1088</v>
      </c>
      <c r="F30" s="317">
        <v>3.801381542E9</v>
      </c>
      <c r="G30" s="317" t="s">
        <v>2537</v>
      </c>
      <c r="H30" s="317" t="s">
        <v>2538</v>
      </c>
      <c r="I30" s="318">
        <v>45943.0</v>
      </c>
      <c r="J30" s="365"/>
      <c r="K30" s="431">
        <v>43.0</v>
      </c>
      <c r="L30" s="317" t="s">
        <v>99</v>
      </c>
      <c r="M30" s="320" t="s">
        <v>80</v>
      </c>
      <c r="N30" s="118" t="b">
        <v>1</v>
      </c>
      <c r="O30" s="119"/>
      <c r="Q30" s="284" t="s">
        <v>81</v>
      </c>
      <c r="R30" s="285" t="b">
        <v>0</v>
      </c>
      <c r="S30" s="285" t="b">
        <v>1</v>
      </c>
      <c r="T30" s="286" t="b">
        <v>1</v>
      </c>
    </row>
    <row r="31" outlineLevel="1">
      <c r="A31" s="320" t="s">
        <v>611</v>
      </c>
      <c r="B31" s="320" t="s">
        <v>74</v>
      </c>
      <c r="C31" s="465">
        <v>45944.0</v>
      </c>
      <c r="D31" s="320" t="s">
        <v>2539</v>
      </c>
      <c r="E31" s="320" t="s">
        <v>185</v>
      </c>
      <c r="F31" s="320">
        <v>3.466942756E9</v>
      </c>
      <c r="G31" s="111" t="s">
        <v>2540</v>
      </c>
      <c r="H31" s="320" t="s">
        <v>2541</v>
      </c>
      <c r="I31" s="439">
        <v>45944.0</v>
      </c>
      <c r="J31" s="365">
        <v>45.0</v>
      </c>
      <c r="K31" s="431"/>
      <c r="L31" s="317"/>
      <c r="M31" s="320" t="s">
        <v>100</v>
      </c>
      <c r="N31" s="118" t="b">
        <v>1</v>
      </c>
      <c r="O31" s="119"/>
      <c r="Q31" s="284" t="s">
        <v>81</v>
      </c>
      <c r="R31" s="285" t="b">
        <v>1</v>
      </c>
      <c r="S31" s="285" t="b">
        <v>0</v>
      </c>
      <c r="T31" s="286" t="b">
        <v>1</v>
      </c>
    </row>
    <row r="32" outlineLevel="1">
      <c r="A32" s="317" t="s">
        <v>611</v>
      </c>
      <c r="B32" s="317" t="s">
        <v>74</v>
      </c>
      <c r="C32" s="316">
        <v>45944.0</v>
      </c>
      <c r="D32" s="317" t="s">
        <v>2237</v>
      </c>
      <c r="E32" s="317" t="s">
        <v>151</v>
      </c>
      <c r="F32" s="317">
        <v>3.406844852E9</v>
      </c>
      <c r="G32" s="317" t="s">
        <v>2238</v>
      </c>
      <c r="H32" s="317" t="s">
        <v>2239</v>
      </c>
      <c r="I32" s="318">
        <v>45944.0</v>
      </c>
      <c r="J32" s="365">
        <v>45.0</v>
      </c>
      <c r="K32" s="431"/>
      <c r="L32" s="317"/>
      <c r="M32" s="320" t="s">
        <v>80</v>
      </c>
      <c r="N32" s="118" t="b">
        <v>1</v>
      </c>
      <c r="O32" s="119"/>
      <c r="Q32" s="284" t="s">
        <v>81</v>
      </c>
      <c r="R32" s="285" t="b">
        <v>0</v>
      </c>
      <c r="S32" s="285" t="b">
        <v>1</v>
      </c>
      <c r="T32" s="286" t="b">
        <v>1</v>
      </c>
    </row>
    <row r="33" outlineLevel="1">
      <c r="A33" s="432" t="s">
        <v>611</v>
      </c>
      <c r="B33" s="432" t="s">
        <v>74</v>
      </c>
      <c r="C33" s="440">
        <v>45944.0</v>
      </c>
      <c r="D33" s="432" t="s">
        <v>2542</v>
      </c>
      <c r="E33" s="432" t="s">
        <v>777</v>
      </c>
      <c r="F33" s="432">
        <v>3.932302006E9</v>
      </c>
      <c r="G33" s="317" t="s">
        <v>2543</v>
      </c>
      <c r="H33" s="432" t="s">
        <v>2544</v>
      </c>
      <c r="I33" s="477">
        <v>45944.0</v>
      </c>
      <c r="J33" s="368">
        <v>45.0</v>
      </c>
      <c r="K33" s="431"/>
      <c r="L33" s="317"/>
      <c r="M33" s="320" t="s">
        <v>80</v>
      </c>
      <c r="N33" s="118" t="b">
        <v>1</v>
      </c>
      <c r="O33" s="119"/>
      <c r="Q33" s="284" t="s">
        <v>81</v>
      </c>
      <c r="R33" s="285" t="b">
        <v>0</v>
      </c>
      <c r="S33" s="285" t="b">
        <v>1</v>
      </c>
      <c r="T33" s="286" t="b">
        <v>1</v>
      </c>
    </row>
    <row r="34" outlineLevel="1">
      <c r="A34" s="317" t="s">
        <v>368</v>
      </c>
      <c r="B34" s="317" t="s">
        <v>369</v>
      </c>
      <c r="C34" s="316">
        <v>45945.0</v>
      </c>
      <c r="D34" s="317" t="s">
        <v>2545</v>
      </c>
      <c r="E34" s="317" t="s">
        <v>1372</v>
      </c>
      <c r="F34" s="317">
        <v>3.371235304E9</v>
      </c>
      <c r="G34" s="317" t="s">
        <v>2546</v>
      </c>
      <c r="H34" s="317" t="s">
        <v>2547</v>
      </c>
      <c r="I34" s="443">
        <v>45945.0</v>
      </c>
      <c r="J34" s="365"/>
      <c r="K34" s="431">
        <v>43.0</v>
      </c>
      <c r="L34" s="317" t="s">
        <v>79</v>
      </c>
      <c r="M34" s="320" t="s">
        <v>100</v>
      </c>
      <c r="N34" s="118" t="b">
        <v>1</v>
      </c>
      <c r="O34" s="119"/>
      <c r="Q34" s="284" t="s">
        <v>81</v>
      </c>
      <c r="R34" s="285" t="b">
        <v>1</v>
      </c>
      <c r="S34" s="285" t="b">
        <v>0</v>
      </c>
      <c r="T34" s="286" t="b">
        <v>1</v>
      </c>
    </row>
    <row r="35" outlineLevel="1">
      <c r="A35" s="317" t="s">
        <v>611</v>
      </c>
      <c r="B35" s="317" t="s">
        <v>74</v>
      </c>
      <c r="C35" s="316">
        <v>45945.0</v>
      </c>
      <c r="D35" s="317" t="s">
        <v>2548</v>
      </c>
      <c r="E35" s="317" t="s">
        <v>217</v>
      </c>
      <c r="F35" s="317">
        <v>3.478289569E9</v>
      </c>
      <c r="G35" s="317" t="s">
        <v>2549</v>
      </c>
      <c r="H35" s="317" t="s">
        <v>2550</v>
      </c>
      <c r="I35" s="443">
        <v>45945.0</v>
      </c>
      <c r="J35" s="365"/>
      <c r="K35" s="431">
        <v>43.0</v>
      </c>
      <c r="L35" s="317" t="s">
        <v>79</v>
      </c>
      <c r="M35" s="320" t="s">
        <v>80</v>
      </c>
      <c r="N35" s="118" t="b">
        <v>1</v>
      </c>
      <c r="O35" s="119"/>
      <c r="Q35" s="284" t="s">
        <v>81</v>
      </c>
      <c r="R35" s="285" t="b">
        <v>0</v>
      </c>
      <c r="S35" s="285" t="b">
        <v>1</v>
      </c>
      <c r="T35" s="286" t="b">
        <v>1</v>
      </c>
    </row>
    <row r="36" outlineLevel="1">
      <c r="A36" s="317" t="s">
        <v>611</v>
      </c>
      <c r="B36" s="317" t="s">
        <v>74</v>
      </c>
      <c r="C36" s="316">
        <v>45946.0</v>
      </c>
      <c r="D36" s="317" t="s">
        <v>2282</v>
      </c>
      <c r="E36" s="317" t="s">
        <v>2283</v>
      </c>
      <c r="F36" s="317">
        <v>3.922143888E9</v>
      </c>
      <c r="G36" s="317" t="s">
        <v>2284</v>
      </c>
      <c r="H36" s="317" t="s">
        <v>2285</v>
      </c>
      <c r="I36" s="443">
        <v>45946.0</v>
      </c>
      <c r="J36" s="365">
        <v>45.0</v>
      </c>
      <c r="K36" s="431"/>
      <c r="L36" s="317"/>
      <c r="M36" s="320" t="s">
        <v>80</v>
      </c>
      <c r="N36" s="118" t="b">
        <v>1</v>
      </c>
      <c r="O36" s="119"/>
      <c r="Q36" s="284" t="s">
        <v>81</v>
      </c>
      <c r="R36" s="285" t="b">
        <v>0</v>
      </c>
      <c r="S36" s="285" t="b">
        <v>1</v>
      </c>
      <c r="T36" s="286" t="b">
        <v>1</v>
      </c>
    </row>
    <row r="37" outlineLevel="1">
      <c r="A37" s="317" t="s">
        <v>611</v>
      </c>
      <c r="B37" s="317" t="s">
        <v>74</v>
      </c>
      <c r="C37" s="316">
        <v>45946.0</v>
      </c>
      <c r="D37" s="317" t="s">
        <v>2551</v>
      </c>
      <c r="E37" s="317" t="s">
        <v>165</v>
      </c>
      <c r="F37" s="317">
        <v>3.240755954E9</v>
      </c>
      <c r="G37" s="317" t="s">
        <v>2552</v>
      </c>
      <c r="H37" s="317" t="s">
        <v>2553</v>
      </c>
      <c r="I37" s="443">
        <v>45946.0</v>
      </c>
      <c r="J37" s="365"/>
      <c r="K37" s="431">
        <v>43.0</v>
      </c>
      <c r="L37" s="317" t="s">
        <v>106</v>
      </c>
      <c r="M37" s="320" t="s">
        <v>100</v>
      </c>
      <c r="N37" s="118" t="b">
        <v>1</v>
      </c>
      <c r="O37" s="119"/>
      <c r="Q37" s="284" t="s">
        <v>81</v>
      </c>
      <c r="R37" s="285" t="b">
        <v>1</v>
      </c>
      <c r="S37" s="285" t="b">
        <v>0</v>
      </c>
      <c r="T37" s="286" t="b">
        <v>1</v>
      </c>
    </row>
    <row r="38" outlineLevel="1">
      <c r="A38" s="317" t="s">
        <v>368</v>
      </c>
      <c r="B38" s="317" t="s">
        <v>369</v>
      </c>
      <c r="C38" s="316">
        <v>45949.0</v>
      </c>
      <c r="D38" s="317" t="s">
        <v>2037</v>
      </c>
      <c r="E38" s="317" t="s">
        <v>2038</v>
      </c>
      <c r="F38" s="317">
        <v>3.921397327E9</v>
      </c>
      <c r="G38" s="317" t="s">
        <v>2039</v>
      </c>
      <c r="H38" s="317" t="s">
        <v>2040</v>
      </c>
      <c r="I38" s="443">
        <v>45949.0</v>
      </c>
      <c r="J38" s="365">
        <v>45.0</v>
      </c>
      <c r="K38" s="431"/>
      <c r="L38" s="317"/>
      <c r="M38" s="320" t="s">
        <v>449</v>
      </c>
      <c r="N38" s="118" t="b">
        <v>1</v>
      </c>
      <c r="O38" s="119"/>
      <c r="Q38" s="284" t="s">
        <v>81</v>
      </c>
      <c r="R38" s="285" t="b">
        <v>1</v>
      </c>
      <c r="S38" s="285" t="b">
        <v>0</v>
      </c>
      <c r="T38" s="286" t="b">
        <v>1</v>
      </c>
    </row>
    <row r="39" outlineLevel="1">
      <c r="A39" s="432" t="s">
        <v>2026</v>
      </c>
      <c r="B39" s="432" t="s">
        <v>74</v>
      </c>
      <c r="C39" s="440">
        <v>45947.0</v>
      </c>
      <c r="D39" s="432" t="s">
        <v>2554</v>
      </c>
      <c r="E39" s="432" t="s">
        <v>2555</v>
      </c>
      <c r="F39" s="432">
        <v>3.201875152E9</v>
      </c>
      <c r="G39" s="317" t="s">
        <v>2556</v>
      </c>
      <c r="H39" s="432" t="s">
        <v>2557</v>
      </c>
      <c r="I39" s="441">
        <v>45947.0</v>
      </c>
      <c r="J39" s="368">
        <v>45.0</v>
      </c>
      <c r="K39" s="431"/>
      <c r="L39" s="317"/>
      <c r="M39" s="320" t="s">
        <v>80</v>
      </c>
      <c r="N39" s="118" t="b">
        <v>0</v>
      </c>
      <c r="O39" s="119"/>
      <c r="Q39" s="284" t="s">
        <v>81</v>
      </c>
      <c r="R39" s="285" t="b">
        <v>0</v>
      </c>
      <c r="S39" s="285" t="b">
        <v>1</v>
      </c>
      <c r="T39" s="286" t="b">
        <v>1</v>
      </c>
    </row>
    <row r="40" outlineLevel="1">
      <c r="A40" s="317" t="s">
        <v>2026</v>
      </c>
      <c r="B40" s="317" t="s">
        <v>74</v>
      </c>
      <c r="C40" s="316">
        <v>45948.0</v>
      </c>
      <c r="D40" s="317" t="s">
        <v>2558</v>
      </c>
      <c r="E40" s="317" t="s">
        <v>1772</v>
      </c>
      <c r="F40" s="317">
        <v>3.791949443E9</v>
      </c>
      <c r="G40" s="317" t="s">
        <v>2559</v>
      </c>
      <c r="H40" s="317" t="s">
        <v>2560</v>
      </c>
      <c r="I40" s="318">
        <v>45948.0</v>
      </c>
      <c r="J40" s="365">
        <v>45.0</v>
      </c>
      <c r="K40" s="431"/>
      <c r="L40" s="317"/>
      <c r="M40" s="320" t="s">
        <v>80</v>
      </c>
      <c r="N40" s="118" t="b">
        <v>0</v>
      </c>
      <c r="O40" s="119"/>
      <c r="Q40" s="284" t="s">
        <v>81</v>
      </c>
      <c r="R40" s="285" t="b">
        <v>0</v>
      </c>
      <c r="S40" s="285" t="b">
        <v>1</v>
      </c>
      <c r="T40" s="286" t="b">
        <v>1</v>
      </c>
    </row>
    <row r="41" outlineLevel="1">
      <c r="A41" s="317" t="s">
        <v>2026</v>
      </c>
      <c r="B41" s="317" t="s">
        <v>74</v>
      </c>
      <c r="C41" s="316">
        <v>45948.0</v>
      </c>
      <c r="D41" s="317" t="s">
        <v>2561</v>
      </c>
      <c r="E41" s="317" t="s">
        <v>402</v>
      </c>
      <c r="F41" s="317">
        <v>3.466395155E9</v>
      </c>
      <c r="G41" s="317" t="s">
        <v>2562</v>
      </c>
      <c r="H41" s="317" t="s">
        <v>2563</v>
      </c>
      <c r="I41" s="318">
        <v>45948.0</v>
      </c>
      <c r="J41" s="365">
        <v>45.0</v>
      </c>
      <c r="K41" s="431"/>
      <c r="L41" s="317"/>
      <c r="M41" s="317" t="s">
        <v>80</v>
      </c>
      <c r="N41" s="118" t="b">
        <v>1</v>
      </c>
      <c r="O41" s="119"/>
      <c r="Q41" s="284" t="s">
        <v>81</v>
      </c>
      <c r="R41" s="285" t="b">
        <v>0</v>
      </c>
      <c r="S41" s="285" t="b">
        <v>1</v>
      </c>
      <c r="T41" s="286" t="b">
        <v>1</v>
      </c>
    </row>
    <row r="42" outlineLevel="1">
      <c r="A42" s="317" t="s">
        <v>2026</v>
      </c>
      <c r="B42" s="317" t="s">
        <v>74</v>
      </c>
      <c r="C42" s="316">
        <v>45949.0</v>
      </c>
      <c r="D42" s="320" t="s">
        <v>95</v>
      </c>
      <c r="E42" s="317" t="s">
        <v>96</v>
      </c>
      <c r="F42" s="317">
        <v>3.517240804E9</v>
      </c>
      <c r="G42" s="317" t="s">
        <v>97</v>
      </c>
      <c r="H42" s="317" t="s">
        <v>98</v>
      </c>
      <c r="I42" s="318">
        <v>45949.0</v>
      </c>
      <c r="J42" s="365"/>
      <c r="K42" s="431">
        <v>43.0</v>
      </c>
      <c r="L42" s="317" t="s">
        <v>902</v>
      </c>
      <c r="M42" s="317" t="s">
        <v>100</v>
      </c>
      <c r="N42" s="118" t="b">
        <v>1</v>
      </c>
      <c r="O42" s="119"/>
      <c r="Q42" s="284" t="s">
        <v>81</v>
      </c>
      <c r="R42" s="285" t="b">
        <v>1</v>
      </c>
      <c r="S42" s="285" t="b">
        <v>0</v>
      </c>
      <c r="T42" s="286" t="b">
        <v>1</v>
      </c>
    </row>
    <row r="43" outlineLevel="1">
      <c r="A43" s="317" t="s">
        <v>2026</v>
      </c>
      <c r="B43" s="317" t="s">
        <v>74</v>
      </c>
      <c r="C43" s="316">
        <v>45949.0</v>
      </c>
      <c r="D43" s="320" t="s">
        <v>2564</v>
      </c>
      <c r="E43" s="317" t="s">
        <v>2565</v>
      </c>
      <c r="F43" s="317">
        <v>3.914065196E9</v>
      </c>
      <c r="G43" s="317" t="s">
        <v>2566</v>
      </c>
      <c r="H43" s="317" t="s">
        <v>2567</v>
      </c>
      <c r="I43" s="318">
        <v>45949.0</v>
      </c>
      <c r="J43" s="365">
        <v>45.0</v>
      </c>
      <c r="K43" s="431"/>
      <c r="L43" s="317"/>
      <c r="M43" s="320" t="s">
        <v>80</v>
      </c>
      <c r="N43" s="118" t="b">
        <v>1</v>
      </c>
      <c r="O43" s="119" t="s">
        <v>2568</v>
      </c>
      <c r="Q43" s="284" t="s">
        <v>81</v>
      </c>
      <c r="R43" s="285" t="b">
        <v>0</v>
      </c>
      <c r="S43" s="285" t="b">
        <v>1</v>
      </c>
      <c r="T43" s="286" t="b">
        <v>1</v>
      </c>
    </row>
    <row r="44" outlineLevel="1">
      <c r="A44" s="317" t="s">
        <v>2026</v>
      </c>
      <c r="B44" s="317" t="s">
        <v>74</v>
      </c>
      <c r="C44" s="444">
        <v>45949.0</v>
      </c>
      <c r="D44" s="320" t="s">
        <v>2564</v>
      </c>
      <c r="E44" s="317" t="s">
        <v>2565</v>
      </c>
      <c r="F44" s="317">
        <v>3.914065196E9</v>
      </c>
      <c r="G44" s="317" t="s">
        <v>2566</v>
      </c>
      <c r="H44" s="317" t="s">
        <v>2569</v>
      </c>
      <c r="I44" s="318">
        <v>45949.0</v>
      </c>
      <c r="J44" s="365">
        <v>45.0</v>
      </c>
      <c r="K44" s="431"/>
      <c r="L44" s="432"/>
      <c r="M44" s="317" t="s">
        <v>80</v>
      </c>
      <c r="N44" s="118" t="b">
        <v>1</v>
      </c>
      <c r="O44" s="119"/>
      <c r="Q44" s="284" t="s">
        <v>81</v>
      </c>
      <c r="R44" s="285" t="b">
        <v>0</v>
      </c>
      <c r="S44" s="285" t="b">
        <v>1</v>
      </c>
      <c r="T44" s="286" t="b">
        <v>1</v>
      </c>
    </row>
    <row r="45" outlineLevel="1">
      <c r="A45" s="317" t="s">
        <v>611</v>
      </c>
      <c r="B45" s="317" t="s">
        <v>74</v>
      </c>
      <c r="C45" s="316">
        <v>45945.0</v>
      </c>
      <c r="D45" s="317" t="s">
        <v>2570</v>
      </c>
      <c r="E45" s="317" t="s">
        <v>2571</v>
      </c>
      <c r="F45" s="317">
        <v>3.397304705E9</v>
      </c>
      <c r="G45" s="317" t="s">
        <v>2572</v>
      </c>
      <c r="H45" s="317" t="s">
        <v>2573</v>
      </c>
      <c r="I45" s="318">
        <v>45945.0</v>
      </c>
      <c r="J45" s="365">
        <v>45.0</v>
      </c>
      <c r="K45" s="431"/>
      <c r="L45" s="317"/>
      <c r="M45" s="320" t="s">
        <v>100</v>
      </c>
      <c r="N45" s="118" t="b">
        <v>1</v>
      </c>
      <c r="O45" s="119" t="s">
        <v>2574</v>
      </c>
      <c r="Q45" s="284" t="s">
        <v>81</v>
      </c>
      <c r="R45" s="285" t="b">
        <v>1</v>
      </c>
      <c r="S45" s="285" t="b">
        <v>0</v>
      </c>
      <c r="T45" s="286" t="b">
        <v>1</v>
      </c>
    </row>
    <row r="46" outlineLevel="1">
      <c r="A46" s="317" t="s">
        <v>2026</v>
      </c>
      <c r="B46" s="317" t="s">
        <v>74</v>
      </c>
      <c r="C46" s="316">
        <v>45950.0</v>
      </c>
      <c r="D46" s="317" t="s">
        <v>2575</v>
      </c>
      <c r="E46" s="317" t="s">
        <v>2202</v>
      </c>
      <c r="F46" s="317">
        <v>3.39165291E9</v>
      </c>
      <c r="G46" s="471" t="s">
        <v>2576</v>
      </c>
      <c r="H46" s="317" t="s">
        <v>2577</v>
      </c>
      <c r="I46" s="443">
        <v>45950.0</v>
      </c>
      <c r="J46" s="365">
        <v>45.0</v>
      </c>
      <c r="K46" s="431"/>
      <c r="L46" s="317"/>
      <c r="M46" s="317" t="s">
        <v>80</v>
      </c>
      <c r="N46" s="118" t="b">
        <v>1</v>
      </c>
      <c r="O46" s="119"/>
      <c r="Q46" s="284" t="s">
        <v>81</v>
      </c>
      <c r="R46" s="285" t="b">
        <v>0</v>
      </c>
      <c r="S46" s="285" t="b">
        <v>1</v>
      </c>
      <c r="T46" s="286" t="b">
        <v>1</v>
      </c>
    </row>
    <row r="47" outlineLevel="1">
      <c r="A47" s="317" t="s">
        <v>239</v>
      </c>
      <c r="B47" s="317" t="s">
        <v>240</v>
      </c>
      <c r="C47" s="316">
        <v>45952.0</v>
      </c>
      <c r="D47" s="317" t="s">
        <v>2131</v>
      </c>
      <c r="E47" s="317" t="s">
        <v>496</v>
      </c>
      <c r="F47" s="317">
        <v>3.481605739E9</v>
      </c>
      <c r="G47" s="247" t="s">
        <v>2132</v>
      </c>
      <c r="H47" s="317" t="s">
        <v>2133</v>
      </c>
      <c r="I47" s="443">
        <v>45952.0</v>
      </c>
      <c r="J47" s="368"/>
      <c r="K47" s="431">
        <v>43.0</v>
      </c>
      <c r="L47" s="317" t="s">
        <v>245</v>
      </c>
      <c r="M47" s="317"/>
      <c r="N47" s="118" t="b">
        <v>1</v>
      </c>
      <c r="O47" s="119"/>
      <c r="Q47" s="284" t="s">
        <v>81</v>
      </c>
      <c r="R47" s="285" t="b">
        <v>1</v>
      </c>
      <c r="S47" s="285" t="b">
        <v>0</v>
      </c>
      <c r="T47" s="286" t="b">
        <v>1</v>
      </c>
    </row>
    <row r="48" outlineLevel="1">
      <c r="A48" s="317" t="s">
        <v>239</v>
      </c>
      <c r="B48" s="317" t="s">
        <v>240</v>
      </c>
      <c r="C48" s="316">
        <v>45952.0</v>
      </c>
      <c r="D48" s="317" t="s">
        <v>2125</v>
      </c>
      <c r="E48" s="317" t="s">
        <v>650</v>
      </c>
      <c r="F48" s="247" t="s">
        <v>2578</v>
      </c>
      <c r="G48" s="247" t="s">
        <v>2126</v>
      </c>
      <c r="H48" s="317" t="s">
        <v>2127</v>
      </c>
      <c r="I48" s="443">
        <v>45952.0</v>
      </c>
      <c r="J48" s="365"/>
      <c r="K48" s="431">
        <v>43.0</v>
      </c>
      <c r="L48" s="317" t="s">
        <v>245</v>
      </c>
      <c r="M48" s="317"/>
      <c r="N48" s="118" t="b">
        <v>1</v>
      </c>
      <c r="O48" s="119"/>
      <c r="Q48" s="284" t="s">
        <v>81</v>
      </c>
      <c r="R48" s="285" t="b">
        <v>1</v>
      </c>
      <c r="S48" s="285" t="b">
        <v>0</v>
      </c>
      <c r="T48" s="286" t="b">
        <v>1</v>
      </c>
    </row>
    <row r="49" outlineLevel="1">
      <c r="A49" s="317" t="s">
        <v>2026</v>
      </c>
      <c r="B49" s="317" t="s">
        <v>74</v>
      </c>
      <c r="C49" s="316">
        <v>45952.0</v>
      </c>
      <c r="D49" s="317" t="s">
        <v>678</v>
      </c>
      <c r="E49" s="317" t="s">
        <v>777</v>
      </c>
      <c r="F49" s="317">
        <v>3.383162719E9</v>
      </c>
      <c r="G49" s="317" t="s">
        <v>2579</v>
      </c>
      <c r="H49" s="317" t="s">
        <v>2580</v>
      </c>
      <c r="I49" s="443">
        <v>45952.0</v>
      </c>
      <c r="J49" s="365">
        <v>45.0</v>
      </c>
      <c r="K49" s="431"/>
      <c r="L49" s="317"/>
      <c r="M49" s="317" t="s">
        <v>80</v>
      </c>
      <c r="N49" s="118" t="b">
        <v>1</v>
      </c>
      <c r="O49" s="119"/>
      <c r="Q49" s="284" t="s">
        <v>81</v>
      </c>
      <c r="R49" s="285" t="b">
        <v>0</v>
      </c>
      <c r="S49" s="285" t="b">
        <v>1</v>
      </c>
      <c r="T49" s="286" t="b">
        <v>1</v>
      </c>
    </row>
    <row r="50" outlineLevel="1">
      <c r="A50" s="317" t="s">
        <v>2026</v>
      </c>
      <c r="B50" s="317" t="s">
        <v>74</v>
      </c>
      <c r="C50" s="472">
        <v>45952.0</v>
      </c>
      <c r="D50" s="317" t="s">
        <v>2581</v>
      </c>
      <c r="E50" s="317" t="s">
        <v>2582</v>
      </c>
      <c r="F50" s="317">
        <v>3.313031885E9</v>
      </c>
      <c r="G50" s="317" t="s">
        <v>2583</v>
      </c>
      <c r="H50" s="317" t="s">
        <v>2584</v>
      </c>
      <c r="I50" s="439">
        <v>45952.0</v>
      </c>
      <c r="J50" s="365">
        <v>45.0</v>
      </c>
      <c r="K50" s="431"/>
      <c r="L50" s="317"/>
      <c r="M50" s="320" t="s">
        <v>80</v>
      </c>
      <c r="N50" s="118" t="b">
        <v>1</v>
      </c>
      <c r="O50" s="119"/>
      <c r="Q50" s="284" t="s">
        <v>81</v>
      </c>
      <c r="R50" s="285" t="b">
        <v>0</v>
      </c>
      <c r="S50" s="285" t="b">
        <v>1</v>
      </c>
      <c r="T50" s="286" t="b">
        <v>1</v>
      </c>
    </row>
    <row r="51" outlineLevel="1">
      <c r="A51" s="317" t="s">
        <v>73</v>
      </c>
      <c r="B51" s="317" t="s">
        <v>74</v>
      </c>
      <c r="C51" s="472">
        <v>45952.0</v>
      </c>
      <c r="D51" s="317" t="s">
        <v>2585</v>
      </c>
      <c r="E51" s="317" t="s">
        <v>1362</v>
      </c>
      <c r="F51" s="317">
        <v>3.703712938E9</v>
      </c>
      <c r="G51" s="317" t="s">
        <v>2586</v>
      </c>
      <c r="H51" s="317" t="s">
        <v>2587</v>
      </c>
      <c r="I51" s="439">
        <v>45952.0</v>
      </c>
      <c r="J51" s="365"/>
      <c r="K51" s="431">
        <v>43.0</v>
      </c>
      <c r="L51" s="317" t="s">
        <v>99</v>
      </c>
      <c r="M51" s="320" t="s">
        <v>80</v>
      </c>
      <c r="N51" s="118" t="b">
        <v>1</v>
      </c>
      <c r="O51" s="119" t="s">
        <v>2588</v>
      </c>
      <c r="Q51" s="284" t="s">
        <v>81</v>
      </c>
      <c r="R51" s="285" t="b">
        <v>0</v>
      </c>
      <c r="S51" s="285" t="b">
        <v>1</v>
      </c>
      <c r="T51" s="286" t="b">
        <v>1</v>
      </c>
    </row>
    <row r="52" outlineLevel="1">
      <c r="A52" s="317" t="s">
        <v>73</v>
      </c>
      <c r="B52" s="317" t="s">
        <v>74</v>
      </c>
      <c r="C52" s="472">
        <v>45952.0</v>
      </c>
      <c r="D52" s="317" t="s">
        <v>1523</v>
      </c>
      <c r="E52" s="317" t="s">
        <v>180</v>
      </c>
      <c r="F52" s="317">
        <v>3.293833017E9</v>
      </c>
      <c r="G52" s="317" t="s">
        <v>2589</v>
      </c>
      <c r="H52" s="317" t="s">
        <v>2590</v>
      </c>
      <c r="I52" s="439">
        <v>45952.0</v>
      </c>
      <c r="J52" s="365"/>
      <c r="K52" s="431">
        <v>43.0</v>
      </c>
      <c r="L52" s="317" t="s">
        <v>99</v>
      </c>
      <c r="M52" s="320" t="s">
        <v>80</v>
      </c>
      <c r="N52" s="118" t="b">
        <v>1</v>
      </c>
      <c r="O52" s="119"/>
      <c r="Q52" s="284" t="s">
        <v>81</v>
      </c>
      <c r="R52" s="285" t="b">
        <v>0</v>
      </c>
      <c r="S52" s="285" t="b">
        <v>1</v>
      </c>
      <c r="T52" s="286" t="b">
        <v>1</v>
      </c>
    </row>
    <row r="53" outlineLevel="1">
      <c r="A53" s="317" t="s">
        <v>2026</v>
      </c>
      <c r="B53" s="317" t="s">
        <v>74</v>
      </c>
      <c r="C53" s="473">
        <v>45953.0</v>
      </c>
      <c r="D53" s="320" t="s">
        <v>2591</v>
      </c>
      <c r="E53" s="320" t="s">
        <v>703</v>
      </c>
      <c r="F53" s="320">
        <v>3.47068541E9</v>
      </c>
      <c r="G53" s="320" t="s">
        <v>704</v>
      </c>
      <c r="H53" s="320" t="s">
        <v>705</v>
      </c>
      <c r="I53" s="439">
        <v>45953.0</v>
      </c>
      <c r="J53" s="365">
        <v>45.0</v>
      </c>
      <c r="K53" s="431"/>
      <c r="L53" s="317"/>
      <c r="M53" s="320" t="s">
        <v>80</v>
      </c>
      <c r="N53" s="118" t="b">
        <v>1</v>
      </c>
      <c r="O53" s="119"/>
      <c r="Q53" s="284" t="s">
        <v>81</v>
      </c>
      <c r="R53" s="285" t="b">
        <v>0</v>
      </c>
      <c r="S53" s="285" t="b">
        <v>1</v>
      </c>
      <c r="T53" s="286" t="b">
        <v>1</v>
      </c>
    </row>
    <row r="54" outlineLevel="1">
      <c r="A54" s="317" t="s">
        <v>101</v>
      </c>
      <c r="B54" s="541" t="s">
        <v>102</v>
      </c>
      <c r="C54" s="536">
        <v>45954.0</v>
      </c>
      <c r="D54" s="116" t="s">
        <v>894</v>
      </c>
      <c r="E54" s="317" t="s">
        <v>895</v>
      </c>
      <c r="F54" s="317">
        <v>3.314938368E9</v>
      </c>
      <c r="G54" s="317" t="s">
        <v>896</v>
      </c>
      <c r="H54" s="317" t="s">
        <v>897</v>
      </c>
      <c r="I54" s="318">
        <v>45954.0</v>
      </c>
      <c r="J54" s="365"/>
      <c r="K54" s="431">
        <v>43.0</v>
      </c>
      <c r="L54" s="317" t="s">
        <v>106</v>
      </c>
      <c r="M54" s="432"/>
      <c r="N54" s="118" t="b">
        <v>1</v>
      </c>
      <c r="O54" s="119" t="s">
        <v>2466</v>
      </c>
      <c r="Q54" s="284" t="s">
        <v>81</v>
      </c>
      <c r="R54" s="285" t="b">
        <v>0</v>
      </c>
      <c r="S54" s="285" t="b">
        <v>1</v>
      </c>
      <c r="T54" s="286" t="b">
        <v>1</v>
      </c>
    </row>
    <row r="55" outlineLevel="1">
      <c r="A55" s="317" t="s">
        <v>611</v>
      </c>
      <c r="B55" s="317" t="s">
        <v>74</v>
      </c>
      <c r="C55" s="473">
        <v>45955.0</v>
      </c>
      <c r="D55" s="317" t="s">
        <v>2592</v>
      </c>
      <c r="E55" s="317" t="s">
        <v>7</v>
      </c>
      <c r="F55" s="317">
        <v>3.488710026E9</v>
      </c>
      <c r="G55" s="317" t="s">
        <v>2593</v>
      </c>
      <c r="H55" s="317" t="s">
        <v>1219</v>
      </c>
      <c r="I55" s="439">
        <v>45955.0</v>
      </c>
      <c r="J55" s="365">
        <v>45.0</v>
      </c>
      <c r="K55" s="431"/>
      <c r="L55" s="317"/>
      <c r="M55" s="320" t="s">
        <v>100</v>
      </c>
      <c r="N55" s="118" t="b">
        <v>1</v>
      </c>
      <c r="O55" s="119"/>
      <c r="Q55" s="284" t="s">
        <v>81</v>
      </c>
      <c r="R55" s="285" t="b">
        <v>1</v>
      </c>
      <c r="S55" s="285" t="b">
        <v>0</v>
      </c>
      <c r="T55" s="286" t="b">
        <v>1</v>
      </c>
    </row>
    <row r="56" outlineLevel="1">
      <c r="A56" s="317" t="s">
        <v>611</v>
      </c>
      <c r="B56" s="317" t="s">
        <v>74</v>
      </c>
      <c r="C56" s="472">
        <v>45955.0</v>
      </c>
      <c r="D56" s="317" t="s">
        <v>2594</v>
      </c>
      <c r="E56" s="317" t="s">
        <v>285</v>
      </c>
      <c r="F56" s="317">
        <v>3.930314628E9</v>
      </c>
      <c r="G56" s="317" t="s">
        <v>2595</v>
      </c>
      <c r="H56" s="317" t="s">
        <v>2596</v>
      </c>
      <c r="I56" s="439">
        <v>45955.0</v>
      </c>
      <c r="J56" s="365">
        <v>45.0</v>
      </c>
      <c r="K56" s="431"/>
      <c r="L56" s="317"/>
      <c r="M56" s="320" t="s">
        <v>80</v>
      </c>
      <c r="N56" s="118" t="b">
        <v>1</v>
      </c>
      <c r="O56" s="119"/>
      <c r="Q56" s="284" t="s">
        <v>81</v>
      </c>
      <c r="R56" s="285" t="b">
        <v>0</v>
      </c>
      <c r="S56" s="285" t="b">
        <v>1</v>
      </c>
      <c r="T56" s="286" t="b">
        <v>1</v>
      </c>
    </row>
    <row r="57" outlineLevel="1">
      <c r="A57" s="317" t="s">
        <v>611</v>
      </c>
      <c r="B57" s="317" t="s">
        <v>74</v>
      </c>
      <c r="C57" s="472">
        <v>45954.0</v>
      </c>
      <c r="D57" s="317" t="s">
        <v>2597</v>
      </c>
      <c r="E57" s="317" t="s">
        <v>91</v>
      </c>
      <c r="F57" s="317">
        <v>3.479178545E9</v>
      </c>
      <c r="G57" s="475" t="s">
        <v>2598</v>
      </c>
      <c r="H57" s="317" t="s">
        <v>2599</v>
      </c>
      <c r="I57" s="439">
        <v>45954.0</v>
      </c>
      <c r="J57" s="365">
        <v>45.0</v>
      </c>
      <c r="K57" s="431"/>
      <c r="L57" s="317"/>
      <c r="M57" s="317" t="s">
        <v>80</v>
      </c>
      <c r="N57" s="118" t="b">
        <v>1</v>
      </c>
      <c r="O57" s="119"/>
      <c r="Q57" s="284" t="s">
        <v>81</v>
      </c>
      <c r="R57" s="285" t="b">
        <v>0</v>
      </c>
      <c r="S57" s="285" t="b">
        <v>1</v>
      </c>
      <c r="T57" s="286" t="b">
        <v>1</v>
      </c>
    </row>
    <row r="58" outlineLevel="1">
      <c r="A58" s="317" t="s">
        <v>611</v>
      </c>
      <c r="B58" s="317" t="s">
        <v>74</v>
      </c>
      <c r="C58" s="316">
        <v>45954.0</v>
      </c>
      <c r="D58" s="317" t="s">
        <v>2600</v>
      </c>
      <c r="E58" s="317" t="s">
        <v>2601</v>
      </c>
      <c r="F58" s="317">
        <v>3.661312047E9</v>
      </c>
      <c r="G58" s="475" t="s">
        <v>2602</v>
      </c>
      <c r="H58" s="317" t="s">
        <v>2603</v>
      </c>
      <c r="I58" s="443">
        <v>45954.0</v>
      </c>
      <c r="J58" s="365">
        <v>45.0</v>
      </c>
      <c r="K58" s="436"/>
      <c r="L58" s="317"/>
      <c r="M58" s="317" t="s">
        <v>80</v>
      </c>
      <c r="N58" s="118" t="b">
        <v>1</v>
      </c>
      <c r="O58" s="119"/>
      <c r="Q58" s="284" t="s">
        <v>81</v>
      </c>
      <c r="R58" s="285" t="b">
        <v>0</v>
      </c>
      <c r="S58" s="285" t="b">
        <v>1</v>
      </c>
      <c r="T58" s="286" t="b">
        <v>1</v>
      </c>
    </row>
    <row r="59" outlineLevel="1">
      <c r="A59" s="317" t="s">
        <v>611</v>
      </c>
      <c r="B59" s="317" t="s">
        <v>74</v>
      </c>
      <c r="C59" s="316">
        <v>45953.0</v>
      </c>
      <c r="D59" s="317" t="s">
        <v>2604</v>
      </c>
      <c r="E59" s="317" t="s">
        <v>782</v>
      </c>
      <c r="F59" s="317">
        <v>3.703106992E9</v>
      </c>
      <c r="G59" s="475" t="s">
        <v>2605</v>
      </c>
      <c r="H59" s="317" t="s">
        <v>2606</v>
      </c>
      <c r="I59" s="443">
        <v>45953.0</v>
      </c>
      <c r="J59" s="365">
        <v>45.0</v>
      </c>
      <c r="K59" s="436"/>
      <c r="L59" s="317"/>
      <c r="M59" s="317" t="s">
        <v>80</v>
      </c>
      <c r="N59" s="118" t="b">
        <v>1</v>
      </c>
      <c r="O59" s="119"/>
      <c r="Q59" s="284" t="s">
        <v>81</v>
      </c>
      <c r="R59" s="285" t="b">
        <v>0</v>
      </c>
      <c r="S59" s="285" t="b">
        <v>1</v>
      </c>
      <c r="T59" s="286" t="b">
        <v>1</v>
      </c>
    </row>
    <row r="60" outlineLevel="1">
      <c r="A60" s="317" t="s">
        <v>611</v>
      </c>
      <c r="B60" s="317" t="s">
        <v>74</v>
      </c>
      <c r="C60" s="316">
        <v>45955.0</v>
      </c>
      <c r="D60" s="317" t="s">
        <v>2607</v>
      </c>
      <c r="E60" s="317" t="s">
        <v>2608</v>
      </c>
      <c r="F60" s="317">
        <v>3.485872331E9</v>
      </c>
      <c r="G60" s="475" t="s">
        <v>2609</v>
      </c>
      <c r="H60" s="317" t="s">
        <v>2610</v>
      </c>
      <c r="I60" s="443">
        <v>45955.0</v>
      </c>
      <c r="J60" s="365">
        <v>45.0</v>
      </c>
      <c r="K60" s="436"/>
      <c r="L60" s="317"/>
      <c r="M60" s="317" t="s">
        <v>80</v>
      </c>
      <c r="N60" s="118" t="b">
        <v>1</v>
      </c>
      <c r="O60" s="119"/>
      <c r="Q60" s="284" t="s">
        <v>81</v>
      </c>
      <c r="R60" s="285" t="b">
        <v>0</v>
      </c>
      <c r="S60" s="285" t="b">
        <v>1</v>
      </c>
      <c r="T60" s="286" t="b">
        <v>1</v>
      </c>
    </row>
    <row r="61" outlineLevel="1">
      <c r="A61" s="317" t="s">
        <v>368</v>
      </c>
      <c r="B61" s="317" t="s">
        <v>74</v>
      </c>
      <c r="C61" s="316">
        <v>45956.0</v>
      </c>
      <c r="D61" s="317" t="s">
        <v>2301</v>
      </c>
      <c r="E61" s="317" t="s">
        <v>351</v>
      </c>
      <c r="F61" s="317">
        <v>8.492824055E9</v>
      </c>
      <c r="G61" s="475" t="s">
        <v>2302</v>
      </c>
      <c r="H61" s="317" t="s">
        <v>2303</v>
      </c>
      <c r="I61" s="443">
        <v>45956.0</v>
      </c>
      <c r="J61" s="365">
        <v>45.0</v>
      </c>
      <c r="K61" s="436"/>
      <c r="L61" s="317"/>
      <c r="M61" s="317" t="s">
        <v>80</v>
      </c>
      <c r="N61" s="118" t="b">
        <v>1</v>
      </c>
      <c r="O61" s="119"/>
      <c r="Q61" s="284" t="s">
        <v>81</v>
      </c>
      <c r="R61" s="285" t="b">
        <v>0</v>
      </c>
      <c r="S61" s="285" t="b">
        <v>1</v>
      </c>
      <c r="T61" s="286" t="b">
        <v>1</v>
      </c>
    </row>
    <row r="62" outlineLevel="1">
      <c r="A62" s="317" t="s">
        <v>368</v>
      </c>
      <c r="B62" s="317" t="s">
        <v>369</v>
      </c>
      <c r="C62" s="316">
        <v>45956.0</v>
      </c>
      <c r="D62" s="317" t="s">
        <v>2611</v>
      </c>
      <c r="E62" s="317" t="s">
        <v>2612</v>
      </c>
      <c r="F62" s="317">
        <f>31614893900</f>
        <v>31614893900</v>
      </c>
      <c r="G62" s="475" t="s">
        <v>2613</v>
      </c>
      <c r="H62" s="317" t="s">
        <v>2614</v>
      </c>
      <c r="I62" s="318">
        <v>45956.0</v>
      </c>
      <c r="J62" s="365">
        <v>45.0</v>
      </c>
      <c r="K62" s="431"/>
      <c r="L62" s="317"/>
      <c r="M62" s="317" t="s">
        <v>449</v>
      </c>
      <c r="N62" s="118" t="b">
        <v>1</v>
      </c>
      <c r="O62" s="119"/>
      <c r="Q62" s="284" t="s">
        <v>81</v>
      </c>
      <c r="R62" s="285" t="b">
        <v>1</v>
      </c>
      <c r="S62" s="285" t="b">
        <v>0</v>
      </c>
      <c r="T62" s="286" t="b">
        <v>1</v>
      </c>
    </row>
    <row r="63" outlineLevel="1">
      <c r="A63" s="317" t="s">
        <v>368</v>
      </c>
      <c r="B63" s="317"/>
      <c r="C63" s="316">
        <v>45956.0</v>
      </c>
      <c r="D63" s="317" t="s">
        <v>2615</v>
      </c>
      <c r="E63" s="317" t="s">
        <v>2616</v>
      </c>
      <c r="F63" s="317">
        <v>3.48043103E9</v>
      </c>
      <c r="G63" s="475" t="s">
        <v>2617</v>
      </c>
      <c r="H63" s="317" t="s">
        <v>2618</v>
      </c>
      <c r="I63" s="318">
        <v>45956.0</v>
      </c>
      <c r="J63" s="365">
        <v>30.0</v>
      </c>
      <c r="K63" s="431"/>
      <c r="L63" s="317"/>
      <c r="M63" s="317" t="s">
        <v>162</v>
      </c>
      <c r="N63" s="118" t="b">
        <v>1</v>
      </c>
      <c r="O63" s="119"/>
      <c r="Q63" s="284" t="s">
        <v>81</v>
      </c>
      <c r="R63" s="285" t="b">
        <v>1</v>
      </c>
      <c r="S63" s="285" t="b">
        <v>0</v>
      </c>
      <c r="T63" s="286" t="b">
        <v>1</v>
      </c>
    </row>
    <row r="64" outlineLevel="1">
      <c r="A64" s="317" t="s">
        <v>368</v>
      </c>
      <c r="B64" s="317" t="s">
        <v>74</v>
      </c>
      <c r="C64" s="316">
        <v>45955.0</v>
      </c>
      <c r="D64" s="317" t="s">
        <v>2619</v>
      </c>
      <c r="E64" s="317" t="s">
        <v>1192</v>
      </c>
      <c r="F64" s="317">
        <v>3.347449735E9</v>
      </c>
      <c r="G64" s="475" t="s">
        <v>2620</v>
      </c>
      <c r="H64" s="317" t="s">
        <v>2621</v>
      </c>
      <c r="I64" s="318">
        <v>45955.0</v>
      </c>
      <c r="J64" s="365">
        <v>45.0</v>
      </c>
      <c r="K64" s="431"/>
      <c r="L64" s="317"/>
      <c r="M64" s="317" t="s">
        <v>80</v>
      </c>
      <c r="N64" s="118" t="b">
        <v>1</v>
      </c>
      <c r="O64" s="119"/>
      <c r="Q64" s="284" t="s">
        <v>81</v>
      </c>
      <c r="R64" s="285" t="b">
        <v>0</v>
      </c>
      <c r="S64" s="285" t="b">
        <v>1</v>
      </c>
      <c r="T64" s="286" t="b">
        <v>1</v>
      </c>
    </row>
    <row r="65" outlineLevel="1">
      <c r="A65" s="320" t="s">
        <v>368</v>
      </c>
      <c r="B65" s="317" t="s">
        <v>74</v>
      </c>
      <c r="C65" s="465">
        <v>45955.0</v>
      </c>
      <c r="D65" s="320" t="s">
        <v>2622</v>
      </c>
      <c r="E65" s="320" t="s">
        <v>2623</v>
      </c>
      <c r="F65" s="320">
        <v>3.319182094E9</v>
      </c>
      <c r="G65" s="471" t="s">
        <v>2624</v>
      </c>
      <c r="H65" s="320" t="s">
        <v>2625</v>
      </c>
      <c r="I65" s="478">
        <v>45955.0</v>
      </c>
      <c r="J65" s="365">
        <v>45.0</v>
      </c>
      <c r="K65" s="431"/>
      <c r="L65" s="317"/>
      <c r="M65" s="320" t="s">
        <v>80</v>
      </c>
      <c r="N65" s="154" t="b">
        <v>1</v>
      </c>
      <c r="O65" s="119"/>
      <c r="Q65" s="284" t="s">
        <v>81</v>
      </c>
      <c r="R65" s="285" t="b">
        <v>0</v>
      </c>
      <c r="S65" s="285" t="b">
        <v>1</v>
      </c>
      <c r="T65" s="286" t="b">
        <v>1</v>
      </c>
    </row>
    <row r="66" outlineLevel="1">
      <c r="A66" s="317" t="s">
        <v>368</v>
      </c>
      <c r="B66" s="317" t="s">
        <v>74</v>
      </c>
      <c r="C66" s="316">
        <v>45955.0</v>
      </c>
      <c r="D66" s="317" t="s">
        <v>975</v>
      </c>
      <c r="E66" s="317" t="s">
        <v>165</v>
      </c>
      <c r="F66" s="317">
        <v>3.291548555E9</v>
      </c>
      <c r="G66" s="475" t="s">
        <v>2626</v>
      </c>
      <c r="H66" s="317" t="s">
        <v>2627</v>
      </c>
      <c r="I66" s="443">
        <v>45955.0</v>
      </c>
      <c r="J66" s="365">
        <v>45.0</v>
      </c>
      <c r="K66" s="431"/>
      <c r="L66" s="317"/>
      <c r="M66" s="317" t="s">
        <v>100</v>
      </c>
      <c r="N66" s="118" t="b">
        <v>1</v>
      </c>
      <c r="O66" s="119"/>
      <c r="Q66" s="284" t="s">
        <v>81</v>
      </c>
      <c r="R66" s="285" t="b">
        <v>1</v>
      </c>
      <c r="S66" s="285" t="b">
        <v>0</v>
      </c>
      <c r="T66" s="286" t="b">
        <v>1</v>
      </c>
    </row>
    <row r="67" outlineLevel="1">
      <c r="A67" s="317" t="s">
        <v>368</v>
      </c>
      <c r="B67" s="317" t="s">
        <v>74</v>
      </c>
      <c r="C67" s="316">
        <v>45956.0</v>
      </c>
      <c r="D67" s="317" t="s">
        <v>2628</v>
      </c>
      <c r="E67" s="317" t="s">
        <v>2629</v>
      </c>
      <c r="F67" s="317">
        <v>3.456922361E9</v>
      </c>
      <c r="G67" s="475" t="s">
        <v>2630</v>
      </c>
      <c r="H67" s="317" t="s">
        <v>2631</v>
      </c>
      <c r="I67" s="443">
        <v>45956.0</v>
      </c>
      <c r="J67" s="365">
        <v>45.0</v>
      </c>
      <c r="K67" s="431"/>
      <c r="L67" s="317"/>
      <c r="M67" s="317" t="s">
        <v>80</v>
      </c>
      <c r="N67" s="118" t="b">
        <v>1</v>
      </c>
      <c r="O67" s="119"/>
      <c r="Q67" s="284" t="s">
        <v>81</v>
      </c>
      <c r="R67" s="285" t="b">
        <v>0</v>
      </c>
      <c r="S67" s="285" t="b">
        <v>1</v>
      </c>
      <c r="T67" s="286" t="b">
        <v>1</v>
      </c>
    </row>
    <row r="68" outlineLevel="1">
      <c r="A68" s="317" t="s">
        <v>368</v>
      </c>
      <c r="B68" s="317" t="s">
        <v>74</v>
      </c>
      <c r="C68" s="316">
        <v>45955.0</v>
      </c>
      <c r="D68" s="317" t="s">
        <v>2632</v>
      </c>
      <c r="E68" s="317" t="s">
        <v>2633</v>
      </c>
      <c r="F68" s="317">
        <v>3.31223105E9</v>
      </c>
      <c r="G68" s="475" t="s">
        <v>2634</v>
      </c>
      <c r="H68" s="317" t="s">
        <v>2635</v>
      </c>
      <c r="I68" s="316">
        <v>45955.0</v>
      </c>
      <c r="J68" s="365">
        <v>45.0</v>
      </c>
      <c r="K68" s="431"/>
      <c r="L68" s="317"/>
      <c r="M68" s="317" t="s">
        <v>100</v>
      </c>
      <c r="N68" s="118" t="b">
        <v>1</v>
      </c>
      <c r="O68" s="119"/>
      <c r="Q68" s="284" t="s">
        <v>81</v>
      </c>
      <c r="R68" s="285" t="b">
        <v>1</v>
      </c>
      <c r="S68" s="285" t="b">
        <v>0</v>
      </c>
      <c r="T68" s="286" t="b">
        <v>1</v>
      </c>
    </row>
    <row r="69" outlineLevel="1">
      <c r="A69" s="317" t="s">
        <v>368</v>
      </c>
      <c r="B69" s="317" t="s">
        <v>369</v>
      </c>
      <c r="C69" s="316">
        <v>45956.0</v>
      </c>
      <c r="D69" s="317" t="s">
        <v>2636</v>
      </c>
      <c r="E69" s="317" t="s">
        <v>1561</v>
      </c>
      <c r="F69" s="317">
        <v>3.478324605E9</v>
      </c>
      <c r="G69" s="475" t="s">
        <v>2637</v>
      </c>
      <c r="H69" s="317" t="s">
        <v>2638</v>
      </c>
      <c r="I69" s="316">
        <v>45956.0</v>
      </c>
      <c r="J69" s="365">
        <v>45.0</v>
      </c>
      <c r="K69" s="431"/>
      <c r="L69" s="317"/>
      <c r="M69" s="317" t="s">
        <v>80</v>
      </c>
      <c r="N69" s="118" t="b">
        <v>1</v>
      </c>
      <c r="O69" s="119"/>
      <c r="Q69" s="284" t="s">
        <v>81</v>
      </c>
      <c r="R69" s="285" t="b">
        <v>0</v>
      </c>
      <c r="S69" s="285" t="b">
        <v>1</v>
      </c>
      <c r="T69" s="286" t="b">
        <v>1</v>
      </c>
    </row>
    <row r="70" outlineLevel="1">
      <c r="A70" s="317"/>
      <c r="B70" s="317"/>
      <c r="C70" s="316"/>
      <c r="D70" s="317"/>
      <c r="E70" s="317"/>
      <c r="F70" s="317"/>
      <c r="G70" s="475"/>
      <c r="H70" s="317"/>
      <c r="I70" s="316"/>
      <c r="J70" s="365"/>
      <c r="K70" s="431"/>
      <c r="L70" s="317"/>
      <c r="M70" s="317"/>
      <c r="N70" s="118" t="b">
        <v>0</v>
      </c>
      <c r="O70" s="119"/>
      <c r="P70" s="119"/>
      <c r="Q70" s="284"/>
      <c r="R70" s="285" t="b">
        <v>0</v>
      </c>
      <c r="S70" s="285" t="b">
        <v>0</v>
      </c>
      <c r="T70" s="286" t="b">
        <v>0</v>
      </c>
    </row>
    <row r="71" outlineLevel="1">
      <c r="A71" s="317"/>
      <c r="B71" s="317"/>
      <c r="C71" s="316"/>
      <c r="D71" s="317"/>
      <c r="E71" s="317"/>
      <c r="F71" s="317"/>
      <c r="G71" s="542" t="s">
        <v>2338</v>
      </c>
      <c r="H71" s="317"/>
      <c r="I71" s="316"/>
      <c r="J71" s="365"/>
      <c r="K71" s="431"/>
      <c r="L71" s="317"/>
      <c r="M71" s="317"/>
      <c r="N71" s="118" t="b">
        <v>0</v>
      </c>
      <c r="O71" s="119"/>
      <c r="P71" s="119"/>
      <c r="Q71" s="284"/>
      <c r="R71" s="285" t="b">
        <v>0</v>
      </c>
      <c r="S71" s="285" t="b">
        <v>0</v>
      </c>
      <c r="T71" s="286" t="b">
        <v>0</v>
      </c>
    </row>
    <row r="72" outlineLevel="1">
      <c r="A72" s="317"/>
      <c r="B72" s="317"/>
      <c r="C72" s="316"/>
      <c r="D72" s="317"/>
      <c r="E72" s="317"/>
      <c r="F72" s="317"/>
      <c r="G72" s="475"/>
      <c r="H72" s="317"/>
      <c r="I72" s="316"/>
      <c r="J72" s="365"/>
      <c r="K72" s="431"/>
      <c r="L72" s="317"/>
      <c r="M72" s="317"/>
      <c r="N72" s="118" t="b">
        <v>0</v>
      </c>
      <c r="O72" s="119"/>
      <c r="P72" s="119"/>
      <c r="Q72" s="284"/>
      <c r="R72" s="285" t="b">
        <v>0</v>
      </c>
      <c r="S72" s="285" t="b">
        <v>0</v>
      </c>
      <c r="T72" s="286" t="b">
        <v>0</v>
      </c>
    </row>
    <row r="73" outlineLevel="1">
      <c r="A73" s="317"/>
      <c r="B73" s="317"/>
      <c r="C73" s="316"/>
      <c r="D73" s="317"/>
      <c r="E73" s="317"/>
      <c r="F73" s="317"/>
      <c r="G73" s="475"/>
      <c r="H73" s="317"/>
      <c r="I73" s="316"/>
      <c r="J73" s="365"/>
      <c r="K73" s="431"/>
      <c r="L73" s="317"/>
      <c r="M73" s="317"/>
      <c r="N73" s="118" t="b">
        <v>0</v>
      </c>
      <c r="O73" s="119"/>
      <c r="P73" s="119"/>
      <c r="Q73" s="284"/>
      <c r="R73" s="285" t="b">
        <v>0</v>
      </c>
      <c r="S73" s="285" t="b">
        <v>0</v>
      </c>
      <c r="T73" s="286" t="b">
        <v>0</v>
      </c>
    </row>
    <row r="74" outlineLevel="1">
      <c r="A74" s="317"/>
      <c r="B74" s="317"/>
      <c r="C74" s="316"/>
      <c r="D74" s="317"/>
      <c r="E74" s="317"/>
      <c r="F74" s="317"/>
      <c r="G74" s="475"/>
      <c r="H74" s="317"/>
      <c r="I74" s="316"/>
      <c r="J74" s="365"/>
      <c r="K74" s="431"/>
      <c r="L74" s="317"/>
      <c r="M74" s="317"/>
      <c r="N74" s="118" t="b">
        <v>0</v>
      </c>
      <c r="O74" s="119"/>
      <c r="P74" s="119"/>
      <c r="Q74" s="284"/>
      <c r="R74" s="285" t="b">
        <v>0</v>
      </c>
      <c r="S74" s="285" t="b">
        <v>0</v>
      </c>
      <c r="T74" s="286" t="b">
        <v>0</v>
      </c>
    </row>
    <row r="75" outlineLevel="1">
      <c r="A75" s="317"/>
      <c r="B75" s="317"/>
      <c r="C75" s="316"/>
      <c r="D75" s="317"/>
      <c r="E75" s="317"/>
      <c r="F75" s="317"/>
      <c r="G75" s="475"/>
      <c r="H75" s="317"/>
      <c r="I75" s="316"/>
      <c r="J75" s="365"/>
      <c r="K75" s="431"/>
      <c r="L75" s="317"/>
      <c r="M75" s="317"/>
      <c r="N75" s="118" t="b">
        <v>0</v>
      </c>
      <c r="O75" s="119"/>
      <c r="P75" s="119"/>
      <c r="Q75" s="284"/>
      <c r="R75" s="285" t="b">
        <v>0</v>
      </c>
      <c r="S75" s="285" t="b">
        <v>0</v>
      </c>
      <c r="T75" s="286" t="b">
        <v>0</v>
      </c>
    </row>
    <row r="76" outlineLevel="1">
      <c r="A76" s="317"/>
      <c r="B76" s="317"/>
      <c r="C76" s="316"/>
      <c r="D76" s="317"/>
      <c r="E76" s="317"/>
      <c r="F76" s="317"/>
      <c r="G76" s="475"/>
      <c r="H76" s="317"/>
      <c r="I76" s="316"/>
      <c r="J76" s="365"/>
      <c r="K76" s="431"/>
      <c r="L76" s="317"/>
      <c r="M76" s="317"/>
      <c r="N76" s="118" t="b">
        <v>0</v>
      </c>
      <c r="O76" s="119"/>
      <c r="P76" s="119"/>
      <c r="Q76" s="284"/>
      <c r="R76" s="285" t="b">
        <v>0</v>
      </c>
      <c r="S76" s="285" t="b">
        <v>0</v>
      </c>
      <c r="T76" s="286" t="b">
        <v>0</v>
      </c>
    </row>
    <row r="77" outlineLevel="1">
      <c r="A77" s="317"/>
      <c r="B77" s="317"/>
      <c r="C77" s="316"/>
      <c r="D77" s="317"/>
      <c r="E77" s="317"/>
      <c r="F77" s="317"/>
      <c r="G77" s="475"/>
      <c r="H77" s="317"/>
      <c r="I77" s="316"/>
      <c r="J77" s="365"/>
      <c r="K77" s="431"/>
      <c r="L77" s="317"/>
      <c r="M77" s="317"/>
      <c r="N77" s="118" t="b">
        <v>0</v>
      </c>
      <c r="O77" s="119"/>
      <c r="P77" s="119"/>
      <c r="Q77" s="284"/>
      <c r="R77" s="285" t="b">
        <v>0</v>
      </c>
      <c r="S77" s="285" t="b">
        <v>0</v>
      </c>
      <c r="T77" s="286" t="b">
        <v>0</v>
      </c>
    </row>
    <row r="78" outlineLevel="1">
      <c r="A78" s="317"/>
      <c r="B78" s="317"/>
      <c r="C78" s="316"/>
      <c r="D78" s="317"/>
      <c r="E78" s="317"/>
      <c r="F78" s="317"/>
      <c r="G78" s="475"/>
      <c r="H78" s="317"/>
      <c r="I78" s="316"/>
      <c r="J78" s="365"/>
      <c r="K78" s="431"/>
      <c r="L78" s="317"/>
      <c r="M78" s="317"/>
      <c r="N78" s="118" t="b">
        <v>0</v>
      </c>
      <c r="O78" s="119"/>
      <c r="P78" s="119"/>
      <c r="Q78" s="284"/>
      <c r="R78" s="285" t="b">
        <v>0</v>
      </c>
      <c r="S78" s="285" t="b">
        <v>0</v>
      </c>
      <c r="T78" s="286" t="b">
        <v>0</v>
      </c>
    </row>
    <row r="79" outlineLevel="1">
      <c r="A79" s="317"/>
      <c r="B79" s="317"/>
      <c r="C79" s="316"/>
      <c r="D79" s="317"/>
      <c r="E79" s="317"/>
      <c r="F79" s="317"/>
      <c r="G79" s="475"/>
      <c r="H79" s="317"/>
      <c r="I79" s="316"/>
      <c r="J79" s="365"/>
      <c r="K79" s="431"/>
      <c r="L79" s="317"/>
      <c r="M79" s="317"/>
      <c r="N79" s="118" t="b">
        <v>0</v>
      </c>
      <c r="O79" s="119"/>
      <c r="P79" s="119"/>
      <c r="Q79" s="284"/>
      <c r="R79" s="285" t="b">
        <v>0</v>
      </c>
      <c r="S79" s="285" t="b">
        <v>0</v>
      </c>
      <c r="T79" s="286" t="b">
        <v>0</v>
      </c>
    </row>
    <row r="80" outlineLevel="1">
      <c r="A80" s="317"/>
      <c r="B80" s="317"/>
      <c r="C80" s="316"/>
      <c r="D80" s="317"/>
      <c r="E80" s="317"/>
      <c r="F80" s="317"/>
      <c r="G80" s="475"/>
      <c r="H80" s="317"/>
      <c r="I80" s="316"/>
      <c r="J80" s="365"/>
      <c r="K80" s="431"/>
      <c r="L80" s="317"/>
      <c r="M80" s="317"/>
      <c r="N80" s="118" t="b">
        <v>0</v>
      </c>
      <c r="O80" s="119"/>
      <c r="P80" s="119"/>
      <c r="Q80" s="284"/>
      <c r="R80" s="285" t="b">
        <v>0</v>
      </c>
      <c r="S80" s="285" t="b">
        <v>0</v>
      </c>
      <c r="T80" s="286" t="b">
        <v>0</v>
      </c>
    </row>
    <row r="81" outlineLevel="1">
      <c r="A81" s="317"/>
      <c r="B81" s="317"/>
      <c r="C81" s="316"/>
      <c r="D81" s="317"/>
      <c r="E81" s="317"/>
      <c r="F81" s="317"/>
      <c r="G81" s="475"/>
      <c r="H81" s="317"/>
      <c r="I81" s="316"/>
      <c r="J81" s="365"/>
      <c r="K81" s="431"/>
      <c r="L81" s="317"/>
      <c r="M81" s="317"/>
      <c r="N81" s="118" t="b">
        <v>0</v>
      </c>
      <c r="O81" s="119"/>
      <c r="P81" s="119"/>
      <c r="Q81" s="284"/>
      <c r="R81" s="285" t="b">
        <v>0</v>
      </c>
      <c r="S81" s="285" t="b">
        <v>0</v>
      </c>
      <c r="T81" s="286" t="b">
        <v>0</v>
      </c>
    </row>
    <row r="82" outlineLevel="1">
      <c r="A82" s="317"/>
      <c r="B82" s="317"/>
      <c r="C82" s="316"/>
      <c r="D82" s="317"/>
      <c r="E82" s="317"/>
      <c r="F82" s="317"/>
      <c r="G82" s="475"/>
      <c r="H82" s="317"/>
      <c r="I82" s="316"/>
      <c r="J82" s="365"/>
      <c r="K82" s="431"/>
      <c r="L82" s="317"/>
      <c r="M82" s="317"/>
      <c r="N82" s="118" t="b">
        <v>0</v>
      </c>
      <c r="O82" s="119"/>
      <c r="P82" s="119"/>
      <c r="Q82" s="284"/>
      <c r="R82" s="285" t="b">
        <v>0</v>
      </c>
      <c r="S82" s="285" t="b">
        <v>0</v>
      </c>
      <c r="T82" s="286" t="b">
        <v>0</v>
      </c>
    </row>
    <row r="83" outlineLevel="1">
      <c r="A83" s="317"/>
      <c r="B83" s="317"/>
      <c r="C83" s="419"/>
      <c r="D83" s="336"/>
      <c r="E83" s="336"/>
      <c r="F83" s="420"/>
      <c r="G83" s="336"/>
      <c r="H83" s="336"/>
      <c r="I83" s="479"/>
      <c r="J83" s="365"/>
      <c r="K83" s="431"/>
      <c r="L83" s="317"/>
      <c r="M83" s="317"/>
      <c r="N83" s="118" t="b">
        <v>0</v>
      </c>
      <c r="O83" s="119"/>
      <c r="Q83" s="284"/>
      <c r="R83" s="285" t="b">
        <v>0</v>
      </c>
      <c r="S83" s="285" t="b">
        <v>0</v>
      </c>
      <c r="T83" s="286" t="b">
        <v>0</v>
      </c>
    </row>
    <row r="84">
      <c r="A84" s="348" t="s">
        <v>116</v>
      </c>
      <c r="B84" s="349">
        <f>COUNTIF(B4:B83,"ONLINE")+COUNTIF(B4:B83,"SEDE*")</f>
        <v>65</v>
      </c>
      <c r="C84" s="348" t="s">
        <v>116</v>
      </c>
      <c r="D84" s="349">
        <f t="shared" ref="D84:E84" si="1">COUNTIF(D4:D83, "*")</f>
        <v>66</v>
      </c>
      <c r="E84" s="349">
        <f t="shared" si="1"/>
        <v>66</v>
      </c>
      <c r="F84" s="480">
        <f>COUNTA(F4:F83)</f>
        <v>66</v>
      </c>
      <c r="G84" s="349">
        <f t="shared" ref="G84:H84" si="2">COUNTIF(G4:G83, "*")</f>
        <v>67</v>
      </c>
      <c r="H84" s="349">
        <f t="shared" si="2"/>
        <v>66</v>
      </c>
      <c r="I84" s="348" t="s">
        <v>116</v>
      </c>
      <c r="J84" s="481">
        <f t="shared" ref="J84:K84" si="3">SUM(J4:J83)</f>
        <v>2280</v>
      </c>
      <c r="K84" s="482">
        <f t="shared" si="3"/>
        <v>645</v>
      </c>
      <c r="L84" s="349">
        <f t="shared" ref="L84:M84" si="4">COUNTIF(L4:L83, "*")</f>
        <v>15</v>
      </c>
      <c r="M84" s="349">
        <f t="shared" si="4"/>
        <v>63</v>
      </c>
      <c r="N84" s="349">
        <f>SUMPRODUCT(--N4:N83)</f>
        <v>61</v>
      </c>
      <c r="O84" s="349">
        <f t="shared" ref="O84:Q84" si="5">COUNTIF(O4:O83, "*")</f>
        <v>6</v>
      </c>
      <c r="P84" s="349">
        <f t="shared" si="5"/>
        <v>0</v>
      </c>
      <c r="Q84" s="349">
        <f t="shared" si="5"/>
        <v>66</v>
      </c>
      <c r="R84" s="349">
        <f t="shared" ref="R84:T84" si="6">SUMPRODUCT(--R4:R83)</f>
        <v>16</v>
      </c>
      <c r="S84" s="349">
        <f t="shared" si="6"/>
        <v>50</v>
      </c>
      <c r="T84" s="349">
        <f t="shared" si="6"/>
        <v>66</v>
      </c>
    </row>
    <row r="85">
      <c r="A85" s="245" t="s">
        <v>117</v>
      </c>
      <c r="B85" s="246">
        <f>COUNTIF(B4:B83, "SEDE*")</f>
        <v>7</v>
      </c>
      <c r="C85" s="351"/>
      <c r="D85" s="351"/>
      <c r="E85" s="351"/>
      <c r="F85" s="351"/>
      <c r="G85" s="351"/>
      <c r="H85" s="245" t="s">
        <v>1946</v>
      </c>
      <c r="I85" s="355" t="s">
        <v>121</v>
      </c>
      <c r="J85" s="483" t="str">
        <f>COUNTIFS($B$4:$B$83,"*SEDE*",$J$4:$J$83, $F$176)&amp; " da €"&amp;$F$176</f>
        <v>3 da €45</v>
      </c>
      <c r="K85" s="484" t="str">
        <f>COUNTIFS($B$4:$B$83,"*SEDE*",$K$4:$K$83, $F$175)&amp; " da €"&amp;$F$175</f>
        <v>4 da €43</v>
      </c>
      <c r="L85" s="483" t="str">
        <f>COUNTIFS($B$4:$B$83,"*SEDE*",$J$4:$J$83, $F$178)&amp; " da €"&amp;$F$178</f>
        <v>0 da €30</v>
      </c>
      <c r="M85" s="484" t="str">
        <f>COUNTIFS($B$4:$B$83,"*SEDE*",$K$4:$K$83, $F$177)&amp; " da €"&amp;$F$177</f>
        <v>0 da €0</v>
      </c>
      <c r="N85" s="483" t="str">
        <f>COUNTIFS($B$4:$B$83,"*SEDE*",$J$4:$J$83, $G$176)&amp; " da €"&amp;$G$176</f>
        <v>0 da €0</v>
      </c>
      <c r="O85" s="484" t="str">
        <f>COUNTIFS($B$4:$B$83,"*SEDE*",$K$4:$K$83, $G$175)&amp; " da €"&amp;$G$175</f>
        <v>0 da €0</v>
      </c>
      <c r="P85" s="485" t="s">
        <v>40</v>
      </c>
      <c r="Q85" s="486">
        <f>SUM(J86,K86,L86,M86,N86,O86)</f>
        <v>307</v>
      </c>
      <c r="R85" s="351"/>
      <c r="S85" s="351"/>
      <c r="T85" s="351"/>
    </row>
    <row r="86">
      <c r="A86" s="245" t="s">
        <v>74</v>
      </c>
      <c r="B86" s="246">
        <f>COUNTIF(B4:B83, "ONLINE")</f>
        <v>58</v>
      </c>
      <c r="C86" s="351"/>
      <c r="D86" s="351"/>
      <c r="E86" s="351"/>
      <c r="F86" s="351"/>
      <c r="G86" s="351"/>
      <c r="I86" s="355" t="s">
        <v>122</v>
      </c>
      <c r="J86" s="483">
        <f>SUMIFS($J$4:$J$83,$B$4:$B$83,"*SEDE*",$J$4:$J$83,$F$176)</f>
        <v>135</v>
      </c>
      <c r="K86" s="369">
        <f>SUMIFS($K$4:$K$83,$B$4:$B$83,"*SEDE*",$K$4:$K$83,$F$175)</f>
        <v>172</v>
      </c>
      <c r="L86" s="368">
        <f>SUMIFS($J$4:$J$83,$B$4:$B$83,"*SEDE*",$J$4:$J$83,$F$178)</f>
        <v>0</v>
      </c>
      <c r="M86" s="369">
        <f>SUMIFS($K$4:$K$83,$B$4:$B$83,"*SEDE*",$K$4:$K$83,$F$177)</f>
        <v>0</v>
      </c>
      <c r="N86" s="368">
        <f>SUMIFS($J$4:$J$83,$B$4:$B$83,"*SEDE*",$J$4:$J$83,$G$176)</f>
        <v>0</v>
      </c>
      <c r="O86" s="369">
        <f>SUMIFS($K$4:$K$83,$B$4:$B$83,"*SEDE*",$K$4:$K$83,$G$175)</f>
        <v>0</v>
      </c>
      <c r="R86" s="351"/>
      <c r="S86" s="351"/>
      <c r="T86" s="351"/>
    </row>
    <row r="87">
      <c r="A87" s="245"/>
      <c r="B87" s="246"/>
      <c r="C87" s="351"/>
      <c r="D87" s="351"/>
      <c r="E87" s="351"/>
      <c r="F87" s="351"/>
      <c r="G87" s="351"/>
      <c r="I87" s="355" t="s">
        <v>123</v>
      </c>
      <c r="J87" s="368" t="str">
        <f>COUNTIFS($B$4:$B$83,"*ONLINE*",$J$4:$J$83, $F$176)&amp; " da €"&amp;$F$176</f>
        <v>47 da €45</v>
      </c>
      <c r="K87" s="484" t="str">
        <f>COUNTIFS($B$4:$B$83,"*ONLINE*",$K$4:$K$83, $F$175)&amp; " da €"&amp;$F$175</f>
        <v>11 da €43</v>
      </c>
      <c r="L87" s="368" t="str">
        <f>COUNTIFS($B$4:$B$83,"*ONLINE*",$J$4:$J$83, $F$178)&amp; " da €"&amp;$F$178</f>
        <v>0 da €30</v>
      </c>
      <c r="M87" s="369" t="str">
        <f>COUNTIFS($B$4:$B$83,"*ONLINE*",$K$4:$K$83, $F$177)&amp; " da €"&amp;$F$177</f>
        <v>0 da €0</v>
      </c>
      <c r="N87" s="368" t="str">
        <f>COUNTIFS($B$4:$B$83,"*ONLINE*",$J$4:$J$83, $G$176)&amp; " da €"&amp;$G$176</f>
        <v>0 da €0</v>
      </c>
      <c r="O87" s="369" t="str">
        <f>COUNTIFS($B$4:$B$83,"*ONLINE*",$K$4:$K$83, $G$175)&amp; " da €"&amp;$G$175</f>
        <v>0 da €0</v>
      </c>
      <c r="P87" s="425" t="s">
        <v>40</v>
      </c>
      <c r="Q87" s="486">
        <f>SUM(J88,K88,L88,M88,N88,O88)</f>
        <v>2588</v>
      </c>
      <c r="R87" s="351"/>
      <c r="S87" s="351"/>
      <c r="T87" s="351"/>
    </row>
    <row r="88">
      <c r="A88" s="245"/>
      <c r="B88" s="246"/>
      <c r="C88" s="351"/>
      <c r="D88" s="351"/>
      <c r="E88" s="351"/>
      <c r="F88" s="351"/>
      <c r="G88" s="351"/>
      <c r="I88" s="355" t="s">
        <v>124</v>
      </c>
      <c r="J88" s="483">
        <f>SUMIFS($J$4:$J$83,$B$4:$B$83,"*ONLINE*",$J$4:$J$83,$F$176)</f>
        <v>2115</v>
      </c>
      <c r="K88" s="484">
        <f>SUMIFS($K$4:$K$83,$B$4:$B$83,"*ONLINE*",$K$4:$K$83,$F$175)</f>
        <v>473</v>
      </c>
      <c r="L88" s="483">
        <f>SUMIFS($J$4:$J$83,$B$4:$B$83,"*ONLINE*",$J$4:$J$83,$F$178)</f>
        <v>0</v>
      </c>
      <c r="M88" s="369">
        <f>SUMIFS($K$4:$K$83,$B$4:$B$83,"*ONLINE*",$K$4:$K$83,$F$177)</f>
        <v>0</v>
      </c>
      <c r="N88" s="483">
        <f>SUMIFS($J$4:$J$83,$B$4:$B$83,"*ONLINE*",$J$4:$J$83,$G$176)</f>
        <v>0</v>
      </c>
      <c r="O88" s="369">
        <f>SUMIFS($K$4:$K$83,$B$4:$B$83,"*ONLINE*",$K$4:$K$83,$G$175)</f>
        <v>0</v>
      </c>
      <c r="R88" s="245" t="s">
        <v>120</v>
      </c>
      <c r="S88" s="378" t="str">
        <f>IF(SUM(J84:K84) = SUM(Q85:Q88), "OK", "ERRORE")</f>
        <v>ERRORE</v>
      </c>
      <c r="T88" s="351"/>
    </row>
    <row r="89" ht="26.25" customHeight="1" collapsed="1">
      <c r="A89" s="428" t="s">
        <v>2005</v>
      </c>
      <c r="R89" s="429"/>
      <c r="S89" s="429"/>
      <c r="T89" s="429"/>
    </row>
    <row r="90" hidden="1" outlineLevel="1">
      <c r="A90" s="317"/>
      <c r="B90" s="317"/>
      <c r="C90" s="316"/>
      <c r="D90" s="336"/>
      <c r="E90" s="336"/>
      <c r="F90" s="420"/>
      <c r="G90" s="317"/>
      <c r="H90" s="317"/>
      <c r="I90" s="318"/>
      <c r="J90" s="319"/>
      <c r="K90" s="431"/>
      <c r="L90" s="317"/>
      <c r="M90" s="317"/>
      <c r="N90" s="118" t="b">
        <v>0</v>
      </c>
      <c r="O90" s="487"/>
      <c r="Q90" s="284"/>
      <c r="R90" s="285" t="b">
        <v>0</v>
      </c>
      <c r="S90" s="285" t="b">
        <v>0</v>
      </c>
      <c r="T90" s="286" t="b">
        <v>0</v>
      </c>
    </row>
    <row r="91" hidden="1" outlineLevel="1">
      <c r="A91" s="317"/>
      <c r="B91" s="317"/>
      <c r="C91" s="316"/>
      <c r="D91" s="317"/>
      <c r="E91" s="317"/>
      <c r="F91" s="317"/>
      <c r="G91" s="317"/>
      <c r="H91" s="317"/>
      <c r="I91" s="318"/>
      <c r="J91" s="319"/>
      <c r="K91" s="431"/>
      <c r="L91" s="317"/>
      <c r="M91" s="317"/>
      <c r="N91" s="118" t="b">
        <v>0</v>
      </c>
      <c r="O91" s="487"/>
      <c r="Q91" s="284"/>
      <c r="R91" s="285" t="b">
        <v>0</v>
      </c>
      <c r="S91" s="285" t="b">
        <v>0</v>
      </c>
      <c r="T91" s="286" t="b">
        <v>0</v>
      </c>
    </row>
    <row r="92" hidden="1" outlineLevel="1">
      <c r="A92" s="317"/>
      <c r="B92" s="317"/>
      <c r="C92" s="316"/>
      <c r="D92" s="317"/>
      <c r="E92" s="317"/>
      <c r="F92" s="317"/>
      <c r="G92" s="320"/>
      <c r="H92" s="320"/>
      <c r="I92" s="439"/>
      <c r="J92" s="435"/>
      <c r="K92" s="431"/>
      <c r="L92" s="317"/>
      <c r="M92" s="317"/>
      <c r="N92" s="118" t="b">
        <v>0</v>
      </c>
      <c r="O92" s="487"/>
      <c r="Q92" s="284"/>
      <c r="R92" s="285" t="b">
        <v>0</v>
      </c>
      <c r="S92" s="285" t="b">
        <v>0</v>
      </c>
      <c r="T92" s="286" t="b">
        <v>0</v>
      </c>
    </row>
    <row r="93" hidden="1" outlineLevel="1">
      <c r="A93" s="317"/>
      <c r="B93" s="317"/>
      <c r="C93" s="316"/>
      <c r="D93" s="317"/>
      <c r="E93" s="317"/>
      <c r="F93" s="317"/>
      <c r="G93" s="317"/>
      <c r="H93" s="317"/>
      <c r="I93" s="318"/>
      <c r="J93" s="319"/>
      <c r="K93" s="431"/>
      <c r="L93" s="317"/>
      <c r="M93" s="317"/>
      <c r="N93" s="118" t="b">
        <v>0</v>
      </c>
      <c r="O93" s="487"/>
      <c r="Q93" s="284"/>
      <c r="R93" s="285" t="b">
        <v>0</v>
      </c>
      <c r="S93" s="285" t="b">
        <v>0</v>
      </c>
      <c r="T93" s="286" t="b">
        <v>0</v>
      </c>
    </row>
    <row r="94" hidden="1" outlineLevel="1">
      <c r="A94" s="317"/>
      <c r="B94" s="317"/>
      <c r="C94" s="316"/>
      <c r="D94" s="317"/>
      <c r="E94" s="317"/>
      <c r="F94" s="317"/>
      <c r="G94" s="317"/>
      <c r="H94" s="317"/>
      <c r="I94" s="318"/>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318"/>
      <c r="J95" s="319"/>
      <c r="K95" s="436"/>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39"/>
      <c r="J97" s="435"/>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39"/>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465"/>
      <c r="D100" s="320"/>
      <c r="E100" s="320"/>
      <c r="F100" s="320"/>
      <c r="G100" s="320"/>
      <c r="H100" s="320"/>
      <c r="I100" s="439"/>
      <c r="J100" s="319"/>
      <c r="K100" s="436"/>
      <c r="L100" s="317"/>
      <c r="M100" s="317"/>
      <c r="N100" s="118" t="b">
        <v>0</v>
      </c>
      <c r="O100" s="487"/>
      <c r="Q100" s="284"/>
      <c r="R100" s="285" t="b">
        <v>0</v>
      </c>
      <c r="S100" s="285" t="b">
        <v>0</v>
      </c>
      <c r="T100" s="286" t="b">
        <v>0</v>
      </c>
    </row>
    <row r="101" hidden="1" outlineLevel="1">
      <c r="A101" s="317"/>
      <c r="B101" s="317"/>
      <c r="C101" s="465"/>
      <c r="D101" s="320"/>
      <c r="E101" s="320"/>
      <c r="F101" s="320"/>
      <c r="G101" s="320"/>
      <c r="H101" s="320"/>
      <c r="I101" s="439"/>
      <c r="J101" s="319"/>
      <c r="K101" s="431"/>
      <c r="L101" s="317"/>
      <c r="M101" s="317"/>
      <c r="N101" s="118" t="b">
        <v>0</v>
      </c>
      <c r="O101" s="487"/>
      <c r="Q101" s="284"/>
      <c r="R101" s="285" t="b">
        <v>0</v>
      </c>
      <c r="S101" s="285" t="b">
        <v>0</v>
      </c>
      <c r="T101" s="286" t="b">
        <v>0</v>
      </c>
    </row>
    <row r="102" hidden="1" outlineLevel="1">
      <c r="A102" s="317"/>
      <c r="B102" s="317"/>
      <c r="C102" s="465"/>
      <c r="D102" s="320"/>
      <c r="E102" s="320"/>
      <c r="F102" s="320"/>
      <c r="G102" s="320"/>
      <c r="H102" s="320"/>
      <c r="I102" s="439"/>
      <c r="J102" s="319"/>
      <c r="K102" s="431"/>
      <c r="L102" s="317"/>
      <c r="M102" s="317"/>
      <c r="N102" s="118" t="b">
        <v>0</v>
      </c>
      <c r="O102" s="487"/>
      <c r="Q102" s="284"/>
      <c r="R102" s="285" t="b">
        <v>0</v>
      </c>
      <c r="S102" s="285" t="b">
        <v>0</v>
      </c>
      <c r="T102" s="286" t="b">
        <v>0</v>
      </c>
    </row>
    <row r="103" hidden="1" outlineLevel="1">
      <c r="A103" s="317"/>
      <c r="B103" s="317"/>
      <c r="C103" s="465"/>
      <c r="D103" s="320"/>
      <c r="E103" s="320"/>
      <c r="F103" s="320"/>
      <c r="G103" s="320"/>
      <c r="H103" s="320"/>
      <c r="I103" s="439"/>
      <c r="J103" s="319"/>
      <c r="K103" s="436"/>
      <c r="L103" s="317"/>
      <c r="M103" s="317"/>
      <c r="N103" s="118" t="b">
        <v>0</v>
      </c>
      <c r="O103" s="487"/>
      <c r="Q103" s="284"/>
      <c r="R103" s="285" t="b">
        <v>0</v>
      </c>
      <c r="S103" s="285" t="b">
        <v>0</v>
      </c>
      <c r="T103" s="286" t="b">
        <v>0</v>
      </c>
    </row>
    <row r="104" hidden="1" outlineLevel="1">
      <c r="A104" s="317"/>
      <c r="B104" s="317"/>
      <c r="C104" s="465"/>
      <c r="D104" s="320"/>
      <c r="E104" s="320"/>
      <c r="F104" s="320"/>
      <c r="G104" s="320"/>
      <c r="H104" s="320"/>
      <c r="I104" s="439"/>
      <c r="J104" s="319"/>
      <c r="K104" s="431"/>
      <c r="L104" s="317"/>
      <c r="M104" s="317"/>
      <c r="N104" s="118" t="b">
        <v>0</v>
      </c>
      <c r="O104" s="487"/>
      <c r="Q104" s="284"/>
      <c r="R104" s="285" t="b">
        <v>0</v>
      </c>
      <c r="S104" s="285" t="b">
        <v>0</v>
      </c>
      <c r="T104" s="286" t="b">
        <v>0</v>
      </c>
    </row>
    <row r="105" hidden="1" outlineLevel="1">
      <c r="A105" s="317"/>
      <c r="B105" s="317"/>
      <c r="C105" s="465"/>
      <c r="D105" s="320"/>
      <c r="E105" s="320"/>
      <c r="F105" s="320"/>
      <c r="G105" s="320"/>
      <c r="H105" s="320"/>
      <c r="I105" s="439"/>
      <c r="J105" s="319"/>
      <c r="K105" s="431"/>
      <c r="L105" s="317"/>
      <c r="M105" s="317"/>
      <c r="N105" s="118" t="b">
        <v>0</v>
      </c>
      <c r="O105" s="487"/>
      <c r="Q105" s="284"/>
      <c r="R105" s="285" t="b">
        <v>0</v>
      </c>
      <c r="S105" s="285" t="b">
        <v>0</v>
      </c>
      <c r="T105" s="286" t="b">
        <v>0</v>
      </c>
    </row>
    <row r="106" hidden="1" outlineLevel="1">
      <c r="A106" s="432"/>
      <c r="B106" s="432"/>
      <c r="C106" s="490"/>
      <c r="D106" s="488"/>
      <c r="E106" s="488"/>
      <c r="F106" s="488"/>
      <c r="G106" s="488"/>
      <c r="H106" s="488"/>
      <c r="I106" s="489"/>
      <c r="J106" s="435"/>
      <c r="K106" s="436"/>
      <c r="L106" s="432"/>
      <c r="M106" s="432"/>
      <c r="N106" s="118" t="b">
        <v>0</v>
      </c>
      <c r="O106" s="487"/>
      <c r="Q106" s="438"/>
      <c r="R106" s="285" t="b">
        <v>0</v>
      </c>
      <c r="S106" s="285" t="b">
        <v>0</v>
      </c>
      <c r="T106" s="286" t="b">
        <v>0</v>
      </c>
    </row>
    <row r="107" hidden="1" outlineLevel="1">
      <c r="A107" s="317"/>
      <c r="B107" s="317"/>
      <c r="C107" s="465"/>
      <c r="D107" s="320"/>
      <c r="E107" s="320"/>
      <c r="F107" s="320"/>
      <c r="G107" s="320"/>
      <c r="H107" s="320"/>
      <c r="I107" s="439"/>
      <c r="J107" s="319"/>
      <c r="K107" s="431"/>
      <c r="L107" s="317"/>
      <c r="M107" s="317"/>
      <c r="N107" s="118" t="b">
        <v>0</v>
      </c>
      <c r="O107" s="487"/>
      <c r="Q107" s="284"/>
      <c r="R107" s="285" t="b">
        <v>0</v>
      </c>
      <c r="S107" s="285" t="b">
        <v>0</v>
      </c>
      <c r="T107" s="286" t="b">
        <v>0</v>
      </c>
    </row>
    <row r="108" hidden="1" outlineLevel="1">
      <c r="A108" s="317"/>
      <c r="B108" s="317"/>
      <c r="C108" s="465"/>
      <c r="D108" s="320"/>
      <c r="E108" s="320"/>
      <c r="F108" s="320"/>
      <c r="G108" s="320"/>
      <c r="H108" s="320"/>
      <c r="I108" s="439"/>
      <c r="J108" s="319"/>
      <c r="K108" s="431"/>
      <c r="L108" s="317"/>
      <c r="M108" s="317"/>
      <c r="N108" s="118" t="b">
        <v>0</v>
      </c>
      <c r="O108" s="487"/>
      <c r="Q108" s="284"/>
      <c r="R108" s="285" t="b">
        <v>0</v>
      </c>
      <c r="S108" s="285" t="b">
        <v>0</v>
      </c>
      <c r="T108" s="286" t="b">
        <v>0</v>
      </c>
    </row>
    <row r="109" hidden="1" outlineLevel="1">
      <c r="A109" s="317"/>
      <c r="B109" s="317"/>
      <c r="C109" s="465"/>
      <c r="D109" s="320"/>
      <c r="E109" s="320"/>
      <c r="F109" s="320"/>
      <c r="G109" s="320"/>
      <c r="H109" s="320"/>
      <c r="I109" s="478"/>
      <c r="J109" s="319"/>
      <c r="K109" s="431"/>
      <c r="L109" s="317"/>
      <c r="M109" s="317"/>
      <c r="N109" s="118" t="b">
        <v>0</v>
      </c>
      <c r="O109" s="487"/>
      <c r="Q109" s="284"/>
      <c r="R109" s="285" t="b">
        <v>0</v>
      </c>
      <c r="S109" s="285" t="b">
        <v>0</v>
      </c>
      <c r="T109" s="286" t="b">
        <v>0</v>
      </c>
    </row>
    <row r="110" hidden="1" outlineLevel="1">
      <c r="A110" s="317"/>
      <c r="B110" s="317"/>
      <c r="C110" s="465"/>
      <c r="D110" s="320"/>
      <c r="E110" s="320"/>
      <c r="F110" s="320"/>
      <c r="G110" s="320"/>
      <c r="H110" s="320"/>
      <c r="I110" s="478"/>
      <c r="J110" s="319"/>
      <c r="K110" s="431"/>
      <c r="L110" s="317"/>
      <c r="M110" s="317"/>
      <c r="N110" s="118" t="b">
        <v>0</v>
      </c>
      <c r="O110" s="487"/>
      <c r="Q110" s="284"/>
      <c r="R110" s="285" t="b">
        <v>0</v>
      </c>
      <c r="S110" s="285" t="b">
        <v>0</v>
      </c>
      <c r="T110" s="286" t="b">
        <v>0</v>
      </c>
    </row>
    <row r="111" hidden="1" outlineLevel="1">
      <c r="A111" s="317"/>
      <c r="B111" s="317"/>
      <c r="C111" s="465"/>
      <c r="D111" s="320"/>
      <c r="E111" s="320"/>
      <c r="F111" s="320"/>
      <c r="G111" s="320"/>
      <c r="H111" s="320"/>
      <c r="I111" s="478"/>
      <c r="J111" s="319"/>
      <c r="K111" s="431"/>
      <c r="L111" s="317"/>
      <c r="M111" s="317"/>
      <c r="N111" s="118" t="b">
        <v>0</v>
      </c>
      <c r="O111" s="487"/>
      <c r="Q111" s="284"/>
      <c r="R111" s="285" t="b">
        <v>0</v>
      </c>
      <c r="S111" s="285" t="b">
        <v>0</v>
      </c>
      <c r="T111" s="286" t="b">
        <v>0</v>
      </c>
    </row>
    <row r="112" hidden="1" outlineLevel="1">
      <c r="A112" s="317"/>
      <c r="B112" s="317"/>
      <c r="C112" s="465"/>
      <c r="D112" s="320"/>
      <c r="E112" s="320"/>
      <c r="F112" s="320"/>
      <c r="G112" s="320"/>
      <c r="H112" s="320"/>
      <c r="I112" s="478"/>
      <c r="J112" s="319"/>
      <c r="K112" s="431"/>
      <c r="L112" s="317"/>
      <c r="M112" s="317"/>
      <c r="N112" s="118" t="b">
        <v>0</v>
      </c>
      <c r="O112" s="487"/>
      <c r="Q112" s="284"/>
      <c r="R112" s="285" t="b">
        <v>0</v>
      </c>
      <c r="S112" s="285" t="b">
        <v>0</v>
      </c>
      <c r="T112" s="286" t="b">
        <v>0</v>
      </c>
    </row>
    <row r="113" hidden="1" outlineLevel="1">
      <c r="A113" s="317"/>
      <c r="B113" s="317"/>
      <c r="C113" s="316"/>
      <c r="D113" s="317"/>
      <c r="E113" s="317"/>
      <c r="F113" s="317"/>
      <c r="G113" s="317"/>
      <c r="H113" s="317"/>
      <c r="I113" s="318"/>
      <c r="J113" s="319"/>
      <c r="K113" s="436"/>
      <c r="L113" s="317"/>
      <c r="M113" s="317"/>
      <c r="N113" s="118" t="b">
        <v>0</v>
      </c>
      <c r="O113" s="487"/>
      <c r="Q113" s="284"/>
      <c r="R113" s="285" t="b">
        <v>0</v>
      </c>
      <c r="S113" s="285" t="b">
        <v>0</v>
      </c>
      <c r="T113" s="286" t="b">
        <v>0</v>
      </c>
    </row>
    <row r="114" hidden="1" outlineLevel="1">
      <c r="A114" s="317"/>
      <c r="B114" s="317"/>
      <c r="C114" s="316"/>
      <c r="D114" s="317"/>
      <c r="E114" s="317"/>
      <c r="F114" s="317"/>
      <c r="G114" s="342"/>
      <c r="H114" s="317"/>
      <c r="I114" s="318"/>
      <c r="J114" s="319"/>
      <c r="K114" s="436"/>
      <c r="L114" s="317"/>
      <c r="M114" s="317"/>
      <c r="N114" s="118" t="b">
        <v>0</v>
      </c>
      <c r="O114" s="487"/>
      <c r="Q114" s="284"/>
      <c r="R114" s="285" t="b">
        <v>0</v>
      </c>
      <c r="S114" s="285" t="b">
        <v>0</v>
      </c>
      <c r="T114" s="286" t="b">
        <v>0</v>
      </c>
    </row>
    <row r="115" hidden="1" outlineLevel="1">
      <c r="A115" s="317"/>
      <c r="B115" s="317"/>
      <c r="C115" s="316"/>
      <c r="D115" s="317"/>
      <c r="E115" s="317"/>
      <c r="F115" s="317"/>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443"/>
      <c r="J116" s="319"/>
      <c r="K116" s="431"/>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317"/>
      <c r="B118" s="317"/>
      <c r="C118" s="316"/>
      <c r="D118" s="317"/>
      <c r="E118" s="317"/>
      <c r="F118" s="317"/>
      <c r="G118" s="317"/>
      <c r="H118" s="317"/>
      <c r="I118" s="496"/>
      <c r="J118" s="319"/>
      <c r="K118" s="431"/>
      <c r="L118" s="317"/>
      <c r="M118" s="317"/>
      <c r="N118" s="118" t="b">
        <v>0</v>
      </c>
      <c r="O118" s="487"/>
      <c r="Q118" s="284"/>
      <c r="R118" s="285" t="b">
        <v>0</v>
      </c>
      <c r="S118" s="285" t="b">
        <v>0</v>
      </c>
      <c r="T118" s="286" t="b">
        <v>0</v>
      </c>
    </row>
    <row r="119" hidden="1" outlineLevel="1">
      <c r="A119" s="317"/>
      <c r="B119" s="317"/>
      <c r="C119" s="316"/>
      <c r="D119" s="317"/>
      <c r="E119" s="317"/>
      <c r="F119" s="317"/>
      <c r="G119" s="317"/>
      <c r="H119" s="317"/>
      <c r="I119" s="496"/>
      <c r="J119" s="319"/>
      <c r="K119" s="431"/>
      <c r="L119" s="317"/>
      <c r="M119" s="317"/>
      <c r="N119" s="118" t="b">
        <v>0</v>
      </c>
      <c r="O119" s="487"/>
      <c r="Q119" s="284"/>
      <c r="R119" s="285" t="b">
        <v>0</v>
      </c>
      <c r="S119" s="285" t="b">
        <v>0</v>
      </c>
      <c r="T119" s="286" t="b">
        <v>0</v>
      </c>
    </row>
    <row r="120" hidden="1" outlineLevel="1">
      <c r="A120" s="317"/>
      <c r="B120" s="317"/>
      <c r="C120" s="316"/>
      <c r="D120" s="317"/>
      <c r="E120" s="317"/>
      <c r="F120" s="317"/>
      <c r="G120" s="317"/>
      <c r="H120" s="317"/>
      <c r="I120" s="316"/>
      <c r="J120" s="319"/>
      <c r="K120" s="431"/>
      <c r="L120" s="317"/>
      <c r="M120" s="317"/>
      <c r="N120" s="118" t="b">
        <v>0</v>
      </c>
      <c r="O120" s="487"/>
      <c r="Q120" s="284"/>
      <c r="R120" s="285" t="b">
        <v>0</v>
      </c>
      <c r="S120" s="285" t="b">
        <v>0</v>
      </c>
      <c r="T120" s="286" t="b">
        <v>0</v>
      </c>
    </row>
    <row r="121" hidden="1" outlineLevel="1">
      <c r="A121" s="317"/>
      <c r="B121" s="317"/>
      <c r="C121" s="496"/>
      <c r="D121" s="317"/>
      <c r="E121" s="317"/>
      <c r="F121" s="317"/>
      <c r="G121" s="317"/>
      <c r="H121" s="317"/>
      <c r="I121" s="318"/>
      <c r="J121" s="319"/>
      <c r="K121" s="431"/>
      <c r="L121" s="317"/>
      <c r="M121" s="317"/>
      <c r="N121" s="118" t="b">
        <v>0</v>
      </c>
      <c r="O121" s="487"/>
      <c r="Q121" s="284"/>
      <c r="R121" s="285" t="b">
        <v>0</v>
      </c>
      <c r="S121" s="285" t="b">
        <v>0</v>
      </c>
      <c r="T121" s="286" t="b">
        <v>0</v>
      </c>
    </row>
    <row r="122" hidden="1" outlineLevel="1">
      <c r="A122" s="317"/>
      <c r="B122" s="317"/>
      <c r="C122" s="316"/>
      <c r="D122" s="317"/>
      <c r="E122" s="317"/>
      <c r="F122" s="317"/>
      <c r="G122" s="342"/>
      <c r="H122" s="317"/>
      <c r="I122" s="316"/>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6"/>
      <c r="J123" s="319"/>
      <c r="K123" s="436"/>
      <c r="L123" s="317"/>
      <c r="M123" s="317"/>
      <c r="N123" s="118" t="b">
        <v>0</v>
      </c>
      <c r="O123" s="487"/>
      <c r="Q123" s="284"/>
      <c r="R123" s="285" t="b">
        <v>0</v>
      </c>
      <c r="S123" s="285" t="b">
        <v>0</v>
      </c>
      <c r="T123" s="286" t="b">
        <v>0</v>
      </c>
    </row>
    <row r="124" hidden="1" outlineLevel="1">
      <c r="A124" s="432"/>
      <c r="B124" s="432"/>
      <c r="C124" s="497"/>
      <c r="D124" s="432"/>
      <c r="E124" s="432"/>
      <c r="F124" s="432"/>
      <c r="G124" s="432"/>
      <c r="H124" s="432"/>
      <c r="I124" s="441"/>
      <c r="J124" s="435"/>
      <c r="K124" s="436"/>
      <c r="L124" s="432"/>
      <c r="M124" s="432"/>
      <c r="N124" s="118" t="b">
        <v>0</v>
      </c>
      <c r="O124" s="487"/>
      <c r="Q124" s="438"/>
      <c r="R124" s="285" t="b">
        <v>0</v>
      </c>
      <c r="S124" s="285" t="b">
        <v>0</v>
      </c>
      <c r="T124" s="286" t="b">
        <v>0</v>
      </c>
    </row>
    <row r="125" hidden="1" outlineLevel="1">
      <c r="A125" s="432"/>
      <c r="B125" s="432"/>
      <c r="C125" s="497"/>
      <c r="D125" s="131"/>
      <c r="E125" s="432"/>
      <c r="F125" s="317"/>
      <c r="G125" s="317"/>
      <c r="H125" s="317"/>
      <c r="I125" s="318"/>
      <c r="J125" s="319"/>
      <c r="K125" s="436"/>
      <c r="L125" s="432"/>
      <c r="M125" s="317"/>
      <c r="N125" s="118" t="b">
        <v>0</v>
      </c>
      <c r="O125" s="487"/>
      <c r="Q125" s="284"/>
      <c r="R125" s="285" t="b">
        <v>0</v>
      </c>
      <c r="S125" s="285" t="b">
        <v>0</v>
      </c>
      <c r="T125" s="286" t="b">
        <v>0</v>
      </c>
    </row>
    <row r="126" hidden="1" outlineLevel="1">
      <c r="A126" s="432"/>
      <c r="B126" s="432"/>
      <c r="C126" s="477"/>
      <c r="D126" s="432"/>
      <c r="E126" s="432"/>
      <c r="F126" s="432"/>
      <c r="G126" s="432"/>
      <c r="H126" s="351"/>
      <c r="I126" s="441"/>
      <c r="J126" s="435"/>
      <c r="K126" s="436"/>
      <c r="L126" s="432"/>
      <c r="M126" s="432"/>
      <c r="N126" s="118" t="b">
        <v>0</v>
      </c>
      <c r="O126" s="487"/>
      <c r="Q126" s="438"/>
      <c r="R126" s="285" t="b">
        <v>0</v>
      </c>
      <c r="S126" s="285" t="b">
        <v>0</v>
      </c>
      <c r="T126" s="286" t="b">
        <v>0</v>
      </c>
    </row>
    <row r="127" hidden="1" outlineLevel="1">
      <c r="A127" s="317"/>
      <c r="B127" s="317"/>
      <c r="C127" s="49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24"/>
      <c r="G128" s="317"/>
      <c r="H128" s="317"/>
      <c r="I128" s="318"/>
      <c r="J128" s="319"/>
      <c r="K128" s="436"/>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319"/>
      <c r="K129" s="436"/>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1"/>
      <c r="L130" s="317"/>
      <c r="M130" s="317"/>
      <c r="N130" s="118" t="b">
        <v>0</v>
      </c>
      <c r="O130" s="487"/>
      <c r="Q130" s="284"/>
      <c r="R130" s="285" t="b">
        <v>0</v>
      </c>
      <c r="S130" s="285" t="b">
        <v>0</v>
      </c>
      <c r="T130" s="286" t="b">
        <v>0</v>
      </c>
    </row>
    <row r="131" hidden="1" outlineLevel="1">
      <c r="A131" s="432"/>
      <c r="B131" s="432"/>
      <c r="C131" s="440"/>
      <c r="D131" s="432"/>
      <c r="E131" s="432"/>
      <c r="F131" s="432"/>
      <c r="G131" s="432"/>
      <c r="H131" s="432"/>
      <c r="I131" s="441"/>
      <c r="J131" s="435"/>
      <c r="K131" s="436"/>
      <c r="L131" s="432"/>
      <c r="M131" s="317"/>
      <c r="N131" s="118" t="b">
        <v>0</v>
      </c>
      <c r="O131" s="487"/>
      <c r="Q131" s="284"/>
      <c r="R131" s="285" t="b">
        <v>0</v>
      </c>
      <c r="S131" s="285" t="b">
        <v>0</v>
      </c>
      <c r="T131" s="286" t="b">
        <v>0</v>
      </c>
    </row>
    <row r="132" hidden="1" outlineLevel="1">
      <c r="A132" s="317"/>
      <c r="B132" s="317"/>
      <c r="C132" s="316"/>
      <c r="D132" s="317"/>
      <c r="E132" s="317"/>
      <c r="F132" s="317"/>
      <c r="G132" s="317"/>
      <c r="H132" s="317"/>
      <c r="I132" s="318"/>
      <c r="J132" s="319"/>
      <c r="K132" s="431"/>
      <c r="L132" s="317"/>
      <c r="M132" s="317"/>
      <c r="N132" s="118" t="b">
        <v>0</v>
      </c>
      <c r="O132" s="487"/>
      <c r="Q132" s="284"/>
      <c r="R132" s="285" t="b">
        <v>0</v>
      </c>
      <c r="S132" s="285" t="b">
        <v>0</v>
      </c>
      <c r="T132" s="286" t="b">
        <v>0</v>
      </c>
    </row>
    <row r="133" hidden="1" outlineLevel="1">
      <c r="A133" s="317"/>
      <c r="B133" s="317"/>
      <c r="C133" s="440"/>
      <c r="D133" s="432"/>
      <c r="E133" s="432"/>
      <c r="F133" s="432"/>
      <c r="G133" s="432"/>
      <c r="H133" s="432"/>
      <c r="I133" s="441"/>
      <c r="J133" s="435"/>
      <c r="K133" s="436"/>
      <c r="L133" s="432"/>
      <c r="M133" s="432"/>
      <c r="N133" s="118" t="b">
        <v>0</v>
      </c>
      <c r="O133" s="487"/>
      <c r="Q133" s="438"/>
      <c r="R133" s="285" t="b">
        <v>0</v>
      </c>
      <c r="S133" s="285" t="b">
        <v>0</v>
      </c>
      <c r="T133" s="286" t="b">
        <v>0</v>
      </c>
    </row>
    <row r="134" hidden="1" outlineLevel="1">
      <c r="A134" s="432"/>
      <c r="B134" s="432"/>
      <c r="C134" s="440"/>
      <c r="D134" s="432"/>
      <c r="E134" s="432"/>
      <c r="F134" s="432"/>
      <c r="G134" s="432"/>
      <c r="H134" s="432"/>
      <c r="I134" s="441"/>
      <c r="J134" s="435"/>
      <c r="K134" s="436"/>
      <c r="L134" s="432"/>
      <c r="M134" s="317"/>
      <c r="N134" s="118" t="b">
        <v>0</v>
      </c>
      <c r="O134" s="487"/>
      <c r="Q134" s="438"/>
      <c r="R134" s="285" t="b">
        <v>0</v>
      </c>
      <c r="S134" s="285" t="b">
        <v>0</v>
      </c>
      <c r="T134" s="286" t="b">
        <v>0</v>
      </c>
    </row>
    <row r="135" hidden="1" outlineLevel="1">
      <c r="A135" s="317"/>
      <c r="B135" s="317"/>
      <c r="C135" s="316"/>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316"/>
      <c r="D136" s="317"/>
      <c r="E136" s="317"/>
      <c r="F136" s="317"/>
      <c r="G136" s="317"/>
      <c r="H136" s="317"/>
      <c r="I136" s="318"/>
      <c r="J136" s="319"/>
      <c r="K136" s="431"/>
      <c r="L136" s="317"/>
      <c r="M136" s="317"/>
      <c r="N136" s="118" t="b">
        <v>0</v>
      </c>
      <c r="O136" s="487"/>
      <c r="Q136" s="284"/>
      <c r="R136" s="285" t="b">
        <v>0</v>
      </c>
      <c r="S136" s="285" t="b">
        <v>0</v>
      </c>
      <c r="T136" s="286" t="b">
        <v>0</v>
      </c>
    </row>
    <row r="137" hidden="1" outlineLevel="1">
      <c r="A137" s="317"/>
      <c r="B137" s="317"/>
      <c r="C137" s="316"/>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316"/>
      <c r="D138" s="317"/>
      <c r="E138" s="317"/>
      <c r="F138" s="317"/>
      <c r="G138" s="317"/>
      <c r="H138" s="317"/>
      <c r="I138" s="318"/>
      <c r="J138" s="319"/>
      <c r="K138" s="431"/>
      <c r="L138" s="317"/>
      <c r="M138" s="317"/>
      <c r="N138" s="118" t="b">
        <v>0</v>
      </c>
      <c r="O138" s="487"/>
      <c r="Q138" s="284"/>
      <c r="R138" s="285" t="b">
        <v>0</v>
      </c>
      <c r="S138" s="285" t="b">
        <v>0</v>
      </c>
      <c r="T138" s="286" t="b">
        <v>0</v>
      </c>
    </row>
    <row r="139" hidden="1" outlineLevel="1">
      <c r="A139" s="317"/>
      <c r="B139" s="317"/>
      <c r="C139" s="316"/>
      <c r="D139" s="317"/>
      <c r="E139" s="317"/>
      <c r="F139" s="317"/>
      <c r="G139" s="317"/>
      <c r="H139" s="317"/>
      <c r="I139" s="318"/>
      <c r="J139" s="319"/>
      <c r="K139" s="431"/>
      <c r="L139" s="317"/>
      <c r="M139" s="317"/>
      <c r="N139" s="118" t="b">
        <v>0</v>
      </c>
      <c r="O139" s="487"/>
      <c r="Q139" s="284"/>
      <c r="R139" s="285" t="b">
        <v>0</v>
      </c>
      <c r="S139" s="285" t="b">
        <v>0</v>
      </c>
      <c r="T139" s="286" t="b">
        <v>0</v>
      </c>
    </row>
    <row r="140" hidden="1" outlineLevel="1">
      <c r="A140" s="317"/>
      <c r="B140" s="317"/>
      <c r="C140" s="316"/>
      <c r="D140" s="317"/>
      <c r="E140" s="317"/>
      <c r="F140" s="317"/>
      <c r="G140" s="317"/>
      <c r="H140" s="317"/>
      <c r="I140" s="318"/>
      <c r="J140" s="319"/>
      <c r="K140" s="431"/>
      <c r="L140" s="317"/>
      <c r="M140" s="317"/>
      <c r="N140" s="118" t="b">
        <v>0</v>
      </c>
      <c r="O140" s="487"/>
      <c r="Q140" s="284"/>
      <c r="R140" s="285" t="b">
        <v>0</v>
      </c>
      <c r="S140" s="285" t="b">
        <v>0</v>
      </c>
      <c r="T140" s="286" t="b">
        <v>0</v>
      </c>
    </row>
    <row r="141" hidden="1" outlineLevel="1">
      <c r="A141" s="317"/>
      <c r="B141" s="317"/>
      <c r="C141" s="316"/>
      <c r="D141" s="317"/>
      <c r="E141" s="317"/>
      <c r="F141" s="317"/>
      <c r="G141" s="317"/>
      <c r="H141" s="317"/>
      <c r="I141" s="318"/>
      <c r="J141" s="319"/>
      <c r="K141" s="431"/>
      <c r="L141" s="317"/>
      <c r="M141" s="317"/>
      <c r="N141" s="118" t="b">
        <v>0</v>
      </c>
      <c r="O141" s="487"/>
      <c r="Q141" s="284"/>
      <c r="R141" s="285" t="b">
        <v>0</v>
      </c>
      <c r="S141" s="285" t="b">
        <v>0</v>
      </c>
      <c r="T141" s="286" t="b">
        <v>0</v>
      </c>
    </row>
    <row r="142" hidden="1" outlineLevel="1">
      <c r="A142" s="317"/>
      <c r="B142" s="317"/>
      <c r="C142" s="316"/>
      <c r="D142" s="317"/>
      <c r="E142" s="317"/>
      <c r="F142" s="317"/>
      <c r="G142" s="317"/>
      <c r="H142" s="317"/>
      <c r="I142" s="318"/>
      <c r="J142" s="435"/>
      <c r="K142" s="431"/>
      <c r="L142" s="317"/>
      <c r="M142" s="317"/>
      <c r="N142" s="118" t="b">
        <v>0</v>
      </c>
      <c r="O142" s="487"/>
      <c r="Q142" s="284"/>
      <c r="R142" s="285" t="b">
        <v>0</v>
      </c>
      <c r="S142" s="285" t="b">
        <v>0</v>
      </c>
      <c r="T142" s="286" t="b">
        <v>0</v>
      </c>
    </row>
    <row r="143" hidden="1" outlineLevel="1">
      <c r="A143" s="317"/>
      <c r="B143" s="317"/>
      <c r="C143" s="316"/>
      <c r="D143" s="317"/>
      <c r="E143" s="317"/>
      <c r="F143" s="317"/>
      <c r="G143" s="317"/>
      <c r="H143" s="317"/>
      <c r="I143" s="318"/>
      <c r="J143" s="319"/>
      <c r="K143" s="436"/>
      <c r="L143" s="317"/>
      <c r="M143" s="317"/>
      <c r="N143" s="118" t="b">
        <v>0</v>
      </c>
      <c r="O143" s="487"/>
      <c r="Q143" s="284"/>
      <c r="R143" s="285" t="b">
        <v>0</v>
      </c>
      <c r="S143" s="285" t="b">
        <v>0</v>
      </c>
      <c r="T143" s="286" t="b">
        <v>0</v>
      </c>
    </row>
    <row r="144" hidden="1" outlineLevel="1">
      <c r="A144" s="317"/>
      <c r="B144" s="317"/>
      <c r="C144" s="316"/>
      <c r="D144" s="317"/>
      <c r="E144" s="317"/>
      <c r="F144" s="317"/>
      <c r="G144" s="317"/>
      <c r="H144" s="317"/>
      <c r="I144" s="318"/>
      <c r="J144" s="319"/>
      <c r="K144" s="436"/>
      <c r="L144" s="317"/>
      <c r="M144" s="317"/>
      <c r="N144" s="118" t="b">
        <v>0</v>
      </c>
      <c r="O144" s="487"/>
      <c r="Q144" s="284"/>
      <c r="R144" s="285" t="b">
        <v>0</v>
      </c>
      <c r="S144" s="285" t="b">
        <v>0</v>
      </c>
      <c r="T144" s="286" t="b">
        <v>0</v>
      </c>
    </row>
    <row r="145" hidden="1" outlineLevel="1">
      <c r="A145" s="317"/>
      <c r="B145" s="317"/>
      <c r="C145" s="444"/>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444"/>
      <c r="D147" s="317"/>
      <c r="E147" s="317"/>
      <c r="F147" s="317"/>
      <c r="G147" s="317"/>
      <c r="H147" s="317"/>
      <c r="I147" s="318"/>
      <c r="J147" s="319"/>
      <c r="K147" s="436"/>
      <c r="L147" s="317"/>
      <c r="M147" s="317"/>
      <c r="N147" s="118" t="b">
        <v>0</v>
      </c>
      <c r="O147" s="487"/>
      <c r="Q147" s="284"/>
      <c r="R147" s="285" t="b">
        <v>0</v>
      </c>
      <c r="S147" s="285" t="b">
        <v>0</v>
      </c>
      <c r="T147" s="286" t="b">
        <v>0</v>
      </c>
    </row>
    <row r="148" hidden="1" outlineLevel="1">
      <c r="A148" s="317"/>
      <c r="B148" s="317"/>
      <c r="C148" s="444"/>
      <c r="D148" s="317"/>
      <c r="E148" s="317"/>
      <c r="F148" s="317"/>
      <c r="G148" s="317"/>
      <c r="H148" s="317"/>
      <c r="I148" s="318"/>
      <c r="J148" s="319"/>
      <c r="K148" s="436"/>
      <c r="L148" s="317"/>
      <c r="M148" s="317"/>
      <c r="N148" s="118" t="b">
        <v>0</v>
      </c>
      <c r="O148" s="487"/>
      <c r="Q148" s="284"/>
      <c r="R148" s="285" t="b">
        <v>0</v>
      </c>
      <c r="S148" s="285" t="b">
        <v>0</v>
      </c>
      <c r="T148" s="286" t="b">
        <v>0</v>
      </c>
    </row>
    <row r="149" hidden="1" outlineLevel="1">
      <c r="A149" s="317"/>
      <c r="B149" s="317"/>
      <c r="C149" s="444"/>
      <c r="D149" s="317"/>
      <c r="E149" s="317"/>
      <c r="F149" s="317"/>
      <c r="G149" s="317"/>
      <c r="H149" s="317"/>
      <c r="I149" s="318"/>
      <c r="J149" s="319"/>
      <c r="K149" s="436"/>
      <c r="L149" s="317"/>
      <c r="M149" s="317"/>
      <c r="N149" s="118" t="b">
        <v>0</v>
      </c>
      <c r="O149" s="487"/>
      <c r="Q149" s="284"/>
      <c r="R149" s="285" t="b">
        <v>0</v>
      </c>
      <c r="S149" s="285" t="b">
        <v>0</v>
      </c>
      <c r="T149" s="286" t="b">
        <v>0</v>
      </c>
    </row>
    <row r="150" hidden="1" outlineLevel="1">
      <c r="A150" s="317"/>
      <c r="B150" s="317"/>
      <c r="C150" s="444"/>
      <c r="D150" s="317"/>
      <c r="E150" s="317"/>
      <c r="F150" s="317"/>
      <c r="G150" s="317"/>
      <c r="H150" s="317"/>
      <c r="I150" s="318"/>
      <c r="J150" s="319"/>
      <c r="K150" s="436"/>
      <c r="L150" s="317"/>
      <c r="M150" s="317"/>
      <c r="N150" s="118" t="b">
        <v>0</v>
      </c>
      <c r="O150" s="487"/>
      <c r="Q150" s="284"/>
      <c r="R150" s="285" t="b">
        <v>0</v>
      </c>
      <c r="S150" s="285" t="b">
        <v>0</v>
      </c>
      <c r="T150" s="286" t="b">
        <v>0</v>
      </c>
    </row>
    <row r="151" hidden="1" outlineLevel="1">
      <c r="A151" s="317"/>
      <c r="B151" s="317"/>
      <c r="C151" s="444"/>
      <c r="D151" s="317"/>
      <c r="E151" s="317"/>
      <c r="F151" s="317"/>
      <c r="G151" s="317"/>
      <c r="H151" s="317"/>
      <c r="I151" s="318"/>
      <c r="J151" s="435"/>
      <c r="K151" s="431"/>
      <c r="L151" s="317"/>
      <c r="M151" s="317"/>
      <c r="N151" s="118" t="b">
        <v>0</v>
      </c>
      <c r="O151" s="487"/>
      <c r="Q151" s="284"/>
      <c r="R151" s="285" t="b">
        <v>0</v>
      </c>
      <c r="S151" s="285" t="b">
        <v>0</v>
      </c>
      <c r="T151" s="286" t="b">
        <v>0</v>
      </c>
    </row>
    <row r="152" hidden="1" outlineLevel="1">
      <c r="A152" s="317"/>
      <c r="B152" s="317"/>
      <c r="C152" s="444"/>
      <c r="D152" s="317"/>
      <c r="E152" s="317"/>
      <c r="F152" s="317"/>
      <c r="G152" s="317"/>
      <c r="H152" s="317"/>
      <c r="I152" s="318"/>
      <c r="J152" s="435"/>
      <c r="K152" s="431"/>
      <c r="L152" s="317"/>
      <c r="M152" s="317"/>
      <c r="N152" s="118" t="b">
        <v>0</v>
      </c>
      <c r="O152" s="487"/>
      <c r="Q152" s="284"/>
      <c r="R152" s="285" t="b">
        <v>0</v>
      </c>
      <c r="S152" s="285" t="b">
        <v>0</v>
      </c>
      <c r="T152" s="286" t="b">
        <v>0</v>
      </c>
    </row>
    <row r="153" hidden="1" outlineLevel="1">
      <c r="A153" s="317"/>
      <c r="B153" s="317"/>
      <c r="C153" s="444"/>
      <c r="D153" s="317"/>
      <c r="E153" s="317"/>
      <c r="F153" s="317"/>
      <c r="G153" s="317"/>
      <c r="H153" s="317"/>
      <c r="I153" s="318"/>
      <c r="J153" s="319"/>
      <c r="K153" s="436"/>
      <c r="L153" s="317"/>
      <c r="M153" s="317"/>
      <c r="N153" s="118" t="b">
        <v>0</v>
      </c>
      <c r="O153" s="487"/>
      <c r="Q153" s="284"/>
      <c r="R153" s="285" t="b">
        <v>0</v>
      </c>
      <c r="S153" s="285" t="b">
        <v>0</v>
      </c>
      <c r="T153" s="286" t="b">
        <v>0</v>
      </c>
    </row>
    <row r="154" hidden="1" outlineLevel="1">
      <c r="A154" s="317"/>
      <c r="B154" s="317"/>
      <c r="C154" s="444"/>
      <c r="D154" s="317"/>
      <c r="E154" s="317"/>
      <c r="F154" s="317"/>
      <c r="G154" s="317"/>
      <c r="H154" s="317"/>
      <c r="I154" s="318"/>
      <c r="J154" s="319"/>
      <c r="K154" s="436"/>
      <c r="L154" s="317"/>
      <c r="M154" s="317"/>
      <c r="N154" s="118" t="b">
        <v>0</v>
      </c>
      <c r="O154" s="487"/>
      <c r="Q154" s="284"/>
      <c r="R154" s="285" t="b">
        <v>0</v>
      </c>
      <c r="S154" s="285" t="b">
        <v>0</v>
      </c>
      <c r="T154" s="286" t="b">
        <v>0</v>
      </c>
    </row>
    <row r="155" hidden="1" outlineLevel="1">
      <c r="A155" s="317"/>
      <c r="B155" s="317"/>
      <c r="C155" s="498"/>
      <c r="D155" s="336"/>
      <c r="E155" s="336"/>
      <c r="F155" s="420"/>
      <c r="G155" s="317"/>
      <c r="H155" s="317"/>
      <c r="I155" s="318"/>
      <c r="J155" s="319"/>
      <c r="K155" s="431"/>
      <c r="L155" s="317"/>
      <c r="M155" s="317"/>
      <c r="N155" s="118" t="b">
        <v>0</v>
      </c>
      <c r="O155" s="487"/>
      <c r="Q155" s="284"/>
      <c r="R155" s="285" t="b">
        <v>0</v>
      </c>
      <c r="S155" s="285" t="b">
        <v>0</v>
      </c>
      <c r="T155" s="286" t="b">
        <v>0</v>
      </c>
    </row>
    <row r="156" hidden="1" outlineLevel="1">
      <c r="A156" s="317"/>
      <c r="B156" s="317"/>
      <c r="C156" s="498"/>
      <c r="D156" s="279"/>
      <c r="E156" s="279"/>
      <c r="F156" s="346"/>
      <c r="G156" s="317"/>
      <c r="H156" s="317"/>
      <c r="I156" s="318"/>
      <c r="J156" s="319"/>
      <c r="K156" s="431"/>
      <c r="L156" s="317"/>
      <c r="M156" s="317"/>
      <c r="N156" s="118" t="b">
        <v>0</v>
      </c>
      <c r="O156" s="487"/>
      <c r="Q156" s="284"/>
      <c r="R156" s="285" t="b">
        <v>0</v>
      </c>
      <c r="S156" s="285" t="b">
        <v>0</v>
      </c>
      <c r="T156" s="286" t="b">
        <v>0</v>
      </c>
    </row>
    <row r="157" hidden="1" outlineLevel="1">
      <c r="A157" s="432"/>
      <c r="B157" s="432"/>
      <c r="C157" s="440"/>
      <c r="D157" s="432"/>
      <c r="E157" s="432"/>
      <c r="F157" s="432"/>
      <c r="G157" s="432"/>
      <c r="H157" s="351"/>
      <c r="I157" s="441"/>
      <c r="J157" s="319"/>
      <c r="K157" s="436"/>
      <c r="L157" s="317"/>
      <c r="M157" s="432"/>
      <c r="N157" s="118" t="b">
        <v>0</v>
      </c>
      <c r="O157" s="487"/>
      <c r="Q157" s="284"/>
      <c r="R157" s="285" t="b">
        <v>0</v>
      </c>
      <c r="S157" s="285" t="b">
        <v>0</v>
      </c>
      <c r="T157" s="286" t="b">
        <v>0</v>
      </c>
    </row>
    <row r="158" hidden="1" outlineLevel="1">
      <c r="A158" s="317"/>
      <c r="B158" s="317"/>
      <c r="C158" s="316"/>
      <c r="D158" s="317"/>
      <c r="E158" s="317"/>
      <c r="F158" s="317"/>
      <c r="G158" s="317"/>
      <c r="H158" s="317"/>
      <c r="I158" s="318"/>
      <c r="J158" s="319"/>
      <c r="K158" s="436"/>
      <c r="L158" s="317"/>
      <c r="M158" s="317"/>
      <c r="N158" s="118" t="b">
        <v>0</v>
      </c>
      <c r="O158" s="487"/>
      <c r="Q158" s="284"/>
      <c r="R158" s="285" t="b">
        <v>0</v>
      </c>
      <c r="S158" s="285" t="b">
        <v>0</v>
      </c>
      <c r="T158" s="286" t="b">
        <v>0</v>
      </c>
    </row>
    <row r="159" hidden="1" outlineLevel="1">
      <c r="A159" s="317"/>
      <c r="B159" s="317"/>
      <c r="C159" s="444"/>
      <c r="D159" s="317"/>
      <c r="E159" s="317"/>
      <c r="F159" s="317"/>
      <c r="G159" s="317"/>
      <c r="H159" s="317"/>
      <c r="I159" s="318"/>
      <c r="J159" s="319"/>
      <c r="K159" s="436"/>
      <c r="L159" s="317"/>
      <c r="M159" s="317"/>
      <c r="N159" s="118" t="b">
        <v>0</v>
      </c>
      <c r="O159" s="487"/>
      <c r="Q159" s="284"/>
      <c r="R159" s="285" t="b">
        <v>0</v>
      </c>
      <c r="S159" s="285" t="b">
        <v>0</v>
      </c>
      <c r="T159" s="286" t="b">
        <v>0</v>
      </c>
    </row>
    <row r="160" hidden="1" outlineLevel="1">
      <c r="A160" s="317"/>
      <c r="B160" s="317"/>
      <c r="C160" s="444"/>
      <c r="D160" s="317"/>
      <c r="E160" s="317"/>
      <c r="F160" s="317"/>
      <c r="G160" s="317"/>
      <c r="H160" s="317"/>
      <c r="I160" s="318"/>
      <c r="J160" s="319"/>
      <c r="K160" s="436"/>
      <c r="L160" s="317"/>
      <c r="M160" s="317"/>
      <c r="N160" s="118" t="b">
        <v>0</v>
      </c>
      <c r="O160" s="487"/>
      <c r="P160" s="487"/>
      <c r="Q160" s="284"/>
      <c r="R160" s="285" t="b">
        <v>0</v>
      </c>
      <c r="S160" s="285" t="b">
        <v>0</v>
      </c>
      <c r="T160" s="286" t="b">
        <v>0</v>
      </c>
    </row>
    <row r="161" hidden="1" outlineLevel="1">
      <c r="A161" s="317"/>
      <c r="B161" s="317"/>
      <c r="C161" s="444"/>
      <c r="D161" s="317"/>
      <c r="E161" s="317"/>
      <c r="F161" s="317"/>
      <c r="G161" s="317"/>
      <c r="H161" s="317"/>
      <c r="I161" s="318"/>
      <c r="J161" s="319"/>
      <c r="K161" s="436"/>
      <c r="L161" s="317"/>
      <c r="M161" s="317"/>
      <c r="N161" s="118" t="b">
        <v>0</v>
      </c>
      <c r="O161" s="487"/>
      <c r="P161" s="487"/>
      <c r="Q161" s="284"/>
      <c r="R161" s="285" t="b">
        <v>0</v>
      </c>
      <c r="S161" s="285" t="b">
        <v>0</v>
      </c>
      <c r="T161" s="286" t="b">
        <v>0</v>
      </c>
    </row>
    <row r="162" hidden="1" outlineLevel="1">
      <c r="A162" s="317"/>
      <c r="B162" s="317"/>
      <c r="C162" s="444"/>
      <c r="D162" s="317"/>
      <c r="E162" s="317"/>
      <c r="F162" s="317"/>
      <c r="G162" s="317"/>
      <c r="H162" s="317"/>
      <c r="I162" s="318"/>
      <c r="J162" s="319"/>
      <c r="K162" s="436"/>
      <c r="L162" s="317"/>
      <c r="M162" s="317"/>
      <c r="N162" s="118" t="b">
        <v>0</v>
      </c>
      <c r="O162" s="487"/>
      <c r="P162" s="487"/>
      <c r="Q162" s="284"/>
      <c r="R162" s="285" t="b">
        <v>0</v>
      </c>
      <c r="S162" s="285" t="b">
        <v>0</v>
      </c>
      <c r="T162" s="286" t="b">
        <v>0</v>
      </c>
    </row>
    <row r="163" hidden="1" outlineLevel="1">
      <c r="A163" s="317"/>
      <c r="B163" s="317"/>
      <c r="C163" s="444"/>
      <c r="D163" s="317"/>
      <c r="E163" s="317"/>
      <c r="F163" s="317"/>
      <c r="G163" s="317"/>
      <c r="H163" s="317"/>
      <c r="I163" s="318"/>
      <c r="J163" s="319"/>
      <c r="K163" s="436"/>
      <c r="L163" s="317"/>
      <c r="M163" s="317"/>
      <c r="N163" s="118" t="b">
        <v>0</v>
      </c>
      <c r="O163" s="487"/>
      <c r="P163" s="487"/>
      <c r="Q163" s="284"/>
      <c r="R163" s="285" t="b">
        <v>0</v>
      </c>
      <c r="S163" s="285" t="b">
        <v>0</v>
      </c>
      <c r="T163" s="286" t="b">
        <v>0</v>
      </c>
    </row>
    <row r="164" hidden="1" outlineLevel="1">
      <c r="A164" s="317"/>
      <c r="B164" s="317"/>
      <c r="C164" s="444"/>
      <c r="D164" s="317"/>
      <c r="E164" s="317"/>
      <c r="F164" s="317"/>
      <c r="G164" s="317"/>
      <c r="H164" s="317"/>
      <c r="I164" s="318"/>
      <c r="J164" s="319"/>
      <c r="K164" s="436"/>
      <c r="L164" s="317"/>
      <c r="M164" s="317"/>
      <c r="N164" s="118" t="b">
        <v>0</v>
      </c>
      <c r="O164" s="487"/>
      <c r="P164" s="487"/>
      <c r="Q164" s="284"/>
      <c r="R164" s="285" t="b">
        <v>0</v>
      </c>
      <c r="S164" s="285" t="b">
        <v>0</v>
      </c>
      <c r="T164" s="286" t="b">
        <v>0</v>
      </c>
    </row>
    <row r="165" hidden="1" outlineLevel="1">
      <c r="A165" s="317"/>
      <c r="B165" s="317"/>
      <c r="C165" s="444"/>
      <c r="D165" s="317"/>
      <c r="E165" s="317"/>
      <c r="F165" s="317"/>
      <c r="G165" s="317"/>
      <c r="H165" s="317"/>
      <c r="I165" s="318"/>
      <c r="J165" s="319"/>
      <c r="K165" s="436"/>
      <c r="L165" s="317"/>
      <c r="M165" s="317"/>
      <c r="N165" s="118" t="b">
        <v>0</v>
      </c>
      <c r="O165" s="487"/>
      <c r="P165" s="487"/>
      <c r="Q165" s="284"/>
      <c r="R165" s="285" t="b">
        <v>0</v>
      </c>
      <c r="S165" s="285" t="b">
        <v>0</v>
      </c>
      <c r="T165" s="286" t="b">
        <v>0</v>
      </c>
    </row>
    <row r="166" hidden="1" outlineLevel="1">
      <c r="A166" s="317"/>
      <c r="B166" s="317"/>
      <c r="C166" s="444"/>
      <c r="D166" s="317"/>
      <c r="E166" s="317"/>
      <c r="F166" s="317"/>
      <c r="G166" s="317"/>
      <c r="H166" s="317"/>
      <c r="I166" s="318"/>
      <c r="J166" s="319"/>
      <c r="K166" s="436"/>
      <c r="L166" s="317"/>
      <c r="M166" s="317"/>
      <c r="N166" s="118" t="b">
        <v>0</v>
      </c>
      <c r="O166" s="487"/>
      <c r="P166" s="487"/>
      <c r="Q166" s="284"/>
      <c r="R166" s="285" t="b">
        <v>0</v>
      </c>
      <c r="S166" s="285" t="b">
        <v>0</v>
      </c>
      <c r="T166" s="286" t="b">
        <v>0</v>
      </c>
    </row>
    <row r="167" hidden="1" outlineLevel="1">
      <c r="A167" s="317"/>
      <c r="B167" s="317"/>
      <c r="C167" s="444"/>
      <c r="D167" s="317"/>
      <c r="E167" s="317"/>
      <c r="F167" s="317"/>
      <c r="G167" s="317"/>
      <c r="H167" s="317"/>
      <c r="I167" s="318"/>
      <c r="J167" s="319"/>
      <c r="K167" s="436"/>
      <c r="L167" s="317"/>
      <c r="M167" s="317"/>
      <c r="N167" s="118" t="b">
        <v>0</v>
      </c>
      <c r="O167" s="487"/>
      <c r="P167" s="487"/>
      <c r="Q167" s="284"/>
      <c r="R167" s="285" t="b">
        <v>0</v>
      </c>
      <c r="S167" s="285" t="b">
        <v>0</v>
      </c>
      <c r="T167" s="286" t="b">
        <v>0</v>
      </c>
    </row>
    <row r="168" hidden="1" outlineLevel="1">
      <c r="A168" s="317"/>
      <c r="B168" s="317"/>
      <c r="C168" s="444"/>
      <c r="D168" s="317"/>
      <c r="E168" s="317"/>
      <c r="F168" s="317"/>
      <c r="G168" s="317"/>
      <c r="H168" s="317"/>
      <c r="I168" s="318"/>
      <c r="J168" s="319"/>
      <c r="K168" s="436"/>
      <c r="L168" s="317"/>
      <c r="M168" s="317"/>
      <c r="N168" s="118" t="b">
        <v>0</v>
      </c>
      <c r="O168" s="487"/>
      <c r="P168" s="487"/>
      <c r="Q168" s="284"/>
      <c r="R168" s="285" t="b">
        <v>0</v>
      </c>
      <c r="S168" s="285" t="b">
        <v>0</v>
      </c>
      <c r="T168" s="286" t="b">
        <v>0</v>
      </c>
    </row>
    <row r="169" hidden="1" outlineLevel="1">
      <c r="A169" s="317"/>
      <c r="B169" s="317"/>
      <c r="C169" s="316"/>
      <c r="D169" s="317"/>
      <c r="E169" s="317"/>
      <c r="F169" s="445"/>
      <c r="G169" s="317"/>
      <c r="H169" s="317"/>
      <c r="I169" s="318"/>
      <c r="J169" s="435"/>
      <c r="K169" s="431"/>
      <c r="L169" s="317"/>
      <c r="M169" s="317"/>
      <c r="N169" s="118" t="b">
        <v>0</v>
      </c>
      <c r="O169" s="487"/>
      <c r="Q169" s="284"/>
      <c r="R169" s="285" t="b">
        <v>0</v>
      </c>
      <c r="S169" s="285" t="b">
        <v>0</v>
      </c>
      <c r="T169" s="286" t="b">
        <v>0</v>
      </c>
    </row>
    <row r="170">
      <c r="A170" s="348" t="s">
        <v>116</v>
      </c>
      <c r="B170" s="349">
        <f>COUNTIF(B90:B169,"ONLINE")+COUNTIF(B90:B169,"SEDE*")</f>
        <v>0</v>
      </c>
      <c r="C170" s="348" t="s">
        <v>116</v>
      </c>
      <c r="D170" s="349">
        <f t="shared" ref="D170:E170" si="7">COUNTIF(D90:D169, "*")</f>
        <v>0</v>
      </c>
      <c r="E170" s="349">
        <f t="shared" si="7"/>
        <v>0</v>
      </c>
      <c r="F170" s="480">
        <f>COUNTA(F90:F169)</f>
        <v>0</v>
      </c>
      <c r="G170" s="349">
        <f t="shared" ref="G170:H170" si="8">COUNTIF(G90:G169, "*")</f>
        <v>0</v>
      </c>
      <c r="H170" s="349">
        <f t="shared" si="8"/>
        <v>0</v>
      </c>
      <c r="I170" s="348" t="s">
        <v>116</v>
      </c>
      <c r="J170" s="481">
        <f t="shared" ref="J170:K170" si="9">SUM(J90:J169)</f>
        <v>0</v>
      </c>
      <c r="K170" s="482">
        <f t="shared" si="9"/>
        <v>0</v>
      </c>
      <c r="L170" s="349">
        <f t="shared" ref="L170:M170" si="10">COUNTIF(L90:L169, "*")</f>
        <v>0</v>
      </c>
      <c r="M170" s="349">
        <f t="shared" si="10"/>
        <v>0</v>
      </c>
      <c r="N170" s="349">
        <f>SUMPRODUCT(--N90:N169)</f>
        <v>0</v>
      </c>
      <c r="O170" s="349">
        <f t="shared" ref="O170:Q170" si="11">COUNTIF(O90:O169, "*")</f>
        <v>0</v>
      </c>
      <c r="P170" s="349">
        <f t="shared" si="11"/>
        <v>0</v>
      </c>
      <c r="Q170" s="349">
        <f t="shared" si="11"/>
        <v>0</v>
      </c>
      <c r="R170" s="349">
        <f t="shared" ref="R170:T170" si="12">SUMPRODUCT(--R90:R169)</f>
        <v>0</v>
      </c>
      <c r="S170" s="349">
        <f t="shared" si="12"/>
        <v>0</v>
      </c>
      <c r="T170" s="349">
        <f t="shared" si="12"/>
        <v>0</v>
      </c>
    </row>
    <row r="171">
      <c r="A171" s="245" t="s">
        <v>117</v>
      </c>
      <c r="B171" s="246">
        <f>COUNTIF(B90:B169, "SEDE*")</f>
        <v>0</v>
      </c>
      <c r="C171" s="351"/>
      <c r="D171" s="351"/>
      <c r="E171" s="351"/>
      <c r="F171" s="351"/>
      <c r="G171" s="351"/>
      <c r="H171" s="245" t="s">
        <v>1974</v>
      </c>
      <c r="I171" s="355" t="s">
        <v>121</v>
      </c>
      <c r="J171" s="483" t="str">
        <f>COUNTIFS($B$90:$B$169,"*SEDE*",$J$90:$J$169, $F$176)&amp; " da €"&amp;$F$176</f>
        <v>0 da €45</v>
      </c>
      <c r="K171" s="484" t="str">
        <f>COUNTIFS($B$90:$B$169,"*SEDE*",$K$90:$K$169, $F$175)&amp; " da €"&amp;$F$175</f>
        <v>0 da €43</v>
      </c>
      <c r="L171" s="368" t="str">
        <f>COUNTIFS($B$90:$B$169,"*SEDE*",$J$90:$J$169, $F$178)&amp; " da €"&amp;$F$178</f>
        <v>0 da €30</v>
      </c>
      <c r="M171" s="369" t="str">
        <f>COUNTIFS($B$90:$B$169,"*SEDE*",$K$90:$K$169, $F$177)&amp; " da €"&amp;$F$177</f>
        <v>0 da €0</v>
      </c>
      <c r="N171" s="365" t="str">
        <f>COUNTIFS($B$90:$B$169,"*SEDE*",$J$90:$J$169, $G$176)&amp; " da €"&amp;$G$176</f>
        <v>0 da €0</v>
      </c>
      <c r="O171" s="373" t="str">
        <f>COUNTIFS($B$90:$B$169,"*SEDE*",$K$90:$K$169, $G$175)&amp; " da €"&amp;$G$175</f>
        <v>0 da €0</v>
      </c>
      <c r="P171" s="499" t="s">
        <v>40</v>
      </c>
      <c r="Q171" s="486">
        <f>SUM(J172,K172,L172,M172,N172,O172)</f>
        <v>0</v>
      </c>
      <c r="R171" s="500"/>
      <c r="S171" s="351"/>
      <c r="T171" s="351"/>
    </row>
    <row r="172">
      <c r="A172" s="245" t="s">
        <v>74</v>
      </c>
      <c r="B172" s="246">
        <f>COUNTIF(B90:B169, "ONLINE")</f>
        <v>0</v>
      </c>
      <c r="C172" s="245"/>
      <c r="D172" s="317"/>
      <c r="E172" s="351"/>
      <c r="I172" s="367" t="s">
        <v>122</v>
      </c>
      <c r="J172" s="368">
        <f>SUMIFS($J$90:$J$169,$B$90:$B$169,"*SEDE*",$J$90:$J$169,$F$176)</f>
        <v>0</v>
      </c>
      <c r="K172" s="436">
        <f>SUMIFS($K$90:$K$169,$B$90:$B$169,"*SEDE*",$K$90:$K$169,$F$175)</f>
        <v>0</v>
      </c>
      <c r="L172" s="368">
        <f>SUMIFS($J$90:$J$169,$B$90:$B$169,"*SEDE*",$J$90:$J$169,$F$178)</f>
        <v>0</v>
      </c>
      <c r="M172" s="436">
        <f>SUMIFS($K$90:$K$169,$B$90:$B$169,"*SEDE*",$K$90:$K$169,$F$177)</f>
        <v>0</v>
      </c>
      <c r="N172" s="501">
        <f>SUMIFS($J$90:$J$169,$B$90:$B$169,"*SEDE*",$J$90:$J$169,$G$176)</f>
        <v>0</v>
      </c>
      <c r="O172" s="436">
        <f>SUMIFS($K$90:$K$169,$B$90:$B$169,"*SEDE*",$K$90:$K$169,$G$175)</f>
        <v>0</v>
      </c>
      <c r="R172" s="500"/>
      <c r="S172" s="351"/>
      <c r="T172" s="351"/>
    </row>
    <row r="173">
      <c r="A173" s="245"/>
      <c r="B173" s="246"/>
      <c r="C173" s="245"/>
      <c r="D173" s="351"/>
      <c r="E173" s="351"/>
      <c r="F173" s="502"/>
      <c r="G173" s="503"/>
      <c r="I173" s="355" t="s">
        <v>123</v>
      </c>
      <c r="J173" s="368" t="str">
        <f>COUNTIFS($B$90:$B$169,"*ONLINE*",$J$90:$J$169, $F$176)&amp; " da €"&amp;$F$176</f>
        <v>0 da €45</v>
      </c>
      <c r="K173" s="484" t="str">
        <f>COUNTIFS($B$90:$B$169,"*ONLINE*",$K$90:$K$169, $F$175)&amp; " da €"&amp;$F$175</f>
        <v>0 da €43</v>
      </c>
      <c r="L173" s="368" t="str">
        <f>COUNTIFS($B$90:$B$169,"*ONLINE*",$J$90:$J$169, $F$178)&amp; " da €"&amp;$F$178</f>
        <v>0 da €30</v>
      </c>
      <c r="M173" s="369" t="str">
        <f>COUNTIFS($B$90:$B$169,"*ONLINE*",$K$90:$K$169, $F$177)&amp; " da €"&amp;$F$177</f>
        <v>0 da €0</v>
      </c>
      <c r="N173" s="483" t="str">
        <f>COUNTIFS($B$90:$B$169,"*ONLINE*",$J$90:$J$169, $G$176)&amp; " da €"&amp;$G$176</f>
        <v>0 da €0</v>
      </c>
      <c r="O173" s="484" t="str">
        <f>COUNTIFS($B$90:$B$169,"*ONLINE*",$K$90:$K$169, $G$175)&amp; " da €"&amp;$G$175</f>
        <v>0 da €0</v>
      </c>
      <c r="P173" s="485" t="s">
        <v>40</v>
      </c>
      <c r="Q173" s="486">
        <f>SUM(J174,K174,L174,M174,N174,O174)</f>
        <v>0</v>
      </c>
      <c r="R173" s="500"/>
      <c r="S173" s="351"/>
      <c r="T173" s="351"/>
    </row>
    <row r="174">
      <c r="A174" s="379"/>
      <c r="B174" s="379"/>
      <c r="C174" s="245"/>
      <c r="D174" s="351"/>
      <c r="E174" s="351"/>
      <c r="F174" s="502"/>
      <c r="G174" s="503"/>
      <c r="H174" s="196"/>
      <c r="I174" s="355" t="s">
        <v>124</v>
      </c>
      <c r="J174" s="483">
        <f>SUMIFS($J$90:$J$169,$B$90:$B$169,"*ONLINE*",$J$90:$J$169,$F$176)</f>
        <v>0</v>
      </c>
      <c r="K174" s="484">
        <f>SUMIFS($K$90:$K$169,$B$90:$B$169,"*ONLINE*",$K$90:$K$169,$F$175)</f>
        <v>0</v>
      </c>
      <c r="L174" s="368">
        <f>SUMIFS($J$90:$J$169,$B$90:$B$169,"*ONLINE*",$J$90:$J$169,$F$178)</f>
        <v>0</v>
      </c>
      <c r="M174" s="436">
        <f>SUMIFS($K$90:$K$169,$B$90:$B$169,"*ONLINE*",$K$90:$K$169,$F$177)</f>
        <v>0</v>
      </c>
      <c r="N174" s="365">
        <f>SUMIFS($J$90:$J$169,$B$90:$B$169,"*ONLINE*",$J$90:$J$169,$G$176)</f>
        <v>0</v>
      </c>
      <c r="O174" s="436">
        <f>SUMIFS($K$90:$K$169,$B$90:$B$169,"*ONLINE*",$K$90:$K$169,$G$175)</f>
        <v>0</v>
      </c>
      <c r="P174" s="196"/>
      <c r="Q174" s="196"/>
      <c r="R174" s="245" t="s">
        <v>120</v>
      </c>
      <c r="S174" s="378" t="str">
        <f>IF(SUM(J170:K170) = SUM(Q171:Q174), "OK", "ERRORE")</f>
        <v>OK</v>
      </c>
      <c r="T174" s="351"/>
    </row>
    <row r="175">
      <c r="A175" s="208" t="s">
        <v>127</v>
      </c>
      <c r="B175" s="504">
        <f t="shared" ref="B175:B176" si="13">SUM(B85,B171)</f>
        <v>7</v>
      </c>
      <c r="C175" s="505"/>
      <c r="D175" s="452"/>
      <c r="E175" s="506" t="s">
        <v>1596</v>
      </c>
      <c r="F175" s="353">
        <v>43.0</v>
      </c>
      <c r="G175" s="507">
        <v>0.0</v>
      </c>
      <c r="H175" s="508" t="s">
        <v>1975</v>
      </c>
      <c r="I175" s="509" t="s">
        <v>132</v>
      </c>
      <c r="J175" s="510" t="str">
        <f>COUNTIFS($B$4:$B$83,"*SEDE*",$J$4:$J$83, $F$176)+COUNTIFS($B$90:$B$169,"*SEDE*",$J$90:$J$169, $F$176)&amp; " da €"&amp;$F$176</f>
        <v>3 da €45</v>
      </c>
      <c r="K175" s="511" t="str">
        <f>COUNTIFS($B$4:$B$83,"*SEDE*",$K$4:$K$83, $F$175)+COUNTIFS($B$90:$B$169,"*SEDE*",$K$90:$K$169, $F$175)&amp; " da €"&amp;$F$175</f>
        <v>4 da €43</v>
      </c>
      <c r="L175" s="510" t="str">
        <f>COUNTIFS($B$4:$B$83,"*SEDE*",$J$4:$J$83, $F$178)+COUNTIFS($B$90:$B$169,"*SEDE*",$J$90:$J$169, $F$178)&amp; " da €"&amp;$F$178</f>
        <v>0 da €30</v>
      </c>
      <c r="M175" s="511" t="str">
        <f>COUNTIFS($B$4:$B$83,"*SEDE*",$K$4:$K$83, $F$177)+COUNTIFS($B$90:$B$169,"*SEDE*",$K$90:$K$169, $F$177)&amp; " da €"&amp;$F$177</f>
        <v>0 da €0</v>
      </c>
      <c r="N175" s="510" t="str">
        <f>COUNTIFS($B$4:$B$83,"*SEDE*",$J$4:$J$83, $G$176)+COUNTIFS($B$90:$B$169,"*SEDE*",$J$90:$J$169, $G$176)&amp; " da €"&amp;$G$176</f>
        <v>0 da €0</v>
      </c>
      <c r="O175" s="511" t="str">
        <f>COUNTIFS($B$4:$B$83,"*SEDE*",$K$4:$K$83, $G$175)+COUNTIFS($B$90:$B$169,"*SEDE*",$K$90:$K$169, $G$175)&amp; " da €"&amp;$G$175</f>
        <v>0 da €0</v>
      </c>
      <c r="P175" s="512" t="s">
        <v>127</v>
      </c>
      <c r="Q175" s="359">
        <f>SUM(J176,K176,L176,M176,N176,O176)</f>
        <v>307</v>
      </c>
      <c r="R175" s="205" t="s">
        <v>130</v>
      </c>
      <c r="S175" s="513">
        <f>SUM(J84,K84,J170,K170)</f>
        <v>2925</v>
      </c>
      <c r="T175" s="207"/>
    </row>
    <row r="176">
      <c r="A176" s="208" t="s">
        <v>131</v>
      </c>
      <c r="B176" s="504">
        <f t="shared" si="13"/>
        <v>58</v>
      </c>
      <c r="C176" s="245"/>
      <c r="D176" s="351"/>
      <c r="E176" s="514"/>
      <c r="F176" s="365">
        <v>45.0</v>
      </c>
      <c r="G176" s="319">
        <v>0.0</v>
      </c>
      <c r="I176" s="515" t="s">
        <v>122</v>
      </c>
      <c r="J176" s="455">
        <f t="shared" ref="J176:O176" si="14">SUM(J86,J172)</f>
        <v>135</v>
      </c>
      <c r="K176" s="456">
        <f t="shared" si="14"/>
        <v>172</v>
      </c>
      <c r="L176" s="455">
        <f t="shared" si="14"/>
        <v>0</v>
      </c>
      <c r="M176" s="456">
        <f t="shared" si="14"/>
        <v>0</v>
      </c>
      <c r="N176" s="455">
        <f t="shared" si="14"/>
        <v>0</v>
      </c>
      <c r="O176" s="456">
        <f t="shared" si="14"/>
        <v>0</v>
      </c>
    </row>
    <row r="177">
      <c r="A177" s="213" t="s">
        <v>133</v>
      </c>
      <c r="B177" s="371">
        <f>SUM(B175:B176)</f>
        <v>65</v>
      </c>
      <c r="C177" s="245"/>
      <c r="D177" s="351"/>
      <c r="E177" s="514"/>
      <c r="F177" s="373">
        <v>0.0</v>
      </c>
      <c r="G177" s="431">
        <v>0.0</v>
      </c>
      <c r="I177" s="515" t="s">
        <v>135</v>
      </c>
      <c r="J177" s="483" t="str">
        <f>COUNTIFS($B$4:$B$83,"*ONLINE*",$J$4:$J$83, $F$176)+COUNTIFS($B$90:$B$169,"*ONLINE*",$J$90:$J$169, $F$176)&amp; " da €"&amp;$F$176</f>
        <v>47 da €45</v>
      </c>
      <c r="K177" s="92" t="str">
        <f>COUNTIFS($B$4:$B$83,"*ONLINE*",$K$4:$K$83, $F$175)+COUNTIFS($B$90:$B$169,"*ONLINE*",$K$90:$K$169, $F$175)&amp; " da €"&amp;$F$175</f>
        <v>11 da €43</v>
      </c>
      <c r="L177" s="516" t="str">
        <f>COUNTIFS($B$4:$B$83,"*ONLINE*",$J$4:$J$83, $F$178)+COUNTIFS($B$90:$B$169,"*ONLINE*",$J$90:$J$169, $F$178)&amp; " da €"&amp;$F$178</f>
        <v>0 da €30</v>
      </c>
      <c r="M177" s="92" t="str">
        <f>COUNTIFS($B$4:$B$83,"*ONLINE*",$K$4:$K$83, $F$177)+COUNTIFS($B$90:$B$169,"*ONLINE*",$K$90:$K$169, $F$177)&amp; " da €"&amp;$F$177</f>
        <v>0 da €0</v>
      </c>
      <c r="N177" s="516" t="str">
        <f>COUNTIFS($B$4:$B$83,"*ONLINE*",$J$4:$J$83, $G$176)+COUNTIFS($B$90:$B$169,"*ONLINE*",$J$90:$J$169, $G$176)&amp; " da €"&amp;$G$176</f>
        <v>0 da €0</v>
      </c>
      <c r="O177" s="92" t="str">
        <f>COUNTIFS($B$4:$B$83,"*ONLINE*",$K$4:$K$83, $G$175)+COUNTIFS($B$90:$B$169,"*ONLINE*",$K$90:$K$169, $G$175)&amp; " da €"&amp;$G$175</f>
        <v>0 da €0</v>
      </c>
      <c r="P177" s="512" t="s">
        <v>131</v>
      </c>
      <c r="Q177" s="359">
        <f>SUM(J178,K178,L178,M178,N178,O178)</f>
        <v>2588</v>
      </c>
    </row>
    <row r="178">
      <c r="A178" s="517" t="s">
        <v>134</v>
      </c>
      <c r="B178" s="518">
        <f>COUNTIF(M4:M169,"*NON TESSERATO*")</f>
        <v>51</v>
      </c>
      <c r="C178" s="245"/>
      <c r="D178" s="351"/>
      <c r="E178" s="519"/>
      <c r="F178" s="382">
        <v>30.0</v>
      </c>
      <c r="G178" s="520">
        <v>0.0</v>
      </c>
      <c r="H178" s="196"/>
      <c r="I178" s="521" t="s">
        <v>124</v>
      </c>
      <c r="J178" s="522">
        <f t="shared" ref="J178:O178" si="15">SUM(J88,J174)</f>
        <v>2115</v>
      </c>
      <c r="K178" s="523">
        <f t="shared" si="15"/>
        <v>473</v>
      </c>
      <c r="L178" s="522">
        <f t="shared" si="15"/>
        <v>0</v>
      </c>
      <c r="M178" s="523">
        <f t="shared" si="15"/>
        <v>0</v>
      </c>
      <c r="N178" s="522">
        <f t="shared" si="15"/>
        <v>0</v>
      </c>
      <c r="O178" s="523">
        <f t="shared" si="15"/>
        <v>0</v>
      </c>
      <c r="P178" s="196"/>
      <c r="Q178" s="196"/>
      <c r="R178" s="196"/>
      <c r="S178" s="196"/>
      <c r="T178" s="196"/>
    </row>
    <row r="179">
      <c r="A179" s="524" t="s">
        <v>136</v>
      </c>
      <c r="B179" s="525">
        <f>COUNTIF(M4:M169,"*TESSERATO*")-COUNTIF(M4:M169,"*NON TESSERATO*")</f>
        <v>12</v>
      </c>
      <c r="C179" s="245"/>
      <c r="D179" s="351"/>
      <c r="E179" s="526"/>
      <c r="F179" s="485"/>
      <c r="G179" s="527"/>
      <c r="H179" s="508"/>
      <c r="I179" s="515"/>
      <c r="J179" s="528"/>
      <c r="K179" s="528"/>
      <c r="L179" s="528"/>
      <c r="M179" s="528"/>
      <c r="N179" s="528"/>
      <c r="O179" s="528"/>
      <c r="P179" s="529"/>
      <c r="Q179" s="530"/>
      <c r="R179" s="531"/>
      <c r="S179" s="530"/>
      <c r="T179"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8:P68"/>
    <mergeCell ref="O69:P69"/>
    <mergeCell ref="O83:P83"/>
    <mergeCell ref="H85:H88"/>
    <mergeCell ref="P85:P86"/>
    <mergeCell ref="Q85:Q86"/>
    <mergeCell ref="P87:P88"/>
    <mergeCell ref="Q87:Q88"/>
    <mergeCell ref="A89:Q89"/>
    <mergeCell ref="O90:P90"/>
    <mergeCell ref="O91:P91"/>
    <mergeCell ref="O92:P92"/>
    <mergeCell ref="O93:P93"/>
    <mergeCell ref="O94:P94"/>
    <mergeCell ref="O95:P95"/>
    <mergeCell ref="O96:P96"/>
    <mergeCell ref="O97:P97"/>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P173:P174"/>
    <mergeCell ref="P175:P176"/>
    <mergeCell ref="Q175:Q176"/>
    <mergeCell ref="R175:R178"/>
    <mergeCell ref="S175:T178"/>
    <mergeCell ref="Q177:Q178"/>
    <mergeCell ref="O169:P169"/>
    <mergeCell ref="H171:H174"/>
    <mergeCell ref="P171:P172"/>
    <mergeCell ref="Q171:Q172"/>
    <mergeCell ref="Q173:Q174"/>
    <mergeCell ref="E175:E178"/>
    <mergeCell ref="H175:H178"/>
    <mergeCell ref="P177:P178"/>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 ref="O148:P148"/>
    <mergeCell ref="O149:P149"/>
    <mergeCell ref="O150:P150"/>
    <mergeCell ref="O151:P151"/>
    <mergeCell ref="O152:P152"/>
    <mergeCell ref="O153:P153"/>
    <mergeCell ref="O154:P154"/>
    <mergeCell ref="O155:P155"/>
    <mergeCell ref="O156:P156"/>
    <mergeCell ref="O157:P157"/>
    <mergeCell ref="O158:P158"/>
    <mergeCell ref="O159:P159"/>
  </mergeCells>
  <conditionalFormatting sqref="A4:P83 T4:T83 A90:P169 T90:T169">
    <cfRule type="expression" dxfId="0" priority="1">
      <formula>$T4</formula>
    </cfRule>
  </conditionalFormatting>
  <conditionalFormatting sqref="S88 S174">
    <cfRule type="cellIs" dxfId="2" priority="2" operator="equal">
      <formula>"ERRORE"</formula>
    </cfRule>
  </conditionalFormatting>
  <conditionalFormatting sqref="S88 S174">
    <cfRule type="cellIs" dxfId="0" priority="3" operator="equal">
      <formula>"OK"</formula>
    </cfRule>
  </conditionalFormatting>
  <conditionalFormatting sqref="S4:S83 S90:S169">
    <cfRule type="expression" dxfId="1" priority="4">
      <formula>$S4</formula>
    </cfRule>
  </conditionalFormatting>
  <conditionalFormatting sqref="S4:S83 S90:S169">
    <cfRule type="expression" dxfId="2" priority="5">
      <formula>$M4="DIGIT - TESSERATO"</formula>
    </cfRule>
  </conditionalFormatting>
  <conditionalFormatting sqref="R4:R83 R90:R169">
    <cfRule type="expression" dxfId="3" priority="6">
      <formula>$R4</formula>
    </cfRule>
  </conditionalFormatting>
  <conditionalFormatting sqref="R4:R83 R90:R169">
    <cfRule type="expression" dxfId="4" priority="7">
      <formula>$M4="CASH - TESSERATO"</formula>
    </cfRule>
  </conditionalFormatting>
  <conditionalFormatting sqref="R4:R83 R90:R169">
    <cfRule type="expression" dxfId="4" priority="8">
      <formula>$M4="CASH - NON TESSERATO"</formula>
    </cfRule>
  </conditionalFormatting>
  <conditionalFormatting sqref="S4:S83 S90:S169">
    <cfRule type="expression" dxfId="2" priority="9">
      <formula>$M4="DIGIT - NON TESSERATO"</formula>
    </cfRule>
  </conditionalFormatting>
  <conditionalFormatting sqref="Q4:Q83 Q90:Q169">
    <cfRule type="expression" dxfId="0" priority="10">
      <formula>ISBLANK($Q4)=FALSE</formula>
    </cfRule>
  </conditionalFormatting>
  <conditionalFormatting sqref="A4:P83 A90:P169">
    <cfRule type="expression" dxfId="5" priority="11">
      <formula>$N4</formula>
    </cfRule>
  </conditionalFormatting>
  <dataValidations>
    <dataValidation type="list" allowBlank="1" showInputMessage="1" prompt="Fai clic e immetti un valore dall'elenco di elementi" sqref="M4:M83 M90:M169">
      <formula1>"CASH - TESSERATO,CASH - NON TESSERATO,DIGIT - TESSERATO,DIGIT - NON TESSERATO"</formula1>
    </dataValidation>
    <dataValidation type="custom" allowBlank="1" showDropDown="1" showInputMessage="1" showErrorMessage="1" prompt="&quot;Inserire un codice fiscale valido di 16 caratteri in maiuscolo, es. RSSMRA85M01H501U&quot;" sqref="G47:G48">
      <formula1>REGEXMATCH(TO_TEXT(G47), "^[A-Z]{6}[0-9]{2}[A-EHLMPRST]{1}[0-9]{2}[A-Z]{1}[0-9]{3}[A-Z]{1}$")</formula1>
    </dataValidation>
    <dataValidation type="list" allowBlank="1" showInputMessage="1" showErrorMessage="1" prompt="Fai clic e immetti un valore dall'intervallo" sqref="A4:A83 A90:A169">
      <formula1>elenchi!$M$2:$M$100</formula1>
    </dataValidation>
    <dataValidation type="list" allowBlank="1" showErrorMessage="1" sqref="B4:B83 B90:B169">
      <formula1>"ONLINE,SEDE Estefany,SEDE Giuditta,SEDE Alexandra,SEDE Nura,SEDE Joel"</formula1>
    </dataValidation>
    <dataValidation type="list" allowBlank="1" showErrorMessage="1" sqref="L4:L83 L90:L169">
      <formula1>"NURA02WS,GIUDITTA02WS,ALEXANDRA02WS,ESTEFANY02WS,JOEL02WS,MASSI02WS,SANTO02WS,SARA02WS,OMAGGIO100"</formula1>
    </dataValidation>
    <dataValidation type="list" allowBlank="1" sqref="Q4:Q83 Q90:Q169">
      <formula1>"INSERITO,CELL,EMAIL,COD FISCALE,INDIRIZZO"</formula1>
    </dataValidation>
    <dataValidation type="custom" allowBlank="1" showDropDown="1" showInputMessage="1" showErrorMessage="1" prompt="&quot;Inserire un numero di cellulare (es. 3471234567 o +393471234567) o fisso (es. 02xxxxxxx) valido&quot;" sqref="F48">
      <formula1>REGEXMATCH(TO_TEXT(F48), "^(?:\+39)?(3\d{8,9}|0\d{5,})$")</formula1>
    </dataValidation>
    <dataValidation type="custom" allowBlank="1" showDropDown="1" showInputMessage="1" prompt="Immetti una data valida" sqref="I4:I5 C4:C83 I7:I83 C90:C169 I90:I169">
      <formula1>OR(NOT(ISERROR(DATEVALUE(C4))), AND(ISNUMBER(C4), LEFT(CELL("format", C4))="D"))</formula1>
    </dataValidation>
  </dataValidations>
  <hyperlinks>
    <hyperlink r:id="rId4" location="gid=2005275646"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c r="A1" s="459" t="s">
        <v>2639</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2640</v>
      </c>
      <c r="R3" s="464" t="s">
        <v>1945</v>
      </c>
      <c r="S3" s="464"/>
      <c r="T3" s="464"/>
    </row>
    <row r="4" outlineLevel="1">
      <c r="A4" s="320" t="s">
        <v>101</v>
      </c>
      <c r="B4" s="320" t="s">
        <v>102</v>
      </c>
      <c r="C4" s="465">
        <v>45861.0</v>
      </c>
      <c r="D4" s="320" t="s">
        <v>2641</v>
      </c>
      <c r="E4" s="320" t="s">
        <v>2642</v>
      </c>
      <c r="F4" s="320">
        <v>3.491161539E9</v>
      </c>
      <c r="G4" s="320" t="s">
        <v>2643</v>
      </c>
      <c r="H4" s="320" t="s">
        <v>2644</v>
      </c>
      <c r="I4" s="439">
        <v>45861.0</v>
      </c>
      <c r="J4" s="365">
        <v>27.0</v>
      </c>
      <c r="K4" s="431"/>
      <c r="L4" s="317"/>
      <c r="M4" s="320" t="s">
        <v>100</v>
      </c>
      <c r="N4" s="118" t="b">
        <v>1</v>
      </c>
      <c r="O4" s="119"/>
      <c r="Q4" s="284" t="s">
        <v>81</v>
      </c>
      <c r="R4" s="285" t="b">
        <v>1</v>
      </c>
      <c r="S4" s="285" t="b">
        <v>0</v>
      </c>
      <c r="T4" s="286" t="b">
        <v>1</v>
      </c>
    </row>
    <row r="5" outlineLevel="1">
      <c r="A5" s="320" t="s">
        <v>101</v>
      </c>
      <c r="B5" s="320" t="s">
        <v>102</v>
      </c>
      <c r="C5" s="465">
        <v>45861.0</v>
      </c>
      <c r="D5" s="320" t="s">
        <v>2645</v>
      </c>
      <c r="E5" s="320" t="s">
        <v>1236</v>
      </c>
      <c r="F5" s="320">
        <v>3.283519772E9</v>
      </c>
      <c r="G5" s="320" t="s">
        <v>2646</v>
      </c>
      <c r="H5" s="320" t="s">
        <v>2647</v>
      </c>
      <c r="I5" s="439">
        <v>45861.0</v>
      </c>
      <c r="J5" s="365">
        <v>27.0</v>
      </c>
      <c r="K5" s="431"/>
      <c r="L5" s="317"/>
      <c r="M5" s="320" t="s">
        <v>100</v>
      </c>
      <c r="N5" s="118" t="b">
        <v>1</v>
      </c>
      <c r="O5" s="119"/>
      <c r="Q5" s="284" t="s">
        <v>81</v>
      </c>
      <c r="R5" s="285" t="b">
        <v>1</v>
      </c>
      <c r="S5" s="285" t="b">
        <v>0</v>
      </c>
      <c r="T5" s="286" t="b">
        <v>1</v>
      </c>
    </row>
    <row r="6" outlineLevel="1">
      <c r="A6" s="488" t="s">
        <v>73</v>
      </c>
      <c r="B6" s="488" t="s">
        <v>74</v>
      </c>
      <c r="C6" s="490">
        <v>45909.0</v>
      </c>
      <c r="D6" s="488" t="s">
        <v>2648</v>
      </c>
      <c r="E6" s="488" t="s">
        <v>217</v>
      </c>
      <c r="F6" s="488">
        <v>3.472435106E9</v>
      </c>
      <c r="G6" s="124" t="s">
        <v>2649</v>
      </c>
      <c r="H6" s="488" t="s">
        <v>2650</v>
      </c>
      <c r="I6" s="544">
        <v>45909.0</v>
      </c>
      <c r="J6" s="365">
        <v>27.0</v>
      </c>
      <c r="K6" s="431"/>
      <c r="L6" s="317"/>
      <c r="M6" s="320" t="s">
        <v>100</v>
      </c>
      <c r="N6" s="118" t="b">
        <v>1</v>
      </c>
      <c r="O6" s="119"/>
      <c r="Q6" s="284" t="s">
        <v>81</v>
      </c>
      <c r="R6" s="285" t="b">
        <v>1</v>
      </c>
      <c r="S6" s="285" t="b">
        <v>0</v>
      </c>
      <c r="T6" s="286" t="b">
        <v>1</v>
      </c>
    </row>
    <row r="7" outlineLevel="1">
      <c r="A7" s="320" t="s">
        <v>73</v>
      </c>
      <c r="B7" s="320" t="s">
        <v>74</v>
      </c>
      <c r="C7" s="465">
        <v>45911.0</v>
      </c>
      <c r="D7" s="320" t="s">
        <v>2651</v>
      </c>
      <c r="E7" s="320" t="s">
        <v>2652</v>
      </c>
      <c r="F7" s="320">
        <v>3.484219574E9</v>
      </c>
      <c r="G7" s="111" t="s">
        <v>2653</v>
      </c>
      <c r="H7" s="320" t="s">
        <v>2654</v>
      </c>
      <c r="I7" s="439">
        <v>45911.0</v>
      </c>
      <c r="J7" s="365">
        <v>27.0</v>
      </c>
      <c r="K7" s="431"/>
      <c r="L7" s="317"/>
      <c r="M7" s="320" t="s">
        <v>100</v>
      </c>
      <c r="N7" s="118" t="b">
        <v>1</v>
      </c>
      <c r="O7" s="119"/>
      <c r="Q7" s="284" t="s">
        <v>81</v>
      </c>
      <c r="R7" s="285" t="b">
        <v>1</v>
      </c>
      <c r="S7" s="285" t="b">
        <v>0</v>
      </c>
      <c r="T7" s="286" t="b">
        <v>1</v>
      </c>
    </row>
    <row r="8" outlineLevel="1">
      <c r="A8" s="320" t="s">
        <v>73</v>
      </c>
      <c r="B8" s="320" t="s">
        <v>94</v>
      </c>
      <c r="C8" s="465">
        <v>45916.0</v>
      </c>
      <c r="D8" s="320" t="s">
        <v>1839</v>
      </c>
      <c r="E8" s="320" t="s">
        <v>1005</v>
      </c>
      <c r="F8" s="320">
        <v>3.397777534E9</v>
      </c>
      <c r="G8" s="320" t="s">
        <v>1840</v>
      </c>
      <c r="H8" s="320" t="s">
        <v>1841</v>
      </c>
      <c r="I8" s="439">
        <v>45916.0</v>
      </c>
      <c r="J8" s="365"/>
      <c r="K8" s="431">
        <v>25.0</v>
      </c>
      <c r="L8" s="317" t="s">
        <v>99</v>
      </c>
      <c r="M8" s="320" t="s">
        <v>449</v>
      </c>
      <c r="N8" s="118" t="b">
        <v>1</v>
      </c>
      <c r="O8" s="467"/>
      <c r="Q8" s="284" t="s">
        <v>81</v>
      </c>
      <c r="R8" s="285" t="b">
        <v>1</v>
      </c>
      <c r="S8" s="285" t="b">
        <v>0</v>
      </c>
      <c r="T8" s="286" t="b">
        <v>1</v>
      </c>
    </row>
    <row r="9" outlineLevel="1">
      <c r="A9" s="320" t="s">
        <v>73</v>
      </c>
      <c r="B9" s="320" t="s">
        <v>74</v>
      </c>
      <c r="C9" s="465">
        <v>45913.0</v>
      </c>
      <c r="D9" s="320" t="s">
        <v>2655</v>
      </c>
      <c r="E9" s="320" t="s">
        <v>2656</v>
      </c>
      <c r="F9" s="320">
        <v>3.272297813E9</v>
      </c>
      <c r="G9" s="320" t="s">
        <v>2657</v>
      </c>
      <c r="H9" s="320" t="s">
        <v>2658</v>
      </c>
      <c r="I9" s="465">
        <v>45913.0</v>
      </c>
      <c r="J9" s="365">
        <v>27.0</v>
      </c>
      <c r="K9" s="431"/>
      <c r="L9" s="317"/>
      <c r="M9" s="320" t="s">
        <v>80</v>
      </c>
      <c r="N9" s="118" t="b">
        <v>1</v>
      </c>
      <c r="O9" s="119"/>
      <c r="Q9" s="284" t="s">
        <v>81</v>
      </c>
      <c r="R9" s="285" t="b">
        <v>0</v>
      </c>
      <c r="S9" s="285" t="b">
        <v>1</v>
      </c>
      <c r="T9" s="286" t="b">
        <v>1</v>
      </c>
    </row>
    <row r="10" outlineLevel="1">
      <c r="A10" s="320" t="s">
        <v>73</v>
      </c>
      <c r="B10" s="320" t="s">
        <v>74</v>
      </c>
      <c r="C10" s="465">
        <v>45923.0</v>
      </c>
      <c r="D10" s="320" t="s">
        <v>2659</v>
      </c>
      <c r="E10" s="320" t="s">
        <v>1422</v>
      </c>
      <c r="F10" s="320">
        <v>3.472417585E9</v>
      </c>
      <c r="G10" s="468" t="s">
        <v>2660</v>
      </c>
      <c r="H10" s="320" t="s">
        <v>2661</v>
      </c>
      <c r="I10" s="439">
        <v>45923.0</v>
      </c>
      <c r="J10" s="365">
        <v>27.0</v>
      </c>
      <c r="K10" s="431"/>
      <c r="L10" s="317"/>
      <c r="M10" s="320" t="s">
        <v>80</v>
      </c>
      <c r="N10" s="118" t="b">
        <v>0</v>
      </c>
      <c r="O10" s="119"/>
      <c r="Q10" s="284" t="s">
        <v>81</v>
      </c>
      <c r="R10" s="285" t="b">
        <v>0</v>
      </c>
      <c r="S10" s="285" t="b">
        <v>1</v>
      </c>
      <c r="T10" s="286" t="b">
        <v>1</v>
      </c>
    </row>
    <row r="11" outlineLevel="1">
      <c r="A11" s="320" t="s">
        <v>73</v>
      </c>
      <c r="B11" s="320" t="s">
        <v>74</v>
      </c>
      <c r="C11" s="465">
        <v>45923.0</v>
      </c>
      <c r="D11" s="320" t="s">
        <v>2662</v>
      </c>
      <c r="E11" s="320" t="s">
        <v>2188</v>
      </c>
      <c r="F11" s="320">
        <v>3.428030625E9</v>
      </c>
      <c r="G11" s="320" t="s">
        <v>2663</v>
      </c>
      <c r="H11" s="320" t="s">
        <v>2664</v>
      </c>
      <c r="I11" s="439">
        <v>45923.0</v>
      </c>
      <c r="J11" s="365">
        <v>27.0</v>
      </c>
      <c r="K11" s="431"/>
      <c r="L11" s="317"/>
      <c r="M11" s="320" t="s">
        <v>80</v>
      </c>
      <c r="N11" s="118" t="b">
        <v>0</v>
      </c>
      <c r="O11" s="119"/>
      <c r="Q11" s="284" t="s">
        <v>81</v>
      </c>
      <c r="R11" s="285" t="b">
        <v>0</v>
      </c>
      <c r="S11" s="285" t="b">
        <v>1</v>
      </c>
      <c r="T11" s="286" t="b">
        <v>1</v>
      </c>
    </row>
    <row r="12" outlineLevel="1">
      <c r="A12" s="320" t="s">
        <v>611</v>
      </c>
      <c r="B12" s="320" t="s">
        <v>74</v>
      </c>
      <c r="C12" s="465">
        <v>45943.0</v>
      </c>
      <c r="D12" s="320" t="s">
        <v>226</v>
      </c>
      <c r="E12" s="320" t="s">
        <v>227</v>
      </c>
      <c r="F12" s="320">
        <f>447497200127</f>
        <v>447497200127</v>
      </c>
      <c r="G12" s="320" t="s">
        <v>228</v>
      </c>
      <c r="H12" s="320" t="s">
        <v>229</v>
      </c>
      <c r="I12" s="439">
        <v>45943.0</v>
      </c>
      <c r="J12" s="365">
        <v>27.0</v>
      </c>
      <c r="K12" s="431"/>
      <c r="L12" s="317"/>
      <c r="M12" s="320" t="s">
        <v>100</v>
      </c>
      <c r="N12" s="118" t="b">
        <v>1</v>
      </c>
      <c r="O12" s="119"/>
      <c r="Q12" s="284" t="s">
        <v>81</v>
      </c>
      <c r="R12" s="285" t="b">
        <v>1</v>
      </c>
      <c r="S12" s="285" t="b">
        <v>0</v>
      </c>
      <c r="T12" s="286" t="b">
        <v>1</v>
      </c>
    </row>
    <row r="13" outlineLevel="1">
      <c r="A13" s="320" t="s">
        <v>611</v>
      </c>
      <c r="B13" s="320" t="s">
        <v>74</v>
      </c>
      <c r="C13" s="465">
        <v>45943.0</v>
      </c>
      <c r="D13" s="320" t="s">
        <v>1662</v>
      </c>
      <c r="E13" s="320" t="s">
        <v>312</v>
      </c>
      <c r="F13" s="445">
        <v>3.331167649E9</v>
      </c>
      <c r="G13" s="320" t="s">
        <v>1663</v>
      </c>
      <c r="H13" s="320" t="s">
        <v>1664</v>
      </c>
      <c r="I13" s="439">
        <v>45943.0</v>
      </c>
      <c r="J13" s="365">
        <v>27.0</v>
      </c>
      <c r="K13" s="431"/>
      <c r="L13" s="317"/>
      <c r="M13" s="320" t="s">
        <v>100</v>
      </c>
      <c r="N13" s="118" t="b">
        <v>1</v>
      </c>
      <c r="O13" s="119"/>
      <c r="Q13" s="284" t="s">
        <v>81</v>
      </c>
      <c r="R13" s="285" t="b">
        <v>1</v>
      </c>
      <c r="S13" s="285" t="b">
        <v>0</v>
      </c>
      <c r="T13" s="286" t="b">
        <v>1</v>
      </c>
    </row>
    <row r="14" outlineLevel="1">
      <c r="A14" s="317" t="s">
        <v>611</v>
      </c>
      <c r="B14" s="317" t="s">
        <v>612</v>
      </c>
      <c r="C14" s="316">
        <v>45944.0</v>
      </c>
      <c r="D14" s="116" t="s">
        <v>293</v>
      </c>
      <c r="E14" s="116" t="s">
        <v>294</v>
      </c>
      <c r="F14" s="317">
        <v>3.286790381E9</v>
      </c>
      <c r="G14" s="317" t="s">
        <v>295</v>
      </c>
      <c r="H14" s="317" t="s">
        <v>296</v>
      </c>
      <c r="I14" s="135">
        <v>45944.0</v>
      </c>
      <c r="J14" s="365"/>
      <c r="K14" s="431">
        <v>25.0</v>
      </c>
      <c r="L14" s="317" t="s">
        <v>394</v>
      </c>
      <c r="M14" s="320" t="s">
        <v>162</v>
      </c>
      <c r="N14" s="118" t="b">
        <v>1</v>
      </c>
      <c r="O14" s="119"/>
      <c r="Q14" s="284" t="s">
        <v>81</v>
      </c>
      <c r="R14" s="285" t="b">
        <v>1</v>
      </c>
      <c r="S14" s="285" t="b">
        <v>0</v>
      </c>
      <c r="T14" s="286" t="b">
        <v>1</v>
      </c>
    </row>
    <row r="15" outlineLevel="1">
      <c r="A15" s="317" t="s">
        <v>611</v>
      </c>
      <c r="B15" s="317" t="s">
        <v>74</v>
      </c>
      <c r="C15" s="316">
        <v>45945.0</v>
      </c>
      <c r="D15" s="317" t="s">
        <v>1162</v>
      </c>
      <c r="E15" s="317" t="s">
        <v>464</v>
      </c>
      <c r="F15" s="317">
        <v>3.348564949E9</v>
      </c>
      <c r="G15" s="317" t="s">
        <v>1163</v>
      </c>
      <c r="H15" s="317" t="s">
        <v>1164</v>
      </c>
      <c r="I15" s="443">
        <v>45945.0</v>
      </c>
      <c r="J15" s="365">
        <v>27.0</v>
      </c>
      <c r="K15" s="431"/>
      <c r="L15" s="317"/>
      <c r="M15" s="320" t="s">
        <v>100</v>
      </c>
      <c r="N15" s="118" t="b">
        <v>0</v>
      </c>
      <c r="O15" s="119"/>
      <c r="Q15" s="284" t="s">
        <v>81</v>
      </c>
      <c r="R15" s="285" t="b">
        <v>1</v>
      </c>
      <c r="S15" s="285" t="b">
        <v>0</v>
      </c>
      <c r="T15" s="286" t="b">
        <v>1</v>
      </c>
    </row>
    <row r="16" outlineLevel="1">
      <c r="A16" s="320" t="s">
        <v>611</v>
      </c>
      <c r="B16" s="320" t="s">
        <v>74</v>
      </c>
      <c r="C16" s="316">
        <v>45945.0</v>
      </c>
      <c r="D16" s="320" t="s">
        <v>2251</v>
      </c>
      <c r="E16" s="320" t="s">
        <v>298</v>
      </c>
      <c r="F16" s="320">
        <v>3.517619123E9</v>
      </c>
      <c r="G16" s="320" t="s">
        <v>2254</v>
      </c>
      <c r="H16" s="320" t="s">
        <v>2255</v>
      </c>
      <c r="I16" s="443">
        <v>45945.0</v>
      </c>
      <c r="J16" s="365">
        <v>27.0</v>
      </c>
      <c r="K16" s="431"/>
      <c r="L16" s="317"/>
      <c r="M16" s="320" t="s">
        <v>100</v>
      </c>
      <c r="N16" s="118" t="b">
        <v>1</v>
      </c>
      <c r="O16" s="119"/>
      <c r="Q16" s="284" t="s">
        <v>81</v>
      </c>
      <c r="R16" s="285" t="b">
        <v>1</v>
      </c>
      <c r="S16" s="285" t="b">
        <v>0</v>
      </c>
      <c r="T16" s="286" t="b">
        <v>1</v>
      </c>
    </row>
    <row r="17" outlineLevel="1">
      <c r="A17" s="320" t="s">
        <v>2026</v>
      </c>
      <c r="B17" s="320" t="s">
        <v>74</v>
      </c>
      <c r="C17" s="316">
        <v>45949.0</v>
      </c>
      <c r="D17" s="320" t="s">
        <v>377</v>
      </c>
      <c r="E17" s="320" t="s">
        <v>165</v>
      </c>
      <c r="F17" s="320">
        <v>3.917148974E9</v>
      </c>
      <c r="G17" s="320" t="s">
        <v>2665</v>
      </c>
      <c r="H17" s="320" t="s">
        <v>2666</v>
      </c>
      <c r="I17" s="443">
        <v>45949.0</v>
      </c>
      <c r="J17" s="365">
        <v>32.0</v>
      </c>
      <c r="K17" s="431"/>
      <c r="L17" s="317"/>
      <c r="M17" s="320" t="s">
        <v>80</v>
      </c>
      <c r="N17" s="118" t="b">
        <v>1</v>
      </c>
      <c r="O17" s="119"/>
      <c r="Q17" s="284" t="s">
        <v>81</v>
      </c>
      <c r="R17" s="285" t="b">
        <v>0</v>
      </c>
      <c r="S17" s="285" t="b">
        <v>1</v>
      </c>
      <c r="T17" s="286" t="b">
        <v>1</v>
      </c>
    </row>
    <row r="18" outlineLevel="1">
      <c r="A18" s="317" t="s">
        <v>73</v>
      </c>
      <c r="B18" s="317" t="s">
        <v>74</v>
      </c>
      <c r="C18" s="316">
        <v>45963.0</v>
      </c>
      <c r="D18" s="317" t="s">
        <v>1205</v>
      </c>
      <c r="E18" s="317" t="s">
        <v>151</v>
      </c>
      <c r="F18" s="317">
        <v>3.405699436E9</v>
      </c>
      <c r="G18" s="317" t="s">
        <v>1206</v>
      </c>
      <c r="H18" s="317" t="s">
        <v>1207</v>
      </c>
      <c r="I18" s="135">
        <v>45963.0</v>
      </c>
      <c r="J18" s="365"/>
      <c r="K18" s="431">
        <v>30.0</v>
      </c>
      <c r="L18" s="317" t="s">
        <v>106</v>
      </c>
      <c r="M18" s="320" t="s">
        <v>100</v>
      </c>
      <c r="N18" s="118" t="b">
        <v>1</v>
      </c>
      <c r="O18" s="119"/>
      <c r="Q18" s="284" t="s">
        <v>81</v>
      </c>
      <c r="R18" s="285" t="b">
        <v>1</v>
      </c>
      <c r="S18" s="285" t="b">
        <v>0</v>
      </c>
      <c r="T18" s="286" t="b">
        <v>1</v>
      </c>
    </row>
    <row r="19" outlineLevel="1">
      <c r="A19" s="317" t="s">
        <v>73</v>
      </c>
      <c r="B19" s="317" t="s">
        <v>74</v>
      </c>
      <c r="C19" s="316">
        <v>45964.0</v>
      </c>
      <c r="D19" s="317" t="s">
        <v>2667</v>
      </c>
      <c r="E19" s="317" t="s">
        <v>2668</v>
      </c>
      <c r="F19" s="317">
        <v>3.892150825E9</v>
      </c>
      <c r="G19" s="317" t="s">
        <v>2669</v>
      </c>
      <c r="H19" s="317" t="s">
        <v>2670</v>
      </c>
      <c r="I19" s="443">
        <v>45964.0</v>
      </c>
      <c r="J19" s="365">
        <v>32.0</v>
      </c>
      <c r="K19" s="431"/>
      <c r="L19" s="317"/>
      <c r="M19" s="320" t="s">
        <v>80</v>
      </c>
      <c r="N19" s="118" t="b">
        <v>1</v>
      </c>
      <c r="O19" s="119"/>
      <c r="Q19" s="284" t="s">
        <v>81</v>
      </c>
      <c r="R19" s="285" t="b">
        <v>0</v>
      </c>
      <c r="S19" s="285" t="b">
        <v>1</v>
      </c>
      <c r="T19" s="286" t="b">
        <v>1</v>
      </c>
    </row>
    <row r="20" outlineLevel="1">
      <c r="A20" s="317" t="s">
        <v>73</v>
      </c>
      <c r="B20" s="317" t="s">
        <v>74</v>
      </c>
      <c r="C20" s="316">
        <v>45965.0</v>
      </c>
      <c r="D20" s="317" t="s">
        <v>2671</v>
      </c>
      <c r="E20" s="317" t="s">
        <v>496</v>
      </c>
      <c r="F20" s="317">
        <v>3.927170191E9</v>
      </c>
      <c r="G20" s="317" t="s">
        <v>2672</v>
      </c>
      <c r="H20" s="317" t="s">
        <v>2673</v>
      </c>
      <c r="I20" s="443">
        <v>45965.0</v>
      </c>
      <c r="J20" s="365">
        <v>32.0</v>
      </c>
      <c r="K20" s="431"/>
      <c r="L20" s="317"/>
      <c r="M20" s="317" t="s">
        <v>80</v>
      </c>
      <c r="N20" s="118" t="b">
        <v>1</v>
      </c>
      <c r="O20" s="119"/>
      <c r="Q20" s="284" t="s">
        <v>81</v>
      </c>
      <c r="R20" s="285"/>
      <c r="S20" s="285" t="b">
        <v>1</v>
      </c>
      <c r="T20" s="286" t="b">
        <v>1</v>
      </c>
    </row>
    <row r="21" outlineLevel="1">
      <c r="A21" s="317" t="s">
        <v>73</v>
      </c>
      <c r="B21" s="317" t="s">
        <v>74</v>
      </c>
      <c r="C21" s="316">
        <v>45968.0</v>
      </c>
      <c r="D21" s="317" t="s">
        <v>255</v>
      </c>
      <c r="E21" s="317" t="s">
        <v>256</v>
      </c>
      <c r="F21" s="317">
        <v>3.420984354E9</v>
      </c>
      <c r="G21" s="317" t="s">
        <v>257</v>
      </c>
      <c r="H21" s="317" t="s">
        <v>258</v>
      </c>
      <c r="I21" s="135">
        <v>45968.0</v>
      </c>
      <c r="J21" s="365">
        <v>32.0</v>
      </c>
      <c r="K21" s="431"/>
      <c r="L21" s="317"/>
      <c r="M21" s="320" t="s">
        <v>100</v>
      </c>
      <c r="N21" s="118" t="b">
        <v>1</v>
      </c>
      <c r="O21" s="119"/>
      <c r="Q21" s="284" t="s">
        <v>81</v>
      </c>
      <c r="R21" s="285" t="b">
        <v>1</v>
      </c>
      <c r="S21" s="285" t="b">
        <v>0</v>
      </c>
      <c r="T21" s="286" t="b">
        <v>1</v>
      </c>
    </row>
    <row r="22" outlineLevel="1">
      <c r="A22" s="320" t="s">
        <v>73</v>
      </c>
      <c r="B22" s="320" t="s">
        <v>74</v>
      </c>
      <c r="C22" s="316">
        <v>45970.0</v>
      </c>
      <c r="D22" s="320" t="s">
        <v>2674</v>
      </c>
      <c r="E22" s="320" t="s">
        <v>580</v>
      </c>
      <c r="F22" s="320">
        <v>3.487801958E9</v>
      </c>
      <c r="G22" s="416" t="s">
        <v>2675</v>
      </c>
      <c r="H22" s="416" t="s">
        <v>2676</v>
      </c>
      <c r="I22" s="439">
        <v>45970.0</v>
      </c>
      <c r="J22" s="365">
        <v>32.0</v>
      </c>
      <c r="K22" s="431"/>
      <c r="L22" s="317"/>
      <c r="M22" s="320" t="s">
        <v>100</v>
      </c>
      <c r="N22" s="118" t="b">
        <v>1</v>
      </c>
      <c r="O22" s="119" t="s">
        <v>2677</v>
      </c>
      <c r="Q22" s="284" t="s">
        <v>81</v>
      </c>
      <c r="R22" s="285" t="b">
        <v>1</v>
      </c>
      <c r="S22" s="285" t="b">
        <v>0</v>
      </c>
      <c r="T22" s="286" t="b">
        <v>1</v>
      </c>
    </row>
    <row r="23" outlineLevel="1">
      <c r="A23" s="317" t="s">
        <v>73</v>
      </c>
      <c r="B23" s="317" t="s">
        <v>74</v>
      </c>
      <c r="C23" s="316">
        <v>45970.0</v>
      </c>
      <c r="D23" s="317" t="s">
        <v>2674</v>
      </c>
      <c r="E23" s="317" t="s">
        <v>580</v>
      </c>
      <c r="F23" s="317">
        <v>3.487801958E9</v>
      </c>
      <c r="G23" s="317" t="s">
        <v>2675</v>
      </c>
      <c r="H23" s="317" t="s">
        <v>2676</v>
      </c>
      <c r="I23" s="318">
        <v>45970.0</v>
      </c>
      <c r="J23" s="365">
        <v>32.0</v>
      </c>
      <c r="K23" s="431"/>
      <c r="L23" s="317"/>
      <c r="M23" s="320" t="s">
        <v>100</v>
      </c>
      <c r="N23" s="118" t="b">
        <v>1</v>
      </c>
      <c r="O23" s="119"/>
      <c r="Q23" s="284" t="s">
        <v>81</v>
      </c>
      <c r="R23" s="285" t="b">
        <v>1</v>
      </c>
      <c r="S23" s="285" t="b">
        <v>0</v>
      </c>
      <c r="T23" s="286" t="b">
        <v>1</v>
      </c>
    </row>
    <row r="24" outlineLevel="1">
      <c r="A24" s="317" t="s">
        <v>73</v>
      </c>
      <c r="B24" s="317" t="s">
        <v>74</v>
      </c>
      <c r="C24" s="316">
        <v>45971.0</v>
      </c>
      <c r="D24" s="317" t="s">
        <v>2678</v>
      </c>
      <c r="E24" s="317" t="s">
        <v>875</v>
      </c>
      <c r="F24" s="317">
        <v>3.421623739E9</v>
      </c>
      <c r="G24" s="317" t="s">
        <v>2679</v>
      </c>
      <c r="H24" s="317" t="s">
        <v>2680</v>
      </c>
      <c r="I24" s="318">
        <v>45971.0</v>
      </c>
      <c r="J24" s="365">
        <v>32.0</v>
      </c>
      <c r="K24" s="431"/>
      <c r="L24" s="317"/>
      <c r="M24" s="320" t="s">
        <v>80</v>
      </c>
      <c r="N24" s="118" t="b">
        <v>1</v>
      </c>
      <c r="O24" s="119"/>
      <c r="Q24" s="284" t="s">
        <v>81</v>
      </c>
      <c r="R24" s="285" t="b">
        <v>0</v>
      </c>
      <c r="S24" s="285" t="b">
        <v>1</v>
      </c>
      <c r="T24" s="286" t="b">
        <v>1</v>
      </c>
    </row>
    <row r="25" outlineLevel="1">
      <c r="A25" s="317" t="s">
        <v>73</v>
      </c>
      <c r="B25" s="317" t="s">
        <v>74</v>
      </c>
      <c r="C25" s="316">
        <v>45972.0</v>
      </c>
      <c r="D25" s="317" t="s">
        <v>1345</v>
      </c>
      <c r="E25" s="317" t="s">
        <v>1962</v>
      </c>
      <c r="F25" s="317">
        <v>3.897868627E9</v>
      </c>
      <c r="G25" s="317" t="s">
        <v>1963</v>
      </c>
      <c r="H25" s="317" t="s">
        <v>1964</v>
      </c>
      <c r="I25" s="318">
        <v>45972.0</v>
      </c>
      <c r="J25" s="365"/>
      <c r="K25" s="431">
        <v>30.0</v>
      </c>
      <c r="L25" s="317" t="s">
        <v>1965</v>
      </c>
      <c r="M25" s="320" t="s">
        <v>100</v>
      </c>
      <c r="N25" s="118" t="b">
        <v>1</v>
      </c>
      <c r="O25" s="119"/>
      <c r="Q25" s="284" t="s">
        <v>81</v>
      </c>
      <c r="R25" s="285" t="b">
        <v>1</v>
      </c>
      <c r="S25" s="285" t="b">
        <v>0</v>
      </c>
      <c r="T25" s="286" t="b">
        <v>1</v>
      </c>
    </row>
    <row r="26" outlineLevel="1">
      <c r="A26" s="317" t="s">
        <v>101</v>
      </c>
      <c r="B26" s="317" t="s">
        <v>102</v>
      </c>
      <c r="C26" s="316">
        <v>45972.0</v>
      </c>
      <c r="D26" s="317" t="s">
        <v>1375</v>
      </c>
      <c r="E26" s="317" t="s">
        <v>1376</v>
      </c>
      <c r="F26" s="317">
        <v>3.335208129E9</v>
      </c>
      <c r="G26" s="317" t="s">
        <v>1377</v>
      </c>
      <c r="H26" s="317" t="s">
        <v>1378</v>
      </c>
      <c r="I26" s="318">
        <v>45972.0</v>
      </c>
      <c r="J26" s="365">
        <v>32.0</v>
      </c>
      <c r="K26" s="431"/>
      <c r="L26" s="317"/>
      <c r="M26" s="320" t="s">
        <v>100</v>
      </c>
      <c r="N26" s="118" t="b">
        <v>1</v>
      </c>
      <c r="O26" s="119"/>
      <c r="Q26" s="284" t="s">
        <v>81</v>
      </c>
      <c r="R26" s="285" t="b">
        <v>1</v>
      </c>
      <c r="S26" s="285" t="b">
        <v>0</v>
      </c>
      <c r="T26" s="286" t="b">
        <v>1</v>
      </c>
    </row>
    <row r="27" outlineLevel="1">
      <c r="A27" s="317" t="s">
        <v>101</v>
      </c>
      <c r="B27" s="317" t="s">
        <v>74</v>
      </c>
      <c r="C27" s="316">
        <v>45973.0</v>
      </c>
      <c r="D27" s="317" t="s">
        <v>2681</v>
      </c>
      <c r="E27" s="317" t="s">
        <v>96</v>
      </c>
      <c r="F27" s="317">
        <f>393664135323</f>
        <v>393664135323</v>
      </c>
      <c r="G27" s="317" t="s">
        <v>2682</v>
      </c>
      <c r="H27" s="317" t="s">
        <v>2683</v>
      </c>
      <c r="I27" s="318">
        <v>45975.0</v>
      </c>
      <c r="J27" s="365">
        <v>32.0</v>
      </c>
      <c r="K27" s="436"/>
      <c r="L27" s="317"/>
      <c r="M27" s="320" t="s">
        <v>80</v>
      </c>
      <c r="N27" s="118" t="b">
        <v>0</v>
      </c>
      <c r="O27" s="119"/>
      <c r="Q27" s="284" t="s">
        <v>81</v>
      </c>
      <c r="R27" s="285" t="b">
        <v>0</v>
      </c>
      <c r="S27" s="285" t="b">
        <v>1</v>
      </c>
      <c r="T27" s="286" t="b">
        <v>1</v>
      </c>
    </row>
    <row r="28" outlineLevel="1">
      <c r="A28" s="317" t="s">
        <v>101</v>
      </c>
      <c r="B28" s="317" t="s">
        <v>74</v>
      </c>
      <c r="C28" s="316">
        <v>45973.0</v>
      </c>
      <c r="D28" s="317" t="s">
        <v>275</v>
      </c>
      <c r="E28" s="317" t="s">
        <v>165</v>
      </c>
      <c r="F28" s="317">
        <v>3.486480889E9</v>
      </c>
      <c r="G28" s="469" t="s">
        <v>276</v>
      </c>
      <c r="H28" s="469" t="s">
        <v>277</v>
      </c>
      <c r="I28" s="318">
        <v>45975.0</v>
      </c>
      <c r="J28" s="365">
        <v>32.0</v>
      </c>
      <c r="K28" s="436"/>
      <c r="L28" s="432"/>
      <c r="M28" s="320" t="s">
        <v>100</v>
      </c>
      <c r="N28" s="118" t="b">
        <v>1</v>
      </c>
      <c r="O28" s="119"/>
      <c r="Q28" s="284" t="s">
        <v>81</v>
      </c>
      <c r="R28" s="285" t="b">
        <v>1</v>
      </c>
      <c r="S28" s="285" t="b">
        <v>0</v>
      </c>
      <c r="T28" s="286" t="b">
        <v>1</v>
      </c>
    </row>
    <row r="29" outlineLevel="1">
      <c r="A29" s="317" t="s">
        <v>101</v>
      </c>
      <c r="B29" s="317" t="s">
        <v>74</v>
      </c>
      <c r="C29" s="316">
        <v>45975.0</v>
      </c>
      <c r="D29" s="317" t="s">
        <v>2684</v>
      </c>
      <c r="E29" s="317" t="s">
        <v>2685</v>
      </c>
      <c r="F29" s="317">
        <v>3.427036082E9</v>
      </c>
      <c r="G29" s="317" t="s">
        <v>2686</v>
      </c>
      <c r="H29" s="317" t="s">
        <v>2687</v>
      </c>
      <c r="I29" s="318">
        <v>45975.0</v>
      </c>
      <c r="J29" s="365">
        <v>32.0</v>
      </c>
      <c r="K29" s="431"/>
      <c r="L29" s="317"/>
      <c r="M29" s="320" t="s">
        <v>80</v>
      </c>
      <c r="N29" s="118" t="b">
        <v>1</v>
      </c>
      <c r="O29" s="119"/>
      <c r="Q29" s="284" t="s">
        <v>81</v>
      </c>
      <c r="R29" s="285" t="b">
        <v>0</v>
      </c>
      <c r="S29" s="285" t="b">
        <v>1</v>
      </c>
      <c r="T29" s="286" t="b">
        <v>1</v>
      </c>
    </row>
    <row r="30" outlineLevel="1">
      <c r="A30" s="317" t="s">
        <v>101</v>
      </c>
      <c r="B30" s="317" t="s">
        <v>74</v>
      </c>
      <c r="C30" s="316">
        <v>45976.0</v>
      </c>
      <c r="D30" s="317" t="s">
        <v>1246</v>
      </c>
      <c r="E30" s="317" t="s">
        <v>1247</v>
      </c>
      <c r="F30" s="317">
        <v>3.482468895E9</v>
      </c>
      <c r="G30" s="317" t="s">
        <v>1248</v>
      </c>
      <c r="H30" s="317" t="s">
        <v>1249</v>
      </c>
      <c r="I30" s="318">
        <v>45976.0</v>
      </c>
      <c r="J30" s="365">
        <v>32.0</v>
      </c>
      <c r="K30" s="431"/>
      <c r="L30" s="317"/>
      <c r="M30" s="320" t="s">
        <v>100</v>
      </c>
      <c r="N30" s="118" t="b">
        <v>1</v>
      </c>
      <c r="O30" s="119"/>
      <c r="Q30" s="284" t="s">
        <v>81</v>
      </c>
      <c r="R30" s="285" t="b">
        <v>1</v>
      </c>
      <c r="S30" s="285" t="b">
        <v>0</v>
      </c>
      <c r="T30" s="286" t="b">
        <v>1</v>
      </c>
    </row>
    <row r="31" outlineLevel="1">
      <c r="A31" s="320" t="s">
        <v>101</v>
      </c>
      <c r="B31" s="320" t="s">
        <v>74</v>
      </c>
      <c r="C31" s="465">
        <v>45976.0</v>
      </c>
      <c r="D31" s="320" t="s">
        <v>2688</v>
      </c>
      <c r="E31" s="320" t="s">
        <v>2689</v>
      </c>
      <c r="F31" s="320">
        <f>4915906366805</f>
        <v>4915906366805</v>
      </c>
      <c r="G31" s="111" t="s">
        <v>2690</v>
      </c>
      <c r="H31" s="320" t="s">
        <v>2691</v>
      </c>
      <c r="I31" s="439">
        <v>45976.0</v>
      </c>
      <c r="J31" s="365"/>
      <c r="K31" s="431">
        <v>30.0</v>
      </c>
      <c r="L31" s="317" t="s">
        <v>245</v>
      </c>
      <c r="M31" s="320" t="s">
        <v>80</v>
      </c>
      <c r="N31" s="118" t="b">
        <v>1</v>
      </c>
      <c r="O31" s="119"/>
      <c r="Q31" s="284" t="s">
        <v>81</v>
      </c>
      <c r="R31" s="285" t="b">
        <v>0</v>
      </c>
      <c r="S31" s="285" t="b">
        <v>1</v>
      </c>
      <c r="T31" s="286" t="b">
        <v>1</v>
      </c>
    </row>
    <row r="32" outlineLevel="1">
      <c r="A32" s="317" t="s">
        <v>101</v>
      </c>
      <c r="B32" s="317" t="s">
        <v>74</v>
      </c>
      <c r="C32" s="316">
        <v>45976.0</v>
      </c>
      <c r="D32" s="317" t="s">
        <v>164</v>
      </c>
      <c r="E32" s="317" t="s">
        <v>231</v>
      </c>
      <c r="F32" s="317">
        <v>3.381642215E9</v>
      </c>
      <c r="G32" s="317" t="s">
        <v>232</v>
      </c>
      <c r="H32" s="317" t="s">
        <v>436</v>
      </c>
      <c r="I32" s="318">
        <v>45976.0</v>
      </c>
      <c r="J32" s="365">
        <v>32.0</v>
      </c>
      <c r="K32" s="431"/>
      <c r="L32" s="317"/>
      <c r="M32" s="320" t="s">
        <v>100</v>
      </c>
      <c r="N32" s="118" t="b">
        <v>1</v>
      </c>
      <c r="O32" s="119"/>
      <c r="Q32" s="284" t="s">
        <v>81</v>
      </c>
      <c r="R32" s="285" t="b">
        <v>1</v>
      </c>
      <c r="S32" s="285" t="b">
        <v>0</v>
      </c>
      <c r="T32" s="286" t="b">
        <v>1</v>
      </c>
    </row>
    <row r="33" outlineLevel="1">
      <c r="A33" s="317" t="s">
        <v>101</v>
      </c>
      <c r="B33" s="317" t="s">
        <v>74</v>
      </c>
      <c r="C33" s="316">
        <v>45976.0</v>
      </c>
      <c r="D33" s="317" t="s">
        <v>2692</v>
      </c>
      <c r="E33" s="317" t="s">
        <v>825</v>
      </c>
      <c r="F33" s="317">
        <v>3.477397578E9</v>
      </c>
      <c r="G33" s="317" t="s">
        <v>2693</v>
      </c>
      <c r="H33" s="317" t="s">
        <v>2694</v>
      </c>
      <c r="I33" s="439">
        <v>45976.0</v>
      </c>
      <c r="J33" s="365">
        <v>32.0</v>
      </c>
      <c r="K33" s="431"/>
      <c r="L33" s="317"/>
      <c r="M33" s="320" t="s">
        <v>80</v>
      </c>
      <c r="N33" s="118" t="b">
        <v>1</v>
      </c>
      <c r="O33" s="119"/>
      <c r="Q33" s="284" t="s">
        <v>81</v>
      </c>
      <c r="R33" s="285" t="b">
        <v>0</v>
      </c>
      <c r="S33" s="285" t="b">
        <v>1</v>
      </c>
      <c r="T33" s="286" t="b">
        <v>1</v>
      </c>
    </row>
    <row r="34" outlineLevel="1">
      <c r="A34" s="317" t="s">
        <v>101</v>
      </c>
      <c r="B34" s="317" t="s">
        <v>74</v>
      </c>
      <c r="C34" s="316">
        <v>45976.0</v>
      </c>
      <c r="D34" s="317" t="s">
        <v>2695</v>
      </c>
      <c r="E34" s="317" t="s">
        <v>580</v>
      </c>
      <c r="F34" s="317">
        <v>3.49161811E9</v>
      </c>
      <c r="G34" s="317" t="s">
        <v>2696</v>
      </c>
      <c r="H34" s="317" t="s">
        <v>2697</v>
      </c>
      <c r="I34" s="318">
        <v>45976.0</v>
      </c>
      <c r="J34" s="365">
        <v>32.0</v>
      </c>
      <c r="K34" s="431"/>
      <c r="L34" s="317"/>
      <c r="M34" s="320" t="s">
        <v>80</v>
      </c>
      <c r="N34" s="118" t="b">
        <v>1</v>
      </c>
      <c r="O34" s="119" t="s">
        <v>2698</v>
      </c>
      <c r="Q34" s="284" t="s">
        <v>81</v>
      </c>
      <c r="R34" s="285" t="b">
        <v>0</v>
      </c>
      <c r="S34" s="285" t="b">
        <v>1</v>
      </c>
      <c r="T34" s="286" t="b">
        <v>1</v>
      </c>
    </row>
    <row r="35" outlineLevel="1">
      <c r="A35" s="317" t="s">
        <v>611</v>
      </c>
      <c r="B35" s="317" t="s">
        <v>74</v>
      </c>
      <c r="C35" s="316">
        <v>45976.0</v>
      </c>
      <c r="D35" s="317" t="s">
        <v>2699</v>
      </c>
      <c r="E35" s="317" t="s">
        <v>2700</v>
      </c>
      <c r="F35" s="317">
        <v>3.488842754E9</v>
      </c>
      <c r="G35" s="317" t="s">
        <v>2701</v>
      </c>
      <c r="H35" s="317" t="s">
        <v>2697</v>
      </c>
      <c r="I35" s="439">
        <v>45976.0</v>
      </c>
      <c r="J35" s="365">
        <v>32.0</v>
      </c>
      <c r="K35" s="431"/>
      <c r="L35" s="317"/>
      <c r="M35" s="320" t="s">
        <v>80</v>
      </c>
      <c r="N35" s="118" t="b">
        <v>1</v>
      </c>
      <c r="O35" s="119"/>
      <c r="P35" s="119"/>
      <c r="Q35" s="284" t="s">
        <v>81</v>
      </c>
      <c r="R35" s="285" t="b">
        <v>0</v>
      </c>
      <c r="S35" s="285" t="b">
        <v>1</v>
      </c>
      <c r="T35" s="286" t="b">
        <v>1</v>
      </c>
    </row>
    <row r="36" outlineLevel="1">
      <c r="A36" s="317" t="s">
        <v>101</v>
      </c>
      <c r="B36" s="317" t="s">
        <v>74</v>
      </c>
      <c r="C36" s="316">
        <v>45976.0</v>
      </c>
      <c r="D36" s="317" t="s">
        <v>364</v>
      </c>
      <c r="E36" s="317" t="s">
        <v>365</v>
      </c>
      <c r="F36" s="317">
        <v>3.518042662E9</v>
      </c>
      <c r="G36" s="317" t="s">
        <v>366</v>
      </c>
      <c r="H36" s="317" t="s">
        <v>2702</v>
      </c>
      <c r="I36" s="439">
        <v>45976.0</v>
      </c>
      <c r="J36" s="365">
        <v>32.0</v>
      </c>
      <c r="K36" s="431"/>
      <c r="L36" s="317"/>
      <c r="M36" s="320" t="s">
        <v>100</v>
      </c>
      <c r="N36" s="118" t="b">
        <v>1</v>
      </c>
      <c r="O36" s="119"/>
      <c r="Q36" s="284" t="s">
        <v>81</v>
      </c>
      <c r="R36" s="285" t="b">
        <v>1</v>
      </c>
      <c r="S36" s="285" t="b">
        <v>0</v>
      </c>
      <c r="T36" s="286" t="b">
        <v>1</v>
      </c>
    </row>
    <row r="37" outlineLevel="1">
      <c r="A37" s="317" t="s">
        <v>101</v>
      </c>
      <c r="B37" s="317" t="s">
        <v>74</v>
      </c>
      <c r="C37" s="316">
        <v>45977.0</v>
      </c>
      <c r="D37" s="317" t="s">
        <v>2703</v>
      </c>
      <c r="E37" s="317" t="s">
        <v>2704</v>
      </c>
      <c r="F37" s="317">
        <v>3.388117614E9</v>
      </c>
      <c r="G37" s="317" t="s">
        <v>2705</v>
      </c>
      <c r="H37" s="317" t="s">
        <v>2706</v>
      </c>
      <c r="I37" s="443">
        <v>45977.0</v>
      </c>
      <c r="J37" s="365">
        <v>32.0</v>
      </c>
      <c r="K37" s="431"/>
      <c r="L37" s="317"/>
      <c r="M37" s="320" t="s">
        <v>100</v>
      </c>
      <c r="N37" s="118" t="b">
        <v>1</v>
      </c>
      <c r="O37" s="119"/>
      <c r="Q37" s="284" t="s">
        <v>81</v>
      </c>
      <c r="R37" s="285" t="b">
        <v>1</v>
      </c>
      <c r="S37" s="285" t="b">
        <v>0</v>
      </c>
      <c r="T37" s="286" t="b">
        <v>1</v>
      </c>
    </row>
    <row r="38" outlineLevel="1">
      <c r="A38" s="317" t="s">
        <v>101</v>
      </c>
      <c r="B38" s="317" t="s">
        <v>74</v>
      </c>
      <c r="C38" s="316">
        <v>45977.0</v>
      </c>
      <c r="D38" s="317" t="s">
        <v>2707</v>
      </c>
      <c r="E38" s="317" t="s">
        <v>2708</v>
      </c>
      <c r="F38" s="317">
        <v>3.298179512E9</v>
      </c>
      <c r="G38" s="317" t="s">
        <v>2709</v>
      </c>
      <c r="H38" s="317" t="s">
        <v>2710</v>
      </c>
      <c r="I38" s="443">
        <v>45977.0</v>
      </c>
      <c r="J38" s="365">
        <v>32.0</v>
      </c>
      <c r="K38" s="431"/>
      <c r="L38" s="317"/>
      <c r="M38" s="320" t="s">
        <v>80</v>
      </c>
      <c r="N38" s="118" t="b">
        <v>1</v>
      </c>
      <c r="O38" s="119"/>
      <c r="Q38" s="284" t="s">
        <v>81</v>
      </c>
      <c r="R38" s="285" t="b">
        <v>0</v>
      </c>
      <c r="S38" s="285" t="b">
        <v>1</v>
      </c>
      <c r="T38" s="286" t="b">
        <v>1</v>
      </c>
    </row>
    <row r="39" outlineLevel="1">
      <c r="A39" s="317" t="s">
        <v>101</v>
      </c>
      <c r="B39" s="317" t="s">
        <v>74</v>
      </c>
      <c r="C39" s="316">
        <v>45977.0</v>
      </c>
      <c r="D39" s="317" t="s">
        <v>337</v>
      </c>
      <c r="E39" s="317" t="s">
        <v>338</v>
      </c>
      <c r="F39" s="317">
        <v>9.178530786E9</v>
      </c>
      <c r="G39" s="317" t="s">
        <v>2711</v>
      </c>
      <c r="H39" s="317" t="s">
        <v>340</v>
      </c>
      <c r="I39" s="443">
        <v>45977.0</v>
      </c>
      <c r="J39" s="365"/>
      <c r="K39" s="431">
        <v>30.0</v>
      </c>
      <c r="L39" s="317" t="s">
        <v>106</v>
      </c>
      <c r="M39" s="320" t="s">
        <v>100</v>
      </c>
      <c r="N39" s="118" t="b">
        <v>1</v>
      </c>
      <c r="O39" s="119"/>
      <c r="Q39" s="284" t="s">
        <v>81</v>
      </c>
      <c r="R39" s="285" t="b">
        <v>1</v>
      </c>
      <c r="S39" s="285" t="b">
        <v>0</v>
      </c>
      <c r="T39" s="286" t="b">
        <v>1</v>
      </c>
    </row>
    <row r="40" outlineLevel="1">
      <c r="A40" s="317" t="s">
        <v>101</v>
      </c>
      <c r="B40" s="317" t="s">
        <v>102</v>
      </c>
      <c r="C40" s="316">
        <v>45977.0</v>
      </c>
      <c r="D40" s="317" t="s">
        <v>2712</v>
      </c>
      <c r="E40" s="317" t="s">
        <v>1032</v>
      </c>
      <c r="F40" s="317">
        <v>3.669354716E9</v>
      </c>
      <c r="G40" s="317" t="s">
        <v>2713</v>
      </c>
      <c r="H40" s="317" t="s">
        <v>2714</v>
      </c>
      <c r="I40" s="318">
        <v>45977.0</v>
      </c>
      <c r="J40" s="365">
        <v>37.0</v>
      </c>
      <c r="K40" s="431"/>
      <c r="L40" s="317"/>
      <c r="M40" s="320" t="s">
        <v>80</v>
      </c>
      <c r="N40" s="118" t="b">
        <v>1</v>
      </c>
      <c r="O40" s="119"/>
      <c r="Q40" s="284" t="s">
        <v>81</v>
      </c>
      <c r="R40" s="285" t="b">
        <v>0</v>
      </c>
      <c r="S40" s="285" t="b">
        <v>1</v>
      </c>
      <c r="T40" s="286" t="b">
        <v>1</v>
      </c>
    </row>
    <row r="41" outlineLevel="1">
      <c r="A41" s="317"/>
      <c r="B41" s="317"/>
      <c r="C41" s="316"/>
      <c r="D41" s="317"/>
      <c r="E41" s="317"/>
      <c r="F41" s="317"/>
      <c r="G41" s="317"/>
      <c r="H41" s="317"/>
      <c r="I41" s="318"/>
      <c r="J41" s="365"/>
      <c r="K41" s="431"/>
      <c r="L41" s="317"/>
      <c r="M41" s="320"/>
      <c r="N41" s="118" t="b">
        <v>0</v>
      </c>
      <c r="O41" s="119"/>
      <c r="Q41" s="284"/>
      <c r="R41" s="285" t="b">
        <v>0</v>
      </c>
      <c r="S41" s="285" t="b">
        <v>0</v>
      </c>
      <c r="T41" s="286" t="b">
        <v>0</v>
      </c>
    </row>
    <row r="42" outlineLevel="1">
      <c r="A42" s="317"/>
      <c r="B42" s="317"/>
      <c r="C42" s="316"/>
      <c r="D42" s="317"/>
      <c r="E42" s="317"/>
      <c r="F42" s="317"/>
      <c r="G42" s="317"/>
      <c r="H42" s="317"/>
      <c r="I42" s="318"/>
      <c r="J42" s="365"/>
      <c r="K42" s="431"/>
      <c r="L42" s="317"/>
      <c r="M42" s="317"/>
      <c r="N42" s="118" t="b">
        <v>0</v>
      </c>
      <c r="O42" s="119"/>
      <c r="Q42" s="284"/>
      <c r="R42" s="285" t="b">
        <v>0</v>
      </c>
      <c r="S42" s="285" t="b">
        <v>0</v>
      </c>
      <c r="T42" s="286" t="b">
        <v>0</v>
      </c>
    </row>
    <row r="43" outlineLevel="1">
      <c r="A43" s="317"/>
      <c r="B43" s="317"/>
      <c r="C43" s="316"/>
      <c r="D43" s="320"/>
      <c r="E43" s="317"/>
      <c r="F43" s="317"/>
      <c r="G43" s="533" t="s">
        <v>2338</v>
      </c>
      <c r="H43" s="317"/>
      <c r="I43" s="318"/>
      <c r="J43" s="365"/>
      <c r="K43" s="431"/>
      <c r="L43" s="317"/>
      <c r="M43" s="317"/>
      <c r="N43" s="118" t="b">
        <v>0</v>
      </c>
      <c r="O43" s="119"/>
      <c r="Q43" s="284"/>
      <c r="R43" s="285" t="b">
        <v>0</v>
      </c>
      <c r="S43" s="285" t="b">
        <v>0</v>
      </c>
      <c r="T43" s="286" t="b">
        <v>0</v>
      </c>
    </row>
    <row r="44" outlineLevel="1">
      <c r="A44" s="317"/>
      <c r="B44" s="317"/>
      <c r="C44" s="316"/>
      <c r="D44" s="320"/>
      <c r="E44" s="317"/>
      <c r="F44" s="317"/>
      <c r="G44" s="317"/>
      <c r="H44" s="317"/>
      <c r="I44" s="318"/>
      <c r="J44" s="365"/>
      <c r="K44" s="431"/>
      <c r="L44" s="317"/>
      <c r="M44" s="320"/>
      <c r="N44" s="118" t="b">
        <v>0</v>
      </c>
      <c r="O44" s="119"/>
      <c r="Q44" s="284"/>
      <c r="R44" s="285" t="b">
        <v>0</v>
      </c>
      <c r="S44" s="285" t="b">
        <v>0</v>
      </c>
      <c r="T44" s="286" t="b">
        <v>0</v>
      </c>
    </row>
    <row r="45" outlineLevel="1">
      <c r="A45" s="432"/>
      <c r="B45" s="432"/>
      <c r="C45" s="317"/>
      <c r="D45" s="317"/>
      <c r="E45" s="432"/>
      <c r="F45" s="432"/>
      <c r="G45" s="470"/>
      <c r="H45" s="432"/>
      <c r="I45" s="441"/>
      <c r="J45" s="365"/>
      <c r="K45" s="431"/>
      <c r="L45" s="432"/>
      <c r="M45" s="432"/>
      <c r="N45" s="118" t="b">
        <v>0</v>
      </c>
      <c r="O45" s="119"/>
      <c r="Q45" s="284"/>
      <c r="R45" s="285" t="b">
        <v>0</v>
      </c>
      <c r="S45" s="285" t="b">
        <v>0</v>
      </c>
      <c r="T45" s="286" t="b">
        <v>0</v>
      </c>
    </row>
    <row r="46" outlineLevel="1">
      <c r="A46" s="317"/>
      <c r="B46" s="317"/>
      <c r="C46" s="316"/>
      <c r="D46" s="317"/>
      <c r="E46" s="317"/>
      <c r="F46" s="317"/>
      <c r="G46" s="317"/>
      <c r="H46" s="317"/>
      <c r="I46" s="318"/>
      <c r="J46" s="365"/>
      <c r="K46" s="431"/>
      <c r="L46" s="317"/>
      <c r="M46" s="320"/>
      <c r="N46" s="118" t="b">
        <v>0</v>
      </c>
      <c r="O46" s="119"/>
      <c r="Q46" s="284"/>
      <c r="R46" s="285" t="b">
        <v>0</v>
      </c>
      <c r="S46" s="285" t="b">
        <v>0</v>
      </c>
      <c r="T46" s="286" t="b">
        <v>0</v>
      </c>
    </row>
    <row r="47" outlineLevel="1">
      <c r="A47" s="317"/>
      <c r="B47" s="317"/>
      <c r="C47" s="316"/>
      <c r="D47" s="317"/>
      <c r="E47" s="317"/>
      <c r="F47" s="317"/>
      <c r="G47" s="471"/>
      <c r="H47" s="317"/>
      <c r="I47" s="443"/>
      <c r="J47" s="368"/>
      <c r="K47" s="431"/>
      <c r="L47" s="317"/>
      <c r="M47" s="317"/>
      <c r="N47" s="118" t="b">
        <v>0</v>
      </c>
      <c r="O47" s="119"/>
      <c r="Q47" s="284"/>
      <c r="R47" s="285" t="b">
        <v>0</v>
      </c>
      <c r="S47" s="285" t="b">
        <v>0</v>
      </c>
      <c r="T47" s="286" t="b">
        <v>0</v>
      </c>
    </row>
    <row r="48" outlineLevel="1">
      <c r="A48" s="317"/>
      <c r="B48" s="317"/>
      <c r="C48" s="316"/>
      <c r="D48" s="317"/>
      <c r="E48" s="317"/>
      <c r="F48" s="317"/>
      <c r="G48" s="317"/>
      <c r="H48" s="317"/>
      <c r="I48" s="443"/>
      <c r="J48" s="368"/>
      <c r="K48" s="431"/>
      <c r="L48" s="317"/>
      <c r="M48" s="317"/>
      <c r="N48" s="118" t="b">
        <v>0</v>
      </c>
      <c r="O48" s="119"/>
      <c r="Q48" s="284"/>
      <c r="R48" s="285" t="b">
        <v>0</v>
      </c>
      <c r="S48" s="285" t="b">
        <v>0</v>
      </c>
      <c r="T48" s="286" t="b">
        <v>0</v>
      </c>
    </row>
    <row r="49" outlineLevel="1">
      <c r="A49" s="317"/>
      <c r="B49" s="317"/>
      <c r="C49" s="316"/>
      <c r="D49" s="317"/>
      <c r="E49" s="317"/>
      <c r="F49" s="317"/>
      <c r="G49" s="317"/>
      <c r="H49" s="317"/>
      <c r="I49" s="443"/>
      <c r="J49" s="365"/>
      <c r="K49" s="431"/>
      <c r="L49" s="317"/>
      <c r="M49" s="317"/>
      <c r="N49" s="118" t="b">
        <v>0</v>
      </c>
      <c r="O49" s="119"/>
      <c r="Q49" s="284"/>
      <c r="R49" s="285" t="b">
        <v>0</v>
      </c>
      <c r="S49" s="285" t="b">
        <v>0</v>
      </c>
      <c r="T49" s="286" t="b">
        <v>0</v>
      </c>
    </row>
    <row r="50" outlineLevel="1">
      <c r="A50" s="317"/>
      <c r="B50" s="317"/>
      <c r="C50" s="316"/>
      <c r="D50" s="317"/>
      <c r="E50" s="317"/>
      <c r="F50" s="317"/>
      <c r="G50" s="317"/>
      <c r="H50" s="317"/>
      <c r="I50" s="443"/>
      <c r="J50" s="368"/>
      <c r="K50" s="431"/>
      <c r="L50" s="317"/>
      <c r="M50" s="317"/>
      <c r="N50" s="118" t="b">
        <v>0</v>
      </c>
      <c r="O50" s="119"/>
      <c r="Q50" s="284"/>
      <c r="R50" s="285" t="b">
        <v>0</v>
      </c>
      <c r="S50" s="285" t="b">
        <v>0</v>
      </c>
      <c r="T50" s="286" t="b">
        <v>0</v>
      </c>
    </row>
    <row r="51" outlineLevel="1">
      <c r="A51" s="317"/>
      <c r="B51" s="317"/>
      <c r="C51" s="472"/>
      <c r="D51" s="317"/>
      <c r="E51" s="317"/>
      <c r="F51" s="317"/>
      <c r="G51" s="317"/>
      <c r="H51" s="317"/>
      <c r="I51" s="439"/>
      <c r="J51" s="365"/>
      <c r="K51" s="431"/>
      <c r="L51" s="317"/>
      <c r="M51" s="320"/>
      <c r="N51" s="118" t="b">
        <v>0</v>
      </c>
      <c r="O51" s="119"/>
      <c r="Q51" s="284"/>
      <c r="R51" s="285" t="b">
        <v>0</v>
      </c>
      <c r="S51" s="285" t="b">
        <v>0</v>
      </c>
      <c r="T51" s="286" t="b">
        <v>0</v>
      </c>
    </row>
    <row r="52" outlineLevel="1">
      <c r="A52" s="317"/>
      <c r="B52" s="317"/>
      <c r="C52" s="472"/>
      <c r="D52" s="317"/>
      <c r="E52" s="317"/>
      <c r="F52" s="317"/>
      <c r="G52" s="317"/>
      <c r="H52" s="317"/>
      <c r="I52" s="439"/>
      <c r="J52" s="365"/>
      <c r="K52" s="431"/>
      <c r="L52" s="317"/>
      <c r="M52" s="320"/>
      <c r="N52" s="118" t="b">
        <v>0</v>
      </c>
      <c r="O52" s="119"/>
      <c r="Q52" s="284"/>
      <c r="R52" s="285" t="b">
        <v>0</v>
      </c>
      <c r="S52" s="285" t="b">
        <v>0</v>
      </c>
      <c r="T52" s="286" t="b">
        <v>0</v>
      </c>
    </row>
    <row r="53" outlineLevel="1">
      <c r="A53" s="317"/>
      <c r="B53" s="317"/>
      <c r="C53" s="472"/>
      <c r="D53" s="317"/>
      <c r="E53" s="317"/>
      <c r="F53" s="317"/>
      <c r="G53" s="317"/>
      <c r="H53" s="317"/>
      <c r="I53" s="439"/>
      <c r="J53" s="365"/>
      <c r="K53" s="431"/>
      <c r="L53" s="317"/>
      <c r="M53" s="320"/>
      <c r="N53" s="118" t="b">
        <v>0</v>
      </c>
      <c r="O53" s="119"/>
      <c r="Q53" s="284"/>
      <c r="R53" s="285" t="b">
        <v>0</v>
      </c>
      <c r="S53" s="285" t="b">
        <v>0</v>
      </c>
      <c r="T53" s="286" t="b">
        <v>0</v>
      </c>
    </row>
    <row r="54" outlineLevel="1">
      <c r="A54" s="317"/>
      <c r="B54" s="317"/>
      <c r="C54" s="473"/>
      <c r="D54" s="320"/>
      <c r="E54" s="320"/>
      <c r="F54" s="320"/>
      <c r="G54" s="320"/>
      <c r="H54" s="320"/>
      <c r="I54" s="439"/>
      <c r="J54" s="365"/>
      <c r="K54" s="431"/>
      <c r="L54" s="317"/>
      <c r="M54" s="320"/>
      <c r="N54" s="118" t="b">
        <v>0</v>
      </c>
      <c r="O54" s="119"/>
      <c r="Q54" s="284"/>
      <c r="R54" s="285" t="b">
        <v>0</v>
      </c>
      <c r="S54" s="285" t="b">
        <v>0</v>
      </c>
      <c r="T54" s="286" t="b">
        <v>0</v>
      </c>
    </row>
    <row r="55" outlineLevel="1">
      <c r="A55" s="432"/>
      <c r="B55" s="432"/>
      <c r="C55" s="474"/>
      <c r="D55" s="131"/>
      <c r="E55" s="432"/>
      <c r="F55" s="432"/>
      <c r="G55" s="432"/>
      <c r="H55" s="432"/>
      <c r="I55" s="441"/>
      <c r="J55" s="365"/>
      <c r="K55" s="431"/>
      <c r="L55" s="432"/>
      <c r="M55" s="432"/>
      <c r="N55" s="118" t="b">
        <v>0</v>
      </c>
      <c r="O55" s="119"/>
      <c r="Q55" s="438"/>
      <c r="R55" s="285" t="b">
        <v>0</v>
      </c>
      <c r="S55" s="285" t="b">
        <v>0</v>
      </c>
      <c r="T55" s="286" t="b">
        <v>0</v>
      </c>
    </row>
    <row r="56" outlineLevel="1">
      <c r="A56" s="317"/>
      <c r="B56" s="317"/>
      <c r="C56" s="473"/>
      <c r="D56" s="317"/>
      <c r="E56" s="317"/>
      <c r="F56" s="317"/>
      <c r="G56" s="317"/>
      <c r="H56" s="317"/>
      <c r="I56" s="439"/>
      <c r="J56" s="365"/>
      <c r="K56" s="431"/>
      <c r="L56" s="317"/>
      <c r="M56" s="320"/>
      <c r="N56" s="118" t="b">
        <v>0</v>
      </c>
      <c r="O56" s="119"/>
      <c r="Q56" s="284"/>
      <c r="R56" s="285" t="b">
        <v>0</v>
      </c>
      <c r="S56" s="285" t="b">
        <v>0</v>
      </c>
      <c r="T56" s="286" t="b">
        <v>0</v>
      </c>
    </row>
    <row r="57" outlineLevel="1">
      <c r="A57" s="317"/>
      <c r="B57" s="317"/>
      <c r="C57" s="472"/>
      <c r="D57" s="317"/>
      <c r="E57" s="317"/>
      <c r="F57" s="317"/>
      <c r="G57" s="317"/>
      <c r="H57" s="317"/>
      <c r="I57" s="439"/>
      <c r="J57" s="368"/>
      <c r="K57" s="431"/>
      <c r="L57" s="317"/>
      <c r="M57" s="320"/>
      <c r="N57" s="118" t="b">
        <v>0</v>
      </c>
      <c r="O57" s="119"/>
      <c r="Q57" s="284"/>
      <c r="R57" s="285" t="b">
        <v>0</v>
      </c>
      <c r="S57" s="285" t="b">
        <v>0</v>
      </c>
      <c r="T57" s="286" t="b">
        <v>0</v>
      </c>
    </row>
    <row r="58" outlineLevel="1">
      <c r="A58" s="317"/>
      <c r="B58" s="317"/>
      <c r="C58" s="472"/>
      <c r="D58" s="317"/>
      <c r="E58" s="317"/>
      <c r="F58" s="317"/>
      <c r="G58" s="475"/>
      <c r="H58" s="317"/>
      <c r="I58" s="439"/>
      <c r="J58" s="368"/>
      <c r="K58" s="431"/>
      <c r="L58" s="317"/>
      <c r="M58" s="317"/>
      <c r="N58" s="118" t="b">
        <v>0</v>
      </c>
      <c r="O58" s="119"/>
      <c r="Q58" s="284"/>
      <c r="R58" s="285" t="b">
        <v>0</v>
      </c>
      <c r="S58" s="285" t="b">
        <v>0</v>
      </c>
      <c r="T58" s="286" t="b">
        <v>0</v>
      </c>
    </row>
    <row r="59" outlineLevel="1">
      <c r="A59" s="432"/>
      <c r="B59" s="432"/>
      <c r="C59" s="440"/>
      <c r="D59" s="432"/>
      <c r="E59" s="432"/>
      <c r="F59" s="432"/>
      <c r="G59" s="476"/>
      <c r="H59" s="432"/>
      <c r="I59" s="477"/>
      <c r="J59" s="368"/>
      <c r="K59" s="436"/>
      <c r="L59" s="317"/>
      <c r="M59" s="432"/>
      <c r="N59" s="118" t="b">
        <v>0</v>
      </c>
      <c r="O59" s="119"/>
      <c r="Q59" s="284"/>
      <c r="R59" s="285" t="b">
        <v>0</v>
      </c>
      <c r="S59" s="285" t="b">
        <v>0</v>
      </c>
      <c r="T59" s="286" t="b">
        <v>0</v>
      </c>
    </row>
    <row r="60" outlineLevel="1">
      <c r="A60" s="432"/>
      <c r="B60" s="432"/>
      <c r="C60" s="440"/>
      <c r="D60" s="432"/>
      <c r="E60" s="432"/>
      <c r="F60" s="432"/>
      <c r="G60" s="476"/>
      <c r="H60" s="432"/>
      <c r="I60" s="477"/>
      <c r="J60" s="368"/>
      <c r="K60" s="436"/>
      <c r="L60" s="317"/>
      <c r="M60" s="432"/>
      <c r="N60" s="118" t="b">
        <v>0</v>
      </c>
      <c r="O60" s="119"/>
      <c r="Q60" s="284"/>
      <c r="R60" s="285" t="b">
        <v>0</v>
      </c>
      <c r="S60" s="285" t="b">
        <v>0</v>
      </c>
      <c r="T60" s="286" t="b">
        <v>0</v>
      </c>
    </row>
    <row r="61" outlineLevel="1">
      <c r="A61" s="432"/>
      <c r="B61" s="432"/>
      <c r="C61" s="440"/>
      <c r="D61" s="432"/>
      <c r="E61" s="432"/>
      <c r="F61" s="432"/>
      <c r="G61" s="476"/>
      <c r="H61" s="432"/>
      <c r="I61" s="477"/>
      <c r="J61" s="368"/>
      <c r="K61" s="436"/>
      <c r="L61" s="317"/>
      <c r="M61" s="432"/>
      <c r="N61" s="118" t="b">
        <v>0</v>
      </c>
      <c r="O61" s="119"/>
      <c r="Q61" s="284"/>
      <c r="R61" s="285" t="b">
        <v>0</v>
      </c>
      <c r="S61" s="285" t="b">
        <v>0</v>
      </c>
      <c r="T61" s="286" t="b">
        <v>0</v>
      </c>
    </row>
    <row r="62" outlineLevel="1">
      <c r="A62" s="432"/>
      <c r="B62" s="432"/>
      <c r="C62" s="440"/>
      <c r="D62" s="432"/>
      <c r="E62" s="432"/>
      <c r="F62" s="432"/>
      <c r="G62" s="476"/>
      <c r="H62" s="432"/>
      <c r="I62" s="477"/>
      <c r="J62" s="368"/>
      <c r="K62" s="436"/>
      <c r="L62" s="317"/>
      <c r="M62" s="432"/>
      <c r="N62" s="118" t="b">
        <v>0</v>
      </c>
      <c r="O62" s="119"/>
      <c r="Q62" s="284"/>
      <c r="R62" s="285" t="b">
        <v>0</v>
      </c>
      <c r="S62" s="285" t="b">
        <v>0</v>
      </c>
      <c r="T62" s="286" t="b">
        <v>0</v>
      </c>
    </row>
    <row r="63" outlineLevel="1">
      <c r="A63" s="317"/>
      <c r="B63" s="317"/>
      <c r="C63" s="316"/>
      <c r="D63" s="317"/>
      <c r="E63" s="317"/>
      <c r="F63" s="317"/>
      <c r="G63" s="475"/>
      <c r="H63" s="317"/>
      <c r="I63" s="318"/>
      <c r="J63" s="368"/>
      <c r="K63" s="431"/>
      <c r="L63" s="317"/>
      <c r="M63" s="317"/>
      <c r="N63" s="118" t="b">
        <v>0</v>
      </c>
      <c r="O63" s="119"/>
      <c r="Q63" s="284"/>
      <c r="R63" s="285" t="b">
        <v>0</v>
      </c>
      <c r="S63" s="285" t="b">
        <v>0</v>
      </c>
      <c r="T63" s="286" t="b">
        <v>0</v>
      </c>
    </row>
    <row r="64" outlineLevel="1">
      <c r="A64" s="317"/>
      <c r="B64" s="317"/>
      <c r="C64" s="316"/>
      <c r="D64" s="317"/>
      <c r="E64" s="317"/>
      <c r="F64" s="317"/>
      <c r="G64" s="475"/>
      <c r="H64" s="317"/>
      <c r="I64" s="318"/>
      <c r="J64" s="368"/>
      <c r="K64" s="431"/>
      <c r="L64" s="317"/>
      <c r="M64" s="317"/>
      <c r="N64" s="118" t="b">
        <v>0</v>
      </c>
      <c r="O64" s="119"/>
      <c r="Q64" s="284"/>
      <c r="R64" s="285" t="b">
        <v>0</v>
      </c>
      <c r="S64" s="285" t="b">
        <v>0</v>
      </c>
      <c r="T64" s="286" t="b">
        <v>0</v>
      </c>
    </row>
    <row r="65" outlineLevel="1">
      <c r="A65" s="317"/>
      <c r="B65" s="317"/>
      <c r="C65" s="316"/>
      <c r="D65" s="317"/>
      <c r="E65" s="317"/>
      <c r="F65" s="317"/>
      <c r="G65" s="475"/>
      <c r="H65" s="317"/>
      <c r="I65" s="318"/>
      <c r="J65" s="368"/>
      <c r="K65" s="431"/>
      <c r="L65" s="317"/>
      <c r="M65" s="317"/>
      <c r="N65" s="118" t="b">
        <v>0</v>
      </c>
      <c r="O65" s="119"/>
      <c r="Q65" s="284"/>
      <c r="R65" s="285" t="b">
        <v>0</v>
      </c>
      <c r="S65" s="285" t="b">
        <v>0</v>
      </c>
      <c r="T65" s="286" t="b">
        <v>0</v>
      </c>
    </row>
    <row r="66" outlineLevel="1">
      <c r="A66" s="320"/>
      <c r="B66" s="317"/>
      <c r="C66" s="465"/>
      <c r="D66" s="320"/>
      <c r="E66" s="320"/>
      <c r="F66" s="320"/>
      <c r="G66" s="471"/>
      <c r="H66" s="320"/>
      <c r="I66" s="478"/>
      <c r="J66" s="365"/>
      <c r="K66" s="431"/>
      <c r="L66" s="317"/>
      <c r="M66" s="320"/>
      <c r="N66" s="154" t="b">
        <v>0</v>
      </c>
      <c r="O66" s="119"/>
      <c r="Q66" s="284"/>
      <c r="R66" s="285" t="b">
        <v>0</v>
      </c>
      <c r="S66" s="285" t="b">
        <v>0</v>
      </c>
      <c r="T66" s="286" t="b">
        <v>0</v>
      </c>
    </row>
    <row r="67" outlineLevel="1">
      <c r="A67" s="317"/>
      <c r="B67" s="317"/>
      <c r="C67" s="316"/>
      <c r="D67" s="317"/>
      <c r="E67" s="317"/>
      <c r="F67" s="317"/>
      <c r="G67" s="475"/>
      <c r="H67" s="317"/>
      <c r="I67" s="443"/>
      <c r="J67" s="368"/>
      <c r="K67" s="431"/>
      <c r="L67" s="317"/>
      <c r="M67" s="317"/>
      <c r="N67" s="118" t="b">
        <v>0</v>
      </c>
      <c r="O67" s="119"/>
      <c r="Q67" s="284"/>
      <c r="R67" s="285" t="b">
        <v>0</v>
      </c>
      <c r="S67" s="285" t="b">
        <v>0</v>
      </c>
      <c r="T67" s="286" t="b">
        <v>0</v>
      </c>
    </row>
    <row r="68" outlineLevel="1">
      <c r="A68" s="317"/>
      <c r="B68" s="317"/>
      <c r="C68" s="316"/>
      <c r="D68" s="317"/>
      <c r="E68" s="317"/>
      <c r="F68" s="317"/>
      <c r="G68" s="475"/>
      <c r="H68" s="317"/>
      <c r="I68" s="443"/>
      <c r="J68" s="365"/>
      <c r="K68" s="431"/>
      <c r="L68" s="317"/>
      <c r="M68" s="317"/>
      <c r="N68" s="118" t="b">
        <v>0</v>
      </c>
      <c r="O68" s="119"/>
      <c r="Q68" s="284"/>
      <c r="R68" s="285" t="b">
        <v>0</v>
      </c>
      <c r="S68" s="285" t="b">
        <v>0</v>
      </c>
      <c r="T68" s="286" t="b">
        <v>0</v>
      </c>
    </row>
    <row r="69" outlineLevel="1">
      <c r="A69" s="317"/>
      <c r="B69" s="317"/>
      <c r="C69" s="316"/>
      <c r="D69" s="317"/>
      <c r="E69" s="317"/>
      <c r="F69" s="317"/>
      <c r="G69" s="475"/>
      <c r="H69" s="317"/>
      <c r="I69" s="316"/>
      <c r="J69" s="365"/>
      <c r="K69" s="431"/>
      <c r="L69" s="317"/>
      <c r="M69" s="317"/>
      <c r="N69" s="118" t="b">
        <v>0</v>
      </c>
      <c r="O69" s="119"/>
      <c r="Q69" s="284"/>
      <c r="R69" s="285" t="b">
        <v>0</v>
      </c>
      <c r="S69" s="285" t="b">
        <v>0</v>
      </c>
      <c r="T69" s="286" t="b">
        <v>0</v>
      </c>
    </row>
    <row r="70" outlineLevel="1">
      <c r="A70" s="317"/>
      <c r="B70" s="317"/>
      <c r="C70" s="316"/>
      <c r="D70" s="317"/>
      <c r="E70" s="317"/>
      <c r="F70" s="317"/>
      <c r="G70" s="475"/>
      <c r="H70" s="317"/>
      <c r="I70" s="316"/>
      <c r="J70" s="365"/>
      <c r="K70" s="431"/>
      <c r="L70" s="317"/>
      <c r="M70" s="317"/>
      <c r="N70" s="118" t="b">
        <v>0</v>
      </c>
      <c r="O70" s="119"/>
      <c r="Q70" s="284"/>
      <c r="R70" s="285" t="b">
        <v>0</v>
      </c>
      <c r="S70" s="285" t="b">
        <v>0</v>
      </c>
      <c r="T70" s="286" t="b">
        <v>0</v>
      </c>
    </row>
    <row r="71" outlineLevel="1">
      <c r="A71" s="317"/>
      <c r="B71" s="317"/>
      <c r="C71" s="419"/>
      <c r="D71" s="336"/>
      <c r="E71" s="336"/>
      <c r="F71" s="420"/>
      <c r="G71" s="336"/>
      <c r="H71" s="336"/>
      <c r="I71" s="479"/>
      <c r="J71" s="365"/>
      <c r="K71" s="431"/>
      <c r="L71" s="317"/>
      <c r="M71" s="317"/>
      <c r="N71" s="118" t="b">
        <v>0</v>
      </c>
      <c r="O71" s="119"/>
      <c r="Q71" s="284"/>
      <c r="R71" s="285" t="b">
        <v>0</v>
      </c>
      <c r="S71" s="285" t="b">
        <v>0</v>
      </c>
      <c r="T71" s="286" t="b">
        <v>0</v>
      </c>
    </row>
    <row r="72">
      <c r="A72" s="348" t="s">
        <v>116</v>
      </c>
      <c r="B72" s="349">
        <f>COUNTIF(B4:B71,"ONLINE")+COUNTIF(B4:B71,"SEDE*")</f>
        <v>37</v>
      </c>
      <c r="C72" s="348" t="s">
        <v>116</v>
      </c>
      <c r="D72" s="349">
        <f t="shared" ref="D72:E72" si="1">COUNTIF(D4:D71, "*")</f>
        <v>37</v>
      </c>
      <c r="E72" s="349">
        <f t="shared" si="1"/>
        <v>37</v>
      </c>
      <c r="F72" s="480">
        <f>COUNTA(F4:F71)</f>
        <v>37</v>
      </c>
      <c r="G72" s="349">
        <f t="shared" ref="G72:H72" si="2">COUNTIF(G4:G71, "*")</f>
        <v>38</v>
      </c>
      <c r="H72" s="349">
        <f t="shared" si="2"/>
        <v>37</v>
      </c>
      <c r="I72" s="348" t="s">
        <v>116</v>
      </c>
      <c r="J72" s="481">
        <f t="shared" ref="J72:K72" si="3">SUM(J4:J71)</f>
        <v>942</v>
      </c>
      <c r="K72" s="482">
        <f t="shared" si="3"/>
        <v>170</v>
      </c>
      <c r="L72" s="349">
        <f t="shared" ref="L72:M72" si="4">COUNTIF(L4:L71, "*")</f>
        <v>6</v>
      </c>
      <c r="M72" s="349">
        <f t="shared" si="4"/>
        <v>37</v>
      </c>
      <c r="N72" s="349">
        <f>SUMPRODUCT(--N4:N71)</f>
        <v>33</v>
      </c>
      <c r="O72" s="349">
        <f t="shared" ref="O72:Q72" si="5">COUNTIF(O4:O71, "*")</f>
        <v>2</v>
      </c>
      <c r="P72" s="349">
        <f t="shared" si="5"/>
        <v>0</v>
      </c>
      <c r="Q72" s="349">
        <f t="shared" si="5"/>
        <v>37</v>
      </c>
      <c r="R72" s="349">
        <f t="shared" ref="R72:T72" si="6">SUMPRODUCT(--R4:R71)</f>
        <v>22</v>
      </c>
      <c r="S72" s="349">
        <f t="shared" si="6"/>
        <v>15</v>
      </c>
      <c r="T72" s="349">
        <f t="shared" si="6"/>
        <v>37</v>
      </c>
    </row>
    <row r="73">
      <c r="A73" s="245" t="s">
        <v>117</v>
      </c>
      <c r="B73" s="246">
        <f>COUNTIF(B4:B71, "SEDE*")</f>
        <v>6</v>
      </c>
      <c r="C73" s="351"/>
      <c r="D73" s="351"/>
      <c r="E73" s="351"/>
      <c r="F73" s="351"/>
      <c r="G73" s="351"/>
      <c r="H73" s="245" t="s">
        <v>1946</v>
      </c>
      <c r="I73" s="355" t="s">
        <v>121</v>
      </c>
      <c r="J73" s="483" t="str">
        <f>COUNTIFS($B$4:$B$71,"*SEDE*",$J$4:$J$71, $F$155)&amp; " da €"&amp;$F$155</f>
        <v>2 da €27</v>
      </c>
      <c r="K73" s="484" t="str">
        <f>COUNTIFS($B$4:$B$71,"*SEDE*",$K$4:$K$71, $F$154)&amp; " da €"&amp;$F$154</f>
        <v>2 da €25</v>
      </c>
      <c r="L73" s="483" t="str">
        <f>COUNTIFS($B$4:$B$71,"*SEDE*",$J$4:$J$71, $F$157)&amp; " da €"&amp;$F$157</f>
        <v>1 da €32</v>
      </c>
      <c r="M73" s="484" t="str">
        <f>COUNTIFS($B$4:$B$71,"*SEDE*",$K$4:$K$71, $F$156)&amp; " da €"&amp;$F$156</f>
        <v>0 da €30</v>
      </c>
      <c r="N73" s="483" t="str">
        <f>COUNTIFS($B$4:$B$71,"*SEDE*",$J$4:$J$71, $G$155)&amp; " da €"&amp;$G$155</f>
        <v>1 da €37</v>
      </c>
      <c r="O73" s="484" t="str">
        <f>COUNTIFS($B$4:$B$71,"*SEDE*",$K$4:$K$71, $G$154)&amp; " da €"&amp;$G$154</f>
        <v>0 da €35</v>
      </c>
      <c r="P73" s="485" t="s">
        <v>40</v>
      </c>
      <c r="Q73" s="486">
        <f>SUM(J74,K74,L74,M74,N74,O74)</f>
        <v>173</v>
      </c>
      <c r="R73" s="351"/>
      <c r="S73" s="351"/>
      <c r="T73" s="351"/>
    </row>
    <row r="74">
      <c r="A74" s="245" t="s">
        <v>74</v>
      </c>
      <c r="B74" s="246">
        <f>COUNTIF(B4:B71, "ONLINE")</f>
        <v>31</v>
      </c>
      <c r="C74" s="351"/>
      <c r="D74" s="351"/>
      <c r="E74" s="351"/>
      <c r="F74" s="351"/>
      <c r="G74" s="351"/>
      <c r="I74" s="355" t="s">
        <v>122</v>
      </c>
      <c r="J74" s="483">
        <f>SUMIFS($J$4:$J$71,$B$4:$B$71,"*SEDE*",$J$4:$J$71,$F$155)</f>
        <v>54</v>
      </c>
      <c r="K74" s="369">
        <f>SUMIFS($K$4:$K$71,$B$4:$B$71,"*SEDE*",$K$4:$K$71,$F$154)</f>
        <v>50</v>
      </c>
      <c r="L74" s="368">
        <f>SUMIFS($J$4:$J$71,$B$4:$B$71,"*SEDE*",$J$4:$J$71,$F$157)</f>
        <v>32</v>
      </c>
      <c r="M74" s="369">
        <f>SUMIFS($K$4:$K$71,$B$4:$B$71,"*SEDE*",$K$4:$K$71,$F$156)</f>
        <v>0</v>
      </c>
      <c r="N74" s="368">
        <f>SUMIFS($J$4:$J$71,$B$4:$B$71,"*SEDE*",$J$4:$J$71,$G$155)</f>
        <v>37</v>
      </c>
      <c r="O74" s="369">
        <f>SUMIFS($K$4:$K$71,$B$4:$B$71,"*SEDE*",$K$4:$K$71,$G$154)</f>
        <v>0</v>
      </c>
      <c r="R74" s="351"/>
      <c r="S74" s="351"/>
      <c r="T74" s="351"/>
    </row>
    <row r="75">
      <c r="A75" s="245"/>
      <c r="B75" s="246"/>
      <c r="C75" s="351"/>
      <c r="D75" s="351"/>
      <c r="E75" s="351"/>
      <c r="F75" s="351"/>
      <c r="G75" s="351"/>
      <c r="I75" s="355" t="s">
        <v>123</v>
      </c>
      <c r="J75" s="368" t="str">
        <f>COUNTIFS($B$4:$B$71,"*ONLINE*",$J$4:$J$71, $F$155)&amp; " da €"&amp;$F$155</f>
        <v>9 da €27</v>
      </c>
      <c r="K75" s="484" t="str">
        <f>COUNTIFS($B$4:$B$71,"*ONLINE*",$K$4:$K$71, $F$154)&amp; " da €"&amp;$F$154</f>
        <v>0 da €25</v>
      </c>
      <c r="L75" s="368" t="str">
        <f>COUNTIFS($B$4:$B$71,"*ONLINE*",$J$4:$J$71, $F$157)&amp; " da €"&amp;$F$157</f>
        <v>18 da €32</v>
      </c>
      <c r="M75" s="369" t="str">
        <f>COUNTIFS($B$4:$B$71,"*ONLINE*",$K$4:$K$71, $F$156)&amp; " da €"&amp;$F$156</f>
        <v>4 da €30</v>
      </c>
      <c r="N75" s="368" t="str">
        <f>COUNTIFS($B$4:$B$71,"*ONLINE*",$J$4:$J$71, $G$155)&amp; " da €"&amp;$G$155</f>
        <v>0 da €37</v>
      </c>
      <c r="O75" s="369" t="str">
        <f>COUNTIFS($B$4:$B$71,"*ONLINE*",$K$4:$K$71, $G$154)&amp; " da €"&amp;$G$154</f>
        <v>0 da €35</v>
      </c>
      <c r="P75" s="425" t="s">
        <v>40</v>
      </c>
      <c r="Q75" s="486">
        <f>SUM(J76,K76,L76,M76,N76,O76)</f>
        <v>939</v>
      </c>
      <c r="R75" s="351"/>
      <c r="S75" s="351"/>
      <c r="T75" s="351"/>
    </row>
    <row r="76">
      <c r="A76" s="245"/>
      <c r="B76" s="246"/>
      <c r="C76" s="351"/>
      <c r="D76" s="351"/>
      <c r="E76" s="351"/>
      <c r="F76" s="351"/>
      <c r="G76" s="351"/>
      <c r="I76" s="355" t="s">
        <v>124</v>
      </c>
      <c r="J76" s="483">
        <f>SUMIFS($J$4:$J$71,$B$4:$B$71,"*ONLINE*",$J$4:$J$71,$F$155)</f>
        <v>243</v>
      </c>
      <c r="K76" s="484">
        <f>SUMIFS($K$4:$K$71,$B$4:$B$71,"*ONLINE*",$K$4:$K$71,$F$154)</f>
        <v>0</v>
      </c>
      <c r="L76" s="483">
        <f>SUMIFS($J$4:$J$71,$B$4:$B$71,"*ONLINE*",$J$4:$J$71,$F$157)</f>
        <v>576</v>
      </c>
      <c r="M76" s="369">
        <f>SUMIFS($K$4:$K$71,$B$4:$B$71,"*ONLINE*",$K$4:$K$71,$F$156)</f>
        <v>120</v>
      </c>
      <c r="N76" s="483">
        <f>SUMIFS($J$4:$J$71,$B$4:$B$71,"*ONLINE*",$J$4:$J$71,$G$155)</f>
        <v>0</v>
      </c>
      <c r="O76" s="369">
        <f>SUMIFS($K$4:$K$71,$B$4:$B$71,"*ONLINE*",$K$4:$K$71,$G$154)</f>
        <v>0</v>
      </c>
      <c r="R76" s="245" t="s">
        <v>120</v>
      </c>
      <c r="S76" s="378" t="str">
        <f>IF(SUM(J72:K72) = SUM(Q73:Q76), "OK", "ERRORE")</f>
        <v>OK</v>
      </c>
      <c r="T76" s="351"/>
    </row>
    <row r="77" ht="26.25" customHeight="1" collapsed="1">
      <c r="A77" s="428" t="s">
        <v>2005</v>
      </c>
      <c r="R77" s="429"/>
      <c r="S77" s="429"/>
      <c r="T77" s="429"/>
    </row>
    <row r="78" hidden="1" outlineLevel="1">
      <c r="A78" s="317"/>
      <c r="B78" s="317"/>
      <c r="C78" s="316"/>
      <c r="D78" s="336"/>
      <c r="E78" s="336"/>
      <c r="F78" s="420"/>
      <c r="G78" s="317"/>
      <c r="H78" s="317"/>
      <c r="I78" s="318"/>
      <c r="J78" s="319"/>
      <c r="K78" s="431"/>
      <c r="L78" s="317"/>
      <c r="M78" s="317"/>
      <c r="N78" s="118" t="b">
        <v>0</v>
      </c>
      <c r="O78" s="487"/>
      <c r="Q78" s="284"/>
      <c r="R78" s="285" t="b">
        <v>0</v>
      </c>
      <c r="S78" s="285" t="b">
        <v>0</v>
      </c>
      <c r="T78" s="286" t="b">
        <v>0</v>
      </c>
    </row>
    <row r="79" hidden="1" outlineLevel="1">
      <c r="A79" s="317"/>
      <c r="B79" s="317"/>
      <c r="C79" s="316"/>
      <c r="D79" s="317"/>
      <c r="E79" s="317"/>
      <c r="F79" s="317"/>
      <c r="G79" s="317"/>
      <c r="H79" s="317"/>
      <c r="I79" s="318"/>
      <c r="J79" s="319"/>
      <c r="K79" s="431"/>
      <c r="L79" s="317"/>
      <c r="M79" s="317"/>
      <c r="N79" s="118" t="b">
        <v>0</v>
      </c>
      <c r="O79" s="487"/>
      <c r="Q79" s="284"/>
      <c r="R79" s="285" t="b">
        <v>0</v>
      </c>
      <c r="S79" s="285" t="b">
        <v>0</v>
      </c>
      <c r="T79" s="286" t="b">
        <v>0</v>
      </c>
    </row>
    <row r="80" hidden="1" outlineLevel="1">
      <c r="A80" s="317"/>
      <c r="B80" s="317"/>
      <c r="C80" s="316"/>
      <c r="D80" s="317"/>
      <c r="E80" s="317"/>
      <c r="F80" s="317"/>
      <c r="G80" s="320"/>
      <c r="H80" s="320"/>
      <c r="I80" s="439"/>
      <c r="J80" s="435"/>
      <c r="K80" s="431"/>
      <c r="L80" s="317"/>
      <c r="M80" s="317"/>
      <c r="N80" s="118" t="b">
        <v>0</v>
      </c>
      <c r="O80" s="487"/>
      <c r="Q80" s="284"/>
      <c r="R80" s="285" t="b">
        <v>0</v>
      </c>
      <c r="S80" s="285" t="b">
        <v>0</v>
      </c>
      <c r="T80" s="286" t="b">
        <v>0</v>
      </c>
    </row>
    <row r="81" hidden="1" outlineLevel="1">
      <c r="A81" s="317"/>
      <c r="B81" s="317"/>
      <c r="C81" s="316"/>
      <c r="D81" s="317"/>
      <c r="E81" s="317"/>
      <c r="F81" s="317"/>
      <c r="G81" s="317"/>
      <c r="H81" s="317"/>
      <c r="I81" s="318"/>
      <c r="J81" s="319"/>
      <c r="K81" s="431"/>
      <c r="L81" s="317"/>
      <c r="M81" s="317"/>
      <c r="N81" s="118" t="b">
        <v>0</v>
      </c>
      <c r="O81" s="487"/>
      <c r="Q81" s="284"/>
      <c r="R81" s="285" t="b">
        <v>0</v>
      </c>
      <c r="S81" s="285" t="b">
        <v>0</v>
      </c>
      <c r="T81" s="286" t="b">
        <v>0</v>
      </c>
    </row>
    <row r="82" hidden="1" outlineLevel="1">
      <c r="A82" s="317"/>
      <c r="B82" s="317"/>
      <c r="C82" s="316"/>
      <c r="D82" s="317"/>
      <c r="E82" s="317"/>
      <c r="F82" s="317"/>
      <c r="G82" s="317"/>
      <c r="H82" s="317"/>
      <c r="I82" s="318"/>
      <c r="J82" s="319"/>
      <c r="K82" s="431"/>
      <c r="L82" s="317"/>
      <c r="M82" s="317"/>
      <c r="N82" s="118" t="b">
        <v>0</v>
      </c>
      <c r="O82" s="487"/>
      <c r="Q82" s="284"/>
      <c r="R82" s="285" t="b">
        <v>0</v>
      </c>
      <c r="S82" s="285" t="b">
        <v>0</v>
      </c>
      <c r="T82" s="286" t="b">
        <v>0</v>
      </c>
    </row>
    <row r="83" hidden="1" outlineLevel="1">
      <c r="A83" s="317"/>
      <c r="B83" s="317"/>
      <c r="C83" s="465"/>
      <c r="D83" s="320"/>
      <c r="E83" s="320"/>
      <c r="F83" s="320"/>
      <c r="G83" s="320"/>
      <c r="H83" s="320"/>
      <c r="I83" s="318"/>
      <c r="J83" s="319"/>
      <c r="K83" s="436"/>
      <c r="L83" s="317"/>
      <c r="M83" s="317"/>
      <c r="N83" s="118" t="b">
        <v>0</v>
      </c>
      <c r="O83" s="487"/>
      <c r="Q83" s="284"/>
      <c r="R83" s="285" t="b">
        <v>0</v>
      </c>
      <c r="S83" s="285" t="b">
        <v>0</v>
      </c>
      <c r="T83" s="286" t="b">
        <v>0</v>
      </c>
    </row>
    <row r="84" hidden="1" outlineLevel="1">
      <c r="A84" s="317"/>
      <c r="B84" s="317"/>
      <c r="C84" s="465"/>
      <c r="D84" s="320"/>
      <c r="E84" s="320"/>
      <c r="F84" s="320"/>
      <c r="G84" s="320"/>
      <c r="H84" s="320"/>
      <c r="I84" s="478"/>
      <c r="J84" s="319"/>
      <c r="K84" s="431"/>
      <c r="L84" s="317"/>
      <c r="M84" s="317"/>
      <c r="N84" s="118" t="b">
        <v>0</v>
      </c>
      <c r="O84" s="487"/>
      <c r="Q84" s="284"/>
      <c r="R84" s="285" t="b">
        <v>0</v>
      </c>
      <c r="S84" s="285" t="b">
        <v>0</v>
      </c>
      <c r="T84" s="286" t="b">
        <v>0</v>
      </c>
    </row>
    <row r="85" hidden="1" outlineLevel="1">
      <c r="A85" s="317"/>
      <c r="B85" s="317"/>
      <c r="C85" s="465"/>
      <c r="D85" s="320"/>
      <c r="E85" s="320"/>
      <c r="F85" s="320"/>
      <c r="G85" s="320"/>
      <c r="H85" s="320"/>
      <c r="I85" s="439"/>
      <c r="J85" s="435"/>
      <c r="K85" s="431"/>
      <c r="L85" s="317"/>
      <c r="M85" s="317"/>
      <c r="N85" s="118" t="b">
        <v>0</v>
      </c>
      <c r="O85" s="487"/>
      <c r="Q85" s="284"/>
      <c r="R85" s="285" t="b">
        <v>0</v>
      </c>
      <c r="S85" s="285" t="b">
        <v>0</v>
      </c>
      <c r="T85" s="286" t="b">
        <v>0</v>
      </c>
    </row>
    <row r="86" hidden="1" outlineLevel="1">
      <c r="A86" s="317"/>
      <c r="B86" s="317"/>
      <c r="C86" s="465"/>
      <c r="D86" s="320"/>
      <c r="E86" s="320"/>
      <c r="F86" s="320"/>
      <c r="G86" s="320"/>
      <c r="H86" s="320"/>
      <c r="I86" s="439"/>
      <c r="J86" s="319"/>
      <c r="K86" s="431"/>
      <c r="L86" s="317"/>
      <c r="M86" s="317"/>
      <c r="N86" s="118" t="b">
        <v>0</v>
      </c>
      <c r="O86" s="487"/>
      <c r="Q86" s="284"/>
      <c r="R86" s="285" t="b">
        <v>0</v>
      </c>
      <c r="S86" s="285" t="b">
        <v>0</v>
      </c>
      <c r="T86" s="286" t="b">
        <v>0</v>
      </c>
    </row>
    <row r="87" hidden="1" outlineLevel="1">
      <c r="A87" s="317"/>
      <c r="B87" s="317"/>
      <c r="C87" s="465"/>
      <c r="D87" s="320"/>
      <c r="E87" s="320"/>
      <c r="F87" s="320"/>
      <c r="G87" s="320"/>
      <c r="H87" s="320"/>
      <c r="I87" s="478"/>
      <c r="J87" s="319"/>
      <c r="K87" s="431"/>
      <c r="L87" s="317"/>
      <c r="M87" s="317"/>
      <c r="N87" s="118" t="b">
        <v>0</v>
      </c>
      <c r="O87" s="487"/>
      <c r="Q87" s="284"/>
      <c r="R87" s="285" t="b">
        <v>0</v>
      </c>
      <c r="S87" s="285" t="b">
        <v>0</v>
      </c>
      <c r="T87" s="286" t="b">
        <v>0</v>
      </c>
    </row>
    <row r="88" hidden="1" outlineLevel="1">
      <c r="A88" s="317"/>
      <c r="B88" s="317"/>
      <c r="C88" s="465"/>
      <c r="D88" s="320"/>
      <c r="E88" s="320"/>
      <c r="F88" s="320"/>
      <c r="G88" s="320"/>
      <c r="H88" s="320"/>
      <c r="I88" s="439"/>
      <c r="J88" s="319"/>
      <c r="K88" s="436"/>
      <c r="L88" s="317"/>
      <c r="M88" s="317"/>
      <c r="N88" s="118" t="b">
        <v>0</v>
      </c>
      <c r="O88" s="487"/>
      <c r="Q88" s="284"/>
      <c r="R88" s="285" t="b">
        <v>0</v>
      </c>
      <c r="S88" s="285" t="b">
        <v>0</v>
      </c>
      <c r="T88" s="286" t="b">
        <v>0</v>
      </c>
    </row>
    <row r="89" hidden="1" outlineLevel="1">
      <c r="A89" s="317"/>
      <c r="B89" s="317"/>
      <c r="C89" s="465"/>
      <c r="D89" s="320"/>
      <c r="E89" s="320"/>
      <c r="F89" s="320"/>
      <c r="G89" s="320"/>
      <c r="H89" s="320"/>
      <c r="I89" s="439"/>
      <c r="J89" s="319"/>
      <c r="K89" s="431"/>
      <c r="L89" s="317"/>
      <c r="M89" s="317"/>
      <c r="N89" s="118" t="b">
        <v>0</v>
      </c>
      <c r="O89" s="487"/>
      <c r="Q89" s="284"/>
      <c r="R89" s="285" t="b">
        <v>0</v>
      </c>
      <c r="S89" s="285" t="b">
        <v>0</v>
      </c>
      <c r="T89" s="286" t="b">
        <v>0</v>
      </c>
    </row>
    <row r="90" hidden="1" outlineLevel="1">
      <c r="A90" s="317"/>
      <c r="B90" s="317"/>
      <c r="C90" s="465"/>
      <c r="D90" s="320"/>
      <c r="E90" s="320"/>
      <c r="F90" s="320"/>
      <c r="G90" s="320"/>
      <c r="H90" s="320"/>
      <c r="I90" s="439"/>
      <c r="J90" s="319"/>
      <c r="K90" s="431"/>
      <c r="L90" s="317"/>
      <c r="M90" s="317"/>
      <c r="N90" s="118" t="b">
        <v>0</v>
      </c>
      <c r="O90" s="487"/>
      <c r="Q90" s="284"/>
      <c r="R90" s="285" t="b">
        <v>0</v>
      </c>
      <c r="S90" s="285" t="b">
        <v>0</v>
      </c>
      <c r="T90" s="286" t="b">
        <v>0</v>
      </c>
    </row>
    <row r="91" hidden="1" outlineLevel="1">
      <c r="A91" s="317"/>
      <c r="B91" s="317"/>
      <c r="C91" s="465"/>
      <c r="D91" s="320"/>
      <c r="E91" s="320"/>
      <c r="F91" s="320"/>
      <c r="G91" s="320"/>
      <c r="H91" s="320"/>
      <c r="I91" s="439"/>
      <c r="J91" s="319"/>
      <c r="K91" s="436"/>
      <c r="L91" s="317"/>
      <c r="M91" s="317"/>
      <c r="N91" s="118" t="b">
        <v>0</v>
      </c>
      <c r="O91" s="487"/>
      <c r="Q91" s="284"/>
      <c r="R91" s="285" t="b">
        <v>0</v>
      </c>
      <c r="S91" s="285" t="b">
        <v>0</v>
      </c>
      <c r="T91" s="286" t="b">
        <v>0</v>
      </c>
    </row>
    <row r="92" hidden="1" outlineLevel="1">
      <c r="A92" s="317"/>
      <c r="B92" s="317"/>
      <c r="C92" s="465"/>
      <c r="D92" s="320"/>
      <c r="E92" s="320"/>
      <c r="F92" s="320"/>
      <c r="G92" s="320"/>
      <c r="H92" s="320"/>
      <c r="I92" s="439"/>
      <c r="J92" s="319"/>
      <c r="K92" s="431"/>
      <c r="L92" s="317"/>
      <c r="M92" s="317"/>
      <c r="N92" s="118" t="b">
        <v>0</v>
      </c>
      <c r="O92" s="487"/>
      <c r="Q92" s="284"/>
      <c r="R92" s="285" t="b">
        <v>0</v>
      </c>
      <c r="S92" s="285" t="b">
        <v>0</v>
      </c>
      <c r="T92" s="286" t="b">
        <v>0</v>
      </c>
    </row>
    <row r="93" hidden="1" outlineLevel="1">
      <c r="A93" s="317"/>
      <c r="B93" s="317"/>
      <c r="C93" s="465"/>
      <c r="D93" s="320"/>
      <c r="E93" s="320"/>
      <c r="F93" s="320"/>
      <c r="G93" s="320"/>
      <c r="H93" s="320"/>
      <c r="I93" s="439"/>
      <c r="J93" s="319"/>
      <c r="K93" s="431"/>
      <c r="L93" s="317"/>
      <c r="M93" s="317"/>
      <c r="N93" s="118" t="b">
        <v>0</v>
      </c>
      <c r="O93" s="487"/>
      <c r="Q93" s="284"/>
      <c r="R93" s="285" t="b">
        <v>0</v>
      </c>
      <c r="S93" s="285" t="b">
        <v>0</v>
      </c>
      <c r="T93" s="286" t="b">
        <v>0</v>
      </c>
    </row>
    <row r="94" hidden="1" outlineLevel="1">
      <c r="A94" s="432"/>
      <c r="B94" s="432"/>
      <c r="C94" s="490"/>
      <c r="D94" s="488"/>
      <c r="E94" s="488"/>
      <c r="F94" s="488"/>
      <c r="G94" s="488"/>
      <c r="H94" s="488"/>
      <c r="I94" s="489"/>
      <c r="J94" s="435"/>
      <c r="K94" s="436"/>
      <c r="L94" s="432"/>
      <c r="M94" s="432"/>
      <c r="N94" s="118" t="b">
        <v>0</v>
      </c>
      <c r="O94" s="487"/>
      <c r="Q94" s="438"/>
      <c r="R94" s="285" t="b">
        <v>0</v>
      </c>
      <c r="S94" s="285" t="b">
        <v>0</v>
      </c>
      <c r="T94" s="286" t="b">
        <v>0</v>
      </c>
    </row>
    <row r="95" hidden="1" outlineLevel="1">
      <c r="A95" s="317"/>
      <c r="B95" s="317"/>
      <c r="C95" s="465"/>
      <c r="D95" s="320"/>
      <c r="E95" s="320"/>
      <c r="F95" s="320"/>
      <c r="G95" s="320"/>
      <c r="H95" s="320"/>
      <c r="I95" s="439"/>
      <c r="J95" s="319"/>
      <c r="K95" s="431"/>
      <c r="L95" s="317"/>
      <c r="M95" s="317"/>
      <c r="N95" s="118" t="b">
        <v>0</v>
      </c>
      <c r="O95" s="487"/>
      <c r="Q95" s="284"/>
      <c r="R95" s="285" t="b">
        <v>0</v>
      </c>
      <c r="S95" s="285" t="b">
        <v>0</v>
      </c>
      <c r="T95" s="286" t="b">
        <v>0</v>
      </c>
    </row>
    <row r="96" hidden="1" outlineLevel="1">
      <c r="A96" s="317"/>
      <c r="B96" s="317"/>
      <c r="C96" s="465"/>
      <c r="D96" s="320"/>
      <c r="E96" s="320"/>
      <c r="F96" s="320"/>
      <c r="G96" s="320"/>
      <c r="H96" s="320"/>
      <c r="I96" s="439"/>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78"/>
      <c r="J97" s="319"/>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78"/>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465"/>
      <c r="D100" s="320"/>
      <c r="E100" s="320"/>
      <c r="F100" s="320"/>
      <c r="G100" s="320"/>
      <c r="H100" s="320"/>
      <c r="I100" s="478"/>
      <c r="J100" s="319"/>
      <c r="K100" s="431"/>
      <c r="L100" s="317"/>
      <c r="M100" s="317"/>
      <c r="N100" s="118" t="b">
        <v>0</v>
      </c>
      <c r="O100" s="487"/>
      <c r="Q100" s="284"/>
      <c r="R100" s="285" t="b">
        <v>0</v>
      </c>
      <c r="S100" s="285" t="b">
        <v>0</v>
      </c>
      <c r="T100" s="286" t="b">
        <v>0</v>
      </c>
    </row>
    <row r="101" hidden="1" outlineLevel="1">
      <c r="A101" s="317"/>
      <c r="B101" s="317"/>
      <c r="C101" s="316"/>
      <c r="D101" s="317"/>
      <c r="E101" s="317"/>
      <c r="F101" s="317"/>
      <c r="G101" s="317"/>
      <c r="H101" s="317"/>
      <c r="I101" s="318"/>
      <c r="J101" s="319"/>
      <c r="K101" s="436"/>
      <c r="L101" s="317"/>
      <c r="M101" s="317"/>
      <c r="N101" s="118" t="b">
        <v>0</v>
      </c>
      <c r="O101" s="487"/>
      <c r="Q101" s="284"/>
      <c r="R101" s="285" t="b">
        <v>0</v>
      </c>
      <c r="S101" s="285" t="b">
        <v>0</v>
      </c>
      <c r="T101" s="286" t="b">
        <v>0</v>
      </c>
    </row>
    <row r="102" hidden="1" outlineLevel="1">
      <c r="A102" s="317"/>
      <c r="B102" s="317"/>
      <c r="C102" s="316"/>
      <c r="D102" s="317"/>
      <c r="E102" s="317"/>
      <c r="F102" s="317"/>
      <c r="G102" s="342"/>
      <c r="H102" s="317"/>
      <c r="I102" s="318"/>
      <c r="J102" s="319"/>
      <c r="K102" s="436"/>
      <c r="L102" s="317"/>
      <c r="M102" s="317"/>
      <c r="N102" s="118" t="b">
        <v>0</v>
      </c>
      <c r="O102" s="487"/>
      <c r="Q102" s="284"/>
      <c r="R102" s="285" t="b">
        <v>0</v>
      </c>
      <c r="S102" s="285" t="b">
        <v>0</v>
      </c>
      <c r="T102" s="286" t="b">
        <v>0</v>
      </c>
    </row>
    <row r="103" hidden="1" outlineLevel="1">
      <c r="A103" s="317"/>
      <c r="B103" s="317"/>
      <c r="C103" s="316"/>
      <c r="D103" s="317"/>
      <c r="E103" s="317"/>
      <c r="F103" s="317"/>
      <c r="G103" s="317"/>
      <c r="H103" s="317"/>
      <c r="I103" s="318"/>
      <c r="J103" s="319"/>
      <c r="K103" s="436"/>
      <c r="L103" s="317"/>
      <c r="M103" s="317"/>
      <c r="N103" s="118" t="b">
        <v>0</v>
      </c>
      <c r="O103" s="487"/>
      <c r="Q103" s="284"/>
      <c r="R103" s="285" t="b">
        <v>0</v>
      </c>
      <c r="S103" s="285" t="b">
        <v>0</v>
      </c>
      <c r="T103" s="286" t="b">
        <v>0</v>
      </c>
    </row>
    <row r="104" hidden="1" outlineLevel="1">
      <c r="A104" s="317"/>
      <c r="B104" s="317"/>
      <c r="C104" s="316"/>
      <c r="D104" s="317"/>
      <c r="E104" s="317"/>
      <c r="F104" s="317"/>
      <c r="G104" s="317"/>
      <c r="H104" s="317"/>
      <c r="I104" s="443"/>
      <c r="J104" s="319"/>
      <c r="K104" s="431"/>
      <c r="L104" s="317"/>
      <c r="M104" s="317"/>
      <c r="N104" s="118" t="b">
        <v>0</v>
      </c>
      <c r="O104" s="487"/>
      <c r="Q104" s="284"/>
      <c r="R104" s="285" t="b">
        <v>0</v>
      </c>
      <c r="S104" s="285" t="b">
        <v>0</v>
      </c>
      <c r="T104" s="286" t="b">
        <v>0</v>
      </c>
    </row>
    <row r="105" hidden="1" outlineLevel="1">
      <c r="A105" s="317"/>
      <c r="B105" s="317"/>
      <c r="C105" s="316"/>
      <c r="D105" s="317"/>
      <c r="E105" s="317"/>
      <c r="F105" s="317"/>
      <c r="G105" s="317"/>
      <c r="H105" s="317"/>
      <c r="I105" s="318"/>
      <c r="J105" s="319"/>
      <c r="K105" s="431"/>
      <c r="L105" s="317"/>
      <c r="M105" s="317"/>
      <c r="N105" s="118" t="b">
        <v>0</v>
      </c>
      <c r="O105" s="487"/>
      <c r="Q105" s="284"/>
      <c r="R105" s="285" t="b">
        <v>0</v>
      </c>
      <c r="S105" s="285" t="b">
        <v>0</v>
      </c>
      <c r="T105" s="286" t="b">
        <v>0</v>
      </c>
    </row>
    <row r="106" hidden="1" outlineLevel="1">
      <c r="A106" s="317"/>
      <c r="B106" s="317"/>
      <c r="C106" s="316"/>
      <c r="D106" s="317"/>
      <c r="E106" s="317"/>
      <c r="F106" s="317"/>
      <c r="G106" s="317"/>
      <c r="H106" s="317"/>
      <c r="I106" s="496"/>
      <c r="J106" s="319"/>
      <c r="K106" s="431"/>
      <c r="L106" s="317"/>
      <c r="M106" s="317"/>
      <c r="N106" s="118" t="b">
        <v>0</v>
      </c>
      <c r="O106" s="487"/>
      <c r="Q106" s="284"/>
      <c r="R106" s="285" t="b">
        <v>0</v>
      </c>
      <c r="S106" s="285" t="b">
        <v>0</v>
      </c>
      <c r="T106" s="286" t="b">
        <v>0</v>
      </c>
    </row>
    <row r="107" hidden="1" outlineLevel="1">
      <c r="A107" s="317"/>
      <c r="B107" s="317"/>
      <c r="C107" s="316"/>
      <c r="D107" s="317"/>
      <c r="E107" s="317"/>
      <c r="F107" s="317"/>
      <c r="G107" s="317"/>
      <c r="H107" s="317"/>
      <c r="I107" s="496"/>
      <c r="J107" s="319"/>
      <c r="K107" s="431"/>
      <c r="L107" s="317"/>
      <c r="M107" s="317"/>
      <c r="N107" s="118" t="b">
        <v>0</v>
      </c>
      <c r="O107" s="487"/>
      <c r="Q107" s="284"/>
      <c r="R107" s="285" t="b">
        <v>0</v>
      </c>
      <c r="S107" s="285" t="b">
        <v>0</v>
      </c>
      <c r="T107" s="286" t="b">
        <v>0</v>
      </c>
    </row>
    <row r="108" hidden="1" outlineLevel="1">
      <c r="A108" s="317"/>
      <c r="B108" s="317"/>
      <c r="C108" s="316"/>
      <c r="D108" s="317"/>
      <c r="E108" s="317"/>
      <c r="F108" s="317"/>
      <c r="G108" s="317"/>
      <c r="H108" s="317"/>
      <c r="I108" s="316"/>
      <c r="J108" s="319"/>
      <c r="K108" s="431"/>
      <c r="L108" s="317"/>
      <c r="M108" s="317"/>
      <c r="N108" s="118" t="b">
        <v>0</v>
      </c>
      <c r="O108" s="487"/>
      <c r="Q108" s="284"/>
      <c r="R108" s="285" t="b">
        <v>0</v>
      </c>
      <c r="S108" s="285" t="b">
        <v>0</v>
      </c>
      <c r="T108" s="286" t="b">
        <v>0</v>
      </c>
    </row>
    <row r="109" hidden="1" outlineLevel="1">
      <c r="A109" s="317"/>
      <c r="B109" s="317"/>
      <c r="C109" s="496"/>
      <c r="D109" s="317"/>
      <c r="E109" s="317"/>
      <c r="F109" s="317"/>
      <c r="G109" s="317"/>
      <c r="H109" s="317"/>
      <c r="I109" s="318"/>
      <c r="J109" s="319"/>
      <c r="K109" s="431"/>
      <c r="L109" s="317"/>
      <c r="M109" s="317"/>
      <c r="N109" s="118" t="b">
        <v>0</v>
      </c>
      <c r="O109" s="487"/>
      <c r="Q109" s="284"/>
      <c r="R109" s="285" t="b">
        <v>0</v>
      </c>
      <c r="S109" s="285" t="b">
        <v>0</v>
      </c>
      <c r="T109" s="286" t="b">
        <v>0</v>
      </c>
    </row>
    <row r="110" hidden="1" outlineLevel="1">
      <c r="A110" s="317"/>
      <c r="B110" s="317"/>
      <c r="C110" s="316"/>
      <c r="D110" s="317"/>
      <c r="E110" s="317"/>
      <c r="F110" s="317"/>
      <c r="G110" s="342"/>
      <c r="H110" s="317"/>
      <c r="I110" s="316"/>
      <c r="J110" s="319"/>
      <c r="K110" s="436"/>
      <c r="L110" s="317"/>
      <c r="M110" s="317"/>
      <c r="N110" s="118" t="b">
        <v>0</v>
      </c>
      <c r="O110" s="487"/>
      <c r="Q110" s="284"/>
      <c r="R110" s="285" t="b">
        <v>0</v>
      </c>
      <c r="S110" s="285" t="b">
        <v>0</v>
      </c>
      <c r="T110" s="286" t="b">
        <v>0</v>
      </c>
    </row>
    <row r="111" hidden="1" outlineLevel="1">
      <c r="A111" s="317"/>
      <c r="B111" s="317"/>
      <c r="C111" s="316"/>
      <c r="D111" s="317"/>
      <c r="E111" s="317"/>
      <c r="F111" s="317"/>
      <c r="G111" s="317"/>
      <c r="H111" s="317"/>
      <c r="I111" s="316"/>
      <c r="J111" s="319"/>
      <c r="K111" s="436"/>
      <c r="L111" s="317"/>
      <c r="M111" s="317"/>
      <c r="N111" s="118" t="b">
        <v>0</v>
      </c>
      <c r="O111" s="487"/>
      <c r="Q111" s="284"/>
      <c r="R111" s="285" t="b">
        <v>0</v>
      </c>
      <c r="S111" s="285" t="b">
        <v>0</v>
      </c>
      <c r="T111" s="286" t="b">
        <v>0</v>
      </c>
    </row>
    <row r="112" hidden="1" outlineLevel="1">
      <c r="A112" s="432"/>
      <c r="B112" s="432"/>
      <c r="C112" s="497"/>
      <c r="D112" s="432"/>
      <c r="E112" s="432"/>
      <c r="F112" s="432"/>
      <c r="G112" s="432"/>
      <c r="H112" s="432"/>
      <c r="I112" s="441"/>
      <c r="J112" s="435"/>
      <c r="K112" s="436"/>
      <c r="L112" s="432"/>
      <c r="M112" s="432"/>
      <c r="N112" s="118" t="b">
        <v>0</v>
      </c>
      <c r="O112" s="487"/>
      <c r="Q112" s="438"/>
      <c r="R112" s="285" t="b">
        <v>0</v>
      </c>
      <c r="S112" s="285" t="b">
        <v>0</v>
      </c>
      <c r="T112" s="286" t="b">
        <v>0</v>
      </c>
    </row>
    <row r="113" hidden="1" outlineLevel="1">
      <c r="A113" s="432"/>
      <c r="B113" s="432"/>
      <c r="C113" s="497"/>
      <c r="D113" s="131"/>
      <c r="E113" s="432"/>
      <c r="F113" s="317"/>
      <c r="G113" s="317"/>
      <c r="H113" s="317"/>
      <c r="I113" s="318"/>
      <c r="J113" s="319"/>
      <c r="K113" s="436"/>
      <c r="L113" s="432"/>
      <c r="M113" s="317"/>
      <c r="N113" s="118" t="b">
        <v>0</v>
      </c>
      <c r="O113" s="487"/>
      <c r="Q113" s="284"/>
      <c r="R113" s="285" t="b">
        <v>0</v>
      </c>
      <c r="S113" s="285" t="b">
        <v>0</v>
      </c>
      <c r="T113" s="286" t="b">
        <v>0</v>
      </c>
    </row>
    <row r="114" hidden="1" outlineLevel="1">
      <c r="A114" s="432"/>
      <c r="B114" s="432"/>
      <c r="C114" s="477"/>
      <c r="D114" s="432"/>
      <c r="E114" s="432"/>
      <c r="F114" s="432"/>
      <c r="G114" s="432"/>
      <c r="H114" s="351"/>
      <c r="I114" s="441"/>
      <c r="J114" s="435"/>
      <c r="K114" s="436"/>
      <c r="L114" s="432"/>
      <c r="M114" s="432"/>
      <c r="N114" s="118" t="b">
        <v>0</v>
      </c>
      <c r="O114" s="487"/>
      <c r="Q114" s="438"/>
      <c r="R114" s="285" t="b">
        <v>0</v>
      </c>
      <c r="S114" s="285" t="b">
        <v>0</v>
      </c>
      <c r="T114" s="286" t="b">
        <v>0</v>
      </c>
    </row>
    <row r="115" hidden="1" outlineLevel="1">
      <c r="A115" s="317"/>
      <c r="B115" s="317"/>
      <c r="C115" s="496"/>
      <c r="D115" s="317"/>
      <c r="E115" s="317"/>
      <c r="F115" s="317"/>
      <c r="G115" s="317"/>
      <c r="H115" s="317"/>
      <c r="I115" s="318"/>
      <c r="J115" s="319"/>
      <c r="K115" s="431"/>
      <c r="L115" s="317"/>
      <c r="M115" s="317"/>
      <c r="N115" s="118" t="b">
        <v>0</v>
      </c>
      <c r="O115" s="487"/>
      <c r="Q115" s="284"/>
      <c r="R115" s="285" t="b">
        <v>0</v>
      </c>
      <c r="S115" s="285" t="b">
        <v>0</v>
      </c>
      <c r="T115" s="286" t="b">
        <v>0</v>
      </c>
    </row>
    <row r="116" hidden="1" outlineLevel="1">
      <c r="A116" s="317"/>
      <c r="B116" s="317"/>
      <c r="C116" s="316"/>
      <c r="D116" s="317"/>
      <c r="E116" s="317"/>
      <c r="F116" s="324"/>
      <c r="G116" s="317"/>
      <c r="H116" s="317"/>
      <c r="I116" s="318"/>
      <c r="J116" s="319"/>
      <c r="K116" s="436"/>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6"/>
      <c r="L117" s="317"/>
      <c r="M117" s="317"/>
      <c r="N117" s="118" t="b">
        <v>0</v>
      </c>
      <c r="O117" s="487"/>
      <c r="Q117" s="284"/>
      <c r="R117" s="285" t="b">
        <v>0</v>
      </c>
      <c r="S117" s="285" t="b">
        <v>0</v>
      </c>
      <c r="T117" s="286" t="b">
        <v>0</v>
      </c>
    </row>
    <row r="118" hidden="1" outlineLevel="1">
      <c r="A118" s="317"/>
      <c r="B118" s="317"/>
      <c r="C118" s="316"/>
      <c r="D118" s="317"/>
      <c r="E118" s="317"/>
      <c r="F118" s="317"/>
      <c r="G118" s="317"/>
      <c r="H118" s="317"/>
      <c r="I118" s="318"/>
      <c r="J118" s="319"/>
      <c r="K118" s="431"/>
      <c r="L118" s="317"/>
      <c r="M118" s="317"/>
      <c r="N118" s="118" t="b">
        <v>0</v>
      </c>
      <c r="O118" s="487"/>
      <c r="Q118" s="284"/>
      <c r="R118" s="285" t="b">
        <v>0</v>
      </c>
      <c r="S118" s="285" t="b">
        <v>0</v>
      </c>
      <c r="T118" s="286" t="b">
        <v>0</v>
      </c>
    </row>
    <row r="119" hidden="1" outlineLevel="1">
      <c r="A119" s="432"/>
      <c r="B119" s="432"/>
      <c r="C119" s="440"/>
      <c r="D119" s="432"/>
      <c r="E119" s="432"/>
      <c r="F119" s="432"/>
      <c r="G119" s="432"/>
      <c r="H119" s="432"/>
      <c r="I119" s="441"/>
      <c r="J119" s="435"/>
      <c r="K119" s="436"/>
      <c r="L119" s="432"/>
      <c r="M119" s="317"/>
      <c r="N119" s="118" t="b">
        <v>0</v>
      </c>
      <c r="O119" s="487"/>
      <c r="Q119" s="284"/>
      <c r="R119" s="285" t="b">
        <v>0</v>
      </c>
      <c r="S119" s="285" t="b">
        <v>0</v>
      </c>
      <c r="T119" s="286" t="b">
        <v>0</v>
      </c>
    </row>
    <row r="120" hidden="1" outlineLevel="1">
      <c r="A120" s="317"/>
      <c r="B120" s="317"/>
      <c r="C120" s="316"/>
      <c r="D120" s="317"/>
      <c r="E120" s="317"/>
      <c r="F120" s="317"/>
      <c r="G120" s="317"/>
      <c r="H120" s="317"/>
      <c r="I120" s="318"/>
      <c r="J120" s="319"/>
      <c r="K120" s="431"/>
      <c r="L120" s="317"/>
      <c r="M120" s="317"/>
      <c r="N120" s="118" t="b">
        <v>0</v>
      </c>
      <c r="O120" s="487"/>
      <c r="Q120" s="284"/>
      <c r="R120" s="285" t="b">
        <v>0</v>
      </c>
      <c r="S120" s="285" t="b">
        <v>0</v>
      </c>
      <c r="T120" s="286" t="b">
        <v>0</v>
      </c>
    </row>
    <row r="121" hidden="1" outlineLevel="1">
      <c r="A121" s="317"/>
      <c r="B121" s="317"/>
      <c r="C121" s="440"/>
      <c r="D121" s="432"/>
      <c r="E121" s="432"/>
      <c r="F121" s="432"/>
      <c r="G121" s="432"/>
      <c r="H121" s="432"/>
      <c r="I121" s="441"/>
      <c r="J121" s="435"/>
      <c r="K121" s="436"/>
      <c r="L121" s="432"/>
      <c r="M121" s="432"/>
      <c r="N121" s="118" t="b">
        <v>0</v>
      </c>
      <c r="O121" s="487"/>
      <c r="Q121" s="438"/>
      <c r="R121" s="285" t="b">
        <v>0</v>
      </c>
      <c r="S121" s="285" t="b">
        <v>0</v>
      </c>
      <c r="T121" s="286" t="b">
        <v>0</v>
      </c>
    </row>
    <row r="122" hidden="1" outlineLevel="1">
      <c r="A122" s="432"/>
      <c r="B122" s="432"/>
      <c r="C122" s="440"/>
      <c r="D122" s="432"/>
      <c r="E122" s="432"/>
      <c r="F122" s="432"/>
      <c r="G122" s="432"/>
      <c r="H122" s="432"/>
      <c r="I122" s="441"/>
      <c r="J122" s="435"/>
      <c r="K122" s="436"/>
      <c r="L122" s="432"/>
      <c r="M122" s="317"/>
      <c r="N122" s="118" t="b">
        <v>0</v>
      </c>
      <c r="O122" s="487"/>
      <c r="Q122" s="438"/>
      <c r="R122" s="285" t="b">
        <v>0</v>
      </c>
      <c r="S122" s="285" t="b">
        <v>0</v>
      </c>
      <c r="T122" s="286" t="b">
        <v>0</v>
      </c>
    </row>
    <row r="123" hidden="1" outlineLevel="1">
      <c r="A123" s="317"/>
      <c r="B123" s="317"/>
      <c r="C123" s="316"/>
      <c r="D123" s="317"/>
      <c r="E123" s="317"/>
      <c r="F123" s="317"/>
      <c r="G123" s="317"/>
      <c r="H123" s="317"/>
      <c r="I123" s="318"/>
      <c r="J123" s="319"/>
      <c r="K123" s="436"/>
      <c r="L123" s="317"/>
      <c r="M123" s="317"/>
      <c r="N123" s="118" t="b">
        <v>0</v>
      </c>
      <c r="O123" s="487"/>
      <c r="Q123" s="284"/>
      <c r="R123" s="285" t="b">
        <v>0</v>
      </c>
      <c r="S123" s="285" t="b">
        <v>0</v>
      </c>
      <c r="T123" s="286" t="b">
        <v>0</v>
      </c>
    </row>
    <row r="124" hidden="1" outlineLevel="1">
      <c r="A124" s="317"/>
      <c r="B124" s="317"/>
      <c r="C124" s="316"/>
      <c r="D124" s="317"/>
      <c r="E124" s="317"/>
      <c r="F124" s="317"/>
      <c r="G124" s="317"/>
      <c r="H124" s="317"/>
      <c r="I124" s="318"/>
      <c r="J124" s="319"/>
      <c r="K124" s="431"/>
      <c r="L124" s="317"/>
      <c r="M124" s="317"/>
      <c r="N124" s="118" t="b">
        <v>0</v>
      </c>
      <c r="O124" s="487"/>
      <c r="Q124" s="284"/>
      <c r="R124" s="285" t="b">
        <v>0</v>
      </c>
      <c r="S124" s="285" t="b">
        <v>0</v>
      </c>
      <c r="T124" s="286" t="b">
        <v>0</v>
      </c>
    </row>
    <row r="125" hidden="1" outlineLevel="1">
      <c r="A125" s="317"/>
      <c r="B125" s="317"/>
      <c r="C125" s="316"/>
      <c r="D125" s="317"/>
      <c r="E125" s="317"/>
      <c r="F125" s="317"/>
      <c r="G125" s="317"/>
      <c r="H125" s="317"/>
      <c r="I125" s="318"/>
      <c r="J125" s="319"/>
      <c r="K125" s="436"/>
      <c r="L125" s="317"/>
      <c r="M125" s="317"/>
      <c r="N125" s="118" t="b">
        <v>0</v>
      </c>
      <c r="O125" s="487"/>
      <c r="Q125" s="284"/>
      <c r="R125" s="285" t="b">
        <v>0</v>
      </c>
      <c r="S125" s="285" t="b">
        <v>0</v>
      </c>
      <c r="T125" s="286" t="b">
        <v>0</v>
      </c>
    </row>
    <row r="126" hidden="1" outlineLevel="1">
      <c r="A126" s="317"/>
      <c r="B126" s="317"/>
      <c r="C126" s="316"/>
      <c r="D126" s="317"/>
      <c r="E126" s="317"/>
      <c r="F126" s="317"/>
      <c r="G126" s="317"/>
      <c r="H126" s="317"/>
      <c r="I126" s="318"/>
      <c r="J126" s="319"/>
      <c r="K126" s="431"/>
      <c r="L126" s="317"/>
      <c r="M126" s="317"/>
      <c r="N126" s="118" t="b">
        <v>0</v>
      </c>
      <c r="O126" s="487"/>
      <c r="Q126" s="284"/>
      <c r="R126" s="285" t="b">
        <v>0</v>
      </c>
      <c r="S126" s="285" t="b">
        <v>0</v>
      </c>
      <c r="T126" s="286" t="b">
        <v>0</v>
      </c>
    </row>
    <row r="127" hidden="1" outlineLevel="1">
      <c r="A127" s="317"/>
      <c r="B127" s="317"/>
      <c r="C127" s="31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17"/>
      <c r="G128" s="317"/>
      <c r="H128" s="317"/>
      <c r="I128" s="318"/>
      <c r="J128" s="319"/>
      <c r="K128" s="431"/>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319"/>
      <c r="K129" s="431"/>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435"/>
      <c r="K130" s="431"/>
      <c r="L130" s="317"/>
      <c r="M130" s="317"/>
      <c r="N130" s="118" t="b">
        <v>0</v>
      </c>
      <c r="O130" s="487"/>
      <c r="Q130" s="284"/>
      <c r="R130" s="285" t="b">
        <v>0</v>
      </c>
      <c r="S130" s="285" t="b">
        <v>0</v>
      </c>
      <c r="T130" s="286" t="b">
        <v>0</v>
      </c>
    </row>
    <row r="131" hidden="1" outlineLevel="1">
      <c r="A131" s="317"/>
      <c r="B131" s="317"/>
      <c r="C131" s="316"/>
      <c r="D131" s="317"/>
      <c r="E131" s="317"/>
      <c r="F131" s="317"/>
      <c r="G131" s="317"/>
      <c r="H131" s="317"/>
      <c r="I131" s="318"/>
      <c r="J131" s="319"/>
      <c r="K131" s="436"/>
      <c r="L131" s="317"/>
      <c r="M131" s="317"/>
      <c r="N131" s="118" t="b">
        <v>0</v>
      </c>
      <c r="O131" s="487"/>
      <c r="Q131" s="284"/>
      <c r="R131" s="285" t="b">
        <v>0</v>
      </c>
      <c r="S131" s="285" t="b">
        <v>0</v>
      </c>
      <c r="T131" s="286" t="b">
        <v>0</v>
      </c>
    </row>
    <row r="132" hidden="1" outlineLevel="1">
      <c r="A132" s="317"/>
      <c r="B132" s="317"/>
      <c r="C132" s="316"/>
      <c r="D132" s="317"/>
      <c r="E132" s="317"/>
      <c r="F132" s="317"/>
      <c r="G132" s="317"/>
      <c r="H132" s="317"/>
      <c r="I132" s="318"/>
      <c r="J132" s="319"/>
      <c r="K132" s="436"/>
      <c r="L132" s="317"/>
      <c r="M132" s="317"/>
      <c r="N132" s="118" t="b">
        <v>0</v>
      </c>
      <c r="O132" s="487"/>
      <c r="Q132" s="284"/>
      <c r="R132" s="285" t="b">
        <v>0</v>
      </c>
      <c r="S132" s="285" t="b">
        <v>0</v>
      </c>
      <c r="T132" s="286" t="b">
        <v>0</v>
      </c>
    </row>
    <row r="133" hidden="1" outlineLevel="1">
      <c r="A133" s="317"/>
      <c r="B133" s="317"/>
      <c r="C133" s="444"/>
      <c r="D133" s="317"/>
      <c r="E133" s="317"/>
      <c r="F133" s="317"/>
      <c r="G133" s="317"/>
      <c r="H133" s="317"/>
      <c r="I133" s="318"/>
      <c r="J133" s="319"/>
      <c r="K133" s="436"/>
      <c r="L133" s="317"/>
      <c r="M133" s="317"/>
      <c r="N133" s="118" t="b">
        <v>0</v>
      </c>
      <c r="O133" s="487"/>
      <c r="Q133" s="284"/>
      <c r="R133" s="285" t="b">
        <v>0</v>
      </c>
      <c r="S133" s="285" t="b">
        <v>0</v>
      </c>
      <c r="T133" s="286" t="b">
        <v>0</v>
      </c>
    </row>
    <row r="134" hidden="1" outlineLevel="1">
      <c r="A134" s="317"/>
      <c r="B134" s="317"/>
      <c r="C134" s="444"/>
      <c r="D134" s="317"/>
      <c r="E134" s="317"/>
      <c r="F134" s="317"/>
      <c r="G134" s="317"/>
      <c r="H134" s="317"/>
      <c r="I134" s="318"/>
      <c r="J134" s="319"/>
      <c r="K134" s="436"/>
      <c r="L134" s="317"/>
      <c r="M134" s="317"/>
      <c r="N134" s="118" t="b">
        <v>0</v>
      </c>
      <c r="O134" s="487"/>
      <c r="Q134" s="284"/>
      <c r="R134" s="285" t="b">
        <v>0</v>
      </c>
      <c r="S134" s="285" t="b">
        <v>0</v>
      </c>
      <c r="T134" s="286" t="b">
        <v>0</v>
      </c>
    </row>
    <row r="135" hidden="1" outlineLevel="1">
      <c r="A135" s="317"/>
      <c r="B135" s="317"/>
      <c r="C135" s="444"/>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444"/>
      <c r="D136" s="317"/>
      <c r="E136" s="317"/>
      <c r="F136" s="317"/>
      <c r="G136" s="317"/>
      <c r="H136" s="317"/>
      <c r="I136" s="318"/>
      <c r="J136" s="319"/>
      <c r="K136" s="436"/>
      <c r="L136" s="317"/>
      <c r="M136" s="317"/>
      <c r="N136" s="118" t="b">
        <v>0</v>
      </c>
      <c r="O136" s="487"/>
      <c r="Q136" s="284"/>
      <c r="R136" s="285" t="b">
        <v>0</v>
      </c>
      <c r="S136" s="285" t="b">
        <v>0</v>
      </c>
      <c r="T136" s="286" t="b">
        <v>0</v>
      </c>
    </row>
    <row r="137" hidden="1" outlineLevel="1">
      <c r="A137" s="317"/>
      <c r="B137" s="317"/>
      <c r="C137" s="444"/>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444"/>
      <c r="D138" s="317"/>
      <c r="E138" s="317"/>
      <c r="F138" s="317"/>
      <c r="G138" s="317"/>
      <c r="H138" s="317"/>
      <c r="I138" s="318"/>
      <c r="J138" s="319"/>
      <c r="K138" s="436"/>
      <c r="L138" s="317"/>
      <c r="M138" s="317"/>
      <c r="N138" s="118" t="b">
        <v>0</v>
      </c>
      <c r="O138" s="487"/>
      <c r="Q138" s="284"/>
      <c r="R138" s="285" t="b">
        <v>0</v>
      </c>
      <c r="S138" s="285" t="b">
        <v>0</v>
      </c>
      <c r="T138" s="286" t="b">
        <v>0</v>
      </c>
    </row>
    <row r="139" hidden="1" outlineLevel="1">
      <c r="A139" s="317"/>
      <c r="B139" s="317"/>
      <c r="C139" s="444"/>
      <c r="D139" s="317"/>
      <c r="E139" s="317"/>
      <c r="F139" s="317"/>
      <c r="G139" s="317"/>
      <c r="H139" s="317"/>
      <c r="I139" s="318"/>
      <c r="J139" s="435"/>
      <c r="K139" s="431"/>
      <c r="L139" s="317"/>
      <c r="M139" s="317"/>
      <c r="N139" s="118" t="b">
        <v>0</v>
      </c>
      <c r="O139" s="487"/>
      <c r="Q139" s="284"/>
      <c r="R139" s="285" t="b">
        <v>0</v>
      </c>
      <c r="S139" s="285" t="b">
        <v>0</v>
      </c>
      <c r="T139" s="286" t="b">
        <v>0</v>
      </c>
    </row>
    <row r="140" hidden="1" outlineLevel="1">
      <c r="A140" s="317"/>
      <c r="B140" s="317"/>
      <c r="C140" s="444"/>
      <c r="D140" s="317"/>
      <c r="E140" s="317"/>
      <c r="F140" s="317"/>
      <c r="G140" s="317"/>
      <c r="H140" s="317"/>
      <c r="I140" s="318"/>
      <c r="J140" s="435"/>
      <c r="K140" s="431"/>
      <c r="L140" s="317"/>
      <c r="M140" s="317"/>
      <c r="N140" s="118" t="b">
        <v>0</v>
      </c>
      <c r="O140" s="487"/>
      <c r="Q140" s="284"/>
      <c r="R140" s="285" t="b">
        <v>0</v>
      </c>
      <c r="S140" s="285" t="b">
        <v>0</v>
      </c>
      <c r="T140" s="286" t="b">
        <v>0</v>
      </c>
    </row>
    <row r="141" hidden="1" outlineLevel="1">
      <c r="A141" s="317"/>
      <c r="B141" s="317"/>
      <c r="C141" s="444"/>
      <c r="D141" s="317"/>
      <c r="E141" s="317"/>
      <c r="F141" s="317"/>
      <c r="G141" s="317"/>
      <c r="H141" s="317"/>
      <c r="I141" s="318"/>
      <c r="J141" s="319"/>
      <c r="K141" s="436"/>
      <c r="L141" s="317"/>
      <c r="M141" s="317"/>
      <c r="N141" s="118" t="b">
        <v>0</v>
      </c>
      <c r="O141" s="487"/>
      <c r="Q141" s="284"/>
      <c r="R141" s="285" t="b">
        <v>0</v>
      </c>
      <c r="S141" s="285" t="b">
        <v>0</v>
      </c>
      <c r="T141" s="286" t="b">
        <v>0</v>
      </c>
    </row>
    <row r="142" hidden="1" outlineLevel="1">
      <c r="A142" s="317"/>
      <c r="B142" s="317"/>
      <c r="C142" s="444"/>
      <c r="D142" s="317"/>
      <c r="E142" s="317"/>
      <c r="F142" s="317"/>
      <c r="G142" s="317"/>
      <c r="H142" s="317"/>
      <c r="I142" s="318"/>
      <c r="J142" s="319"/>
      <c r="K142" s="436"/>
      <c r="L142" s="317"/>
      <c r="M142" s="317"/>
      <c r="N142" s="118" t="b">
        <v>0</v>
      </c>
      <c r="O142" s="487"/>
      <c r="Q142" s="284"/>
      <c r="R142" s="285" t="b">
        <v>0</v>
      </c>
      <c r="S142" s="285" t="b">
        <v>0</v>
      </c>
      <c r="T142" s="286" t="b">
        <v>0</v>
      </c>
    </row>
    <row r="143" hidden="1" outlineLevel="1">
      <c r="A143" s="317"/>
      <c r="B143" s="317"/>
      <c r="C143" s="498"/>
      <c r="D143" s="336"/>
      <c r="E143" s="336"/>
      <c r="F143" s="420"/>
      <c r="G143" s="317"/>
      <c r="H143" s="317"/>
      <c r="I143" s="318"/>
      <c r="J143" s="319"/>
      <c r="K143" s="431"/>
      <c r="L143" s="317"/>
      <c r="M143" s="317"/>
      <c r="N143" s="118" t="b">
        <v>0</v>
      </c>
      <c r="O143" s="487"/>
      <c r="Q143" s="284"/>
      <c r="R143" s="285" t="b">
        <v>0</v>
      </c>
      <c r="S143" s="285" t="b">
        <v>0</v>
      </c>
      <c r="T143" s="286" t="b">
        <v>0</v>
      </c>
    </row>
    <row r="144" hidden="1" outlineLevel="1">
      <c r="A144" s="317"/>
      <c r="B144" s="317"/>
      <c r="C144" s="498"/>
      <c r="D144" s="279"/>
      <c r="E144" s="279"/>
      <c r="F144" s="346"/>
      <c r="G144" s="317"/>
      <c r="H144" s="317"/>
      <c r="I144" s="318"/>
      <c r="J144" s="319"/>
      <c r="K144" s="431"/>
      <c r="L144" s="317"/>
      <c r="M144" s="317"/>
      <c r="N144" s="118" t="b">
        <v>0</v>
      </c>
      <c r="O144" s="487"/>
      <c r="Q144" s="284"/>
      <c r="R144" s="285" t="b">
        <v>0</v>
      </c>
      <c r="S144" s="285" t="b">
        <v>0</v>
      </c>
      <c r="T144" s="286" t="b">
        <v>0</v>
      </c>
    </row>
    <row r="145" hidden="1" outlineLevel="1">
      <c r="A145" s="432"/>
      <c r="B145" s="432"/>
      <c r="C145" s="440"/>
      <c r="D145" s="432"/>
      <c r="E145" s="432"/>
      <c r="F145" s="432"/>
      <c r="G145" s="432"/>
      <c r="H145" s="351"/>
      <c r="I145" s="441"/>
      <c r="J145" s="319"/>
      <c r="K145" s="436"/>
      <c r="L145" s="317"/>
      <c r="M145" s="432"/>
      <c r="N145" s="118" t="b">
        <v>0</v>
      </c>
      <c r="O145" s="487"/>
      <c r="Q145" s="284"/>
      <c r="R145" s="285" t="b">
        <v>0</v>
      </c>
      <c r="S145" s="285" t="b">
        <v>0</v>
      </c>
      <c r="T145" s="286" t="b">
        <v>0</v>
      </c>
    </row>
    <row r="146" hidden="1" outlineLevel="1">
      <c r="A146" s="317"/>
      <c r="B146" s="317"/>
      <c r="C146" s="316"/>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444"/>
      <c r="D147" s="317"/>
      <c r="E147" s="317"/>
      <c r="F147" s="317"/>
      <c r="G147" s="317"/>
      <c r="H147" s="317"/>
      <c r="I147" s="318"/>
      <c r="J147" s="319"/>
      <c r="K147" s="436"/>
      <c r="L147" s="317"/>
      <c r="M147" s="317"/>
      <c r="N147" s="118" t="b">
        <v>0</v>
      </c>
      <c r="O147" s="487"/>
      <c r="Q147" s="284"/>
      <c r="R147" s="285" t="b">
        <v>0</v>
      </c>
      <c r="S147" s="285" t="b">
        <v>0</v>
      </c>
      <c r="T147" s="286" t="b">
        <v>0</v>
      </c>
    </row>
    <row r="148" hidden="1" outlineLevel="1">
      <c r="A148" s="317"/>
      <c r="B148" s="317"/>
      <c r="C148" s="316"/>
      <c r="D148" s="317"/>
      <c r="E148" s="317"/>
      <c r="F148" s="445"/>
      <c r="G148" s="317"/>
      <c r="H148" s="317"/>
      <c r="I148" s="318"/>
      <c r="J148" s="435"/>
      <c r="K148" s="431"/>
      <c r="L148" s="317"/>
      <c r="M148" s="317"/>
      <c r="N148" s="118" t="b">
        <v>0</v>
      </c>
      <c r="O148" s="487"/>
      <c r="Q148" s="284"/>
      <c r="R148" s="285" t="b">
        <v>0</v>
      </c>
      <c r="S148" s="285" t="b">
        <v>0</v>
      </c>
      <c r="T148" s="286" t="b">
        <v>0</v>
      </c>
    </row>
    <row r="149">
      <c r="A149" s="348" t="s">
        <v>116</v>
      </c>
      <c r="B149" s="349">
        <f>COUNTIF(B78:B148,"ONLINE")+COUNTIF(B78:B148,"SEDE*")</f>
        <v>0</v>
      </c>
      <c r="C149" s="348" t="s">
        <v>116</v>
      </c>
      <c r="D149" s="349">
        <f t="shared" ref="D149:E149" si="7">COUNTIF(D78:D148, "*")</f>
        <v>0</v>
      </c>
      <c r="E149" s="349">
        <f t="shared" si="7"/>
        <v>0</v>
      </c>
      <c r="F149" s="480">
        <f>COUNTA(F78:F148)</f>
        <v>0</v>
      </c>
      <c r="G149" s="349">
        <f t="shared" ref="G149:H149" si="8">COUNTIF(G78:G148, "*")</f>
        <v>0</v>
      </c>
      <c r="H149" s="349">
        <f t="shared" si="8"/>
        <v>0</v>
      </c>
      <c r="I149" s="348" t="s">
        <v>116</v>
      </c>
      <c r="J149" s="481">
        <f t="shared" ref="J149:K149" si="9">SUM(J78:J148)</f>
        <v>0</v>
      </c>
      <c r="K149" s="482">
        <f t="shared" si="9"/>
        <v>0</v>
      </c>
      <c r="L149" s="349">
        <f t="shared" ref="L149:M149" si="10">COUNTIF(L78:L148, "*")</f>
        <v>0</v>
      </c>
      <c r="M149" s="349">
        <f t="shared" si="10"/>
        <v>0</v>
      </c>
      <c r="N149" s="349">
        <f>SUMPRODUCT(--N78:N148)</f>
        <v>0</v>
      </c>
      <c r="O149" s="349">
        <f t="shared" ref="O149:Q149" si="11">COUNTIF(O78:O148, "*")</f>
        <v>0</v>
      </c>
      <c r="P149" s="349">
        <f t="shared" si="11"/>
        <v>0</v>
      </c>
      <c r="Q149" s="349">
        <f t="shared" si="11"/>
        <v>0</v>
      </c>
      <c r="R149" s="349">
        <f t="shared" ref="R149:T149" si="12">SUMPRODUCT(--R78:R148)</f>
        <v>0</v>
      </c>
      <c r="S149" s="349">
        <f t="shared" si="12"/>
        <v>0</v>
      </c>
      <c r="T149" s="349">
        <f t="shared" si="12"/>
        <v>0</v>
      </c>
    </row>
    <row r="150">
      <c r="A150" s="245" t="s">
        <v>117</v>
      </c>
      <c r="B150" s="246">
        <f>COUNTIF(B78:B148, "SEDE*")</f>
        <v>0</v>
      </c>
      <c r="C150" s="351"/>
      <c r="D150" s="351"/>
      <c r="E150" s="351"/>
      <c r="F150" s="351"/>
      <c r="G150" s="351"/>
      <c r="H150" s="245" t="s">
        <v>1974</v>
      </c>
      <c r="I150" s="355" t="s">
        <v>121</v>
      </c>
      <c r="J150" s="483" t="str">
        <f>COUNTIFS($B$78:$B$148,"*SEDE*",$J$78:$J$148, $F$155)&amp; " da €"&amp;$F$155</f>
        <v>0 da €27</v>
      </c>
      <c r="K150" s="484" t="str">
        <f>COUNTIFS($B$78:$B$148,"*SEDE*",$K$78:$K$148, $F$154)&amp; " da €"&amp;$F$154</f>
        <v>0 da €25</v>
      </c>
      <c r="L150" s="368" t="str">
        <f>COUNTIFS($B$78:$B$148,"*SEDE*",$J$78:$J$148, $F$157)&amp; " da €"&amp;$F$157</f>
        <v>0 da €32</v>
      </c>
      <c r="M150" s="369" t="str">
        <f>COUNTIFS($B$78:$B$148,"*SEDE*",$K$78:$K$148, $F$156)&amp; " da €"&amp;$F$156</f>
        <v>0 da €30</v>
      </c>
      <c r="N150" s="365" t="str">
        <f>COUNTIFS($B$78:$B$148,"*SEDE*",$J$78:$J$148, $G$155)&amp; " da €"&amp;$G$155</f>
        <v>0 da €37</v>
      </c>
      <c r="O150" s="373" t="str">
        <f>COUNTIFS($B$78:$B$148,"*SEDE*",$K$78:$K$148, $G$154)&amp; " da €"&amp;$G$154</f>
        <v>0 da €35</v>
      </c>
      <c r="P150" s="499" t="s">
        <v>40</v>
      </c>
      <c r="Q150" s="486">
        <f>SUM(J151,K151,L151,M151,N151,O151)</f>
        <v>0</v>
      </c>
      <c r="R150" s="500"/>
      <c r="S150" s="351"/>
      <c r="T150" s="351"/>
    </row>
    <row r="151">
      <c r="A151" s="245" t="s">
        <v>74</v>
      </c>
      <c r="B151" s="246">
        <f>COUNTIF(B78:B148, "ONLINE")</f>
        <v>0</v>
      </c>
      <c r="C151" s="245"/>
      <c r="D151" s="317"/>
      <c r="E151" s="351"/>
      <c r="I151" s="367" t="s">
        <v>122</v>
      </c>
      <c r="J151" s="368">
        <f>SUMIFS($J$78:$J$148,$B$78:$B$148,"*SEDE*",$J$78:$J$148,$F$155)</f>
        <v>0</v>
      </c>
      <c r="K151" s="436">
        <f>SUMIFS($K$78:$K$148,$B$78:$B$148,"*SEDE*",$K$78:$K$148,$F$154)</f>
        <v>0</v>
      </c>
      <c r="L151" s="368">
        <f>SUMIFS($J$78:$J$148,$B$78:$B$148,"*SEDE*",$J$78:$J$148,$F$157)</f>
        <v>0</v>
      </c>
      <c r="M151" s="436">
        <f>SUMIFS($K$78:$K$148,$B$78:$B$148,"*SEDE*",$K$78:$K$148,$F$156)</f>
        <v>0</v>
      </c>
      <c r="N151" s="501">
        <f>SUMIFS($J$78:$J$148,$B$78:$B$148,"*SEDE*",$J$78:$J$148,$G$155)</f>
        <v>0</v>
      </c>
      <c r="O151" s="436">
        <f>SUMIFS($K$78:$K$148,$B$78:$B$148,"*SEDE*",$K$78:$K$148,$G$154)</f>
        <v>0</v>
      </c>
      <c r="R151" s="500"/>
      <c r="S151" s="351"/>
      <c r="T151" s="351"/>
    </row>
    <row r="152">
      <c r="A152" s="245"/>
      <c r="B152" s="246"/>
      <c r="C152" s="245"/>
      <c r="D152" s="351"/>
      <c r="E152" s="351"/>
      <c r="F152" s="502"/>
      <c r="G152" s="503"/>
      <c r="I152" s="355" t="s">
        <v>123</v>
      </c>
      <c r="J152" s="368" t="str">
        <f>COUNTIFS($B$78:$B$148,"*ONLINE*",$J$78:$J$148, $F$155)&amp; " da €"&amp;$F$155</f>
        <v>0 da €27</v>
      </c>
      <c r="K152" s="484" t="str">
        <f>COUNTIFS($B$78:$B$148,"*ONLINE*",$K$78:$K$148, $F$154)&amp; " da €"&amp;$F$154</f>
        <v>0 da €25</v>
      </c>
      <c r="L152" s="368" t="str">
        <f>COUNTIFS($B$78:$B$148,"*ONLINE*",$J$78:$J$148, $F$157)&amp; " da €"&amp;$F$157</f>
        <v>0 da €32</v>
      </c>
      <c r="M152" s="369" t="str">
        <f>COUNTIFS($B$78:$B$148,"*ONLINE*",$K$78:$K$148, $F$156)&amp; " da €"&amp;$F$156</f>
        <v>0 da €30</v>
      </c>
      <c r="N152" s="483" t="str">
        <f>COUNTIFS($B$78:$B$148,"*ONLINE*",$J$78:$J$148, $G$155)&amp; " da €"&amp;$G$155</f>
        <v>0 da €37</v>
      </c>
      <c r="O152" s="484" t="str">
        <f>COUNTIFS($B$78:$B$148,"*ONLINE*",$K$78:$K$148, $G$154)&amp; " da €"&amp;$G$154</f>
        <v>0 da €35</v>
      </c>
      <c r="P152" s="485" t="s">
        <v>40</v>
      </c>
      <c r="Q152" s="486">
        <f>SUM(J153,K153,L153,M153,N153,O153)</f>
        <v>0</v>
      </c>
      <c r="R152" s="500"/>
      <c r="S152" s="351"/>
      <c r="T152" s="351"/>
    </row>
    <row r="153">
      <c r="A153" s="379"/>
      <c r="B153" s="379"/>
      <c r="C153" s="245"/>
      <c r="D153" s="351"/>
      <c r="E153" s="351"/>
      <c r="F153" s="502"/>
      <c r="G153" s="503"/>
      <c r="H153" s="196"/>
      <c r="I153" s="355" t="s">
        <v>124</v>
      </c>
      <c r="J153" s="483">
        <f>SUMIFS($J$78:$J$148,$B$78:$B$148,"*ONLINE*",$J$78:$J$148,$F$155)</f>
        <v>0</v>
      </c>
      <c r="K153" s="484">
        <f>SUMIFS($K$78:$K$148,$B$78:$B$148,"*ONLINE*",$K$78:$K$148,$F$154)</f>
        <v>0</v>
      </c>
      <c r="L153" s="368">
        <f>SUMIFS($J$78:$J$148,$B$78:$B$148,"*ONLINE*",$J$78:$J$148,$F$157)</f>
        <v>0</v>
      </c>
      <c r="M153" s="436">
        <f>SUMIFS($K$78:$K$148,$B$78:$B$148,"*ONLINE*",$K$78:$K$148,$F$156)</f>
        <v>0</v>
      </c>
      <c r="N153" s="365">
        <f>SUMIFS($J$78:$J$148,$B$78:$B$148,"*ONLINE*",$J$78:$J$148,$G$155)</f>
        <v>0</v>
      </c>
      <c r="O153" s="436">
        <f>SUMIFS($K$78:$K$148,$B$78:$B$148,"*ONLINE*",$K$78:$K$148,$G$154)</f>
        <v>0</v>
      </c>
      <c r="P153" s="196"/>
      <c r="Q153" s="196"/>
      <c r="R153" s="245" t="s">
        <v>120</v>
      </c>
      <c r="S153" s="378" t="str">
        <f>IF(SUM(J149:K149) = SUM(Q150:Q153), "OK", "ERRORE")</f>
        <v>OK</v>
      </c>
      <c r="T153" s="351"/>
    </row>
    <row r="154">
      <c r="A154" s="208" t="s">
        <v>127</v>
      </c>
      <c r="B154" s="504">
        <f t="shared" ref="B154:B155" si="13">SUM(B73,B150)</f>
        <v>6</v>
      </c>
      <c r="C154" s="505"/>
      <c r="D154" s="452"/>
      <c r="E154" s="506" t="s">
        <v>1596</v>
      </c>
      <c r="F154" s="353">
        <v>25.0</v>
      </c>
      <c r="G154" s="507">
        <v>35.0</v>
      </c>
      <c r="H154" s="508" t="s">
        <v>1975</v>
      </c>
      <c r="I154" s="509" t="s">
        <v>132</v>
      </c>
      <c r="J154" s="510" t="str">
        <f>COUNTIFS($B$4:$B$71,"*SEDE*",$J$4:$J$71, $F$155)+COUNTIFS($B$78:$B$148,"*SEDE*",$J$78:$J$148, $F$155)&amp; " da €"&amp;$F$155</f>
        <v>2 da €27</v>
      </c>
      <c r="K154" s="511" t="str">
        <f>COUNTIFS($B$4:$B$71,"*SEDE*",$K$4:$K$71, $F$154)+COUNTIFS($B$78:$B$148,"*SEDE*",$K$78:$K$148, $F$154)&amp; " da €"&amp;$F$154</f>
        <v>2 da €25</v>
      </c>
      <c r="L154" s="510" t="str">
        <f>COUNTIFS($B$4:$B$71,"*SEDE*",$J$4:$J$71, $F$157)+COUNTIFS($B$78:$B$148,"*SEDE*",$J$78:$J$148, $F$157)&amp; " da €"&amp;$F$157</f>
        <v>1 da €32</v>
      </c>
      <c r="M154" s="511" t="str">
        <f>COUNTIFS($B$4:$B$71,"*SEDE*",$K$4:$K$71, $F$156)+COUNTIFS($B$78:$B$148,"*SEDE*",$K$78:$K$148, $F$156)&amp; " da €"&amp;$F$156</f>
        <v>0 da €30</v>
      </c>
      <c r="N154" s="510" t="str">
        <f>COUNTIFS($B$4:$B$71,"*SEDE*",$J$4:$J$71, $G$155)+COUNTIFS($B$78:$B$148,"*SEDE*",$J$78:$J$148, $G$155)&amp; " da €"&amp;$G$155</f>
        <v>1 da €37</v>
      </c>
      <c r="O154" s="511" t="str">
        <f>COUNTIFS($B$4:$B$71,"*SEDE*",$K$4:$K$71, $G$154)+COUNTIFS($B$78:$B$148,"*SEDE*",$K$78:$K$148, $G$154)&amp; " da €"&amp;$G$154</f>
        <v>0 da €35</v>
      </c>
      <c r="P154" s="512" t="s">
        <v>127</v>
      </c>
      <c r="Q154" s="359">
        <f>SUM(J155,K155,L155,M155,N155,O155)</f>
        <v>173</v>
      </c>
      <c r="R154" s="205" t="s">
        <v>130</v>
      </c>
      <c r="S154" s="513">
        <f>SUM(J72,K72,J149,K149)</f>
        <v>1112</v>
      </c>
      <c r="T154" s="207"/>
    </row>
    <row r="155">
      <c r="A155" s="208" t="s">
        <v>131</v>
      </c>
      <c r="B155" s="504">
        <f t="shared" si="13"/>
        <v>31</v>
      </c>
      <c r="C155" s="245"/>
      <c r="D155" s="351"/>
      <c r="E155" s="514"/>
      <c r="F155" s="365">
        <v>27.0</v>
      </c>
      <c r="G155" s="319">
        <v>37.0</v>
      </c>
      <c r="I155" s="515" t="s">
        <v>122</v>
      </c>
      <c r="J155" s="455">
        <f t="shared" ref="J155:O155" si="14">SUM(J74,J151)</f>
        <v>54</v>
      </c>
      <c r="K155" s="456">
        <f t="shared" si="14"/>
        <v>50</v>
      </c>
      <c r="L155" s="455">
        <f t="shared" si="14"/>
        <v>32</v>
      </c>
      <c r="M155" s="456">
        <f t="shared" si="14"/>
        <v>0</v>
      </c>
      <c r="N155" s="455">
        <f t="shared" si="14"/>
        <v>37</v>
      </c>
      <c r="O155" s="456">
        <f t="shared" si="14"/>
        <v>0</v>
      </c>
    </row>
    <row r="156">
      <c r="A156" s="213" t="s">
        <v>133</v>
      </c>
      <c r="B156" s="371">
        <f>SUM(B154:B155)</f>
        <v>37</v>
      </c>
      <c r="C156" s="245"/>
      <c r="D156" s="351"/>
      <c r="E156" s="514"/>
      <c r="F156" s="373">
        <v>30.0</v>
      </c>
      <c r="G156" s="431">
        <v>0.0</v>
      </c>
      <c r="I156" s="515" t="s">
        <v>135</v>
      </c>
      <c r="J156" s="483" t="str">
        <f>COUNTIFS($B$4:$B$71,"*ONLINE*",$J$4:$J$71, $F$155)+COUNTIFS($B$78:$B$148,"*ONLINE*",$J$78:$J$148, $F$155)&amp; " da €"&amp;$F$155</f>
        <v>9 da €27</v>
      </c>
      <c r="K156" s="92" t="str">
        <f>COUNTIFS($B$4:$B$71,"*ONLINE*",$K$4:$K$71, $F$154)+COUNTIFS($B$78:$B$148,"*ONLINE*",$K$78:$K$148, $F$154)&amp; " da €"&amp;$F$154</f>
        <v>0 da €25</v>
      </c>
      <c r="L156" s="516" t="str">
        <f>COUNTIFS($B$4:$B$71,"*ONLINE*",$J$4:$J$71, $F$157)+COUNTIFS($B$78:$B$148,"*ONLINE*",$J$78:$J$148, $F$157)&amp; " da €"&amp;$F$157</f>
        <v>18 da €32</v>
      </c>
      <c r="M156" s="92" t="str">
        <f>COUNTIFS($B$4:$B$71,"*ONLINE*",$K$4:$K$71, $F$156)+COUNTIFS($B$78:$B$148,"*ONLINE*",$K$78:$K$148, $F$156)&amp; " da €"&amp;$F$156</f>
        <v>4 da €30</v>
      </c>
      <c r="N156" s="516" t="str">
        <f>COUNTIFS($B$4:$B$71,"*ONLINE*",$J$4:$J$71, $G$155)+COUNTIFS($B$78:$B$148,"*ONLINE*",$J$78:$J$148, $G$155)&amp; " da €"&amp;$G$155</f>
        <v>0 da €37</v>
      </c>
      <c r="O156" s="92" t="str">
        <f>COUNTIFS($B$4:$B$71,"*ONLINE*",$K$4:$K$71, $G$154)+COUNTIFS($B$78:$B$148,"*ONLINE*",$K$78:$K$148, $G$154)&amp; " da €"&amp;$G$154</f>
        <v>0 da €35</v>
      </c>
      <c r="P156" s="512" t="s">
        <v>131</v>
      </c>
      <c r="Q156" s="359">
        <f>SUM(J157,K157,L157,M157,N157,O157)</f>
        <v>939</v>
      </c>
    </row>
    <row r="157">
      <c r="A157" s="517" t="s">
        <v>134</v>
      </c>
      <c r="B157" s="518">
        <f>COUNTIF(M4:M148,"*NON TESSERATO*")</f>
        <v>16</v>
      </c>
      <c r="C157" s="245"/>
      <c r="D157" s="351"/>
      <c r="E157" s="519"/>
      <c r="F157" s="382">
        <v>32.0</v>
      </c>
      <c r="G157" s="520">
        <v>0.0</v>
      </c>
      <c r="H157" s="196"/>
      <c r="I157" s="521" t="s">
        <v>124</v>
      </c>
      <c r="J157" s="522">
        <f t="shared" ref="J157:O157" si="15">SUM(J76,J153)</f>
        <v>243</v>
      </c>
      <c r="K157" s="523">
        <f t="shared" si="15"/>
        <v>0</v>
      </c>
      <c r="L157" s="522">
        <f t="shared" si="15"/>
        <v>576</v>
      </c>
      <c r="M157" s="523">
        <f t="shared" si="15"/>
        <v>120</v>
      </c>
      <c r="N157" s="522">
        <f t="shared" si="15"/>
        <v>0</v>
      </c>
      <c r="O157" s="523">
        <f t="shared" si="15"/>
        <v>0</v>
      </c>
      <c r="P157" s="196"/>
      <c r="Q157" s="196"/>
      <c r="R157" s="196"/>
      <c r="S157" s="196"/>
      <c r="T157" s="196"/>
    </row>
    <row r="158">
      <c r="A158" s="524" t="s">
        <v>136</v>
      </c>
      <c r="B158" s="525">
        <f>COUNTIF(M4:M148,"*TESSERATO*")-COUNTIF(M4:M148,"*NON TESSERATO*")</f>
        <v>21</v>
      </c>
      <c r="C158" s="245"/>
      <c r="D158" s="351"/>
      <c r="E158" s="526"/>
      <c r="F158" s="485"/>
      <c r="G158" s="527"/>
      <c r="H158" s="508"/>
      <c r="I158" s="515"/>
      <c r="J158" s="528"/>
      <c r="K158" s="528"/>
      <c r="L158" s="528"/>
      <c r="M158" s="528"/>
      <c r="N158" s="528"/>
      <c r="O158" s="528"/>
      <c r="P158" s="529"/>
      <c r="Q158" s="530"/>
      <c r="R158" s="531"/>
      <c r="S158" s="530"/>
      <c r="T158"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71:P71"/>
    <mergeCell ref="H73:H76"/>
    <mergeCell ref="P73:P74"/>
    <mergeCell ref="Q73:Q74"/>
    <mergeCell ref="P75:P76"/>
    <mergeCell ref="Q75:Q76"/>
    <mergeCell ref="A77:Q77"/>
    <mergeCell ref="O64:P64"/>
    <mergeCell ref="O65:P65"/>
    <mergeCell ref="O66:P66"/>
    <mergeCell ref="O67:P67"/>
    <mergeCell ref="O68:P68"/>
    <mergeCell ref="O69:P69"/>
    <mergeCell ref="O70:P70"/>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O98:P98"/>
    <mergeCell ref="P152:P153"/>
    <mergeCell ref="P154:P155"/>
    <mergeCell ref="Q154:Q155"/>
    <mergeCell ref="R154:R157"/>
    <mergeCell ref="S154:T157"/>
    <mergeCell ref="Q156:Q157"/>
    <mergeCell ref="O148:P148"/>
    <mergeCell ref="H150:H153"/>
    <mergeCell ref="P150:P151"/>
    <mergeCell ref="Q150:Q151"/>
    <mergeCell ref="Q152:Q153"/>
    <mergeCell ref="E154:E157"/>
    <mergeCell ref="H154:H157"/>
    <mergeCell ref="P156:P157"/>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s>
  <conditionalFormatting sqref="A4:P71 T4:T71 A78:P148 T78:T148">
    <cfRule type="expression" dxfId="0" priority="1">
      <formula>$T4</formula>
    </cfRule>
  </conditionalFormatting>
  <conditionalFormatting sqref="S76 S153">
    <cfRule type="cellIs" dxfId="2" priority="2" operator="equal">
      <formula>"ERRORE"</formula>
    </cfRule>
  </conditionalFormatting>
  <conditionalFormatting sqref="S76 S153">
    <cfRule type="cellIs" dxfId="0" priority="3" operator="equal">
      <formula>"OK"</formula>
    </cfRule>
  </conditionalFormatting>
  <conditionalFormatting sqref="S4:S71 S78:S148">
    <cfRule type="expression" dxfId="1" priority="4">
      <formula>$S4</formula>
    </cfRule>
  </conditionalFormatting>
  <conditionalFormatting sqref="S4:S71 S78:S148">
    <cfRule type="expression" dxfId="2" priority="5">
      <formula>$M4="DIGIT - TESSERATO"</formula>
    </cfRule>
  </conditionalFormatting>
  <conditionalFormatting sqref="R4:R71 R78:R148">
    <cfRule type="expression" dxfId="3" priority="6">
      <formula>$R4</formula>
    </cfRule>
  </conditionalFormatting>
  <conditionalFormatting sqref="R4:R71 R78:R148">
    <cfRule type="expression" dxfId="4" priority="7">
      <formula>$M4="CASH - TESSERATO"</formula>
    </cfRule>
  </conditionalFormatting>
  <conditionalFormatting sqref="R4:R71 R78:R148">
    <cfRule type="expression" dxfId="4" priority="8">
      <formula>$M4="CASH - NON TESSERATO"</formula>
    </cfRule>
  </conditionalFormatting>
  <conditionalFormatting sqref="S4:S71 S78:S148">
    <cfRule type="expression" dxfId="2" priority="9">
      <formula>$M4="DIGIT - NON TESSERATO"</formula>
    </cfRule>
  </conditionalFormatting>
  <conditionalFormatting sqref="Q4:Q71 Q78:Q148">
    <cfRule type="expression" dxfId="0" priority="10">
      <formula>ISBLANK($Q4)=FALSE</formula>
    </cfRule>
  </conditionalFormatting>
  <conditionalFormatting sqref="A4:P71 A78:P148">
    <cfRule type="expression" dxfId="5" priority="11">
      <formula>$N4</formula>
    </cfRule>
  </conditionalFormatting>
  <dataValidations>
    <dataValidation type="list" allowBlank="1" showInputMessage="1" showErrorMessage="1" prompt="Fai clic e immetti un valore dall'intervallo" sqref="A4:A71 A78:A148">
      <formula1>elenchi!$M$2:$M$100</formula1>
    </dataValidation>
    <dataValidation type="list" allowBlank="1" showErrorMessage="1" sqref="B4:B71 B78:B148">
      <formula1>"ONLINE,SEDE Estefany,SEDE Giuditta,SEDE Alexandra,SEDE Nura,SEDE Joel"</formula1>
    </dataValidation>
    <dataValidation type="list" allowBlank="1" showErrorMessage="1" sqref="L4:L71 L78:L148">
      <formula1>"NURA02WS,GIUDITTA02WS,ALEXANDRA02WS,ESTEFANY02WS,JOEL02WS,MASSI02WS,SANTO02WS,SARA02WS,OMAGGIO100"</formula1>
    </dataValidation>
    <dataValidation type="list" allowBlank="1" sqref="Q4:Q71 Q78:Q148">
      <formula1>"INSERITO,CELL,EMAIL,COD FISCALE,INDIRIZZO"</formula1>
    </dataValidation>
    <dataValidation type="custom" allowBlank="1" showDropDown="1" showInputMessage="1" prompt="Immetti una data valida" sqref="I4:I5 C4:C71 I7:I71 C78:C148 I78:I148">
      <formula1>OR(NOT(ISERROR(DATEVALUE(C4))), AND(ISNUMBER(C4), LEFT(CELL("format", C4))="D"))</formula1>
    </dataValidation>
    <dataValidation type="list" allowBlank="1" showInputMessage="1" prompt="Fai clic e immetti un valore dall'elenco di elementi" sqref="M4:M71 M78:M148">
      <formula1>"CASH - TESSERATO,CASH - NON TESSERATO,DIGIT - TESSERATO,DIGIT - NON TESSERATO,CARTA - NON TESSERATO"</formula1>
    </dataValidation>
  </dataValidations>
  <hyperlinks>
    <hyperlink r:id="rId4" location="gid=54355521"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0.75"/>
    <col customWidth="1" min="2" max="2" width="21.13"/>
    <col customWidth="1" min="3" max="3" width="13.88"/>
    <col customWidth="1" min="4" max="4" width="15.25"/>
    <col customWidth="1" min="5" max="5" width="21.0"/>
    <col customWidth="1" min="6" max="6" width="13.25"/>
    <col customWidth="1" min="7" max="7" width="41.0"/>
    <col customWidth="1" min="8" max="8" width="30.88"/>
    <col customWidth="1" min="9" max="9" width="17.0"/>
    <col customWidth="1" min="10" max="10" width="14.13"/>
    <col customWidth="1" min="11" max="11" width="13.25"/>
    <col customWidth="1" min="12" max="12" width="20.38"/>
    <col customWidth="1" min="13" max="13" width="19.5"/>
    <col customWidth="1" min="14" max="15" width="14.63"/>
    <col customWidth="1" min="16" max="16" width="19.5"/>
    <col customWidth="1" min="17" max="17" width="15.13"/>
    <col customWidth="1" min="18" max="20" width="11.88"/>
  </cols>
  <sheetData>
    <row r="1" ht="34.5" customHeight="1">
      <c r="A1" s="459" t="s">
        <v>2715</v>
      </c>
      <c r="Q1" s="460"/>
      <c r="R1" s="269" t="s">
        <v>960</v>
      </c>
    </row>
    <row r="2">
      <c r="A2" s="461" t="s">
        <v>52</v>
      </c>
      <c r="B2" s="462" t="s">
        <v>53</v>
      </c>
      <c r="C2" s="462" t="s">
        <v>54</v>
      </c>
      <c r="D2" s="461" t="s">
        <v>56</v>
      </c>
      <c r="E2" s="461" t="s">
        <v>57</v>
      </c>
      <c r="F2" s="461" t="s">
        <v>58</v>
      </c>
      <c r="G2" s="462" t="s">
        <v>59</v>
      </c>
      <c r="H2" s="462" t="s">
        <v>60</v>
      </c>
      <c r="I2" s="462" t="s">
        <v>61</v>
      </c>
      <c r="J2" s="273" t="s">
        <v>962</v>
      </c>
      <c r="K2" s="463" t="s">
        <v>1943</v>
      </c>
      <c r="L2" s="462" t="s">
        <v>63</v>
      </c>
      <c r="M2" s="103" t="s">
        <v>964</v>
      </c>
      <c r="N2" s="462" t="s">
        <v>66</v>
      </c>
      <c r="O2" s="103" t="s">
        <v>67</v>
      </c>
      <c r="Q2" s="106" t="s">
        <v>68</v>
      </c>
      <c r="R2" s="107" t="s">
        <v>69</v>
      </c>
      <c r="S2" s="108" t="s">
        <v>70</v>
      </c>
      <c r="T2" s="109" t="s">
        <v>71</v>
      </c>
    </row>
    <row r="3">
      <c r="A3" s="464" t="s">
        <v>2716</v>
      </c>
      <c r="R3" s="464" t="s">
        <v>1945</v>
      </c>
      <c r="S3" s="464"/>
      <c r="T3" s="464"/>
    </row>
    <row r="4" outlineLevel="1">
      <c r="A4" s="320" t="s">
        <v>73</v>
      </c>
      <c r="B4" s="320" t="s">
        <v>74</v>
      </c>
      <c r="C4" s="465">
        <v>45862.0</v>
      </c>
      <c r="D4" s="320" t="s">
        <v>2717</v>
      </c>
      <c r="E4" s="320" t="s">
        <v>2718</v>
      </c>
      <c r="F4" s="320">
        <v>3.496846952E9</v>
      </c>
      <c r="G4" s="320" t="s">
        <v>2719</v>
      </c>
      <c r="H4" s="320" t="s">
        <v>2720</v>
      </c>
      <c r="I4" s="439">
        <v>45862.0</v>
      </c>
      <c r="J4" s="365">
        <v>32.0</v>
      </c>
      <c r="K4" s="431"/>
      <c r="L4" s="317"/>
      <c r="M4" s="320" t="s">
        <v>80</v>
      </c>
      <c r="N4" s="118" t="b">
        <v>1</v>
      </c>
      <c r="O4" s="119"/>
      <c r="Q4" s="284" t="s">
        <v>81</v>
      </c>
      <c r="R4" s="285" t="b">
        <v>0</v>
      </c>
      <c r="S4" s="285" t="b">
        <v>1</v>
      </c>
      <c r="T4" s="286" t="b">
        <v>1</v>
      </c>
    </row>
    <row r="5" outlineLevel="1">
      <c r="A5" s="320" t="s">
        <v>73</v>
      </c>
      <c r="B5" s="320" t="s">
        <v>74</v>
      </c>
      <c r="C5" s="465">
        <v>45862.0</v>
      </c>
      <c r="D5" s="320" t="s">
        <v>2717</v>
      </c>
      <c r="E5" s="320" t="s">
        <v>2721</v>
      </c>
      <c r="F5" s="320">
        <v>3.496190759E9</v>
      </c>
      <c r="G5" s="320" t="s">
        <v>2722</v>
      </c>
      <c r="H5" s="320" t="s">
        <v>2723</v>
      </c>
      <c r="I5" s="439">
        <v>45862.0</v>
      </c>
      <c r="J5" s="365">
        <v>32.0</v>
      </c>
      <c r="K5" s="431"/>
      <c r="L5" s="317"/>
      <c r="M5" s="320" t="s">
        <v>80</v>
      </c>
      <c r="N5" s="118" t="b">
        <v>1</v>
      </c>
      <c r="O5" s="119" t="s">
        <v>2724</v>
      </c>
      <c r="Q5" s="284" t="s">
        <v>81</v>
      </c>
      <c r="R5" s="285" t="b">
        <v>0</v>
      </c>
      <c r="S5" s="285" t="b">
        <v>1</v>
      </c>
      <c r="T5" s="286" t="b">
        <v>1</v>
      </c>
    </row>
    <row r="6" outlineLevel="1">
      <c r="A6" s="320" t="s">
        <v>101</v>
      </c>
      <c r="B6" s="320" t="s">
        <v>102</v>
      </c>
      <c r="C6" s="465">
        <v>45868.0</v>
      </c>
      <c r="D6" s="320" t="s">
        <v>555</v>
      </c>
      <c r="E6" s="320" t="s">
        <v>556</v>
      </c>
      <c r="F6" s="320">
        <v>3.317286206E9</v>
      </c>
      <c r="G6" s="111" t="s">
        <v>557</v>
      </c>
      <c r="H6" s="320" t="s">
        <v>558</v>
      </c>
      <c r="I6" s="534">
        <v>45868.0</v>
      </c>
      <c r="J6" s="365"/>
      <c r="K6" s="431">
        <v>30.0</v>
      </c>
      <c r="L6" s="317" t="s">
        <v>106</v>
      </c>
      <c r="M6" s="320" t="s">
        <v>162</v>
      </c>
      <c r="N6" s="118" t="b">
        <v>1</v>
      </c>
      <c r="O6" s="119"/>
      <c r="Q6" s="284" t="s">
        <v>81</v>
      </c>
      <c r="R6" s="285" t="b">
        <v>1</v>
      </c>
      <c r="S6" s="285" t="b">
        <v>0</v>
      </c>
      <c r="T6" s="286" t="b">
        <v>1</v>
      </c>
    </row>
    <row r="7" outlineLevel="1">
      <c r="A7" s="320" t="s">
        <v>73</v>
      </c>
      <c r="B7" s="320" t="s">
        <v>74</v>
      </c>
      <c r="C7" s="465">
        <v>45894.0</v>
      </c>
      <c r="D7" s="320" t="s">
        <v>172</v>
      </c>
      <c r="E7" s="320" t="s">
        <v>2180</v>
      </c>
      <c r="F7" s="320">
        <v>3.891158562E9</v>
      </c>
      <c r="G7" s="111" t="s">
        <v>2181</v>
      </c>
      <c r="H7" s="320" t="s">
        <v>2182</v>
      </c>
      <c r="I7" s="439">
        <v>45876.0</v>
      </c>
      <c r="J7" s="365"/>
      <c r="K7" s="431">
        <v>30.0</v>
      </c>
      <c r="L7" s="317" t="s">
        <v>106</v>
      </c>
      <c r="M7" s="320" t="s">
        <v>80</v>
      </c>
      <c r="N7" s="118" t="b">
        <v>1</v>
      </c>
      <c r="O7" s="119"/>
      <c r="Q7" s="284" t="s">
        <v>81</v>
      </c>
      <c r="R7" s="285" t="b">
        <v>0</v>
      </c>
      <c r="S7" s="285" t="b">
        <v>1</v>
      </c>
      <c r="T7" s="286" t="b">
        <v>1</v>
      </c>
    </row>
    <row r="8" outlineLevel="1">
      <c r="A8" s="320" t="s">
        <v>73</v>
      </c>
      <c r="B8" s="320" t="s">
        <v>74</v>
      </c>
      <c r="C8" s="465">
        <v>45894.0</v>
      </c>
      <c r="D8" s="320" t="s">
        <v>2725</v>
      </c>
      <c r="E8" s="320" t="s">
        <v>2726</v>
      </c>
      <c r="F8" s="320">
        <v>4.1798593379E10</v>
      </c>
      <c r="G8" s="320" t="s">
        <v>2727</v>
      </c>
      <c r="H8" s="320" t="s">
        <v>2728</v>
      </c>
      <c r="I8" s="439">
        <v>45887.0</v>
      </c>
      <c r="J8" s="365">
        <v>32.0</v>
      </c>
      <c r="K8" s="436"/>
      <c r="L8" s="432"/>
      <c r="M8" s="320" t="s">
        <v>100</v>
      </c>
      <c r="N8" s="118" t="b">
        <v>1</v>
      </c>
      <c r="O8" s="467"/>
      <c r="Q8" s="284" t="s">
        <v>81</v>
      </c>
      <c r="R8" s="285" t="b">
        <v>1</v>
      </c>
      <c r="S8" s="285" t="b">
        <v>0</v>
      </c>
      <c r="T8" s="286" t="b">
        <v>1</v>
      </c>
    </row>
    <row r="9" outlineLevel="1">
      <c r="A9" s="320" t="s">
        <v>73</v>
      </c>
      <c r="B9" s="320" t="s">
        <v>74</v>
      </c>
      <c r="C9" s="465">
        <v>45894.0</v>
      </c>
      <c r="D9" s="320" t="s">
        <v>2729</v>
      </c>
      <c r="E9" s="320" t="s">
        <v>464</v>
      </c>
      <c r="F9" s="320">
        <v>3.317456788E9</v>
      </c>
      <c r="G9" s="320" t="s">
        <v>2730</v>
      </c>
      <c r="H9" s="320" t="s">
        <v>2731</v>
      </c>
      <c r="I9" s="465">
        <v>45891.0</v>
      </c>
      <c r="J9" s="365">
        <v>32.0</v>
      </c>
      <c r="K9" s="431"/>
      <c r="L9" s="317"/>
      <c r="M9" s="320" t="s">
        <v>100</v>
      </c>
      <c r="N9" s="118" t="b">
        <v>1</v>
      </c>
      <c r="O9" s="119"/>
      <c r="Q9" s="284" t="s">
        <v>81</v>
      </c>
      <c r="R9" s="285" t="b">
        <v>1</v>
      </c>
      <c r="S9" s="285" t="b">
        <v>0</v>
      </c>
      <c r="T9" s="286" t="b">
        <v>1</v>
      </c>
    </row>
    <row r="10" outlineLevel="1">
      <c r="A10" s="320" t="s">
        <v>73</v>
      </c>
      <c r="B10" s="320" t="s">
        <v>74</v>
      </c>
      <c r="C10" s="465">
        <v>45894.0</v>
      </c>
      <c r="D10" s="320" t="s">
        <v>2732</v>
      </c>
      <c r="E10" s="320" t="s">
        <v>572</v>
      </c>
      <c r="F10" s="320">
        <v>3.315800383E9</v>
      </c>
      <c r="G10" s="468" t="s">
        <v>2733</v>
      </c>
      <c r="H10" s="320" t="s">
        <v>2734</v>
      </c>
      <c r="I10" s="439">
        <v>45894.0</v>
      </c>
      <c r="J10" s="365">
        <v>32.0</v>
      </c>
      <c r="K10" s="431"/>
      <c r="L10" s="317"/>
      <c r="M10" s="320" t="s">
        <v>100</v>
      </c>
      <c r="N10" s="118" t="b">
        <v>1</v>
      </c>
      <c r="O10" s="119"/>
      <c r="Q10" s="284" t="s">
        <v>81</v>
      </c>
      <c r="R10" s="285" t="b">
        <v>1</v>
      </c>
      <c r="S10" s="285" t="b">
        <v>0</v>
      </c>
      <c r="T10" s="286" t="b">
        <v>1</v>
      </c>
    </row>
    <row r="11" outlineLevel="1">
      <c r="A11" s="320" t="s">
        <v>73</v>
      </c>
      <c r="B11" s="320" t="s">
        <v>74</v>
      </c>
      <c r="C11" s="465">
        <v>45895.0</v>
      </c>
      <c r="D11" s="320" t="s">
        <v>2735</v>
      </c>
      <c r="E11" s="320" t="s">
        <v>492</v>
      </c>
      <c r="F11" s="320">
        <v>3.668600941E9</v>
      </c>
      <c r="G11" s="320" t="s">
        <v>2736</v>
      </c>
      <c r="H11" s="320" t="s">
        <v>2737</v>
      </c>
      <c r="I11" s="439">
        <v>45895.0</v>
      </c>
      <c r="J11" s="365">
        <v>32.0</v>
      </c>
      <c r="K11" s="431"/>
      <c r="L11" s="317"/>
      <c r="M11" s="320" t="s">
        <v>80</v>
      </c>
      <c r="N11" s="118" t="b">
        <v>1</v>
      </c>
      <c r="O11" s="119"/>
      <c r="Q11" s="284" t="s">
        <v>81</v>
      </c>
      <c r="R11" s="285" t="b">
        <v>0</v>
      </c>
      <c r="S11" s="285" t="b">
        <v>1</v>
      </c>
      <c r="T11" s="286" t="b">
        <v>1</v>
      </c>
    </row>
    <row r="12" outlineLevel="1">
      <c r="A12" s="320" t="s">
        <v>73</v>
      </c>
      <c r="B12" s="320" t="s">
        <v>74</v>
      </c>
      <c r="C12" s="465">
        <v>45896.0</v>
      </c>
      <c r="D12" s="320" t="s">
        <v>2738</v>
      </c>
      <c r="E12" s="320" t="s">
        <v>2739</v>
      </c>
      <c r="F12" s="320">
        <v>3.276955788E9</v>
      </c>
      <c r="G12" s="320" t="s">
        <v>2740</v>
      </c>
      <c r="H12" s="320" t="s">
        <v>2741</v>
      </c>
      <c r="I12" s="439">
        <v>45896.0</v>
      </c>
      <c r="J12" s="365">
        <v>32.0</v>
      </c>
      <c r="K12" s="431"/>
      <c r="L12" s="317"/>
      <c r="M12" s="320" t="s">
        <v>80</v>
      </c>
      <c r="N12" s="118" t="b">
        <v>1</v>
      </c>
      <c r="O12" s="119"/>
      <c r="Q12" s="284" t="s">
        <v>81</v>
      </c>
      <c r="R12" s="285" t="b">
        <v>0</v>
      </c>
      <c r="S12" s="285" t="b">
        <v>1</v>
      </c>
      <c r="T12" s="286" t="b">
        <v>1</v>
      </c>
    </row>
    <row r="13" outlineLevel="1">
      <c r="A13" s="320" t="s">
        <v>73</v>
      </c>
      <c r="B13" s="320" t="s">
        <v>74</v>
      </c>
      <c r="C13" s="465">
        <v>45898.0</v>
      </c>
      <c r="D13" s="320" t="s">
        <v>241</v>
      </c>
      <c r="E13" s="320" t="s">
        <v>2742</v>
      </c>
      <c r="F13" s="445">
        <v>3.347484064E9</v>
      </c>
      <c r="G13" s="320" t="s">
        <v>2743</v>
      </c>
      <c r="H13" s="320" t="s">
        <v>2744</v>
      </c>
      <c r="I13" s="439">
        <v>45898.0</v>
      </c>
      <c r="J13" s="365"/>
      <c r="K13" s="431">
        <v>30.0</v>
      </c>
      <c r="L13" s="317" t="s">
        <v>106</v>
      </c>
      <c r="M13" s="320" t="s">
        <v>80</v>
      </c>
      <c r="N13" s="118" t="b">
        <v>1</v>
      </c>
      <c r="O13" s="119"/>
      <c r="Q13" s="284" t="s">
        <v>81</v>
      </c>
      <c r="R13" s="285" t="b">
        <v>0</v>
      </c>
      <c r="S13" s="285" t="b">
        <v>1</v>
      </c>
      <c r="T13" s="286" t="b">
        <v>1</v>
      </c>
    </row>
    <row r="14" outlineLevel="1">
      <c r="A14" s="317" t="s">
        <v>73</v>
      </c>
      <c r="B14" s="317" t="s">
        <v>74</v>
      </c>
      <c r="C14" s="316">
        <v>45900.0</v>
      </c>
      <c r="D14" s="116" t="s">
        <v>2745</v>
      </c>
      <c r="E14" s="116" t="s">
        <v>2746</v>
      </c>
      <c r="F14" s="317">
        <v>3.938982397E9</v>
      </c>
      <c r="G14" s="317" t="s">
        <v>2747</v>
      </c>
      <c r="H14" s="317" t="s">
        <v>2748</v>
      </c>
      <c r="I14" s="135">
        <v>45899.0</v>
      </c>
      <c r="J14" s="365">
        <v>32.0</v>
      </c>
      <c r="K14" s="431"/>
      <c r="L14" s="317"/>
      <c r="M14" s="320" t="s">
        <v>100</v>
      </c>
      <c r="N14" s="118" t="b">
        <v>1</v>
      </c>
      <c r="O14" s="119"/>
      <c r="Q14" s="284" t="s">
        <v>81</v>
      </c>
      <c r="R14" s="285" t="b">
        <v>1</v>
      </c>
      <c r="S14" s="285" t="b">
        <v>0</v>
      </c>
      <c r="T14" s="286" t="b">
        <v>1</v>
      </c>
    </row>
    <row r="15" outlineLevel="1">
      <c r="A15" s="317" t="s">
        <v>73</v>
      </c>
      <c r="B15" s="317" t="s">
        <v>74</v>
      </c>
      <c r="C15" s="316">
        <v>45901.0</v>
      </c>
      <c r="D15" s="317" t="s">
        <v>2749</v>
      </c>
      <c r="E15" s="317" t="s">
        <v>2750</v>
      </c>
      <c r="F15" s="317">
        <v>3.31327415E8</v>
      </c>
      <c r="G15" s="317" t="s">
        <v>2751</v>
      </c>
      <c r="H15" s="317" t="s">
        <v>2752</v>
      </c>
      <c r="I15" s="443">
        <v>45901.0</v>
      </c>
      <c r="J15" s="365"/>
      <c r="K15" s="431">
        <v>30.0</v>
      </c>
      <c r="L15" s="317" t="s">
        <v>106</v>
      </c>
      <c r="M15" s="320" t="s">
        <v>80</v>
      </c>
      <c r="N15" s="118" t="b">
        <v>1</v>
      </c>
      <c r="O15" s="119"/>
      <c r="Q15" s="284" t="s">
        <v>81</v>
      </c>
      <c r="R15" s="285" t="b">
        <v>0</v>
      </c>
      <c r="S15" s="285" t="b">
        <v>1</v>
      </c>
      <c r="T15" s="286" t="b">
        <v>1</v>
      </c>
    </row>
    <row r="16" outlineLevel="1">
      <c r="A16" s="320" t="s">
        <v>73</v>
      </c>
      <c r="B16" s="320" t="s">
        <v>74</v>
      </c>
      <c r="C16" s="316">
        <v>45902.0</v>
      </c>
      <c r="D16" s="320" t="s">
        <v>2363</v>
      </c>
      <c r="E16" s="320" t="s">
        <v>2364</v>
      </c>
      <c r="F16" s="320">
        <v>3.420039409E9</v>
      </c>
      <c r="G16" s="320" t="s">
        <v>2365</v>
      </c>
      <c r="H16" s="320" t="s">
        <v>2366</v>
      </c>
      <c r="I16" s="443">
        <v>45902.0</v>
      </c>
      <c r="J16" s="365">
        <v>32.0</v>
      </c>
      <c r="K16" s="431"/>
      <c r="L16" s="317"/>
      <c r="M16" s="320" t="s">
        <v>80</v>
      </c>
      <c r="N16" s="118" t="b">
        <v>1</v>
      </c>
      <c r="O16" s="119"/>
      <c r="Q16" s="284" t="s">
        <v>81</v>
      </c>
      <c r="R16" s="285" t="b">
        <v>0</v>
      </c>
      <c r="S16" s="285" t="b">
        <v>1</v>
      </c>
      <c r="T16" s="286" t="b">
        <v>1</v>
      </c>
    </row>
    <row r="17" outlineLevel="1">
      <c r="A17" s="320" t="s">
        <v>73</v>
      </c>
      <c r="B17" s="320" t="s">
        <v>74</v>
      </c>
      <c r="C17" s="316">
        <v>45911.0</v>
      </c>
      <c r="D17" s="320" t="s">
        <v>2753</v>
      </c>
      <c r="E17" s="320" t="s">
        <v>185</v>
      </c>
      <c r="F17" s="320">
        <v>3.285361665E9</v>
      </c>
      <c r="G17" s="320" t="s">
        <v>2754</v>
      </c>
      <c r="H17" s="320" t="s">
        <v>2755</v>
      </c>
      <c r="I17" s="443">
        <v>45911.0</v>
      </c>
      <c r="J17" s="365">
        <v>32.0</v>
      </c>
      <c r="K17" s="431"/>
      <c r="L17" s="317"/>
      <c r="M17" s="320" t="s">
        <v>80</v>
      </c>
      <c r="N17" s="118" t="b">
        <v>0</v>
      </c>
      <c r="O17" s="119"/>
      <c r="Q17" s="284" t="s">
        <v>81</v>
      </c>
      <c r="R17" s="285" t="b">
        <v>0</v>
      </c>
      <c r="S17" s="285" t="b">
        <v>1</v>
      </c>
      <c r="T17" s="286" t="b">
        <v>1</v>
      </c>
    </row>
    <row r="18" outlineLevel="1">
      <c r="A18" s="317" t="s">
        <v>73</v>
      </c>
      <c r="B18" s="317" t="s">
        <v>94</v>
      </c>
      <c r="C18" s="316">
        <v>45915.0</v>
      </c>
      <c r="D18" s="317" t="s">
        <v>2756</v>
      </c>
      <c r="E18" s="317" t="s">
        <v>2757</v>
      </c>
      <c r="F18" s="317">
        <v>3.881016182E9</v>
      </c>
      <c r="G18" s="317" t="s">
        <v>2758</v>
      </c>
      <c r="H18" s="317" t="s">
        <v>2759</v>
      </c>
      <c r="I18" s="135">
        <v>45915.0</v>
      </c>
      <c r="J18" s="365"/>
      <c r="K18" s="431">
        <v>30.0</v>
      </c>
      <c r="L18" s="317" t="s">
        <v>99</v>
      </c>
      <c r="M18" s="320" t="s">
        <v>162</v>
      </c>
      <c r="N18" s="118" t="b">
        <v>1</v>
      </c>
      <c r="O18" s="119"/>
      <c r="Q18" s="284" t="s">
        <v>81</v>
      </c>
      <c r="R18" s="285" t="b">
        <v>1</v>
      </c>
      <c r="S18" s="285" t="b">
        <v>0</v>
      </c>
      <c r="T18" s="286" t="b">
        <v>1</v>
      </c>
    </row>
    <row r="19" outlineLevel="1">
      <c r="A19" s="317" t="s">
        <v>101</v>
      </c>
      <c r="B19" s="317" t="s">
        <v>102</v>
      </c>
      <c r="C19" s="316">
        <v>45915.0</v>
      </c>
      <c r="D19" s="317" t="s">
        <v>2760</v>
      </c>
      <c r="E19" s="317" t="s">
        <v>251</v>
      </c>
      <c r="F19" s="317">
        <v>3.290417445E9</v>
      </c>
      <c r="G19" s="317" t="s">
        <v>2761</v>
      </c>
      <c r="H19" s="317" t="s">
        <v>2762</v>
      </c>
      <c r="I19" s="443">
        <v>45915.0</v>
      </c>
      <c r="J19" s="365">
        <v>32.0</v>
      </c>
      <c r="K19" s="431"/>
      <c r="L19" s="317"/>
      <c r="M19" s="320" t="s">
        <v>100</v>
      </c>
      <c r="N19" s="118" t="b">
        <v>0</v>
      </c>
      <c r="O19" s="119"/>
      <c r="Q19" s="284" t="s">
        <v>81</v>
      </c>
      <c r="R19" s="285" t="b">
        <v>0</v>
      </c>
      <c r="S19" s="285" t="b">
        <v>0</v>
      </c>
      <c r="T19" s="286" t="b">
        <v>1</v>
      </c>
    </row>
    <row r="20" outlineLevel="1">
      <c r="A20" s="317" t="s">
        <v>73</v>
      </c>
      <c r="B20" s="317" t="s">
        <v>94</v>
      </c>
      <c r="C20" s="316">
        <v>45916.0</v>
      </c>
      <c r="D20" s="317" t="s">
        <v>2763</v>
      </c>
      <c r="E20" s="317" t="s">
        <v>2764</v>
      </c>
      <c r="F20" s="317">
        <v>3.887207103E9</v>
      </c>
      <c r="G20" s="317" t="s">
        <v>586</v>
      </c>
      <c r="H20" s="317" t="s">
        <v>587</v>
      </c>
      <c r="I20" s="443">
        <v>45916.0</v>
      </c>
      <c r="J20" s="365"/>
      <c r="K20" s="431">
        <v>30.0</v>
      </c>
      <c r="L20" s="317" t="s">
        <v>99</v>
      </c>
      <c r="M20" s="317" t="s">
        <v>162</v>
      </c>
      <c r="N20" s="118" t="b">
        <v>1</v>
      </c>
      <c r="O20" s="119"/>
      <c r="Q20" s="284" t="s">
        <v>81</v>
      </c>
      <c r="R20" s="285" t="b">
        <v>1</v>
      </c>
      <c r="S20" s="285" t="b">
        <v>0</v>
      </c>
      <c r="T20" s="286" t="b">
        <v>1</v>
      </c>
    </row>
    <row r="21" outlineLevel="1">
      <c r="A21" s="317" t="s">
        <v>73</v>
      </c>
      <c r="B21" s="317" t="s">
        <v>74</v>
      </c>
      <c r="C21" s="316">
        <v>45913.0</v>
      </c>
      <c r="D21" s="317" t="s">
        <v>145</v>
      </c>
      <c r="E21" s="317" t="s">
        <v>146</v>
      </c>
      <c r="F21" s="317">
        <v>3.313419879E9</v>
      </c>
      <c r="G21" s="317" t="s">
        <v>147</v>
      </c>
      <c r="H21" s="317" t="s">
        <v>148</v>
      </c>
      <c r="I21" s="135">
        <v>45913.0</v>
      </c>
      <c r="J21" s="365"/>
      <c r="K21" s="431">
        <v>30.0</v>
      </c>
      <c r="L21" s="317" t="s">
        <v>99</v>
      </c>
      <c r="M21" s="320" t="s">
        <v>100</v>
      </c>
      <c r="N21" s="118" t="b">
        <v>1</v>
      </c>
      <c r="O21" s="119"/>
      <c r="Q21" s="284" t="s">
        <v>81</v>
      </c>
      <c r="R21" s="285" t="b">
        <v>1</v>
      </c>
      <c r="S21" s="285" t="b">
        <v>0</v>
      </c>
      <c r="T21" s="286" t="b">
        <v>1</v>
      </c>
    </row>
    <row r="22" outlineLevel="1">
      <c r="A22" s="320" t="s">
        <v>73</v>
      </c>
      <c r="B22" s="320" t="s">
        <v>74</v>
      </c>
      <c r="C22" s="316">
        <v>45915.0</v>
      </c>
      <c r="D22" s="320" t="s">
        <v>2765</v>
      </c>
      <c r="E22" s="320" t="s">
        <v>619</v>
      </c>
      <c r="F22" s="320">
        <v>3.898724423E9</v>
      </c>
      <c r="G22" s="416" t="s">
        <v>2766</v>
      </c>
      <c r="H22" s="416" t="s">
        <v>2767</v>
      </c>
      <c r="I22" s="439">
        <v>45915.0</v>
      </c>
      <c r="J22" s="365"/>
      <c r="K22" s="431">
        <v>30.0</v>
      </c>
      <c r="L22" s="317" t="s">
        <v>79</v>
      </c>
      <c r="M22" s="320" t="s">
        <v>100</v>
      </c>
      <c r="N22" s="118" t="b">
        <v>1</v>
      </c>
      <c r="O22" s="119"/>
      <c r="Q22" s="284" t="s">
        <v>81</v>
      </c>
      <c r="R22" s="285" t="b">
        <v>1</v>
      </c>
      <c r="S22" s="285" t="b">
        <v>0</v>
      </c>
      <c r="T22" s="286" t="b">
        <v>1</v>
      </c>
    </row>
    <row r="23" outlineLevel="1">
      <c r="A23" s="317" t="s">
        <v>73</v>
      </c>
      <c r="B23" s="317" t="s">
        <v>74</v>
      </c>
      <c r="C23" s="316">
        <v>45916.0</v>
      </c>
      <c r="D23" s="317" t="s">
        <v>2768</v>
      </c>
      <c r="E23" s="317" t="s">
        <v>492</v>
      </c>
      <c r="F23" s="317">
        <v>3.516068264E9</v>
      </c>
      <c r="G23" s="317" t="s">
        <v>2769</v>
      </c>
      <c r="H23" s="317" t="s">
        <v>2770</v>
      </c>
      <c r="I23" s="443">
        <v>45916.0</v>
      </c>
      <c r="J23" s="365">
        <v>32.0</v>
      </c>
      <c r="K23" s="431"/>
      <c r="L23" s="317"/>
      <c r="M23" s="320" t="s">
        <v>80</v>
      </c>
      <c r="N23" s="118" t="b">
        <v>1</v>
      </c>
      <c r="O23" s="119"/>
      <c r="Q23" s="284" t="s">
        <v>81</v>
      </c>
      <c r="R23" s="285" t="b">
        <v>0</v>
      </c>
      <c r="S23" s="285" t="b">
        <v>1</v>
      </c>
      <c r="T23" s="286" t="b">
        <v>1</v>
      </c>
    </row>
    <row r="24" outlineLevel="1">
      <c r="A24" s="317" t="s">
        <v>73</v>
      </c>
      <c r="B24" s="317" t="s">
        <v>74</v>
      </c>
      <c r="C24" s="316">
        <v>45916.0</v>
      </c>
      <c r="D24" s="317" t="s">
        <v>2771</v>
      </c>
      <c r="E24" s="317" t="s">
        <v>294</v>
      </c>
      <c r="F24" s="317">
        <v>3.755282204E9</v>
      </c>
      <c r="G24" s="317" t="s">
        <v>2772</v>
      </c>
      <c r="H24" s="317" t="s">
        <v>2773</v>
      </c>
      <c r="I24" s="318">
        <v>45916.0</v>
      </c>
      <c r="J24" s="365">
        <v>32.0</v>
      </c>
      <c r="K24" s="431"/>
      <c r="L24" s="317"/>
      <c r="M24" s="320" t="s">
        <v>100</v>
      </c>
      <c r="N24" s="118" t="b">
        <v>1</v>
      </c>
      <c r="O24" s="119"/>
      <c r="Q24" s="284" t="s">
        <v>81</v>
      </c>
      <c r="R24" s="285" t="b">
        <v>1</v>
      </c>
      <c r="S24" s="285" t="b">
        <v>0</v>
      </c>
      <c r="T24" s="286" t="b">
        <v>1</v>
      </c>
    </row>
    <row r="25" outlineLevel="1">
      <c r="A25" s="317" t="s">
        <v>73</v>
      </c>
      <c r="B25" s="317" t="s">
        <v>74</v>
      </c>
      <c r="C25" s="316">
        <v>45918.0</v>
      </c>
      <c r="D25" s="317" t="s">
        <v>2774</v>
      </c>
      <c r="E25" s="317" t="s">
        <v>1236</v>
      </c>
      <c r="F25" s="317">
        <v>3.39499222E9</v>
      </c>
      <c r="G25" s="317" t="s">
        <v>2775</v>
      </c>
      <c r="H25" s="317" t="s">
        <v>2776</v>
      </c>
      <c r="I25" s="318">
        <v>45918.0</v>
      </c>
      <c r="J25" s="365"/>
      <c r="K25" s="431">
        <v>30.0</v>
      </c>
      <c r="L25" s="317" t="s">
        <v>106</v>
      </c>
      <c r="M25" s="320" t="s">
        <v>80</v>
      </c>
      <c r="N25" s="118" t="b">
        <v>0</v>
      </c>
      <c r="O25" s="119"/>
      <c r="Q25" s="284" t="s">
        <v>81</v>
      </c>
      <c r="R25" s="285" t="b">
        <v>0</v>
      </c>
      <c r="S25" s="285" t="b">
        <v>1</v>
      </c>
      <c r="T25" s="286" t="b">
        <v>1</v>
      </c>
    </row>
    <row r="26" outlineLevel="1">
      <c r="A26" s="317" t="s">
        <v>73</v>
      </c>
      <c r="B26" s="317" t="s">
        <v>74</v>
      </c>
      <c r="C26" s="316">
        <v>45918.0</v>
      </c>
      <c r="D26" s="317" t="s">
        <v>2777</v>
      </c>
      <c r="E26" s="317" t="s">
        <v>312</v>
      </c>
      <c r="F26" s="317">
        <v>3.487090603E9</v>
      </c>
      <c r="G26" s="317" t="s">
        <v>2778</v>
      </c>
      <c r="H26" s="317" t="s">
        <v>2779</v>
      </c>
      <c r="I26" s="318">
        <v>45918.0</v>
      </c>
      <c r="J26" s="365">
        <v>32.0</v>
      </c>
      <c r="K26" s="431"/>
      <c r="L26" s="317"/>
      <c r="M26" s="320" t="s">
        <v>80</v>
      </c>
      <c r="N26" s="118" t="b">
        <v>1</v>
      </c>
      <c r="O26" s="119"/>
      <c r="Q26" s="284" t="s">
        <v>81</v>
      </c>
      <c r="R26" s="285" t="b">
        <v>0</v>
      </c>
      <c r="S26" s="285" t="b">
        <v>1</v>
      </c>
      <c r="T26" s="286" t="b">
        <v>1</v>
      </c>
    </row>
    <row r="27" outlineLevel="1">
      <c r="A27" s="317" t="s">
        <v>73</v>
      </c>
      <c r="B27" s="317" t="s">
        <v>74</v>
      </c>
      <c r="C27" s="316">
        <v>45918.0</v>
      </c>
      <c r="D27" s="317" t="s">
        <v>2780</v>
      </c>
      <c r="E27" s="317" t="s">
        <v>2781</v>
      </c>
      <c r="F27" s="317">
        <v>3.487001835E9</v>
      </c>
      <c r="G27" s="317" t="s">
        <v>2782</v>
      </c>
      <c r="H27" s="317" t="s">
        <v>2783</v>
      </c>
      <c r="I27" s="318">
        <v>45918.0</v>
      </c>
      <c r="J27" s="365">
        <v>32.0</v>
      </c>
      <c r="K27" s="436"/>
      <c r="L27" s="317"/>
      <c r="M27" s="320" t="s">
        <v>80</v>
      </c>
      <c r="N27" s="118" t="b">
        <v>1</v>
      </c>
      <c r="O27" s="119"/>
      <c r="Q27" s="284" t="s">
        <v>81</v>
      </c>
      <c r="R27" s="285" t="b">
        <v>0</v>
      </c>
      <c r="S27" s="285" t="b">
        <v>1</v>
      </c>
      <c r="T27" s="286" t="b">
        <v>1</v>
      </c>
    </row>
    <row r="28" outlineLevel="1">
      <c r="A28" s="317" t="s">
        <v>73</v>
      </c>
      <c r="B28" s="317" t="s">
        <v>74</v>
      </c>
      <c r="C28" s="316">
        <v>45918.0</v>
      </c>
      <c r="D28" s="317" t="s">
        <v>2220</v>
      </c>
      <c r="E28" s="317" t="s">
        <v>7</v>
      </c>
      <c r="F28" s="317">
        <v>3.338296855E9</v>
      </c>
      <c r="G28" s="469" t="s">
        <v>2221</v>
      </c>
      <c r="H28" s="469" t="s">
        <v>2784</v>
      </c>
      <c r="I28" s="318">
        <v>45918.0</v>
      </c>
      <c r="J28" s="365">
        <v>32.0</v>
      </c>
      <c r="K28" s="436"/>
      <c r="L28" s="432"/>
      <c r="M28" s="320" t="s">
        <v>80</v>
      </c>
      <c r="N28" s="118" t="b">
        <v>1</v>
      </c>
      <c r="O28" s="119"/>
      <c r="Q28" s="284" t="s">
        <v>81</v>
      </c>
      <c r="R28" s="285" t="b">
        <v>0</v>
      </c>
      <c r="S28" s="285" t="b">
        <v>1</v>
      </c>
      <c r="T28" s="286" t="b">
        <v>1</v>
      </c>
    </row>
    <row r="29" outlineLevel="1">
      <c r="A29" s="432" t="s">
        <v>611</v>
      </c>
      <c r="B29" s="432" t="s">
        <v>74</v>
      </c>
      <c r="C29" s="440">
        <v>45944.0</v>
      </c>
      <c r="D29" s="432" t="s">
        <v>2785</v>
      </c>
      <c r="E29" s="432" t="s">
        <v>2786</v>
      </c>
      <c r="F29" s="432">
        <v>3.470122644E9</v>
      </c>
      <c r="G29" s="317"/>
      <c r="H29" s="432" t="s">
        <v>2787</v>
      </c>
      <c r="I29" s="441">
        <v>45944.0</v>
      </c>
      <c r="J29" s="368">
        <v>37.0</v>
      </c>
      <c r="K29" s="431"/>
      <c r="L29" s="317"/>
      <c r="M29" s="320" t="s">
        <v>80</v>
      </c>
      <c r="N29" s="118" t="b">
        <v>1</v>
      </c>
      <c r="O29" s="119"/>
      <c r="Q29" s="284" t="s">
        <v>81</v>
      </c>
      <c r="R29" s="285" t="b">
        <v>0</v>
      </c>
      <c r="S29" s="285" t="b">
        <v>1</v>
      </c>
      <c r="T29" s="286" t="b">
        <v>1</v>
      </c>
    </row>
    <row r="30" outlineLevel="1">
      <c r="A30" s="317" t="s">
        <v>73</v>
      </c>
      <c r="B30" s="317" t="s">
        <v>74</v>
      </c>
      <c r="C30" s="316">
        <v>45918.0</v>
      </c>
      <c r="D30" s="317" t="s">
        <v>2788</v>
      </c>
      <c r="E30" s="317" t="s">
        <v>2038</v>
      </c>
      <c r="F30" s="317">
        <v>3.51953106E9</v>
      </c>
      <c r="G30" s="317" t="s">
        <v>2789</v>
      </c>
      <c r="H30" s="317" t="s">
        <v>2790</v>
      </c>
      <c r="I30" s="318">
        <v>45918.0</v>
      </c>
      <c r="J30" s="365">
        <v>32.0</v>
      </c>
      <c r="K30" s="431"/>
      <c r="L30" s="317"/>
      <c r="M30" s="320" t="s">
        <v>80</v>
      </c>
      <c r="N30" s="118" t="b">
        <v>1</v>
      </c>
      <c r="O30" s="119"/>
      <c r="Q30" s="284" t="s">
        <v>81</v>
      </c>
      <c r="R30" s="285" t="b">
        <v>0</v>
      </c>
      <c r="S30" s="285" t="b">
        <v>1</v>
      </c>
      <c r="T30" s="286" t="b">
        <v>1</v>
      </c>
    </row>
    <row r="31" outlineLevel="1">
      <c r="A31" s="320" t="s">
        <v>73</v>
      </c>
      <c r="B31" s="320" t="s">
        <v>74</v>
      </c>
      <c r="C31" s="465">
        <v>45921.0</v>
      </c>
      <c r="D31" s="320" t="s">
        <v>2449</v>
      </c>
      <c r="E31" s="320" t="s">
        <v>496</v>
      </c>
      <c r="F31" s="320">
        <v>3.359981386E9</v>
      </c>
      <c r="G31" s="111" t="s">
        <v>2450</v>
      </c>
      <c r="H31" s="320" t="s">
        <v>2451</v>
      </c>
      <c r="I31" s="439">
        <v>45921.0</v>
      </c>
      <c r="J31" s="365">
        <v>32.0</v>
      </c>
      <c r="K31" s="431"/>
      <c r="L31" s="317"/>
      <c r="M31" s="320" t="s">
        <v>80</v>
      </c>
      <c r="N31" s="118" t="b">
        <v>1</v>
      </c>
      <c r="O31" s="119" t="s">
        <v>2791</v>
      </c>
      <c r="Q31" s="284" t="s">
        <v>81</v>
      </c>
      <c r="R31" s="285" t="b">
        <v>0</v>
      </c>
      <c r="S31" s="285" t="b">
        <v>1</v>
      </c>
      <c r="T31" s="286" t="b">
        <v>1</v>
      </c>
    </row>
    <row r="32" outlineLevel="1">
      <c r="A32" s="317" t="s">
        <v>73</v>
      </c>
      <c r="B32" s="317" t="s">
        <v>74</v>
      </c>
      <c r="C32" s="316">
        <v>45921.0</v>
      </c>
      <c r="D32" s="317" t="s">
        <v>2792</v>
      </c>
      <c r="E32" s="317" t="s">
        <v>2793</v>
      </c>
      <c r="F32" s="317">
        <v>4.21911204453E11</v>
      </c>
      <c r="G32" s="317"/>
      <c r="H32" s="317" t="s">
        <v>2794</v>
      </c>
      <c r="I32" s="318">
        <v>45921.0</v>
      </c>
      <c r="J32" s="365">
        <v>32.0</v>
      </c>
      <c r="K32" s="431"/>
      <c r="L32" s="317"/>
      <c r="M32" s="320" t="s">
        <v>80</v>
      </c>
      <c r="N32" s="118" t="b">
        <v>1</v>
      </c>
      <c r="O32" s="119"/>
      <c r="Q32" s="284" t="s">
        <v>81</v>
      </c>
      <c r="R32" s="285" t="b">
        <v>0</v>
      </c>
      <c r="S32" s="285" t="b">
        <v>1</v>
      </c>
      <c r="T32" s="286" t="b">
        <v>1</v>
      </c>
    </row>
    <row r="33" outlineLevel="1">
      <c r="A33" s="317" t="s">
        <v>368</v>
      </c>
      <c r="B33" s="317" t="s">
        <v>74</v>
      </c>
      <c r="C33" s="316">
        <v>45923.0</v>
      </c>
      <c r="D33" s="317" t="s">
        <v>2795</v>
      </c>
      <c r="E33" s="317" t="s">
        <v>2796</v>
      </c>
      <c r="F33" s="317">
        <v>3.792033045E9</v>
      </c>
      <c r="G33" s="317" t="s">
        <v>2797</v>
      </c>
      <c r="H33" s="317" t="s">
        <v>2798</v>
      </c>
      <c r="I33" s="318">
        <v>45923.0</v>
      </c>
      <c r="J33" s="365">
        <v>32.0</v>
      </c>
      <c r="K33" s="431"/>
      <c r="L33" s="317"/>
      <c r="M33" s="320" t="s">
        <v>80</v>
      </c>
      <c r="N33" s="118" t="b">
        <v>1</v>
      </c>
      <c r="O33" s="119"/>
      <c r="Q33" s="284" t="s">
        <v>81</v>
      </c>
      <c r="R33" s="285" t="b">
        <v>0</v>
      </c>
      <c r="S33" s="285" t="b">
        <v>1</v>
      </c>
      <c r="T33" s="286" t="b">
        <v>1</v>
      </c>
    </row>
    <row r="34" outlineLevel="1">
      <c r="A34" s="317" t="s">
        <v>73</v>
      </c>
      <c r="B34" s="317" t="s">
        <v>74</v>
      </c>
      <c r="C34" s="316">
        <v>45923.0</v>
      </c>
      <c r="D34" s="317" t="s">
        <v>2799</v>
      </c>
      <c r="E34" s="317" t="s">
        <v>180</v>
      </c>
      <c r="F34" s="317">
        <v>3.487641018E9</v>
      </c>
      <c r="G34" s="317" t="s">
        <v>2800</v>
      </c>
      <c r="H34" s="317" t="s">
        <v>2801</v>
      </c>
      <c r="I34" s="443">
        <v>45923.0</v>
      </c>
      <c r="J34" s="365">
        <v>32.0</v>
      </c>
      <c r="K34" s="431"/>
      <c r="L34" s="317"/>
      <c r="M34" s="320" t="s">
        <v>80</v>
      </c>
      <c r="N34" s="118" t="b">
        <v>1</v>
      </c>
      <c r="O34" s="119" t="s">
        <v>2802</v>
      </c>
      <c r="Q34" s="284" t="s">
        <v>81</v>
      </c>
      <c r="R34" s="285" t="b">
        <v>0</v>
      </c>
      <c r="S34" s="285" t="b">
        <v>1</v>
      </c>
      <c r="T34" s="286" t="b">
        <v>1</v>
      </c>
    </row>
    <row r="35" outlineLevel="1">
      <c r="A35" s="317" t="s">
        <v>73</v>
      </c>
      <c r="B35" s="317" t="s">
        <v>74</v>
      </c>
      <c r="C35" s="316">
        <v>45923.0</v>
      </c>
      <c r="D35" s="532" t="s">
        <v>2799</v>
      </c>
      <c r="E35" s="532" t="s">
        <v>180</v>
      </c>
      <c r="F35" s="317">
        <v>3.487641018E9</v>
      </c>
      <c r="G35" s="317" t="s">
        <v>2800</v>
      </c>
      <c r="H35" s="317" t="s">
        <v>2801</v>
      </c>
      <c r="I35" s="443">
        <v>45923.0</v>
      </c>
      <c r="J35" s="365">
        <v>32.0</v>
      </c>
      <c r="K35" s="431"/>
      <c r="L35" s="317"/>
      <c r="M35" s="320" t="s">
        <v>80</v>
      </c>
      <c r="N35" s="118" t="b">
        <v>1</v>
      </c>
      <c r="O35" s="119" t="s">
        <v>2802</v>
      </c>
      <c r="Q35" s="284" t="s">
        <v>81</v>
      </c>
      <c r="R35" s="285" t="b">
        <v>0</v>
      </c>
      <c r="S35" s="285" t="b">
        <v>1</v>
      </c>
      <c r="T35" s="286" t="b">
        <v>1</v>
      </c>
    </row>
    <row r="36" outlineLevel="1">
      <c r="A36" s="317" t="s">
        <v>73</v>
      </c>
      <c r="B36" s="317" t="s">
        <v>74</v>
      </c>
      <c r="C36" s="316">
        <v>45923.0</v>
      </c>
      <c r="D36" s="532" t="s">
        <v>2799</v>
      </c>
      <c r="E36" s="532" t="s">
        <v>180</v>
      </c>
      <c r="F36" s="317">
        <v>3.487641018E9</v>
      </c>
      <c r="G36" s="317" t="s">
        <v>2800</v>
      </c>
      <c r="H36" s="317" t="s">
        <v>2801</v>
      </c>
      <c r="I36" s="443">
        <v>45923.0</v>
      </c>
      <c r="J36" s="365">
        <v>32.0</v>
      </c>
      <c r="K36" s="431"/>
      <c r="L36" s="317"/>
      <c r="M36" s="320" t="s">
        <v>80</v>
      </c>
      <c r="N36" s="118" t="b">
        <v>1</v>
      </c>
      <c r="O36" s="119" t="s">
        <v>2802</v>
      </c>
      <c r="Q36" s="284" t="s">
        <v>81</v>
      </c>
      <c r="R36" s="285" t="b">
        <v>0</v>
      </c>
      <c r="S36" s="285" t="b">
        <v>1</v>
      </c>
      <c r="T36" s="286" t="b">
        <v>1</v>
      </c>
    </row>
    <row r="37" outlineLevel="1">
      <c r="A37" s="317" t="s">
        <v>368</v>
      </c>
      <c r="B37" s="317" t="s">
        <v>369</v>
      </c>
      <c r="C37" s="316">
        <v>45944.0</v>
      </c>
      <c r="D37" s="317" t="s">
        <v>2037</v>
      </c>
      <c r="E37" s="317" t="s">
        <v>2803</v>
      </c>
      <c r="F37" s="317">
        <v>3.921397327E9</v>
      </c>
      <c r="G37" s="317" t="s">
        <v>2039</v>
      </c>
      <c r="H37" s="317" t="s">
        <v>2040</v>
      </c>
      <c r="I37" s="318">
        <v>45949.0</v>
      </c>
      <c r="J37" s="365"/>
      <c r="K37" s="431">
        <v>35.0</v>
      </c>
      <c r="L37" s="317" t="s">
        <v>99</v>
      </c>
      <c r="M37" s="320" t="s">
        <v>449</v>
      </c>
      <c r="N37" s="118" t="b">
        <v>1</v>
      </c>
      <c r="O37" s="119"/>
      <c r="Q37" s="284" t="s">
        <v>81</v>
      </c>
      <c r="R37" s="285" t="b">
        <v>1</v>
      </c>
      <c r="S37" s="285" t="b">
        <v>0</v>
      </c>
      <c r="T37" s="286" t="b">
        <v>1</v>
      </c>
    </row>
    <row r="38" outlineLevel="1">
      <c r="A38" s="317" t="s">
        <v>73</v>
      </c>
      <c r="B38" s="317" t="s">
        <v>74</v>
      </c>
      <c r="C38" s="316">
        <v>45924.0</v>
      </c>
      <c r="D38" s="317" t="s">
        <v>2804</v>
      </c>
      <c r="E38" s="317" t="s">
        <v>2805</v>
      </c>
      <c r="F38" s="317">
        <v>3.425868942E9</v>
      </c>
      <c r="G38" s="317" t="s">
        <v>2806</v>
      </c>
      <c r="H38" s="317" t="s">
        <v>2807</v>
      </c>
      <c r="I38" s="443">
        <v>45924.0</v>
      </c>
      <c r="J38" s="365">
        <v>32.0</v>
      </c>
      <c r="K38" s="431"/>
      <c r="L38" s="317"/>
      <c r="M38" s="320" t="s">
        <v>80</v>
      </c>
      <c r="N38" s="118" t="b">
        <v>1</v>
      </c>
      <c r="O38" s="119"/>
      <c r="Q38" s="284" t="s">
        <v>81</v>
      </c>
      <c r="R38" s="285" t="b">
        <v>0</v>
      </c>
      <c r="S38" s="285" t="b">
        <v>1</v>
      </c>
      <c r="T38" s="286" t="b">
        <v>1</v>
      </c>
    </row>
    <row r="39" outlineLevel="1">
      <c r="A39" s="317" t="s">
        <v>73</v>
      </c>
      <c r="B39" s="317" t="s">
        <v>74</v>
      </c>
      <c r="C39" s="316">
        <v>45924.0</v>
      </c>
      <c r="D39" s="317" t="s">
        <v>2196</v>
      </c>
      <c r="E39" s="317" t="s">
        <v>2038</v>
      </c>
      <c r="F39" s="228">
        <v>3.779649122E9</v>
      </c>
      <c r="G39" s="317" t="s">
        <v>2197</v>
      </c>
      <c r="H39" s="317" t="s">
        <v>2198</v>
      </c>
      <c r="I39" s="318">
        <v>45924.0</v>
      </c>
      <c r="J39" s="365">
        <v>32.0</v>
      </c>
      <c r="K39" s="431"/>
      <c r="L39" s="317"/>
      <c r="M39" s="320" t="s">
        <v>80</v>
      </c>
      <c r="N39" s="118" t="b">
        <v>1</v>
      </c>
      <c r="O39" s="119"/>
      <c r="Q39" s="284" t="s">
        <v>81</v>
      </c>
      <c r="R39" s="285" t="b">
        <v>0</v>
      </c>
      <c r="S39" s="285" t="b">
        <v>1</v>
      </c>
      <c r="T39" s="286" t="b">
        <v>1</v>
      </c>
    </row>
    <row r="40" outlineLevel="1">
      <c r="A40" s="317" t="s">
        <v>73</v>
      </c>
      <c r="B40" s="317" t="s">
        <v>74</v>
      </c>
      <c r="C40" s="316">
        <v>45924.0</v>
      </c>
      <c r="D40" s="317" t="s">
        <v>2516</v>
      </c>
      <c r="E40" s="317" t="s">
        <v>472</v>
      </c>
      <c r="F40" s="317">
        <v>3.381097865E9</v>
      </c>
      <c r="G40" s="317" t="s">
        <v>2517</v>
      </c>
      <c r="H40" s="317" t="s">
        <v>2808</v>
      </c>
      <c r="I40" s="318">
        <v>45924.0</v>
      </c>
      <c r="J40" s="365">
        <v>32.0</v>
      </c>
      <c r="K40" s="431"/>
      <c r="L40" s="317"/>
      <c r="M40" s="320" t="s">
        <v>100</v>
      </c>
      <c r="N40" s="118" t="b">
        <v>0</v>
      </c>
      <c r="O40" s="119"/>
      <c r="Q40" s="284" t="s">
        <v>81</v>
      </c>
      <c r="R40" s="285" t="b">
        <v>1</v>
      </c>
      <c r="S40" s="285" t="b">
        <v>0</v>
      </c>
      <c r="T40" s="286" t="b">
        <v>1</v>
      </c>
    </row>
    <row r="41" outlineLevel="1">
      <c r="A41" s="317" t="s">
        <v>611</v>
      </c>
      <c r="B41" s="317" t="s">
        <v>74</v>
      </c>
      <c r="C41" s="316">
        <v>45925.0</v>
      </c>
      <c r="D41" s="317" t="s">
        <v>2809</v>
      </c>
      <c r="E41" s="317" t="s">
        <v>547</v>
      </c>
      <c r="F41" s="317">
        <v>3.351288137E9</v>
      </c>
      <c r="G41" s="317" t="s">
        <v>2810</v>
      </c>
      <c r="H41" s="317" t="s">
        <v>2811</v>
      </c>
      <c r="I41" s="318">
        <v>45925.0</v>
      </c>
      <c r="J41" s="365">
        <v>32.0</v>
      </c>
      <c r="K41" s="431"/>
      <c r="L41" s="317"/>
      <c r="M41" s="317" t="s">
        <v>80</v>
      </c>
      <c r="N41" s="118" t="b">
        <v>1</v>
      </c>
      <c r="O41" s="119"/>
      <c r="Q41" s="284" t="s">
        <v>81</v>
      </c>
      <c r="R41" s="285" t="b">
        <v>0</v>
      </c>
      <c r="S41" s="285" t="b">
        <v>1</v>
      </c>
      <c r="T41" s="286" t="b">
        <v>1</v>
      </c>
    </row>
    <row r="42" outlineLevel="1">
      <c r="A42" s="317" t="s">
        <v>73</v>
      </c>
      <c r="B42" s="317" t="s">
        <v>74</v>
      </c>
      <c r="C42" s="316">
        <v>45926.0</v>
      </c>
      <c r="D42" s="320" t="s">
        <v>2812</v>
      </c>
      <c r="E42" s="317" t="s">
        <v>1032</v>
      </c>
      <c r="F42" s="317">
        <v>3.33722666E9</v>
      </c>
      <c r="G42" s="317" t="s">
        <v>2813</v>
      </c>
      <c r="H42" s="317" t="s">
        <v>2814</v>
      </c>
      <c r="I42" s="318">
        <v>45926.0</v>
      </c>
      <c r="J42" s="365">
        <v>32.0</v>
      </c>
      <c r="K42" s="431"/>
      <c r="L42" s="317"/>
      <c r="M42" s="317" t="s">
        <v>80</v>
      </c>
      <c r="N42" s="118" t="b">
        <v>1</v>
      </c>
      <c r="O42" s="119"/>
      <c r="Q42" s="284" t="s">
        <v>81</v>
      </c>
      <c r="R42" s="285" t="b">
        <v>0</v>
      </c>
      <c r="S42" s="285" t="b">
        <v>1</v>
      </c>
      <c r="T42" s="286" t="b">
        <v>1</v>
      </c>
    </row>
    <row r="43" outlineLevel="1">
      <c r="A43" s="317" t="s">
        <v>73</v>
      </c>
      <c r="B43" s="317" t="s">
        <v>74</v>
      </c>
      <c r="C43" s="316">
        <v>45926.0</v>
      </c>
      <c r="D43" s="320" t="s">
        <v>2815</v>
      </c>
      <c r="E43" s="317" t="s">
        <v>492</v>
      </c>
      <c r="F43" s="317">
        <v>3.270280414E9</v>
      </c>
      <c r="G43" s="317" t="s">
        <v>2816</v>
      </c>
      <c r="H43" s="317" t="s">
        <v>2817</v>
      </c>
      <c r="I43" s="318">
        <v>45926.0</v>
      </c>
      <c r="J43" s="365">
        <v>32.0</v>
      </c>
      <c r="K43" s="431"/>
      <c r="L43" s="317"/>
      <c r="M43" s="320" t="s">
        <v>100</v>
      </c>
      <c r="N43" s="118" t="b">
        <v>1</v>
      </c>
      <c r="O43" s="119"/>
      <c r="Q43" s="284" t="s">
        <v>81</v>
      </c>
      <c r="R43" s="285" t="b">
        <v>1</v>
      </c>
      <c r="S43" s="285" t="b">
        <v>0</v>
      </c>
      <c r="T43" s="286" t="b">
        <v>1</v>
      </c>
    </row>
    <row r="44" outlineLevel="1">
      <c r="A44" s="317" t="s">
        <v>611</v>
      </c>
      <c r="B44" s="317" t="s">
        <v>74</v>
      </c>
      <c r="C44" s="316">
        <v>45927.0</v>
      </c>
      <c r="D44" s="317" t="s">
        <v>2818</v>
      </c>
      <c r="E44" s="317" t="s">
        <v>2819</v>
      </c>
      <c r="F44" s="317">
        <v>3.791828311E9</v>
      </c>
      <c r="G44" s="468" t="s">
        <v>2820</v>
      </c>
      <c r="H44" s="317" t="s">
        <v>2821</v>
      </c>
      <c r="I44" s="318">
        <v>45927.0</v>
      </c>
      <c r="J44" s="365">
        <v>32.0</v>
      </c>
      <c r="K44" s="431"/>
      <c r="L44" s="432"/>
      <c r="M44" s="317" t="s">
        <v>80</v>
      </c>
      <c r="N44" s="118" t="b">
        <v>1</v>
      </c>
      <c r="O44" s="119"/>
      <c r="Q44" s="284" t="s">
        <v>81</v>
      </c>
      <c r="R44" s="285" t="b">
        <v>0</v>
      </c>
      <c r="S44" s="285" t="b">
        <v>1</v>
      </c>
      <c r="T44" s="286" t="b">
        <v>1</v>
      </c>
    </row>
    <row r="45" outlineLevel="1">
      <c r="A45" s="317" t="s">
        <v>611</v>
      </c>
      <c r="B45" s="317" t="s">
        <v>74</v>
      </c>
      <c r="C45" s="316">
        <v>45927.0</v>
      </c>
      <c r="D45" s="317" t="s">
        <v>2822</v>
      </c>
      <c r="E45" s="317" t="s">
        <v>777</v>
      </c>
      <c r="F45" s="317">
        <v>3.926586594E9</v>
      </c>
      <c r="G45" s="317" t="s">
        <v>2823</v>
      </c>
      <c r="H45" s="317" t="s">
        <v>2824</v>
      </c>
      <c r="I45" s="318">
        <v>45927.0</v>
      </c>
      <c r="J45" s="365">
        <v>32.0</v>
      </c>
      <c r="K45" s="431"/>
      <c r="L45" s="317"/>
      <c r="M45" s="320" t="s">
        <v>80</v>
      </c>
      <c r="N45" s="118" t="b">
        <v>1</v>
      </c>
      <c r="O45" s="119"/>
      <c r="Q45" s="284" t="s">
        <v>81</v>
      </c>
      <c r="R45" s="285" t="b">
        <v>0</v>
      </c>
      <c r="S45" s="285" t="b">
        <v>1</v>
      </c>
      <c r="T45" s="286" t="b">
        <v>1</v>
      </c>
    </row>
    <row r="46" outlineLevel="1">
      <c r="A46" s="317" t="s">
        <v>611</v>
      </c>
      <c r="B46" s="317" t="s">
        <v>74</v>
      </c>
      <c r="C46" s="316">
        <v>45927.0</v>
      </c>
      <c r="D46" s="317" t="s">
        <v>2825</v>
      </c>
      <c r="E46" s="317" t="s">
        <v>294</v>
      </c>
      <c r="F46" s="317">
        <v>3.495563824E9</v>
      </c>
      <c r="G46" s="471" t="s">
        <v>2826</v>
      </c>
      <c r="H46" s="317" t="s">
        <v>2827</v>
      </c>
      <c r="I46" s="443">
        <v>45927.0</v>
      </c>
      <c r="J46" s="365">
        <v>32.0</v>
      </c>
      <c r="K46" s="431"/>
      <c r="L46" s="317"/>
      <c r="M46" s="317" t="s">
        <v>80</v>
      </c>
      <c r="N46" s="118" t="b">
        <v>1</v>
      </c>
      <c r="O46" s="119"/>
      <c r="Q46" s="284" t="s">
        <v>81</v>
      </c>
      <c r="R46" s="285" t="b">
        <v>0</v>
      </c>
      <c r="S46" s="285" t="b">
        <v>1</v>
      </c>
      <c r="T46" s="286" t="b">
        <v>1</v>
      </c>
    </row>
    <row r="47" outlineLevel="1">
      <c r="A47" s="317" t="s">
        <v>611</v>
      </c>
      <c r="B47" s="317" t="s">
        <v>74</v>
      </c>
      <c r="C47" s="316">
        <v>45927.0</v>
      </c>
      <c r="D47" s="317" t="s">
        <v>2828</v>
      </c>
      <c r="E47" s="317" t="s">
        <v>2829</v>
      </c>
      <c r="F47" s="317">
        <v>3.348154969E9</v>
      </c>
      <c r="G47" s="317" t="s">
        <v>2830</v>
      </c>
      <c r="H47" s="317" t="s">
        <v>2831</v>
      </c>
      <c r="I47" s="443">
        <v>45927.0</v>
      </c>
      <c r="J47" s="365">
        <v>32.0</v>
      </c>
      <c r="K47" s="431"/>
      <c r="L47" s="317"/>
      <c r="M47" s="317" t="s">
        <v>80</v>
      </c>
      <c r="N47" s="118" t="b">
        <v>1</v>
      </c>
      <c r="O47" s="119"/>
      <c r="Q47" s="284" t="s">
        <v>81</v>
      </c>
      <c r="R47" s="285" t="b">
        <v>0</v>
      </c>
      <c r="S47" s="285" t="b">
        <v>1</v>
      </c>
      <c r="T47" s="286" t="b">
        <v>1</v>
      </c>
    </row>
    <row r="48" outlineLevel="1">
      <c r="A48" s="317" t="s">
        <v>611</v>
      </c>
      <c r="B48" s="317" t="s">
        <v>74</v>
      </c>
      <c r="C48" s="316">
        <v>45927.0</v>
      </c>
      <c r="D48" s="317" t="s">
        <v>2832</v>
      </c>
      <c r="E48" s="317" t="s">
        <v>294</v>
      </c>
      <c r="F48" s="317">
        <v>3.245853237E9</v>
      </c>
      <c r="G48" s="317" t="s">
        <v>2833</v>
      </c>
      <c r="H48" s="317" t="s">
        <v>2834</v>
      </c>
      <c r="I48" s="443">
        <v>45927.0</v>
      </c>
      <c r="J48" s="365">
        <v>32.0</v>
      </c>
      <c r="K48" s="431"/>
      <c r="L48" s="317"/>
      <c r="M48" s="317" t="s">
        <v>80</v>
      </c>
      <c r="N48" s="118" t="b">
        <v>1</v>
      </c>
      <c r="O48" s="119"/>
      <c r="Q48" s="284" t="s">
        <v>81</v>
      </c>
      <c r="R48" s="285" t="b">
        <v>0</v>
      </c>
      <c r="S48" s="285" t="b">
        <v>1</v>
      </c>
      <c r="T48" s="286" t="b">
        <v>1</v>
      </c>
    </row>
    <row r="49" outlineLevel="1">
      <c r="A49" s="317" t="s">
        <v>611</v>
      </c>
      <c r="B49" s="317" t="s">
        <v>74</v>
      </c>
      <c r="C49" s="316">
        <v>45927.0</v>
      </c>
      <c r="D49" s="317" t="s">
        <v>2835</v>
      </c>
      <c r="E49" s="317" t="s">
        <v>2836</v>
      </c>
      <c r="F49" s="317">
        <v>3.459382832E9</v>
      </c>
      <c r="G49" s="317" t="s">
        <v>2837</v>
      </c>
      <c r="H49" s="317" t="s">
        <v>2824</v>
      </c>
      <c r="I49" s="443">
        <v>45927.0</v>
      </c>
      <c r="J49" s="365">
        <v>32.0</v>
      </c>
      <c r="K49" s="431"/>
      <c r="L49" s="317"/>
      <c r="M49" s="317" t="s">
        <v>80</v>
      </c>
      <c r="N49" s="118" t="b">
        <v>1</v>
      </c>
      <c r="O49" s="119"/>
      <c r="Q49" s="284" t="s">
        <v>81</v>
      </c>
      <c r="R49" s="285" t="b">
        <v>0</v>
      </c>
      <c r="S49" s="285" t="b">
        <v>1</v>
      </c>
      <c r="T49" s="286" t="b">
        <v>1</v>
      </c>
    </row>
    <row r="50" outlineLevel="1">
      <c r="A50" s="317" t="s">
        <v>611</v>
      </c>
      <c r="B50" s="317" t="s">
        <v>74</v>
      </c>
      <c r="C50" s="473">
        <v>45931.0</v>
      </c>
      <c r="D50" s="317" t="s">
        <v>154</v>
      </c>
      <c r="E50" s="317" t="s">
        <v>155</v>
      </c>
      <c r="F50" s="317">
        <v>3.481955108E9</v>
      </c>
      <c r="G50" s="317" t="s">
        <v>156</v>
      </c>
      <c r="H50" s="317" t="s">
        <v>157</v>
      </c>
      <c r="I50" s="439">
        <v>45931.0</v>
      </c>
      <c r="J50" s="365">
        <v>32.0</v>
      </c>
      <c r="K50" s="431"/>
      <c r="L50" s="317"/>
      <c r="M50" s="320" t="s">
        <v>80</v>
      </c>
      <c r="N50" s="118" t="b">
        <v>1</v>
      </c>
      <c r="O50" s="119"/>
      <c r="Q50" s="284" t="s">
        <v>81</v>
      </c>
      <c r="R50" s="285" t="b">
        <v>0</v>
      </c>
      <c r="S50" s="285" t="b">
        <v>1</v>
      </c>
      <c r="T50" s="286" t="b">
        <v>1</v>
      </c>
    </row>
    <row r="51" outlineLevel="1">
      <c r="A51" s="317" t="s">
        <v>611</v>
      </c>
      <c r="B51" s="317" t="s">
        <v>74</v>
      </c>
      <c r="C51" s="472">
        <v>45931.0</v>
      </c>
      <c r="D51" s="317" t="s">
        <v>2838</v>
      </c>
      <c r="E51" s="317" t="s">
        <v>2839</v>
      </c>
      <c r="F51" s="317">
        <v>3.285383874E9</v>
      </c>
      <c r="G51" s="317" t="s">
        <v>2840</v>
      </c>
      <c r="H51" s="317" t="s">
        <v>2841</v>
      </c>
      <c r="I51" s="439">
        <v>45931.0</v>
      </c>
      <c r="J51" s="365">
        <v>32.0</v>
      </c>
      <c r="K51" s="431"/>
      <c r="L51" s="317"/>
      <c r="M51" s="320" t="s">
        <v>80</v>
      </c>
      <c r="N51" s="118" t="b">
        <v>1</v>
      </c>
      <c r="O51" s="119"/>
      <c r="Q51" s="284" t="s">
        <v>81</v>
      </c>
      <c r="R51" s="285" t="b">
        <v>0</v>
      </c>
      <c r="S51" s="285" t="b">
        <v>1</v>
      </c>
      <c r="T51" s="286" t="b">
        <v>1</v>
      </c>
    </row>
    <row r="52" outlineLevel="1">
      <c r="A52" s="317" t="s">
        <v>611</v>
      </c>
      <c r="B52" s="317" t="s">
        <v>74</v>
      </c>
      <c r="C52" s="472">
        <v>45931.0</v>
      </c>
      <c r="D52" s="317" t="s">
        <v>2842</v>
      </c>
      <c r="E52" s="317" t="s">
        <v>1509</v>
      </c>
      <c r="F52" s="317">
        <v>3.296767125E9</v>
      </c>
      <c r="G52" s="317" t="s">
        <v>2843</v>
      </c>
      <c r="H52" s="317" t="s">
        <v>2844</v>
      </c>
      <c r="I52" s="439">
        <v>45931.0</v>
      </c>
      <c r="J52" s="365">
        <v>32.0</v>
      </c>
      <c r="K52" s="431"/>
      <c r="L52" s="317"/>
      <c r="M52" s="320" t="s">
        <v>80</v>
      </c>
      <c r="N52" s="118" t="b">
        <v>1</v>
      </c>
      <c r="O52" s="119"/>
      <c r="Q52" s="284" t="s">
        <v>81</v>
      </c>
      <c r="R52" s="285" t="b">
        <v>0</v>
      </c>
      <c r="S52" s="285" t="b">
        <v>1</v>
      </c>
      <c r="T52" s="286" t="b">
        <v>1</v>
      </c>
    </row>
    <row r="53" outlineLevel="1">
      <c r="A53" s="317" t="s">
        <v>611</v>
      </c>
      <c r="B53" s="317" t="s">
        <v>74</v>
      </c>
      <c r="C53" s="473">
        <v>45931.0</v>
      </c>
      <c r="D53" s="320" t="s">
        <v>2845</v>
      </c>
      <c r="E53" s="320" t="s">
        <v>608</v>
      </c>
      <c r="F53" s="320">
        <v>3.317876905E9</v>
      </c>
      <c r="G53" s="532" t="s">
        <v>2846</v>
      </c>
      <c r="H53" s="320" t="s">
        <v>2847</v>
      </c>
      <c r="I53" s="439">
        <v>45931.0</v>
      </c>
      <c r="J53" s="365">
        <v>32.0</v>
      </c>
      <c r="K53" s="431"/>
      <c r="L53" s="317"/>
      <c r="M53" s="320" t="s">
        <v>80</v>
      </c>
      <c r="N53" s="118" t="b">
        <v>1</v>
      </c>
      <c r="O53" s="119"/>
      <c r="Q53" s="284" t="s">
        <v>81</v>
      </c>
      <c r="R53" s="285" t="b">
        <v>0</v>
      </c>
      <c r="S53" s="285" t="b">
        <v>1</v>
      </c>
      <c r="T53" s="286" t="b">
        <v>1</v>
      </c>
    </row>
    <row r="54" outlineLevel="1">
      <c r="A54" s="317" t="s">
        <v>611</v>
      </c>
      <c r="B54" s="317" t="s">
        <v>74</v>
      </c>
      <c r="C54" s="536">
        <v>45931.0</v>
      </c>
      <c r="D54" s="116" t="s">
        <v>2848</v>
      </c>
      <c r="E54" s="317" t="s">
        <v>180</v>
      </c>
      <c r="F54" s="317">
        <v>3.663672817E9</v>
      </c>
      <c r="G54" s="317" t="s">
        <v>2849</v>
      </c>
      <c r="H54" s="317" t="s">
        <v>2850</v>
      </c>
      <c r="I54" s="318">
        <v>45931.0</v>
      </c>
      <c r="J54" s="365">
        <v>32.0</v>
      </c>
      <c r="K54" s="431"/>
      <c r="L54" s="432"/>
      <c r="M54" s="317" t="s">
        <v>80</v>
      </c>
      <c r="N54" s="118" t="b">
        <v>1</v>
      </c>
      <c r="O54" s="119"/>
      <c r="Q54" s="284" t="s">
        <v>81</v>
      </c>
      <c r="R54" s="285" t="b">
        <v>0</v>
      </c>
      <c r="S54" s="285" t="b">
        <v>1</v>
      </c>
      <c r="T54" s="286" t="b">
        <v>1</v>
      </c>
    </row>
    <row r="55" outlineLevel="1">
      <c r="A55" s="317" t="s">
        <v>611</v>
      </c>
      <c r="B55" s="317" t="s">
        <v>74</v>
      </c>
      <c r="C55" s="473">
        <v>45931.0</v>
      </c>
      <c r="D55" s="317" t="s">
        <v>2851</v>
      </c>
      <c r="E55" s="317" t="s">
        <v>2852</v>
      </c>
      <c r="F55" s="317">
        <v>3.519349448E9</v>
      </c>
      <c r="G55" s="317" t="s">
        <v>2853</v>
      </c>
      <c r="H55" s="317" t="s">
        <v>2854</v>
      </c>
      <c r="I55" s="439">
        <v>45658.0</v>
      </c>
      <c r="J55" s="365">
        <v>32.0</v>
      </c>
      <c r="K55" s="431"/>
      <c r="L55" s="317"/>
      <c r="M55" s="320" t="s">
        <v>80</v>
      </c>
      <c r="N55" s="118" t="b">
        <v>1</v>
      </c>
      <c r="O55" s="119"/>
      <c r="Q55" s="284" t="s">
        <v>81</v>
      </c>
      <c r="R55" s="285" t="b">
        <v>0</v>
      </c>
      <c r="S55" s="285" t="b">
        <v>1</v>
      </c>
      <c r="T55" s="286" t="b">
        <v>1</v>
      </c>
    </row>
    <row r="56" outlineLevel="1">
      <c r="A56" s="317" t="s">
        <v>611</v>
      </c>
      <c r="B56" s="317" t="s">
        <v>74</v>
      </c>
      <c r="C56" s="472">
        <v>45933.0</v>
      </c>
      <c r="D56" s="317" t="s">
        <v>2493</v>
      </c>
      <c r="E56" s="317" t="s">
        <v>7</v>
      </c>
      <c r="F56" s="317">
        <v>3.408186878E9</v>
      </c>
      <c r="G56" s="317"/>
      <c r="H56" s="317" t="s">
        <v>2855</v>
      </c>
      <c r="I56" s="439">
        <v>45933.0</v>
      </c>
      <c r="J56" s="365"/>
      <c r="K56" s="431">
        <v>35.0</v>
      </c>
      <c r="L56" s="317" t="s">
        <v>902</v>
      </c>
      <c r="M56" s="320" t="s">
        <v>80</v>
      </c>
      <c r="N56" s="118" t="b">
        <v>1</v>
      </c>
      <c r="O56" s="119"/>
      <c r="Q56" s="284" t="s">
        <v>81</v>
      </c>
      <c r="R56" s="285" t="b">
        <v>0</v>
      </c>
      <c r="S56" s="285" t="b">
        <v>1</v>
      </c>
      <c r="T56" s="286" t="b">
        <v>1</v>
      </c>
    </row>
    <row r="57" outlineLevel="1">
      <c r="A57" s="317" t="s">
        <v>611</v>
      </c>
      <c r="B57" s="317" t="s">
        <v>74</v>
      </c>
      <c r="C57" s="472">
        <v>45933.0</v>
      </c>
      <c r="D57" s="317" t="s">
        <v>2223</v>
      </c>
      <c r="E57" s="317" t="s">
        <v>2224</v>
      </c>
      <c r="F57" s="317">
        <v>3.398639539E9</v>
      </c>
      <c r="G57" s="475" t="s">
        <v>2225</v>
      </c>
      <c r="H57" s="317" t="s">
        <v>2226</v>
      </c>
      <c r="I57" s="439">
        <v>45933.0</v>
      </c>
      <c r="J57" s="365"/>
      <c r="K57" s="431">
        <v>35.0</v>
      </c>
      <c r="L57" s="317" t="s">
        <v>106</v>
      </c>
      <c r="M57" s="317" t="s">
        <v>80</v>
      </c>
      <c r="N57" s="118" t="b">
        <v>1</v>
      </c>
      <c r="O57" s="119"/>
      <c r="Q57" s="284" t="s">
        <v>81</v>
      </c>
      <c r="R57" s="285" t="b">
        <v>0</v>
      </c>
      <c r="S57" s="285" t="b">
        <v>1</v>
      </c>
      <c r="T57" s="286" t="b">
        <v>1</v>
      </c>
    </row>
    <row r="58" outlineLevel="1">
      <c r="A58" s="317" t="s">
        <v>611</v>
      </c>
      <c r="B58" s="317" t="s">
        <v>74</v>
      </c>
      <c r="C58" s="316">
        <v>45933.0</v>
      </c>
      <c r="D58" s="317" t="s">
        <v>2856</v>
      </c>
      <c r="E58" s="317" t="s">
        <v>647</v>
      </c>
      <c r="F58" s="317">
        <v>3.313043039E9</v>
      </c>
      <c r="G58" s="475" t="s">
        <v>2857</v>
      </c>
      <c r="H58" s="317" t="s">
        <v>2858</v>
      </c>
      <c r="I58" s="443">
        <v>45933.0</v>
      </c>
      <c r="J58" s="368"/>
      <c r="K58" s="431">
        <v>35.0</v>
      </c>
      <c r="L58" s="317" t="s">
        <v>106</v>
      </c>
      <c r="M58" s="317" t="s">
        <v>100</v>
      </c>
      <c r="N58" s="118" t="b">
        <v>1</v>
      </c>
      <c r="O58" s="119"/>
      <c r="Q58" s="284" t="s">
        <v>81</v>
      </c>
      <c r="R58" s="285" t="b">
        <v>1</v>
      </c>
      <c r="S58" s="285" t="b">
        <v>0</v>
      </c>
      <c r="T58" s="286" t="b">
        <v>1</v>
      </c>
    </row>
    <row r="59" outlineLevel="1">
      <c r="A59" s="432" t="s">
        <v>611</v>
      </c>
      <c r="B59" s="432" t="s">
        <v>74</v>
      </c>
      <c r="C59" s="440">
        <v>45941.0</v>
      </c>
      <c r="D59" s="432" t="s">
        <v>2859</v>
      </c>
      <c r="E59" s="432" t="s">
        <v>2860</v>
      </c>
      <c r="F59" s="432">
        <v>3.29328951E9</v>
      </c>
      <c r="G59" s="475" t="s">
        <v>2861</v>
      </c>
      <c r="H59" s="432" t="s">
        <v>2862</v>
      </c>
      <c r="I59" s="441">
        <v>45941.0</v>
      </c>
      <c r="J59" s="368">
        <v>37.0</v>
      </c>
      <c r="K59" s="436"/>
      <c r="L59" s="317"/>
      <c r="M59" s="317" t="s">
        <v>80</v>
      </c>
      <c r="N59" s="118" t="b">
        <v>1</v>
      </c>
      <c r="O59" s="119"/>
      <c r="Q59" s="284" t="s">
        <v>81</v>
      </c>
      <c r="R59" s="285" t="b">
        <v>0</v>
      </c>
      <c r="S59" s="285" t="b">
        <v>1</v>
      </c>
      <c r="T59" s="286" t="b">
        <v>1</v>
      </c>
    </row>
    <row r="60" outlineLevel="1">
      <c r="A60" s="317" t="s">
        <v>611</v>
      </c>
      <c r="B60" s="317" t="s">
        <v>74</v>
      </c>
      <c r="C60" s="316">
        <v>45937.0</v>
      </c>
      <c r="D60" s="317" t="s">
        <v>2863</v>
      </c>
      <c r="E60" s="317" t="s">
        <v>2864</v>
      </c>
      <c r="F60" s="317">
        <v>3.518087121E9</v>
      </c>
      <c r="G60" s="475" t="s">
        <v>2865</v>
      </c>
      <c r="H60" s="317" t="s">
        <v>2866</v>
      </c>
      <c r="I60" s="443">
        <v>45937.0</v>
      </c>
      <c r="J60" s="365">
        <v>37.0</v>
      </c>
      <c r="K60" s="436"/>
      <c r="L60" s="317"/>
      <c r="M60" s="317" t="s">
        <v>80</v>
      </c>
      <c r="N60" s="118" t="b">
        <v>1</v>
      </c>
      <c r="O60" s="119"/>
      <c r="Q60" s="284" t="s">
        <v>81</v>
      </c>
      <c r="R60" s="285" t="b">
        <v>0</v>
      </c>
      <c r="S60" s="285" t="b">
        <v>1</v>
      </c>
      <c r="T60" s="286" t="b">
        <v>1</v>
      </c>
    </row>
    <row r="61" outlineLevel="1">
      <c r="A61" s="317" t="s">
        <v>611</v>
      </c>
      <c r="B61" s="317" t="s">
        <v>74</v>
      </c>
      <c r="C61" s="316">
        <v>45938.0</v>
      </c>
      <c r="D61" s="317" t="s">
        <v>2867</v>
      </c>
      <c r="E61" s="317" t="s">
        <v>91</v>
      </c>
      <c r="F61" s="317">
        <v>3.489003854E9</v>
      </c>
      <c r="G61" s="475" t="s">
        <v>2868</v>
      </c>
      <c r="H61" s="317" t="s">
        <v>2869</v>
      </c>
      <c r="I61" s="443">
        <v>45938.0</v>
      </c>
      <c r="J61" s="365">
        <v>37.0</v>
      </c>
      <c r="K61" s="436"/>
      <c r="L61" s="317"/>
      <c r="M61" s="317" t="s">
        <v>100</v>
      </c>
      <c r="N61" s="118" t="b">
        <v>1</v>
      </c>
      <c r="O61" s="119"/>
      <c r="Q61" s="284" t="s">
        <v>81</v>
      </c>
      <c r="R61" s="285" t="b">
        <v>1</v>
      </c>
      <c r="S61" s="285" t="b">
        <v>0</v>
      </c>
      <c r="T61" s="286" t="b">
        <v>1</v>
      </c>
    </row>
    <row r="62" outlineLevel="1">
      <c r="A62" s="317" t="s">
        <v>611</v>
      </c>
      <c r="B62" s="317" t="s">
        <v>74</v>
      </c>
      <c r="C62" s="316">
        <v>45938.0</v>
      </c>
      <c r="D62" s="317" t="s">
        <v>2870</v>
      </c>
      <c r="E62" s="317" t="s">
        <v>2871</v>
      </c>
      <c r="F62" s="317">
        <v>3.460351191E9</v>
      </c>
      <c r="G62" s="475" t="s">
        <v>2872</v>
      </c>
      <c r="H62" s="317" t="s">
        <v>2873</v>
      </c>
      <c r="I62" s="318">
        <v>45938.0</v>
      </c>
      <c r="J62" s="365">
        <v>37.0</v>
      </c>
      <c r="K62" s="431"/>
      <c r="L62" s="317"/>
      <c r="M62" s="317" t="s">
        <v>80</v>
      </c>
      <c r="N62" s="118" t="b">
        <v>1</v>
      </c>
      <c r="O62" s="119"/>
      <c r="Q62" s="284" t="s">
        <v>81</v>
      </c>
      <c r="R62" s="285" t="b">
        <v>0</v>
      </c>
      <c r="S62" s="285" t="b">
        <v>1</v>
      </c>
      <c r="T62" s="286" t="b">
        <v>1</v>
      </c>
    </row>
    <row r="63" outlineLevel="1">
      <c r="A63" s="317" t="s">
        <v>611</v>
      </c>
      <c r="B63" s="317" t="s">
        <v>74</v>
      </c>
      <c r="C63" s="316">
        <v>45939.0</v>
      </c>
      <c r="D63" s="317" t="s">
        <v>2874</v>
      </c>
      <c r="E63" s="317" t="s">
        <v>2875</v>
      </c>
      <c r="F63" s="317">
        <v>3.470122644E9</v>
      </c>
      <c r="G63" s="475" t="s">
        <v>2876</v>
      </c>
      <c r="H63" s="317" t="s">
        <v>2787</v>
      </c>
      <c r="I63" s="318">
        <v>45939.0</v>
      </c>
      <c r="J63" s="365">
        <v>37.0</v>
      </c>
      <c r="K63" s="431"/>
      <c r="L63" s="317"/>
      <c r="M63" s="317" t="s">
        <v>80</v>
      </c>
      <c r="N63" s="118" t="b">
        <v>1</v>
      </c>
      <c r="O63" s="119"/>
      <c r="Q63" s="284" t="s">
        <v>81</v>
      </c>
      <c r="R63" s="285" t="b">
        <v>0</v>
      </c>
      <c r="S63" s="285" t="b">
        <v>1</v>
      </c>
      <c r="T63" s="286" t="b">
        <v>1</v>
      </c>
    </row>
    <row r="64" outlineLevel="1">
      <c r="A64" s="317" t="s">
        <v>611</v>
      </c>
      <c r="B64" s="317" t="s">
        <v>74</v>
      </c>
      <c r="C64" s="316">
        <v>45939.0</v>
      </c>
      <c r="D64" s="317" t="s">
        <v>2760</v>
      </c>
      <c r="E64" s="317" t="s">
        <v>2877</v>
      </c>
      <c r="F64" s="317">
        <v>3.890434628E9</v>
      </c>
      <c r="G64" s="475" t="s">
        <v>2878</v>
      </c>
      <c r="H64" s="317" t="s">
        <v>2879</v>
      </c>
      <c r="I64" s="318">
        <v>45939.0</v>
      </c>
      <c r="J64" s="365">
        <v>37.0</v>
      </c>
      <c r="K64" s="431"/>
      <c r="L64" s="317"/>
      <c r="M64" s="317" t="s">
        <v>80</v>
      </c>
      <c r="N64" s="118" t="b">
        <v>1</v>
      </c>
      <c r="O64" s="119"/>
      <c r="Q64" s="284" t="s">
        <v>81</v>
      </c>
      <c r="R64" s="285" t="b">
        <v>0</v>
      </c>
      <c r="S64" s="285" t="b">
        <v>1</v>
      </c>
      <c r="T64" s="286" t="b">
        <v>1</v>
      </c>
    </row>
    <row r="65" outlineLevel="1">
      <c r="A65" s="320" t="s">
        <v>611</v>
      </c>
      <c r="B65" s="317" t="s">
        <v>74</v>
      </c>
      <c r="C65" s="465">
        <v>45939.0</v>
      </c>
      <c r="D65" s="320" t="s">
        <v>2880</v>
      </c>
      <c r="E65" s="320" t="s">
        <v>1061</v>
      </c>
      <c r="F65" s="320">
        <v>3.405130696E9</v>
      </c>
      <c r="G65" s="471" t="s">
        <v>2881</v>
      </c>
      <c r="H65" s="320" t="s">
        <v>2882</v>
      </c>
      <c r="I65" s="478">
        <v>45939.0</v>
      </c>
      <c r="J65" s="365">
        <v>37.0</v>
      </c>
      <c r="K65" s="431"/>
      <c r="L65" s="317"/>
      <c r="M65" s="320" t="s">
        <v>80</v>
      </c>
      <c r="N65" s="154" t="b">
        <v>1</v>
      </c>
      <c r="O65" s="119"/>
      <c r="Q65" s="284" t="s">
        <v>81</v>
      </c>
      <c r="R65" s="285" t="b">
        <v>0</v>
      </c>
      <c r="S65" s="285" t="b">
        <v>1</v>
      </c>
      <c r="T65" s="286" t="b">
        <v>1</v>
      </c>
    </row>
    <row r="66" outlineLevel="1">
      <c r="A66" s="317" t="s">
        <v>611</v>
      </c>
      <c r="B66" s="317" t="s">
        <v>74</v>
      </c>
      <c r="C66" s="316">
        <v>45939.0</v>
      </c>
      <c r="D66" s="317" t="s">
        <v>2883</v>
      </c>
      <c r="E66" s="317" t="s">
        <v>96</v>
      </c>
      <c r="F66" s="317">
        <v>3.245831288E9</v>
      </c>
      <c r="G66" s="475" t="s">
        <v>2884</v>
      </c>
      <c r="H66" s="317" t="s">
        <v>2885</v>
      </c>
      <c r="I66" s="443">
        <v>45939.0</v>
      </c>
      <c r="J66" s="365">
        <v>37.0</v>
      </c>
      <c r="K66" s="431"/>
      <c r="L66" s="317"/>
      <c r="M66" s="317" t="s">
        <v>80</v>
      </c>
      <c r="N66" s="118" t="b">
        <v>1</v>
      </c>
      <c r="O66" s="119"/>
      <c r="Q66" s="284" t="s">
        <v>81</v>
      </c>
      <c r="R66" s="285" t="b">
        <v>0</v>
      </c>
      <c r="S66" s="285" t="b">
        <v>1</v>
      </c>
      <c r="T66" s="286" t="b">
        <v>1</v>
      </c>
    </row>
    <row r="67" outlineLevel="1">
      <c r="A67" s="317" t="s">
        <v>611</v>
      </c>
      <c r="B67" s="317" t="s">
        <v>74</v>
      </c>
      <c r="C67" s="316">
        <v>45939.0</v>
      </c>
      <c r="D67" s="317" t="s">
        <v>2886</v>
      </c>
      <c r="E67" s="317" t="s">
        <v>2887</v>
      </c>
      <c r="F67" s="317">
        <v>3.245831288E9</v>
      </c>
      <c r="G67" s="475" t="s">
        <v>2888</v>
      </c>
      <c r="H67" s="317" t="s">
        <v>2885</v>
      </c>
      <c r="I67" s="443">
        <v>45939.0</v>
      </c>
      <c r="J67" s="365">
        <v>37.0</v>
      </c>
      <c r="K67" s="431"/>
      <c r="L67" s="317"/>
      <c r="M67" s="317" t="s">
        <v>80</v>
      </c>
      <c r="N67" s="118" t="b">
        <v>1</v>
      </c>
      <c r="O67" s="119"/>
      <c r="Q67" s="284" t="s">
        <v>81</v>
      </c>
      <c r="R67" s="285" t="b">
        <v>0</v>
      </c>
      <c r="S67" s="285" t="b">
        <v>1</v>
      </c>
      <c r="T67" s="286" t="b">
        <v>1</v>
      </c>
    </row>
    <row r="68" outlineLevel="1">
      <c r="A68" s="317" t="s">
        <v>611</v>
      </c>
      <c r="B68" s="317" t="s">
        <v>74</v>
      </c>
      <c r="C68" s="316">
        <v>45941.0</v>
      </c>
      <c r="D68" s="317" t="s">
        <v>2889</v>
      </c>
      <c r="E68" s="317" t="s">
        <v>7</v>
      </c>
      <c r="F68" s="317">
        <v>3.490884018E9</v>
      </c>
      <c r="G68" s="475" t="s">
        <v>2890</v>
      </c>
      <c r="H68" s="317" t="s">
        <v>2891</v>
      </c>
      <c r="I68" s="318">
        <v>45941.0</v>
      </c>
      <c r="J68" s="365">
        <v>37.0</v>
      </c>
      <c r="K68" s="431"/>
      <c r="L68" s="317"/>
      <c r="M68" s="317" t="s">
        <v>80</v>
      </c>
      <c r="N68" s="118" t="b">
        <v>1</v>
      </c>
      <c r="O68" s="119"/>
      <c r="P68" s="545"/>
      <c r="Q68" s="284" t="s">
        <v>81</v>
      </c>
      <c r="R68" s="285" t="b">
        <v>0</v>
      </c>
      <c r="S68" s="285" t="b">
        <v>1</v>
      </c>
      <c r="T68" s="286" t="b">
        <v>1</v>
      </c>
    </row>
    <row r="69" outlineLevel="1">
      <c r="A69" s="317" t="s">
        <v>611</v>
      </c>
      <c r="B69" s="317" t="s">
        <v>74</v>
      </c>
      <c r="C69" s="316">
        <v>45940.0</v>
      </c>
      <c r="D69" s="317" t="s">
        <v>2892</v>
      </c>
      <c r="E69" s="317" t="s">
        <v>797</v>
      </c>
      <c r="F69" s="317">
        <v>3.240437094E9</v>
      </c>
      <c r="G69" s="475" t="s">
        <v>2893</v>
      </c>
      <c r="H69" s="317" t="s">
        <v>2894</v>
      </c>
      <c r="I69" s="316">
        <v>45940.0</v>
      </c>
      <c r="J69" s="365"/>
      <c r="K69" s="431">
        <v>35.0</v>
      </c>
      <c r="L69" s="317" t="s">
        <v>79</v>
      </c>
      <c r="M69" s="317" t="s">
        <v>100</v>
      </c>
      <c r="N69" s="118" t="b">
        <v>1</v>
      </c>
      <c r="O69" s="119"/>
      <c r="Q69" s="284" t="s">
        <v>81</v>
      </c>
      <c r="R69" s="285" t="b">
        <v>1</v>
      </c>
      <c r="S69" s="285" t="b">
        <v>0</v>
      </c>
      <c r="T69" s="286" t="b">
        <v>1</v>
      </c>
    </row>
    <row r="70" outlineLevel="1">
      <c r="A70" s="317" t="s">
        <v>611</v>
      </c>
      <c r="B70" s="317" t="s">
        <v>74</v>
      </c>
      <c r="C70" s="316">
        <v>45940.0</v>
      </c>
      <c r="D70" s="317" t="s">
        <v>2895</v>
      </c>
      <c r="E70" s="317" t="s">
        <v>146</v>
      </c>
      <c r="F70" s="317">
        <v>3.661280245E9</v>
      </c>
      <c r="G70" s="475" t="s">
        <v>2896</v>
      </c>
      <c r="H70" s="317" t="s">
        <v>2897</v>
      </c>
      <c r="I70" s="316">
        <v>45940.0</v>
      </c>
      <c r="J70" s="365">
        <v>37.0</v>
      </c>
      <c r="K70" s="431"/>
      <c r="L70" s="317"/>
      <c r="M70" s="317" t="s">
        <v>80</v>
      </c>
      <c r="N70" s="118" t="b">
        <v>1</v>
      </c>
      <c r="O70" s="119"/>
      <c r="Q70" s="284" t="s">
        <v>81</v>
      </c>
      <c r="R70" s="285" t="b">
        <v>0</v>
      </c>
      <c r="S70" s="285" t="b">
        <v>1</v>
      </c>
      <c r="T70" s="286" t="b">
        <v>1</v>
      </c>
    </row>
    <row r="71" outlineLevel="1">
      <c r="A71" s="317" t="s">
        <v>368</v>
      </c>
      <c r="B71" s="317" t="s">
        <v>369</v>
      </c>
      <c r="C71" s="316">
        <v>45945.0</v>
      </c>
      <c r="D71" s="317" t="s">
        <v>2898</v>
      </c>
      <c r="E71" s="317" t="s">
        <v>2899</v>
      </c>
      <c r="F71" s="317">
        <v>3.3784083571E10</v>
      </c>
      <c r="G71" s="475" t="s">
        <v>2900</v>
      </c>
      <c r="H71" s="317" t="s">
        <v>2901</v>
      </c>
      <c r="I71" s="496">
        <v>45945.0</v>
      </c>
      <c r="J71" s="365"/>
      <c r="K71" s="431">
        <v>35.0</v>
      </c>
      <c r="L71" s="317" t="s">
        <v>79</v>
      </c>
      <c r="M71" s="317" t="s">
        <v>100</v>
      </c>
      <c r="N71" s="118" t="b">
        <v>1</v>
      </c>
      <c r="O71" s="119"/>
      <c r="P71" s="545"/>
      <c r="Q71" s="284" t="s">
        <v>81</v>
      </c>
      <c r="R71" s="285" t="b">
        <v>1</v>
      </c>
      <c r="S71" s="285" t="b">
        <v>0</v>
      </c>
      <c r="T71" s="286" t="b">
        <v>1</v>
      </c>
    </row>
    <row r="72" outlineLevel="1">
      <c r="A72" s="317" t="s">
        <v>368</v>
      </c>
      <c r="B72" s="317" t="s">
        <v>369</v>
      </c>
      <c r="C72" s="316">
        <v>45945.0</v>
      </c>
      <c r="D72" s="317" t="s">
        <v>1558</v>
      </c>
      <c r="E72" s="317" t="s">
        <v>87</v>
      </c>
      <c r="F72" s="317">
        <v>3.451200352E9</v>
      </c>
      <c r="G72" s="475" t="s">
        <v>2902</v>
      </c>
      <c r="H72" s="317" t="s">
        <v>2903</v>
      </c>
      <c r="I72" s="316">
        <v>45945.0</v>
      </c>
      <c r="J72" s="365"/>
      <c r="K72" s="431">
        <v>35.0</v>
      </c>
      <c r="L72" s="317" t="s">
        <v>79</v>
      </c>
      <c r="M72" s="317" t="s">
        <v>100</v>
      </c>
      <c r="N72" s="118" t="b">
        <v>1</v>
      </c>
      <c r="O72" s="119"/>
      <c r="P72" s="119"/>
      <c r="Q72" s="284" t="s">
        <v>81</v>
      </c>
      <c r="R72" s="285" t="b">
        <v>1</v>
      </c>
      <c r="S72" s="285" t="b">
        <v>0</v>
      </c>
      <c r="T72" s="286" t="b">
        <v>1</v>
      </c>
    </row>
    <row r="73" outlineLevel="1">
      <c r="A73" s="546" t="s">
        <v>611</v>
      </c>
      <c r="B73" s="546" t="s">
        <v>74</v>
      </c>
      <c r="C73" s="547">
        <v>45945.0</v>
      </c>
      <c r="D73" s="546" t="s">
        <v>2904</v>
      </c>
      <c r="E73" s="546" t="s">
        <v>2905</v>
      </c>
      <c r="F73" s="546">
        <v>3.932608617E9</v>
      </c>
      <c r="G73" s="548" t="s">
        <v>2906</v>
      </c>
      <c r="H73" s="546" t="s">
        <v>2907</v>
      </c>
      <c r="I73" s="547">
        <v>45945.0</v>
      </c>
      <c r="J73" s="549">
        <v>37.0</v>
      </c>
      <c r="K73" s="550"/>
      <c r="L73" s="546"/>
      <c r="M73" s="546" t="s">
        <v>80</v>
      </c>
      <c r="N73" s="551" t="b">
        <v>1</v>
      </c>
      <c r="O73" s="552"/>
      <c r="P73" s="552"/>
      <c r="Q73" s="553" t="s">
        <v>81</v>
      </c>
      <c r="R73" s="554" t="b">
        <v>0</v>
      </c>
      <c r="S73" s="554" t="b">
        <v>1</v>
      </c>
      <c r="T73" s="555" t="b">
        <v>1</v>
      </c>
    </row>
    <row r="74" outlineLevel="1">
      <c r="A74" s="317" t="s">
        <v>611</v>
      </c>
      <c r="B74" s="317" t="s">
        <v>74</v>
      </c>
      <c r="C74" s="316">
        <v>45945.0</v>
      </c>
      <c r="D74" s="317" t="s">
        <v>2908</v>
      </c>
      <c r="E74" s="317" t="s">
        <v>2909</v>
      </c>
      <c r="F74" s="317">
        <v>3.911312943E9</v>
      </c>
      <c r="G74" s="475" t="s">
        <v>2910</v>
      </c>
      <c r="H74" s="317" t="s">
        <v>2911</v>
      </c>
      <c r="I74" s="316">
        <v>45945.0</v>
      </c>
      <c r="J74" s="365">
        <v>37.0</v>
      </c>
      <c r="K74" s="431"/>
      <c r="L74" s="317"/>
      <c r="M74" s="317" t="s">
        <v>100</v>
      </c>
      <c r="N74" s="118" t="b">
        <v>1</v>
      </c>
      <c r="O74" s="119"/>
      <c r="P74" s="119"/>
      <c r="Q74" s="556" t="s">
        <v>81</v>
      </c>
      <c r="R74" s="285" t="b">
        <v>1</v>
      </c>
      <c r="S74" s="285" t="b">
        <v>1</v>
      </c>
      <c r="T74" s="286" t="b">
        <v>1</v>
      </c>
    </row>
    <row r="75" outlineLevel="1">
      <c r="A75" s="317" t="s">
        <v>611</v>
      </c>
      <c r="B75" s="317" t="s">
        <v>74</v>
      </c>
      <c r="C75" s="316">
        <v>45945.0</v>
      </c>
      <c r="D75" s="317" t="s">
        <v>2053</v>
      </c>
      <c r="E75" s="317" t="s">
        <v>298</v>
      </c>
      <c r="F75" s="317">
        <v>3.458837665E9</v>
      </c>
      <c r="G75" s="475" t="s">
        <v>2054</v>
      </c>
      <c r="H75" s="317" t="s">
        <v>2055</v>
      </c>
      <c r="I75" s="316">
        <v>45945.0</v>
      </c>
      <c r="J75" s="365">
        <v>37.0</v>
      </c>
      <c r="K75" s="431"/>
      <c r="L75" s="317"/>
      <c r="M75" s="317" t="s">
        <v>80</v>
      </c>
      <c r="N75" s="118" t="b">
        <v>1</v>
      </c>
      <c r="O75" s="119" t="s">
        <v>2912</v>
      </c>
      <c r="P75" s="119"/>
      <c r="Q75" s="284" t="s">
        <v>81</v>
      </c>
      <c r="R75" s="285" t="b">
        <v>0</v>
      </c>
      <c r="S75" s="285" t="b">
        <v>1</v>
      </c>
      <c r="T75" s="286" t="b">
        <v>1</v>
      </c>
    </row>
    <row r="76" outlineLevel="1">
      <c r="A76" s="317" t="s">
        <v>611</v>
      </c>
      <c r="B76" s="317" t="s">
        <v>74</v>
      </c>
      <c r="C76" s="316">
        <v>45945.0</v>
      </c>
      <c r="D76" s="557" t="s">
        <v>2053</v>
      </c>
      <c r="E76" s="317" t="s">
        <v>298</v>
      </c>
      <c r="F76" s="317">
        <v>3.458837665E9</v>
      </c>
      <c r="G76" s="475" t="s">
        <v>2054</v>
      </c>
      <c r="H76" s="317" t="s">
        <v>2055</v>
      </c>
      <c r="I76" s="316">
        <v>45945.0</v>
      </c>
      <c r="J76" s="365">
        <v>37.0</v>
      </c>
      <c r="K76" s="431"/>
      <c r="L76" s="317"/>
      <c r="M76" s="317" t="s">
        <v>80</v>
      </c>
      <c r="N76" s="118" t="b">
        <v>1</v>
      </c>
      <c r="O76" s="119"/>
      <c r="P76" s="119"/>
      <c r="Q76" s="284" t="s">
        <v>81</v>
      </c>
      <c r="R76" s="285" t="b">
        <v>0</v>
      </c>
      <c r="S76" s="285" t="b">
        <v>1</v>
      </c>
      <c r="T76" s="286" t="b">
        <v>1</v>
      </c>
    </row>
    <row r="77" outlineLevel="1">
      <c r="A77" s="317" t="s">
        <v>611</v>
      </c>
      <c r="B77" s="317" t="s">
        <v>74</v>
      </c>
      <c r="C77" s="316">
        <v>45945.0</v>
      </c>
      <c r="D77" s="557" t="s">
        <v>2053</v>
      </c>
      <c r="E77" s="317" t="s">
        <v>298</v>
      </c>
      <c r="F77" s="317">
        <v>3.458837665E9</v>
      </c>
      <c r="G77" s="475" t="s">
        <v>2054</v>
      </c>
      <c r="H77" s="317" t="s">
        <v>2055</v>
      </c>
      <c r="I77" s="316">
        <v>45945.0</v>
      </c>
      <c r="J77" s="365">
        <v>37.0</v>
      </c>
      <c r="K77" s="431"/>
      <c r="L77" s="317"/>
      <c r="M77" s="317" t="s">
        <v>80</v>
      </c>
      <c r="N77" s="118" t="b">
        <v>1</v>
      </c>
      <c r="O77" s="119"/>
      <c r="P77" s="119"/>
      <c r="Q77" s="284" t="s">
        <v>81</v>
      </c>
      <c r="R77" s="285" t="b">
        <v>0</v>
      </c>
      <c r="S77" s="285" t="b">
        <v>1</v>
      </c>
      <c r="T77" s="286" t="b">
        <v>1</v>
      </c>
    </row>
    <row r="78" outlineLevel="1">
      <c r="A78" s="317" t="s">
        <v>611</v>
      </c>
      <c r="B78" s="317" t="s">
        <v>74</v>
      </c>
      <c r="C78" s="316">
        <v>45945.0</v>
      </c>
      <c r="D78" s="317" t="s">
        <v>2913</v>
      </c>
      <c r="E78" s="317" t="s">
        <v>713</v>
      </c>
      <c r="F78" s="317">
        <v>3.392875919E9</v>
      </c>
      <c r="G78" s="475" t="s">
        <v>2914</v>
      </c>
      <c r="H78" s="317" t="s">
        <v>2915</v>
      </c>
      <c r="I78" s="316">
        <v>45945.0</v>
      </c>
      <c r="J78" s="365">
        <v>37.0</v>
      </c>
      <c r="K78" s="431"/>
      <c r="L78" s="317"/>
      <c r="M78" s="317" t="s">
        <v>80</v>
      </c>
      <c r="N78" s="118" t="b">
        <v>1</v>
      </c>
      <c r="O78" s="119"/>
      <c r="P78" s="119"/>
      <c r="Q78" s="284" t="s">
        <v>81</v>
      </c>
      <c r="R78" s="285" t="b">
        <v>0</v>
      </c>
      <c r="S78" s="285" t="b">
        <v>1</v>
      </c>
      <c r="T78" s="286" t="b">
        <v>1</v>
      </c>
    </row>
    <row r="79" outlineLevel="1">
      <c r="A79" s="317" t="s">
        <v>611</v>
      </c>
      <c r="B79" s="317" t="s">
        <v>74</v>
      </c>
      <c r="C79" s="316">
        <v>45946.0</v>
      </c>
      <c r="D79" s="317" t="s">
        <v>2916</v>
      </c>
      <c r="E79" s="317" t="s">
        <v>604</v>
      </c>
      <c r="F79" s="317">
        <v>3.462543582E9</v>
      </c>
      <c r="G79" s="475" t="s">
        <v>2917</v>
      </c>
      <c r="H79" s="317" t="s">
        <v>2918</v>
      </c>
      <c r="I79" s="316">
        <v>45946.0</v>
      </c>
      <c r="J79" s="365">
        <v>37.0</v>
      </c>
      <c r="K79" s="431"/>
      <c r="L79" s="317"/>
      <c r="M79" s="317" t="s">
        <v>80</v>
      </c>
      <c r="N79" s="118" t="b">
        <v>1</v>
      </c>
      <c r="O79" s="119"/>
      <c r="P79" s="119"/>
      <c r="Q79" s="284" t="s">
        <v>81</v>
      </c>
      <c r="R79" s="285" t="b">
        <v>0</v>
      </c>
      <c r="S79" s="285" t="b">
        <v>1</v>
      </c>
      <c r="T79" s="286" t="b">
        <v>1</v>
      </c>
    </row>
    <row r="80" outlineLevel="1">
      <c r="A80" s="317" t="s">
        <v>611</v>
      </c>
      <c r="B80" s="317" t="s">
        <v>74</v>
      </c>
      <c r="C80" s="316">
        <v>45947.0</v>
      </c>
      <c r="D80" s="317" t="s">
        <v>2919</v>
      </c>
      <c r="E80" s="317" t="s">
        <v>777</v>
      </c>
      <c r="F80" s="317">
        <v>3.249868551E9</v>
      </c>
      <c r="G80" s="475" t="s">
        <v>2920</v>
      </c>
      <c r="H80" s="317" t="s">
        <v>2921</v>
      </c>
      <c r="I80" s="316">
        <v>45947.0</v>
      </c>
      <c r="J80" s="365"/>
      <c r="K80" s="431">
        <v>35.0</v>
      </c>
      <c r="L80" s="317" t="s">
        <v>106</v>
      </c>
      <c r="M80" s="317" t="s">
        <v>80</v>
      </c>
      <c r="N80" s="118" t="b">
        <v>1</v>
      </c>
      <c r="O80" s="119"/>
      <c r="P80" s="119"/>
      <c r="Q80" s="284" t="s">
        <v>81</v>
      </c>
      <c r="R80" s="285" t="b">
        <v>0</v>
      </c>
      <c r="S80" s="285" t="b">
        <v>1</v>
      </c>
      <c r="T80" s="286" t="b">
        <v>1</v>
      </c>
    </row>
    <row r="81" outlineLevel="1">
      <c r="A81" s="317" t="s">
        <v>368</v>
      </c>
      <c r="B81" s="317" t="s">
        <v>369</v>
      </c>
      <c r="C81" s="316">
        <v>45949.0</v>
      </c>
      <c r="D81" s="317" t="s">
        <v>2922</v>
      </c>
      <c r="E81" s="317" t="s">
        <v>2923</v>
      </c>
      <c r="F81" s="317">
        <v>3.456922361E9</v>
      </c>
      <c r="G81" s="475" t="s">
        <v>2924</v>
      </c>
      <c r="H81" s="317" t="s">
        <v>2631</v>
      </c>
      <c r="I81" s="316">
        <v>45949.0</v>
      </c>
      <c r="J81" s="365">
        <v>42.0</v>
      </c>
      <c r="K81" s="431"/>
      <c r="L81" s="317"/>
      <c r="M81" s="317" t="s">
        <v>449</v>
      </c>
      <c r="N81" s="118" t="b">
        <v>1</v>
      </c>
      <c r="O81" s="119"/>
      <c r="P81" s="119"/>
      <c r="Q81" s="284" t="s">
        <v>81</v>
      </c>
      <c r="R81" s="285" t="b">
        <v>1</v>
      </c>
      <c r="S81" s="285" t="b">
        <v>0</v>
      </c>
      <c r="T81" s="286" t="b">
        <v>1</v>
      </c>
    </row>
    <row r="82" outlineLevel="1">
      <c r="A82" s="317"/>
      <c r="B82" s="317"/>
      <c r="C82" s="316"/>
      <c r="D82" s="317"/>
      <c r="E82" s="317"/>
      <c r="F82" s="317"/>
      <c r="G82" s="558" t="s">
        <v>2338</v>
      </c>
      <c r="H82" s="317"/>
      <c r="I82" s="316"/>
      <c r="J82" s="365"/>
      <c r="K82" s="431"/>
      <c r="L82" s="317"/>
      <c r="M82" s="317"/>
      <c r="N82" s="118" t="b">
        <v>0</v>
      </c>
      <c r="O82" s="119"/>
      <c r="P82" s="119"/>
      <c r="Q82" s="284"/>
      <c r="R82" s="285" t="b">
        <v>0</v>
      </c>
      <c r="S82" s="285" t="b">
        <v>0</v>
      </c>
      <c r="T82" s="286" t="b">
        <v>0</v>
      </c>
    </row>
    <row r="83" outlineLevel="1">
      <c r="A83" s="317"/>
      <c r="B83" s="317"/>
      <c r="C83" s="419"/>
      <c r="D83" s="336"/>
      <c r="E83" s="336"/>
      <c r="F83" s="420"/>
      <c r="G83" s="336"/>
      <c r="H83" s="336"/>
      <c r="I83" s="479"/>
      <c r="J83" s="365"/>
      <c r="K83" s="431"/>
      <c r="L83" s="317"/>
      <c r="M83" s="317"/>
      <c r="N83" s="118" t="b">
        <v>0</v>
      </c>
      <c r="O83" s="119"/>
      <c r="Q83" s="284"/>
      <c r="R83" s="285" t="b">
        <v>0</v>
      </c>
      <c r="S83" s="285" t="b">
        <v>0</v>
      </c>
      <c r="T83" s="286" t="b">
        <v>0</v>
      </c>
    </row>
    <row r="84">
      <c r="A84" s="348" t="s">
        <v>116</v>
      </c>
      <c r="B84" s="349">
        <f>COUNTIF(B4:B83,"ONLINE")+COUNTIF(B4:B83,"SEDE*")</f>
        <v>78</v>
      </c>
      <c r="C84" s="348" t="s">
        <v>116</v>
      </c>
      <c r="D84" s="349">
        <f t="shared" ref="D84:E84" si="1">COUNTIF(D4:D83, "*")</f>
        <v>78</v>
      </c>
      <c r="E84" s="349">
        <f t="shared" si="1"/>
        <v>78</v>
      </c>
      <c r="F84" s="480">
        <f>COUNTA(F4:F83)</f>
        <v>78</v>
      </c>
      <c r="G84" s="349">
        <f t="shared" ref="G84:H84" si="2">COUNTIF(G4:G83, "*")</f>
        <v>76</v>
      </c>
      <c r="H84" s="349">
        <f t="shared" si="2"/>
        <v>78</v>
      </c>
      <c r="I84" s="348" t="s">
        <v>116</v>
      </c>
      <c r="J84" s="481">
        <f t="shared" ref="J84:K84" si="3">SUM(J4:J83)</f>
        <v>2057</v>
      </c>
      <c r="K84" s="482">
        <f t="shared" si="3"/>
        <v>550</v>
      </c>
      <c r="L84" s="349">
        <f t="shared" ref="L84:M84" si="4">COUNTIF(L4:L83, "*")</f>
        <v>17</v>
      </c>
      <c r="M84" s="349">
        <f t="shared" si="4"/>
        <v>78</v>
      </c>
      <c r="N84" s="349">
        <f>SUMPRODUCT(--N4:N83)</f>
        <v>74</v>
      </c>
      <c r="O84" s="349">
        <f t="shared" ref="O84:Q84" si="5">COUNTIF(O4:O83, "*")</f>
        <v>6</v>
      </c>
      <c r="P84" s="349">
        <f t="shared" si="5"/>
        <v>0</v>
      </c>
      <c r="Q84" s="349">
        <f t="shared" si="5"/>
        <v>78</v>
      </c>
      <c r="R84" s="349">
        <f t="shared" ref="R84:T84" si="6">SUMPRODUCT(--R4:R83)</f>
        <v>20</v>
      </c>
      <c r="S84" s="349">
        <f t="shared" si="6"/>
        <v>58</v>
      </c>
      <c r="T84" s="349">
        <f t="shared" si="6"/>
        <v>78</v>
      </c>
    </row>
    <row r="85">
      <c r="A85" s="245" t="s">
        <v>117</v>
      </c>
      <c r="B85" s="246">
        <f>COUNTIF(B4:B83, "SEDE*")</f>
        <v>8</v>
      </c>
      <c r="C85" s="351"/>
      <c r="D85" s="351"/>
      <c r="E85" s="351"/>
      <c r="F85" s="351"/>
      <c r="G85" s="351"/>
      <c r="H85" s="245" t="s">
        <v>1946</v>
      </c>
      <c r="I85" s="355" t="s">
        <v>121</v>
      </c>
      <c r="J85" s="483" t="str">
        <f>COUNTIFS($B$4:$B$83,"*SEDE*",$J$4:$J$83, $F$176)&amp; " da €"&amp;$F$176</f>
        <v>1 da €32</v>
      </c>
      <c r="K85" s="484" t="str">
        <f>COUNTIFS($B$4:$B$83,"*SEDE*",$K$4:$K$83, $F$175)&amp; " da €"&amp;$F$175</f>
        <v>3 da €30</v>
      </c>
      <c r="L85" s="483" t="str">
        <f>COUNTIFS($B$4:$B$83,"*SEDE*",$J$4:$J$83, $F$178)&amp; " da €"&amp;$F$178</f>
        <v>0 da €37</v>
      </c>
      <c r="M85" s="484" t="str">
        <f>COUNTIFS($B$4:$B$83,"*SEDE*",$K$4:$K$83, $F$177)&amp; " da €"&amp;$F$177</f>
        <v>3 da €35</v>
      </c>
      <c r="N85" s="483" t="str">
        <f>COUNTIFS($B$4:$B$83,"*SEDE*",$J$4:$J$83, $G$176)&amp; " da €"&amp;$G$176</f>
        <v>1 da €42</v>
      </c>
      <c r="O85" s="484" t="str">
        <f>COUNTIFS($B$4:$B$83,"*SEDE*",$K$4:$K$83, $G$175)&amp; " da €"&amp;$G$175</f>
        <v>0 da €40</v>
      </c>
      <c r="P85" s="485" t="s">
        <v>40</v>
      </c>
      <c r="Q85" s="486">
        <f>SUM(J86,K86,L86,M86,N86,O86)</f>
        <v>269</v>
      </c>
      <c r="R85" s="351"/>
      <c r="S85" s="351"/>
      <c r="T85" s="351"/>
    </row>
    <row r="86">
      <c r="A86" s="245" t="s">
        <v>74</v>
      </c>
      <c r="B86" s="246">
        <f>COUNTIF(B4:B83, "ONLINE")</f>
        <v>70</v>
      </c>
      <c r="C86" s="351"/>
      <c r="D86" s="351"/>
      <c r="E86" s="351"/>
      <c r="F86" s="351"/>
      <c r="G86" s="351"/>
      <c r="I86" s="355" t="s">
        <v>122</v>
      </c>
      <c r="J86" s="483">
        <f>SUMIFS($J$4:$J$83,$B$4:$B$83,"*SEDE*",$J$4:$J$83,$F$176)</f>
        <v>32</v>
      </c>
      <c r="K86" s="369">
        <f>SUMIFS($K$4:$K$83,$B$4:$B$83,"*SEDE*",$K$4:$K$83,$F$175)</f>
        <v>90</v>
      </c>
      <c r="L86" s="368">
        <f>SUMIFS($J$4:$J$83,$B$4:$B$83,"*SEDE*",$J$4:$J$83,$F$178)</f>
        <v>0</v>
      </c>
      <c r="M86" s="369">
        <f>SUMIFS($K$4:$K$83,$B$4:$B$83,"*SEDE*",$K$4:$K$83,$F$177)</f>
        <v>105</v>
      </c>
      <c r="N86" s="368">
        <f>SUMIFS($J$4:$J$83,$B$4:$B$83,"*SEDE*",$J$4:$J$83,$G$176)</f>
        <v>42</v>
      </c>
      <c r="O86" s="369">
        <f>SUMIFS($K$4:$K$83,$B$4:$B$83,"*SEDE*",$K$4:$K$83,$G$175)</f>
        <v>0</v>
      </c>
      <c r="R86" s="351"/>
      <c r="S86" s="351"/>
      <c r="T86" s="351"/>
    </row>
    <row r="87">
      <c r="A87" s="245"/>
      <c r="B87" s="246"/>
      <c r="C87" s="351"/>
      <c r="D87" s="351"/>
      <c r="E87" s="351"/>
      <c r="F87" s="351"/>
      <c r="G87" s="351"/>
      <c r="I87" s="355" t="s">
        <v>123</v>
      </c>
      <c r="J87" s="368" t="str">
        <f>COUNTIFS($B$4:$B$83,"*ONLINE*",$J$4:$J$83, $F$176)&amp; " da €"&amp;$F$176</f>
        <v>40 da €32</v>
      </c>
      <c r="K87" s="484" t="str">
        <f>COUNTIFS($B$4:$B$83,"*ONLINE*",$K$4:$K$83, $F$175)&amp; " da €"&amp;$F$175</f>
        <v>6 da €30</v>
      </c>
      <c r="L87" s="368" t="str">
        <f>COUNTIFS($B$4:$B$83,"*ONLINE*",$J$4:$J$83, $F$178)&amp; " da €"&amp;$F$178</f>
        <v>19 da €37</v>
      </c>
      <c r="M87" s="369" t="str">
        <f>COUNTIFS($B$4:$B$83,"*ONLINE*",$K$4:$K$83, $F$177)&amp; " da €"&amp;$F$177</f>
        <v>5 da €35</v>
      </c>
      <c r="N87" s="368" t="str">
        <f>COUNTIFS($B$4:$B$83,"*ONLINE*",$J$4:$J$83, $G$176)&amp; " da €"&amp;$G$176</f>
        <v>0 da €42</v>
      </c>
      <c r="O87" s="369" t="str">
        <f>COUNTIFS($B$4:$B$83,"*ONLINE*",$K$4:$K$83, $G$175)&amp; " da €"&amp;$G$175</f>
        <v>0 da €40</v>
      </c>
      <c r="P87" s="425" t="s">
        <v>40</v>
      </c>
      <c r="Q87" s="486">
        <f>SUM(J88,K88,L88,M88,N88,O88)</f>
        <v>2338</v>
      </c>
      <c r="R87" s="351"/>
      <c r="S87" s="351"/>
      <c r="T87" s="351"/>
    </row>
    <row r="88">
      <c r="A88" s="245"/>
      <c r="B88" s="246"/>
      <c r="C88" s="351"/>
      <c r="D88" s="351"/>
      <c r="E88" s="351"/>
      <c r="F88" s="351"/>
      <c r="G88" s="351"/>
      <c r="I88" s="355" t="s">
        <v>124</v>
      </c>
      <c r="J88" s="483">
        <f>SUMIFS($J$4:$J$83,$B$4:$B$83,"*ONLINE*",$J$4:$J$83,$F$176)</f>
        <v>1280</v>
      </c>
      <c r="K88" s="484">
        <f>SUMIFS($K$4:$K$83,$B$4:$B$83,"*ONLINE*",$K$4:$K$83,$F$175)</f>
        <v>180</v>
      </c>
      <c r="L88" s="483">
        <f>SUMIFS($J$4:$J$83,$B$4:$B$83,"*ONLINE*",$J$4:$J$83,$F$178)</f>
        <v>703</v>
      </c>
      <c r="M88" s="369">
        <f>SUMIFS($K$4:$K$83,$B$4:$B$83,"*ONLINE*",$K$4:$K$83,$F$177)</f>
        <v>175</v>
      </c>
      <c r="N88" s="483">
        <f>SUMIFS($J$4:$J$83,$B$4:$B$83,"*ONLINE*",$J$4:$J$83,$G$176)</f>
        <v>0</v>
      </c>
      <c r="O88" s="369">
        <f>SUMIFS($K$4:$K$83,$B$4:$B$83,"*ONLINE*",$K$4:$K$83,$G$175)</f>
        <v>0</v>
      </c>
      <c r="R88" s="245" t="s">
        <v>120</v>
      </c>
      <c r="S88" s="378" t="str">
        <f>IF(SUM(J84:K84) = SUM(Q85:Q88), "OK", "ERRORE")</f>
        <v>OK</v>
      </c>
      <c r="T88" s="351"/>
    </row>
    <row r="89" ht="26.25" customHeight="1" collapsed="1">
      <c r="A89" s="428" t="s">
        <v>2005</v>
      </c>
      <c r="R89" s="429"/>
      <c r="S89" s="429"/>
      <c r="T89" s="429"/>
    </row>
    <row r="90" hidden="1" outlineLevel="1">
      <c r="A90" s="317"/>
      <c r="B90" s="317"/>
      <c r="C90" s="316"/>
      <c r="D90" s="336"/>
      <c r="E90" s="336"/>
      <c r="F90" s="420"/>
      <c r="G90" s="317"/>
      <c r="H90" s="317"/>
      <c r="I90" s="318"/>
      <c r="J90" s="319"/>
      <c r="K90" s="431"/>
      <c r="L90" s="317"/>
      <c r="M90" s="317"/>
      <c r="N90" s="118" t="b">
        <v>0</v>
      </c>
      <c r="O90" s="487"/>
      <c r="Q90" s="284"/>
      <c r="R90" s="285" t="b">
        <v>0</v>
      </c>
      <c r="S90" s="285" t="b">
        <v>0</v>
      </c>
      <c r="T90" s="286" t="b">
        <v>0</v>
      </c>
    </row>
    <row r="91" hidden="1" outlineLevel="1">
      <c r="A91" s="317"/>
      <c r="B91" s="317"/>
      <c r="C91" s="316"/>
      <c r="D91" s="317"/>
      <c r="E91" s="317"/>
      <c r="F91" s="317"/>
      <c r="G91" s="317"/>
      <c r="H91" s="317"/>
      <c r="I91" s="318"/>
      <c r="J91" s="319"/>
      <c r="K91" s="431"/>
      <c r="L91" s="317"/>
      <c r="M91" s="317"/>
      <c r="N91" s="118" t="b">
        <v>0</v>
      </c>
      <c r="O91" s="487"/>
      <c r="Q91" s="284"/>
      <c r="R91" s="285" t="b">
        <v>0</v>
      </c>
      <c r="S91" s="285" t="b">
        <v>0</v>
      </c>
      <c r="T91" s="286" t="b">
        <v>0</v>
      </c>
    </row>
    <row r="92" hidden="1" outlineLevel="1">
      <c r="A92" s="317"/>
      <c r="B92" s="317"/>
      <c r="C92" s="316"/>
      <c r="D92" s="317"/>
      <c r="E92" s="317"/>
      <c r="F92" s="317"/>
      <c r="G92" s="320"/>
      <c r="H92" s="320"/>
      <c r="I92" s="439"/>
      <c r="J92" s="435"/>
      <c r="K92" s="431"/>
      <c r="L92" s="317"/>
      <c r="M92" s="317"/>
      <c r="N92" s="118" t="b">
        <v>0</v>
      </c>
      <c r="O92" s="487"/>
      <c r="Q92" s="284"/>
      <c r="R92" s="285" t="b">
        <v>0</v>
      </c>
      <c r="S92" s="285" t="b">
        <v>0</v>
      </c>
      <c r="T92" s="286" t="b">
        <v>0</v>
      </c>
    </row>
    <row r="93" hidden="1" outlineLevel="1">
      <c r="A93" s="317"/>
      <c r="B93" s="317"/>
      <c r="C93" s="316"/>
      <c r="D93" s="317"/>
      <c r="E93" s="317"/>
      <c r="F93" s="317"/>
      <c r="G93" s="317"/>
      <c r="H93" s="317"/>
      <c r="I93" s="318"/>
      <c r="J93" s="319"/>
      <c r="K93" s="431"/>
      <c r="L93" s="317"/>
      <c r="M93" s="317"/>
      <c r="N93" s="118" t="b">
        <v>0</v>
      </c>
      <c r="O93" s="487"/>
      <c r="Q93" s="284"/>
      <c r="R93" s="285" t="b">
        <v>0</v>
      </c>
      <c r="S93" s="285" t="b">
        <v>0</v>
      </c>
      <c r="T93" s="286" t="b">
        <v>0</v>
      </c>
    </row>
    <row r="94" hidden="1" outlineLevel="1">
      <c r="A94" s="317"/>
      <c r="B94" s="317"/>
      <c r="C94" s="316"/>
      <c r="D94" s="317"/>
      <c r="E94" s="317"/>
      <c r="F94" s="317"/>
      <c r="G94" s="317"/>
      <c r="H94" s="317"/>
      <c r="I94" s="318"/>
      <c r="J94" s="319"/>
      <c r="K94" s="431"/>
      <c r="L94" s="317"/>
      <c r="M94" s="317"/>
      <c r="N94" s="118" t="b">
        <v>0</v>
      </c>
      <c r="O94" s="487"/>
      <c r="Q94" s="284"/>
      <c r="R94" s="285" t="b">
        <v>0</v>
      </c>
      <c r="S94" s="285" t="b">
        <v>0</v>
      </c>
      <c r="T94" s="286" t="b">
        <v>0</v>
      </c>
    </row>
    <row r="95" hidden="1" outlineLevel="1">
      <c r="A95" s="317"/>
      <c r="B95" s="317"/>
      <c r="C95" s="465"/>
      <c r="D95" s="320"/>
      <c r="E95" s="320"/>
      <c r="F95" s="320"/>
      <c r="G95" s="320"/>
      <c r="H95" s="320"/>
      <c r="I95" s="318"/>
      <c r="J95" s="319"/>
      <c r="K95" s="436"/>
      <c r="L95" s="317"/>
      <c r="M95" s="317"/>
      <c r="N95" s="118" t="b">
        <v>0</v>
      </c>
      <c r="O95" s="487"/>
      <c r="Q95" s="284"/>
      <c r="R95" s="285" t="b">
        <v>0</v>
      </c>
      <c r="S95" s="285" t="b">
        <v>0</v>
      </c>
      <c r="T95" s="286" t="b">
        <v>0</v>
      </c>
    </row>
    <row r="96" hidden="1" outlineLevel="1">
      <c r="A96" s="317"/>
      <c r="B96" s="317"/>
      <c r="C96" s="465"/>
      <c r="D96" s="320"/>
      <c r="E96" s="320"/>
      <c r="F96" s="320"/>
      <c r="G96" s="320"/>
      <c r="H96" s="320"/>
      <c r="I96" s="478"/>
      <c r="J96" s="319"/>
      <c r="K96" s="431"/>
      <c r="L96" s="317"/>
      <c r="M96" s="317"/>
      <c r="N96" s="118" t="b">
        <v>0</v>
      </c>
      <c r="O96" s="487"/>
      <c r="Q96" s="284"/>
      <c r="R96" s="285" t="b">
        <v>0</v>
      </c>
      <c r="S96" s="285" t="b">
        <v>0</v>
      </c>
      <c r="T96" s="286" t="b">
        <v>0</v>
      </c>
    </row>
    <row r="97" hidden="1" outlineLevel="1">
      <c r="A97" s="317"/>
      <c r="B97" s="317"/>
      <c r="C97" s="465"/>
      <c r="D97" s="320"/>
      <c r="E97" s="320"/>
      <c r="F97" s="320"/>
      <c r="G97" s="320"/>
      <c r="H97" s="320"/>
      <c r="I97" s="439"/>
      <c r="J97" s="435"/>
      <c r="K97" s="431"/>
      <c r="L97" s="317"/>
      <c r="M97" s="317"/>
      <c r="N97" s="118" t="b">
        <v>0</v>
      </c>
      <c r="O97" s="487"/>
      <c r="Q97" s="284"/>
      <c r="R97" s="285" t="b">
        <v>0</v>
      </c>
      <c r="S97" s="285" t="b">
        <v>0</v>
      </c>
      <c r="T97" s="286" t="b">
        <v>0</v>
      </c>
    </row>
    <row r="98" hidden="1" outlineLevel="1">
      <c r="A98" s="317"/>
      <c r="B98" s="317"/>
      <c r="C98" s="465"/>
      <c r="D98" s="320"/>
      <c r="E98" s="320"/>
      <c r="F98" s="320"/>
      <c r="G98" s="320"/>
      <c r="H98" s="320"/>
      <c r="I98" s="439"/>
      <c r="J98" s="319"/>
      <c r="K98" s="431"/>
      <c r="L98" s="317"/>
      <c r="M98" s="317"/>
      <c r="N98" s="118" t="b">
        <v>0</v>
      </c>
      <c r="O98" s="487"/>
      <c r="Q98" s="284"/>
      <c r="R98" s="285" t="b">
        <v>0</v>
      </c>
      <c r="S98" s="285" t="b">
        <v>0</v>
      </c>
      <c r="T98" s="286" t="b">
        <v>0</v>
      </c>
    </row>
    <row r="99" hidden="1" outlineLevel="1">
      <c r="A99" s="317"/>
      <c r="B99" s="317"/>
      <c r="C99" s="465"/>
      <c r="D99" s="320"/>
      <c r="E99" s="320"/>
      <c r="F99" s="320"/>
      <c r="G99" s="320"/>
      <c r="H99" s="320"/>
      <c r="I99" s="478"/>
      <c r="J99" s="319"/>
      <c r="K99" s="431"/>
      <c r="L99" s="317"/>
      <c r="M99" s="317"/>
      <c r="N99" s="118" t="b">
        <v>0</v>
      </c>
      <c r="O99" s="487"/>
      <c r="Q99" s="284"/>
      <c r="R99" s="285" t="b">
        <v>0</v>
      </c>
      <c r="S99" s="285" t="b">
        <v>0</v>
      </c>
      <c r="T99" s="286" t="b">
        <v>0</v>
      </c>
    </row>
    <row r="100" hidden="1" outlineLevel="1">
      <c r="A100" s="317"/>
      <c r="B100" s="317"/>
      <c r="C100" s="465"/>
      <c r="D100" s="320"/>
      <c r="E100" s="320"/>
      <c r="F100" s="320"/>
      <c r="G100" s="320"/>
      <c r="H100" s="320"/>
      <c r="I100" s="439"/>
      <c r="J100" s="319"/>
      <c r="K100" s="436"/>
      <c r="L100" s="317"/>
      <c r="M100" s="317"/>
      <c r="N100" s="118" t="b">
        <v>0</v>
      </c>
      <c r="O100" s="487"/>
      <c r="Q100" s="284"/>
      <c r="R100" s="285" t="b">
        <v>0</v>
      </c>
      <c r="S100" s="285" t="b">
        <v>0</v>
      </c>
      <c r="T100" s="286" t="b">
        <v>0</v>
      </c>
    </row>
    <row r="101" hidden="1" outlineLevel="1">
      <c r="A101" s="317"/>
      <c r="B101" s="317"/>
      <c r="C101" s="465"/>
      <c r="D101" s="320"/>
      <c r="E101" s="320"/>
      <c r="F101" s="320"/>
      <c r="G101" s="320"/>
      <c r="H101" s="320"/>
      <c r="I101" s="439"/>
      <c r="J101" s="319"/>
      <c r="K101" s="431"/>
      <c r="L101" s="317"/>
      <c r="M101" s="317"/>
      <c r="N101" s="118" t="b">
        <v>0</v>
      </c>
      <c r="O101" s="487"/>
      <c r="Q101" s="284"/>
      <c r="R101" s="285" t="b">
        <v>0</v>
      </c>
      <c r="S101" s="285" t="b">
        <v>0</v>
      </c>
      <c r="T101" s="286" t="b">
        <v>0</v>
      </c>
    </row>
    <row r="102" hidden="1" outlineLevel="1">
      <c r="A102" s="317"/>
      <c r="B102" s="317"/>
      <c r="C102" s="465"/>
      <c r="D102" s="320"/>
      <c r="E102" s="320"/>
      <c r="F102" s="320"/>
      <c r="G102" s="320"/>
      <c r="H102" s="320"/>
      <c r="I102" s="439"/>
      <c r="J102" s="319"/>
      <c r="K102" s="431"/>
      <c r="L102" s="317"/>
      <c r="M102" s="317"/>
      <c r="N102" s="118" t="b">
        <v>0</v>
      </c>
      <c r="O102" s="487"/>
      <c r="Q102" s="284"/>
      <c r="R102" s="285" t="b">
        <v>0</v>
      </c>
      <c r="S102" s="285" t="b">
        <v>0</v>
      </c>
      <c r="T102" s="286" t="b">
        <v>0</v>
      </c>
    </row>
    <row r="103" hidden="1" outlineLevel="1">
      <c r="A103" s="317"/>
      <c r="B103" s="317"/>
      <c r="C103" s="465"/>
      <c r="D103" s="320"/>
      <c r="E103" s="320"/>
      <c r="F103" s="320"/>
      <c r="G103" s="320"/>
      <c r="H103" s="320"/>
      <c r="I103" s="439"/>
      <c r="J103" s="319"/>
      <c r="K103" s="436"/>
      <c r="L103" s="317"/>
      <c r="M103" s="317"/>
      <c r="N103" s="118" t="b">
        <v>0</v>
      </c>
      <c r="O103" s="487"/>
      <c r="Q103" s="284"/>
      <c r="R103" s="285" t="b">
        <v>0</v>
      </c>
      <c r="S103" s="285" t="b">
        <v>0</v>
      </c>
      <c r="T103" s="286" t="b">
        <v>0</v>
      </c>
    </row>
    <row r="104" hidden="1" outlineLevel="1">
      <c r="A104" s="317"/>
      <c r="B104" s="317"/>
      <c r="C104" s="465"/>
      <c r="D104" s="320"/>
      <c r="E104" s="320"/>
      <c r="F104" s="320"/>
      <c r="G104" s="320"/>
      <c r="H104" s="320"/>
      <c r="I104" s="439"/>
      <c r="J104" s="319"/>
      <c r="K104" s="431"/>
      <c r="L104" s="317"/>
      <c r="M104" s="317"/>
      <c r="N104" s="118" t="b">
        <v>0</v>
      </c>
      <c r="O104" s="487"/>
      <c r="Q104" s="284"/>
      <c r="R104" s="285" t="b">
        <v>0</v>
      </c>
      <c r="S104" s="285" t="b">
        <v>0</v>
      </c>
      <c r="T104" s="286" t="b">
        <v>0</v>
      </c>
    </row>
    <row r="105" hidden="1" outlineLevel="1">
      <c r="A105" s="317"/>
      <c r="B105" s="317"/>
      <c r="C105" s="465"/>
      <c r="D105" s="320"/>
      <c r="E105" s="320"/>
      <c r="F105" s="320"/>
      <c r="G105" s="320"/>
      <c r="H105" s="320"/>
      <c r="I105" s="439"/>
      <c r="J105" s="319"/>
      <c r="K105" s="431"/>
      <c r="L105" s="317"/>
      <c r="M105" s="317"/>
      <c r="N105" s="118" t="b">
        <v>0</v>
      </c>
      <c r="O105" s="487"/>
      <c r="Q105" s="284"/>
      <c r="R105" s="285" t="b">
        <v>0</v>
      </c>
      <c r="S105" s="285" t="b">
        <v>0</v>
      </c>
      <c r="T105" s="286" t="b">
        <v>0</v>
      </c>
    </row>
    <row r="106" hidden="1" outlineLevel="1">
      <c r="A106" s="432"/>
      <c r="B106" s="432"/>
      <c r="C106" s="490"/>
      <c r="D106" s="488"/>
      <c r="E106" s="488"/>
      <c r="F106" s="488"/>
      <c r="G106" s="488"/>
      <c r="H106" s="488"/>
      <c r="I106" s="489"/>
      <c r="J106" s="435"/>
      <c r="K106" s="436"/>
      <c r="L106" s="432"/>
      <c r="M106" s="432"/>
      <c r="N106" s="118" t="b">
        <v>0</v>
      </c>
      <c r="O106" s="487"/>
      <c r="Q106" s="438"/>
      <c r="R106" s="285" t="b">
        <v>0</v>
      </c>
      <c r="S106" s="285" t="b">
        <v>0</v>
      </c>
      <c r="T106" s="286" t="b">
        <v>0</v>
      </c>
    </row>
    <row r="107" hidden="1" outlineLevel="1">
      <c r="A107" s="317"/>
      <c r="B107" s="317"/>
      <c r="C107" s="465"/>
      <c r="D107" s="320"/>
      <c r="E107" s="320"/>
      <c r="F107" s="320"/>
      <c r="G107" s="320"/>
      <c r="H107" s="320"/>
      <c r="I107" s="439"/>
      <c r="J107" s="319"/>
      <c r="K107" s="431"/>
      <c r="L107" s="317"/>
      <c r="M107" s="317"/>
      <c r="N107" s="118" t="b">
        <v>0</v>
      </c>
      <c r="O107" s="487"/>
      <c r="Q107" s="284"/>
      <c r="R107" s="285" t="b">
        <v>0</v>
      </c>
      <c r="S107" s="285" t="b">
        <v>0</v>
      </c>
      <c r="T107" s="286" t="b">
        <v>0</v>
      </c>
    </row>
    <row r="108" hidden="1" outlineLevel="1">
      <c r="A108" s="317"/>
      <c r="B108" s="317"/>
      <c r="C108" s="465"/>
      <c r="D108" s="320"/>
      <c r="E108" s="320"/>
      <c r="F108" s="320"/>
      <c r="G108" s="320"/>
      <c r="H108" s="320"/>
      <c r="I108" s="439"/>
      <c r="J108" s="319"/>
      <c r="K108" s="431"/>
      <c r="L108" s="317"/>
      <c r="M108" s="317"/>
      <c r="N108" s="118" t="b">
        <v>0</v>
      </c>
      <c r="O108" s="487"/>
      <c r="Q108" s="284"/>
      <c r="R108" s="285" t="b">
        <v>0</v>
      </c>
      <c r="S108" s="285" t="b">
        <v>0</v>
      </c>
      <c r="T108" s="286" t="b">
        <v>0</v>
      </c>
    </row>
    <row r="109" hidden="1" outlineLevel="1">
      <c r="A109" s="317"/>
      <c r="B109" s="317"/>
      <c r="C109" s="465"/>
      <c r="D109" s="320"/>
      <c r="E109" s="320"/>
      <c r="F109" s="320"/>
      <c r="G109" s="320"/>
      <c r="H109" s="320"/>
      <c r="I109" s="478"/>
      <c r="J109" s="319"/>
      <c r="K109" s="431"/>
      <c r="L109" s="317"/>
      <c r="M109" s="317"/>
      <c r="N109" s="118" t="b">
        <v>0</v>
      </c>
      <c r="O109" s="487"/>
      <c r="Q109" s="284"/>
      <c r="R109" s="285" t="b">
        <v>0</v>
      </c>
      <c r="S109" s="285" t="b">
        <v>0</v>
      </c>
      <c r="T109" s="286" t="b">
        <v>0</v>
      </c>
    </row>
    <row r="110" hidden="1" outlineLevel="1">
      <c r="A110" s="317"/>
      <c r="B110" s="317"/>
      <c r="C110" s="465"/>
      <c r="D110" s="320"/>
      <c r="E110" s="320"/>
      <c r="F110" s="320"/>
      <c r="G110" s="320"/>
      <c r="H110" s="320"/>
      <c r="I110" s="478"/>
      <c r="J110" s="319"/>
      <c r="K110" s="431"/>
      <c r="L110" s="317"/>
      <c r="M110" s="317"/>
      <c r="N110" s="118" t="b">
        <v>0</v>
      </c>
      <c r="O110" s="487"/>
      <c r="Q110" s="284"/>
      <c r="R110" s="285" t="b">
        <v>0</v>
      </c>
      <c r="S110" s="285" t="b">
        <v>0</v>
      </c>
      <c r="T110" s="286" t="b">
        <v>0</v>
      </c>
    </row>
    <row r="111" hidden="1" outlineLevel="1">
      <c r="A111" s="317"/>
      <c r="B111" s="317"/>
      <c r="C111" s="465"/>
      <c r="D111" s="320"/>
      <c r="E111" s="320"/>
      <c r="F111" s="320"/>
      <c r="G111" s="320"/>
      <c r="H111" s="320"/>
      <c r="I111" s="478"/>
      <c r="J111" s="319"/>
      <c r="K111" s="431"/>
      <c r="L111" s="317"/>
      <c r="M111" s="317"/>
      <c r="N111" s="118" t="b">
        <v>0</v>
      </c>
      <c r="O111" s="487"/>
      <c r="Q111" s="284"/>
      <c r="R111" s="285" t="b">
        <v>0</v>
      </c>
      <c r="S111" s="285" t="b">
        <v>0</v>
      </c>
      <c r="T111" s="286" t="b">
        <v>0</v>
      </c>
    </row>
    <row r="112" hidden="1" outlineLevel="1">
      <c r="A112" s="317"/>
      <c r="B112" s="317"/>
      <c r="C112" s="465"/>
      <c r="D112" s="320"/>
      <c r="E112" s="320"/>
      <c r="F112" s="320"/>
      <c r="G112" s="320"/>
      <c r="H112" s="320"/>
      <c r="I112" s="478"/>
      <c r="J112" s="319"/>
      <c r="K112" s="431"/>
      <c r="L112" s="317"/>
      <c r="M112" s="317"/>
      <c r="N112" s="118" t="b">
        <v>0</v>
      </c>
      <c r="O112" s="487"/>
      <c r="Q112" s="284"/>
      <c r="R112" s="285" t="b">
        <v>0</v>
      </c>
      <c r="S112" s="285" t="b">
        <v>0</v>
      </c>
      <c r="T112" s="286" t="b">
        <v>0</v>
      </c>
    </row>
    <row r="113" hidden="1" outlineLevel="1">
      <c r="A113" s="317"/>
      <c r="B113" s="317"/>
      <c r="C113" s="316"/>
      <c r="D113" s="317"/>
      <c r="E113" s="317"/>
      <c r="F113" s="317"/>
      <c r="G113" s="317"/>
      <c r="H113" s="317"/>
      <c r="I113" s="318"/>
      <c r="J113" s="319"/>
      <c r="K113" s="436"/>
      <c r="L113" s="317"/>
      <c r="M113" s="317"/>
      <c r="N113" s="118" t="b">
        <v>0</v>
      </c>
      <c r="O113" s="487"/>
      <c r="Q113" s="284"/>
      <c r="R113" s="285" t="b">
        <v>0</v>
      </c>
      <c r="S113" s="285" t="b">
        <v>0</v>
      </c>
      <c r="T113" s="286" t="b">
        <v>0</v>
      </c>
    </row>
    <row r="114" hidden="1" outlineLevel="1">
      <c r="A114" s="317"/>
      <c r="B114" s="317"/>
      <c r="C114" s="316"/>
      <c r="D114" s="317"/>
      <c r="E114" s="317"/>
      <c r="F114" s="317"/>
      <c r="G114" s="342"/>
      <c r="H114" s="317"/>
      <c r="I114" s="318"/>
      <c r="J114" s="319"/>
      <c r="K114" s="436"/>
      <c r="L114" s="317"/>
      <c r="M114" s="317"/>
      <c r="N114" s="118" t="b">
        <v>0</v>
      </c>
      <c r="O114" s="487"/>
      <c r="Q114" s="284"/>
      <c r="R114" s="285" t="b">
        <v>0</v>
      </c>
      <c r="S114" s="285" t="b">
        <v>0</v>
      </c>
      <c r="T114" s="286" t="b">
        <v>0</v>
      </c>
    </row>
    <row r="115" hidden="1" outlineLevel="1">
      <c r="A115" s="317"/>
      <c r="B115" s="317"/>
      <c r="C115" s="316"/>
      <c r="D115" s="317"/>
      <c r="E115" s="317"/>
      <c r="F115" s="317"/>
      <c r="G115" s="317"/>
      <c r="H115" s="317"/>
      <c r="I115" s="318"/>
      <c r="J115" s="319"/>
      <c r="K115" s="436"/>
      <c r="L115" s="317"/>
      <c r="M115" s="317"/>
      <c r="N115" s="118" t="b">
        <v>0</v>
      </c>
      <c r="O115" s="487"/>
      <c r="Q115" s="284"/>
      <c r="R115" s="285" t="b">
        <v>0</v>
      </c>
      <c r="S115" s="285" t="b">
        <v>0</v>
      </c>
      <c r="T115" s="286" t="b">
        <v>0</v>
      </c>
    </row>
    <row r="116" hidden="1" outlineLevel="1">
      <c r="A116" s="317"/>
      <c r="B116" s="317"/>
      <c r="C116" s="316"/>
      <c r="D116" s="317"/>
      <c r="E116" s="317"/>
      <c r="F116" s="317"/>
      <c r="G116" s="317"/>
      <c r="H116" s="317"/>
      <c r="I116" s="443"/>
      <c r="J116" s="319"/>
      <c r="K116" s="431"/>
      <c r="L116" s="317"/>
      <c r="M116" s="317"/>
      <c r="N116" s="118" t="b">
        <v>0</v>
      </c>
      <c r="O116" s="487"/>
      <c r="Q116" s="284"/>
      <c r="R116" s="285" t="b">
        <v>0</v>
      </c>
      <c r="S116" s="285" t="b">
        <v>0</v>
      </c>
      <c r="T116" s="286" t="b">
        <v>0</v>
      </c>
    </row>
    <row r="117" hidden="1" outlineLevel="1">
      <c r="A117" s="317"/>
      <c r="B117" s="317"/>
      <c r="C117" s="316"/>
      <c r="D117" s="317"/>
      <c r="E117" s="317"/>
      <c r="F117" s="317"/>
      <c r="G117" s="317"/>
      <c r="H117" s="317"/>
      <c r="I117" s="318"/>
      <c r="J117" s="319"/>
      <c r="K117" s="431"/>
      <c r="L117" s="317"/>
      <c r="M117" s="317"/>
      <c r="N117" s="118" t="b">
        <v>0</v>
      </c>
      <c r="O117" s="487"/>
      <c r="Q117" s="284"/>
      <c r="R117" s="285" t="b">
        <v>0</v>
      </c>
      <c r="S117" s="285" t="b">
        <v>0</v>
      </c>
      <c r="T117" s="286" t="b">
        <v>0</v>
      </c>
    </row>
    <row r="118" hidden="1" outlineLevel="1">
      <c r="A118" s="317"/>
      <c r="B118" s="317"/>
      <c r="C118" s="316"/>
      <c r="D118" s="317"/>
      <c r="E118" s="317"/>
      <c r="F118" s="317"/>
      <c r="G118" s="317"/>
      <c r="H118" s="317"/>
      <c r="I118" s="496"/>
      <c r="J118" s="319"/>
      <c r="K118" s="431"/>
      <c r="L118" s="317"/>
      <c r="M118" s="317"/>
      <c r="N118" s="118" t="b">
        <v>0</v>
      </c>
      <c r="O118" s="487"/>
      <c r="Q118" s="284"/>
      <c r="R118" s="285" t="b">
        <v>0</v>
      </c>
      <c r="S118" s="285" t="b">
        <v>0</v>
      </c>
      <c r="T118" s="286" t="b">
        <v>0</v>
      </c>
    </row>
    <row r="119" hidden="1" outlineLevel="1">
      <c r="A119" s="317"/>
      <c r="B119" s="317"/>
      <c r="C119" s="316"/>
      <c r="D119" s="317"/>
      <c r="E119" s="317"/>
      <c r="F119" s="317"/>
      <c r="G119" s="317"/>
      <c r="H119" s="317"/>
      <c r="I119" s="496"/>
      <c r="J119" s="319"/>
      <c r="K119" s="431"/>
      <c r="L119" s="317"/>
      <c r="M119" s="317"/>
      <c r="N119" s="118" t="b">
        <v>0</v>
      </c>
      <c r="O119" s="487"/>
      <c r="Q119" s="284"/>
      <c r="R119" s="285" t="b">
        <v>0</v>
      </c>
      <c r="S119" s="285" t="b">
        <v>0</v>
      </c>
      <c r="T119" s="286" t="b">
        <v>0</v>
      </c>
    </row>
    <row r="120" hidden="1" outlineLevel="1">
      <c r="A120" s="317"/>
      <c r="B120" s="317"/>
      <c r="C120" s="316"/>
      <c r="D120" s="317"/>
      <c r="E120" s="317"/>
      <c r="F120" s="317"/>
      <c r="G120" s="317"/>
      <c r="H120" s="317"/>
      <c r="I120" s="316"/>
      <c r="J120" s="319"/>
      <c r="K120" s="431"/>
      <c r="L120" s="317"/>
      <c r="M120" s="317"/>
      <c r="N120" s="118" t="b">
        <v>0</v>
      </c>
      <c r="O120" s="487"/>
      <c r="Q120" s="284"/>
      <c r="R120" s="285" t="b">
        <v>0</v>
      </c>
      <c r="S120" s="285" t="b">
        <v>0</v>
      </c>
      <c r="T120" s="286" t="b">
        <v>0</v>
      </c>
    </row>
    <row r="121" hidden="1" outlineLevel="1">
      <c r="A121" s="317"/>
      <c r="B121" s="317"/>
      <c r="C121" s="496"/>
      <c r="D121" s="317"/>
      <c r="E121" s="317"/>
      <c r="F121" s="317"/>
      <c r="G121" s="317"/>
      <c r="H121" s="317"/>
      <c r="I121" s="318"/>
      <c r="J121" s="319"/>
      <c r="K121" s="431"/>
      <c r="L121" s="317"/>
      <c r="M121" s="317"/>
      <c r="N121" s="118" t="b">
        <v>0</v>
      </c>
      <c r="O121" s="487"/>
      <c r="Q121" s="284"/>
      <c r="R121" s="285" t="b">
        <v>0</v>
      </c>
      <c r="S121" s="285" t="b">
        <v>0</v>
      </c>
      <c r="T121" s="286" t="b">
        <v>0</v>
      </c>
    </row>
    <row r="122" hidden="1" outlineLevel="1">
      <c r="A122" s="317"/>
      <c r="B122" s="317"/>
      <c r="C122" s="316"/>
      <c r="D122" s="317"/>
      <c r="E122" s="317"/>
      <c r="F122" s="317"/>
      <c r="G122" s="342"/>
      <c r="H122" s="317"/>
      <c r="I122" s="316"/>
      <c r="J122" s="319"/>
      <c r="K122" s="436"/>
      <c r="L122" s="317"/>
      <c r="M122" s="317"/>
      <c r="N122" s="118" t="b">
        <v>0</v>
      </c>
      <c r="O122" s="487"/>
      <c r="Q122" s="284"/>
      <c r="R122" s="285" t="b">
        <v>0</v>
      </c>
      <c r="S122" s="285" t="b">
        <v>0</v>
      </c>
      <c r="T122" s="286" t="b">
        <v>0</v>
      </c>
    </row>
    <row r="123" hidden="1" outlineLevel="1">
      <c r="A123" s="317"/>
      <c r="B123" s="317"/>
      <c r="C123" s="316"/>
      <c r="D123" s="317"/>
      <c r="E123" s="317"/>
      <c r="F123" s="317"/>
      <c r="G123" s="317"/>
      <c r="H123" s="317"/>
      <c r="I123" s="316"/>
      <c r="J123" s="319"/>
      <c r="K123" s="436"/>
      <c r="L123" s="317"/>
      <c r="M123" s="317"/>
      <c r="N123" s="118" t="b">
        <v>0</v>
      </c>
      <c r="O123" s="487"/>
      <c r="Q123" s="284"/>
      <c r="R123" s="285" t="b">
        <v>0</v>
      </c>
      <c r="S123" s="285" t="b">
        <v>0</v>
      </c>
      <c r="T123" s="286" t="b">
        <v>0</v>
      </c>
    </row>
    <row r="124" hidden="1" outlineLevel="1">
      <c r="A124" s="432"/>
      <c r="B124" s="432"/>
      <c r="C124" s="497"/>
      <c r="D124" s="432"/>
      <c r="E124" s="432"/>
      <c r="F124" s="432"/>
      <c r="G124" s="432"/>
      <c r="H124" s="432"/>
      <c r="I124" s="441"/>
      <c r="J124" s="435"/>
      <c r="K124" s="436"/>
      <c r="L124" s="432"/>
      <c r="M124" s="432"/>
      <c r="N124" s="118" t="b">
        <v>0</v>
      </c>
      <c r="O124" s="487"/>
      <c r="Q124" s="438"/>
      <c r="R124" s="285" t="b">
        <v>0</v>
      </c>
      <c r="S124" s="285" t="b">
        <v>0</v>
      </c>
      <c r="T124" s="286" t="b">
        <v>0</v>
      </c>
    </row>
    <row r="125" hidden="1" outlineLevel="1">
      <c r="A125" s="432"/>
      <c r="B125" s="432"/>
      <c r="C125" s="497"/>
      <c r="D125" s="131"/>
      <c r="E125" s="432"/>
      <c r="F125" s="317"/>
      <c r="G125" s="317"/>
      <c r="H125" s="317"/>
      <c r="I125" s="318"/>
      <c r="J125" s="319"/>
      <c r="K125" s="436"/>
      <c r="L125" s="432"/>
      <c r="M125" s="317"/>
      <c r="N125" s="118" t="b">
        <v>0</v>
      </c>
      <c r="O125" s="487"/>
      <c r="Q125" s="284"/>
      <c r="R125" s="285" t="b">
        <v>0</v>
      </c>
      <c r="S125" s="285" t="b">
        <v>0</v>
      </c>
      <c r="T125" s="286" t="b">
        <v>0</v>
      </c>
    </row>
    <row r="126" hidden="1" outlineLevel="1">
      <c r="A126" s="432"/>
      <c r="B126" s="432"/>
      <c r="C126" s="477"/>
      <c r="D126" s="432"/>
      <c r="E126" s="432"/>
      <c r="F126" s="432"/>
      <c r="G126" s="432"/>
      <c r="H126" s="351"/>
      <c r="I126" s="441"/>
      <c r="J126" s="435"/>
      <c r="K126" s="436"/>
      <c r="L126" s="432"/>
      <c r="M126" s="432"/>
      <c r="N126" s="118" t="b">
        <v>0</v>
      </c>
      <c r="O126" s="487"/>
      <c r="Q126" s="438"/>
      <c r="R126" s="285" t="b">
        <v>0</v>
      </c>
      <c r="S126" s="285" t="b">
        <v>0</v>
      </c>
      <c r="T126" s="286" t="b">
        <v>0</v>
      </c>
    </row>
    <row r="127" hidden="1" outlineLevel="1">
      <c r="A127" s="317"/>
      <c r="B127" s="317"/>
      <c r="C127" s="496"/>
      <c r="D127" s="317"/>
      <c r="E127" s="317"/>
      <c r="F127" s="317"/>
      <c r="G127" s="317"/>
      <c r="H127" s="317"/>
      <c r="I127" s="318"/>
      <c r="J127" s="319"/>
      <c r="K127" s="431"/>
      <c r="L127" s="317"/>
      <c r="M127" s="317"/>
      <c r="N127" s="118" t="b">
        <v>0</v>
      </c>
      <c r="O127" s="487"/>
      <c r="Q127" s="284"/>
      <c r="R127" s="285" t="b">
        <v>0</v>
      </c>
      <c r="S127" s="285" t="b">
        <v>0</v>
      </c>
      <c r="T127" s="286" t="b">
        <v>0</v>
      </c>
    </row>
    <row r="128" hidden="1" outlineLevel="1">
      <c r="A128" s="317"/>
      <c r="B128" s="317"/>
      <c r="C128" s="316"/>
      <c r="D128" s="317"/>
      <c r="E128" s="317"/>
      <c r="F128" s="324"/>
      <c r="G128" s="317"/>
      <c r="H128" s="317"/>
      <c r="I128" s="318"/>
      <c r="J128" s="319"/>
      <c r="K128" s="436"/>
      <c r="L128" s="317"/>
      <c r="M128" s="317"/>
      <c r="N128" s="118" t="b">
        <v>0</v>
      </c>
      <c r="O128" s="487"/>
      <c r="Q128" s="284"/>
      <c r="R128" s="285" t="b">
        <v>0</v>
      </c>
      <c r="S128" s="285" t="b">
        <v>0</v>
      </c>
      <c r="T128" s="286" t="b">
        <v>0</v>
      </c>
    </row>
    <row r="129" hidden="1" outlineLevel="1">
      <c r="A129" s="317"/>
      <c r="B129" s="317"/>
      <c r="C129" s="316"/>
      <c r="D129" s="317"/>
      <c r="E129" s="317"/>
      <c r="F129" s="317"/>
      <c r="G129" s="317"/>
      <c r="H129" s="317"/>
      <c r="I129" s="318"/>
      <c r="J129" s="319"/>
      <c r="K129" s="436"/>
      <c r="L129" s="317"/>
      <c r="M129" s="317"/>
      <c r="N129" s="118" t="b">
        <v>0</v>
      </c>
      <c r="O129" s="487"/>
      <c r="Q129" s="284"/>
      <c r="R129" s="285" t="b">
        <v>0</v>
      </c>
      <c r="S129" s="285" t="b">
        <v>0</v>
      </c>
      <c r="T129" s="286" t="b">
        <v>0</v>
      </c>
    </row>
    <row r="130" hidden="1" outlineLevel="1">
      <c r="A130" s="317"/>
      <c r="B130" s="317"/>
      <c r="C130" s="316"/>
      <c r="D130" s="317"/>
      <c r="E130" s="317"/>
      <c r="F130" s="317"/>
      <c r="G130" s="317"/>
      <c r="H130" s="317"/>
      <c r="I130" s="318"/>
      <c r="J130" s="319"/>
      <c r="K130" s="431"/>
      <c r="L130" s="317"/>
      <c r="M130" s="317"/>
      <c r="N130" s="118" t="b">
        <v>0</v>
      </c>
      <c r="O130" s="487"/>
      <c r="Q130" s="284"/>
      <c r="R130" s="285" t="b">
        <v>0</v>
      </c>
      <c r="S130" s="285" t="b">
        <v>0</v>
      </c>
      <c r="T130" s="286" t="b">
        <v>0</v>
      </c>
    </row>
    <row r="131" hidden="1" outlineLevel="1">
      <c r="A131" s="432"/>
      <c r="B131" s="432"/>
      <c r="C131" s="440"/>
      <c r="D131" s="432"/>
      <c r="E131" s="432"/>
      <c r="F131" s="432"/>
      <c r="G131" s="432"/>
      <c r="H131" s="432"/>
      <c r="I131" s="441"/>
      <c r="J131" s="435"/>
      <c r="K131" s="436"/>
      <c r="L131" s="432"/>
      <c r="M131" s="317"/>
      <c r="N131" s="118" t="b">
        <v>0</v>
      </c>
      <c r="O131" s="487"/>
      <c r="Q131" s="284"/>
      <c r="R131" s="285" t="b">
        <v>0</v>
      </c>
      <c r="S131" s="285" t="b">
        <v>0</v>
      </c>
      <c r="T131" s="286" t="b">
        <v>0</v>
      </c>
    </row>
    <row r="132" hidden="1" outlineLevel="1">
      <c r="A132" s="317"/>
      <c r="B132" s="317"/>
      <c r="C132" s="316"/>
      <c r="D132" s="317"/>
      <c r="E132" s="317"/>
      <c r="F132" s="317"/>
      <c r="G132" s="317"/>
      <c r="H132" s="317"/>
      <c r="I132" s="318"/>
      <c r="J132" s="319"/>
      <c r="K132" s="431"/>
      <c r="L132" s="317"/>
      <c r="M132" s="317"/>
      <c r="N132" s="118" t="b">
        <v>0</v>
      </c>
      <c r="O132" s="487"/>
      <c r="Q132" s="284"/>
      <c r="R132" s="285" t="b">
        <v>0</v>
      </c>
      <c r="S132" s="285" t="b">
        <v>0</v>
      </c>
      <c r="T132" s="286" t="b">
        <v>0</v>
      </c>
    </row>
    <row r="133" hidden="1" outlineLevel="1">
      <c r="A133" s="317"/>
      <c r="B133" s="317"/>
      <c r="C133" s="440"/>
      <c r="D133" s="432"/>
      <c r="E133" s="432"/>
      <c r="F133" s="432"/>
      <c r="G133" s="432"/>
      <c r="H133" s="432"/>
      <c r="I133" s="441"/>
      <c r="J133" s="435"/>
      <c r="K133" s="436"/>
      <c r="L133" s="432"/>
      <c r="M133" s="432"/>
      <c r="N133" s="118" t="b">
        <v>0</v>
      </c>
      <c r="O133" s="487"/>
      <c r="Q133" s="438"/>
      <c r="R133" s="285" t="b">
        <v>0</v>
      </c>
      <c r="S133" s="285" t="b">
        <v>0</v>
      </c>
      <c r="T133" s="286" t="b">
        <v>0</v>
      </c>
    </row>
    <row r="134" hidden="1" outlineLevel="1">
      <c r="A134" s="432"/>
      <c r="B134" s="432"/>
      <c r="C134" s="440"/>
      <c r="D134" s="432"/>
      <c r="E134" s="432"/>
      <c r="F134" s="432"/>
      <c r="G134" s="432"/>
      <c r="H134" s="432"/>
      <c r="I134" s="441"/>
      <c r="J134" s="435"/>
      <c r="K134" s="436"/>
      <c r="L134" s="432"/>
      <c r="M134" s="317"/>
      <c r="N134" s="118" t="b">
        <v>0</v>
      </c>
      <c r="O134" s="487"/>
      <c r="Q134" s="438"/>
      <c r="R134" s="285" t="b">
        <v>0</v>
      </c>
      <c r="S134" s="285" t="b">
        <v>0</v>
      </c>
      <c r="T134" s="286" t="b">
        <v>0</v>
      </c>
    </row>
    <row r="135" hidden="1" outlineLevel="1">
      <c r="A135" s="317"/>
      <c r="B135" s="317"/>
      <c r="C135" s="316"/>
      <c r="D135" s="317"/>
      <c r="E135" s="317"/>
      <c r="F135" s="317"/>
      <c r="G135" s="317"/>
      <c r="H135" s="317"/>
      <c r="I135" s="318"/>
      <c r="J135" s="319"/>
      <c r="K135" s="436"/>
      <c r="L135" s="317"/>
      <c r="M135" s="317"/>
      <c r="N135" s="118" t="b">
        <v>0</v>
      </c>
      <c r="O135" s="487"/>
      <c r="Q135" s="284"/>
      <c r="R135" s="285" t="b">
        <v>0</v>
      </c>
      <c r="S135" s="285" t="b">
        <v>0</v>
      </c>
      <c r="T135" s="286" t="b">
        <v>0</v>
      </c>
    </row>
    <row r="136" hidden="1" outlineLevel="1">
      <c r="A136" s="317"/>
      <c r="B136" s="317"/>
      <c r="C136" s="316"/>
      <c r="D136" s="317"/>
      <c r="E136" s="317"/>
      <c r="F136" s="317"/>
      <c r="G136" s="317"/>
      <c r="H136" s="317"/>
      <c r="I136" s="318"/>
      <c r="J136" s="319"/>
      <c r="K136" s="431"/>
      <c r="L136" s="317"/>
      <c r="M136" s="317"/>
      <c r="N136" s="118" t="b">
        <v>0</v>
      </c>
      <c r="O136" s="487"/>
      <c r="Q136" s="284"/>
      <c r="R136" s="285" t="b">
        <v>0</v>
      </c>
      <c r="S136" s="285" t="b">
        <v>0</v>
      </c>
      <c r="T136" s="286" t="b">
        <v>0</v>
      </c>
    </row>
    <row r="137" hidden="1" outlineLevel="1">
      <c r="A137" s="317"/>
      <c r="B137" s="317"/>
      <c r="C137" s="316"/>
      <c r="D137" s="317"/>
      <c r="E137" s="317"/>
      <c r="F137" s="317"/>
      <c r="G137" s="317"/>
      <c r="H137" s="317"/>
      <c r="I137" s="318"/>
      <c r="J137" s="319"/>
      <c r="K137" s="436"/>
      <c r="L137" s="317"/>
      <c r="M137" s="317"/>
      <c r="N137" s="118" t="b">
        <v>0</v>
      </c>
      <c r="O137" s="487"/>
      <c r="Q137" s="284"/>
      <c r="R137" s="285" t="b">
        <v>0</v>
      </c>
      <c r="S137" s="285" t="b">
        <v>0</v>
      </c>
      <c r="T137" s="286" t="b">
        <v>0</v>
      </c>
    </row>
    <row r="138" hidden="1" outlineLevel="1">
      <c r="A138" s="317"/>
      <c r="B138" s="317"/>
      <c r="C138" s="316"/>
      <c r="D138" s="317"/>
      <c r="E138" s="317"/>
      <c r="F138" s="317"/>
      <c r="G138" s="317"/>
      <c r="H138" s="317"/>
      <c r="I138" s="318"/>
      <c r="J138" s="319"/>
      <c r="K138" s="431"/>
      <c r="L138" s="317"/>
      <c r="M138" s="317"/>
      <c r="N138" s="118" t="b">
        <v>0</v>
      </c>
      <c r="O138" s="487"/>
      <c r="Q138" s="284"/>
      <c r="R138" s="285" t="b">
        <v>0</v>
      </c>
      <c r="S138" s="285" t="b">
        <v>0</v>
      </c>
      <c r="T138" s="286" t="b">
        <v>0</v>
      </c>
    </row>
    <row r="139" hidden="1" outlineLevel="1">
      <c r="A139" s="317"/>
      <c r="B139" s="317"/>
      <c r="C139" s="316"/>
      <c r="D139" s="317"/>
      <c r="E139" s="317"/>
      <c r="F139" s="317"/>
      <c r="G139" s="317"/>
      <c r="H139" s="317"/>
      <c r="I139" s="318"/>
      <c r="J139" s="319"/>
      <c r="K139" s="431"/>
      <c r="L139" s="317"/>
      <c r="M139" s="317"/>
      <c r="N139" s="118" t="b">
        <v>0</v>
      </c>
      <c r="O139" s="487"/>
      <c r="Q139" s="284"/>
      <c r="R139" s="285" t="b">
        <v>0</v>
      </c>
      <c r="S139" s="285" t="b">
        <v>0</v>
      </c>
      <c r="T139" s="286" t="b">
        <v>0</v>
      </c>
    </row>
    <row r="140" hidden="1" outlineLevel="1">
      <c r="A140" s="317"/>
      <c r="B140" s="317"/>
      <c r="C140" s="316"/>
      <c r="D140" s="317"/>
      <c r="E140" s="317"/>
      <c r="F140" s="317"/>
      <c r="G140" s="317"/>
      <c r="H140" s="317"/>
      <c r="I140" s="318"/>
      <c r="J140" s="319"/>
      <c r="K140" s="431"/>
      <c r="L140" s="317"/>
      <c r="M140" s="317"/>
      <c r="N140" s="118" t="b">
        <v>0</v>
      </c>
      <c r="O140" s="487"/>
      <c r="Q140" s="284"/>
      <c r="R140" s="285" t="b">
        <v>0</v>
      </c>
      <c r="S140" s="285" t="b">
        <v>0</v>
      </c>
      <c r="T140" s="286" t="b">
        <v>0</v>
      </c>
    </row>
    <row r="141" hidden="1" outlineLevel="1">
      <c r="A141" s="317"/>
      <c r="B141" s="317"/>
      <c r="C141" s="316"/>
      <c r="D141" s="317"/>
      <c r="E141" s="317"/>
      <c r="F141" s="317"/>
      <c r="G141" s="317"/>
      <c r="H141" s="317"/>
      <c r="I141" s="318"/>
      <c r="J141" s="319"/>
      <c r="K141" s="431"/>
      <c r="L141" s="317"/>
      <c r="M141" s="317"/>
      <c r="N141" s="118" t="b">
        <v>0</v>
      </c>
      <c r="O141" s="487"/>
      <c r="Q141" s="284"/>
      <c r="R141" s="285" t="b">
        <v>0</v>
      </c>
      <c r="S141" s="285" t="b">
        <v>0</v>
      </c>
      <c r="T141" s="286" t="b">
        <v>0</v>
      </c>
    </row>
    <row r="142" hidden="1" outlineLevel="1">
      <c r="A142" s="317"/>
      <c r="B142" s="317"/>
      <c r="C142" s="316"/>
      <c r="D142" s="317"/>
      <c r="E142" s="317"/>
      <c r="F142" s="317"/>
      <c r="G142" s="317"/>
      <c r="H142" s="317"/>
      <c r="I142" s="318"/>
      <c r="J142" s="435"/>
      <c r="K142" s="431"/>
      <c r="L142" s="317"/>
      <c r="M142" s="317"/>
      <c r="N142" s="118" t="b">
        <v>0</v>
      </c>
      <c r="O142" s="487"/>
      <c r="Q142" s="284"/>
      <c r="R142" s="285" t="b">
        <v>0</v>
      </c>
      <c r="S142" s="285" t="b">
        <v>0</v>
      </c>
      <c r="T142" s="286" t="b">
        <v>0</v>
      </c>
    </row>
    <row r="143" hidden="1" outlineLevel="1">
      <c r="A143" s="317"/>
      <c r="B143" s="317"/>
      <c r="C143" s="316"/>
      <c r="D143" s="317"/>
      <c r="E143" s="317"/>
      <c r="F143" s="317"/>
      <c r="G143" s="317"/>
      <c r="H143" s="317"/>
      <c r="I143" s="318"/>
      <c r="J143" s="319"/>
      <c r="K143" s="436"/>
      <c r="L143" s="317"/>
      <c r="M143" s="317"/>
      <c r="N143" s="118" t="b">
        <v>0</v>
      </c>
      <c r="O143" s="487"/>
      <c r="Q143" s="284"/>
      <c r="R143" s="285" t="b">
        <v>0</v>
      </c>
      <c r="S143" s="285" t="b">
        <v>0</v>
      </c>
      <c r="T143" s="286" t="b">
        <v>0</v>
      </c>
    </row>
    <row r="144" hidden="1" outlineLevel="1">
      <c r="A144" s="317"/>
      <c r="B144" s="317"/>
      <c r="C144" s="316"/>
      <c r="D144" s="317"/>
      <c r="E144" s="317"/>
      <c r="F144" s="317"/>
      <c r="G144" s="317"/>
      <c r="H144" s="317"/>
      <c r="I144" s="318"/>
      <c r="J144" s="319"/>
      <c r="K144" s="436"/>
      <c r="L144" s="317"/>
      <c r="M144" s="317"/>
      <c r="N144" s="118" t="b">
        <v>0</v>
      </c>
      <c r="O144" s="487"/>
      <c r="Q144" s="284"/>
      <c r="R144" s="285" t="b">
        <v>0</v>
      </c>
      <c r="S144" s="285" t="b">
        <v>0</v>
      </c>
      <c r="T144" s="286" t="b">
        <v>0</v>
      </c>
    </row>
    <row r="145" hidden="1" outlineLevel="1">
      <c r="A145" s="317"/>
      <c r="B145" s="317"/>
      <c r="C145" s="444"/>
      <c r="D145" s="317"/>
      <c r="E145" s="317"/>
      <c r="F145" s="317"/>
      <c r="G145" s="317"/>
      <c r="H145" s="317"/>
      <c r="I145" s="318"/>
      <c r="J145" s="319"/>
      <c r="K145" s="436"/>
      <c r="L145" s="317"/>
      <c r="M145" s="317"/>
      <c r="N145" s="118" t="b">
        <v>0</v>
      </c>
      <c r="O145" s="487"/>
      <c r="Q145" s="284"/>
      <c r="R145" s="285" t="b">
        <v>0</v>
      </c>
      <c r="S145" s="285" t="b">
        <v>0</v>
      </c>
      <c r="T145" s="286" t="b">
        <v>0</v>
      </c>
    </row>
    <row r="146" hidden="1" outlineLevel="1">
      <c r="A146" s="317"/>
      <c r="B146" s="317"/>
      <c r="C146" s="444"/>
      <c r="D146" s="317"/>
      <c r="E146" s="317"/>
      <c r="F146" s="317"/>
      <c r="G146" s="317"/>
      <c r="H146" s="317"/>
      <c r="I146" s="318"/>
      <c r="J146" s="319"/>
      <c r="K146" s="436"/>
      <c r="L146" s="317"/>
      <c r="M146" s="317"/>
      <c r="N146" s="118" t="b">
        <v>0</v>
      </c>
      <c r="O146" s="487"/>
      <c r="Q146" s="284"/>
      <c r="R146" s="285" t="b">
        <v>0</v>
      </c>
      <c r="S146" s="285" t="b">
        <v>0</v>
      </c>
      <c r="T146" s="286" t="b">
        <v>0</v>
      </c>
    </row>
    <row r="147" hidden="1" outlineLevel="1">
      <c r="A147" s="317"/>
      <c r="B147" s="317"/>
      <c r="C147" s="444"/>
      <c r="D147" s="317"/>
      <c r="E147" s="317"/>
      <c r="F147" s="317"/>
      <c r="G147" s="317"/>
      <c r="H147" s="317"/>
      <c r="I147" s="318"/>
      <c r="J147" s="319"/>
      <c r="K147" s="436"/>
      <c r="L147" s="317"/>
      <c r="M147" s="317"/>
      <c r="N147" s="118" t="b">
        <v>0</v>
      </c>
      <c r="O147" s="487"/>
      <c r="Q147" s="284"/>
      <c r="R147" s="285" t="b">
        <v>0</v>
      </c>
      <c r="S147" s="285" t="b">
        <v>0</v>
      </c>
      <c r="T147" s="286" t="b">
        <v>0</v>
      </c>
    </row>
    <row r="148" hidden="1" outlineLevel="1">
      <c r="A148" s="317"/>
      <c r="B148" s="317"/>
      <c r="C148" s="444"/>
      <c r="D148" s="317"/>
      <c r="E148" s="317"/>
      <c r="F148" s="317"/>
      <c r="G148" s="317"/>
      <c r="H148" s="317"/>
      <c r="I148" s="318"/>
      <c r="J148" s="319"/>
      <c r="K148" s="436"/>
      <c r="L148" s="317"/>
      <c r="M148" s="317"/>
      <c r="N148" s="118" t="b">
        <v>0</v>
      </c>
      <c r="O148" s="487"/>
      <c r="Q148" s="284"/>
      <c r="R148" s="285" t="b">
        <v>0</v>
      </c>
      <c r="S148" s="285" t="b">
        <v>0</v>
      </c>
      <c r="T148" s="286" t="b">
        <v>0</v>
      </c>
    </row>
    <row r="149" hidden="1" outlineLevel="1">
      <c r="A149" s="317"/>
      <c r="B149" s="317"/>
      <c r="C149" s="444"/>
      <c r="D149" s="317"/>
      <c r="E149" s="317"/>
      <c r="F149" s="317"/>
      <c r="G149" s="317"/>
      <c r="H149" s="317"/>
      <c r="I149" s="318"/>
      <c r="J149" s="319"/>
      <c r="K149" s="436"/>
      <c r="L149" s="317"/>
      <c r="M149" s="317"/>
      <c r="N149" s="118" t="b">
        <v>0</v>
      </c>
      <c r="O149" s="487"/>
      <c r="Q149" s="284"/>
      <c r="R149" s="285" t="b">
        <v>0</v>
      </c>
      <c r="S149" s="285" t="b">
        <v>0</v>
      </c>
      <c r="T149" s="286" t="b">
        <v>0</v>
      </c>
    </row>
    <row r="150" hidden="1" outlineLevel="1">
      <c r="A150" s="317"/>
      <c r="B150" s="317"/>
      <c r="C150" s="444"/>
      <c r="D150" s="317"/>
      <c r="E150" s="317"/>
      <c r="F150" s="317"/>
      <c r="G150" s="317"/>
      <c r="H150" s="317"/>
      <c r="I150" s="318"/>
      <c r="J150" s="319"/>
      <c r="K150" s="436"/>
      <c r="L150" s="317"/>
      <c r="M150" s="317"/>
      <c r="N150" s="118" t="b">
        <v>0</v>
      </c>
      <c r="O150" s="487"/>
      <c r="Q150" s="284"/>
      <c r="R150" s="285" t="b">
        <v>0</v>
      </c>
      <c r="S150" s="285" t="b">
        <v>0</v>
      </c>
      <c r="T150" s="286" t="b">
        <v>0</v>
      </c>
    </row>
    <row r="151" hidden="1" outlineLevel="1">
      <c r="A151" s="317"/>
      <c r="B151" s="317"/>
      <c r="C151" s="444"/>
      <c r="D151" s="317"/>
      <c r="E151" s="317"/>
      <c r="F151" s="317"/>
      <c r="G151" s="317"/>
      <c r="H151" s="317"/>
      <c r="I151" s="318"/>
      <c r="J151" s="435"/>
      <c r="K151" s="431"/>
      <c r="L151" s="317"/>
      <c r="M151" s="317"/>
      <c r="N151" s="118" t="b">
        <v>0</v>
      </c>
      <c r="O151" s="487"/>
      <c r="Q151" s="284"/>
      <c r="R151" s="285" t="b">
        <v>0</v>
      </c>
      <c r="S151" s="285" t="b">
        <v>0</v>
      </c>
      <c r="T151" s="286" t="b">
        <v>0</v>
      </c>
    </row>
    <row r="152" hidden="1" outlineLevel="1">
      <c r="A152" s="317"/>
      <c r="B152" s="317"/>
      <c r="C152" s="444"/>
      <c r="D152" s="317"/>
      <c r="E152" s="317"/>
      <c r="F152" s="317"/>
      <c r="G152" s="317"/>
      <c r="H152" s="317"/>
      <c r="I152" s="318"/>
      <c r="J152" s="435"/>
      <c r="K152" s="431"/>
      <c r="L152" s="317"/>
      <c r="M152" s="317"/>
      <c r="N152" s="118" t="b">
        <v>0</v>
      </c>
      <c r="O152" s="487"/>
      <c r="Q152" s="284"/>
      <c r="R152" s="285" t="b">
        <v>0</v>
      </c>
      <c r="S152" s="285" t="b">
        <v>0</v>
      </c>
      <c r="T152" s="286" t="b">
        <v>0</v>
      </c>
    </row>
    <row r="153" hidden="1" outlineLevel="1">
      <c r="A153" s="317"/>
      <c r="B153" s="317"/>
      <c r="C153" s="444"/>
      <c r="D153" s="317"/>
      <c r="E153" s="317"/>
      <c r="F153" s="317"/>
      <c r="G153" s="317"/>
      <c r="H153" s="317"/>
      <c r="I153" s="318"/>
      <c r="J153" s="319"/>
      <c r="K153" s="436"/>
      <c r="L153" s="317"/>
      <c r="M153" s="317"/>
      <c r="N153" s="118" t="b">
        <v>0</v>
      </c>
      <c r="O153" s="487"/>
      <c r="Q153" s="284"/>
      <c r="R153" s="285" t="b">
        <v>0</v>
      </c>
      <c r="S153" s="285" t="b">
        <v>0</v>
      </c>
      <c r="T153" s="286" t="b">
        <v>0</v>
      </c>
    </row>
    <row r="154" hidden="1" outlineLevel="1">
      <c r="A154" s="317"/>
      <c r="B154" s="317"/>
      <c r="C154" s="444"/>
      <c r="D154" s="317"/>
      <c r="E154" s="317"/>
      <c r="F154" s="317"/>
      <c r="G154" s="317"/>
      <c r="H154" s="317"/>
      <c r="I154" s="318"/>
      <c r="J154" s="319"/>
      <c r="K154" s="436"/>
      <c r="L154" s="317"/>
      <c r="M154" s="317"/>
      <c r="N154" s="118" t="b">
        <v>0</v>
      </c>
      <c r="O154" s="487"/>
      <c r="Q154" s="284"/>
      <c r="R154" s="285" t="b">
        <v>0</v>
      </c>
      <c r="S154" s="285" t="b">
        <v>0</v>
      </c>
      <c r="T154" s="286" t="b">
        <v>0</v>
      </c>
    </row>
    <row r="155" hidden="1" outlineLevel="1">
      <c r="A155" s="317"/>
      <c r="B155" s="317"/>
      <c r="C155" s="498"/>
      <c r="D155" s="336"/>
      <c r="E155" s="336"/>
      <c r="F155" s="420"/>
      <c r="G155" s="317"/>
      <c r="H155" s="317"/>
      <c r="I155" s="318"/>
      <c r="J155" s="319"/>
      <c r="K155" s="431"/>
      <c r="L155" s="317"/>
      <c r="M155" s="317"/>
      <c r="N155" s="118" t="b">
        <v>0</v>
      </c>
      <c r="O155" s="487"/>
      <c r="Q155" s="284"/>
      <c r="R155" s="285" t="b">
        <v>0</v>
      </c>
      <c r="S155" s="285" t="b">
        <v>0</v>
      </c>
      <c r="T155" s="286" t="b">
        <v>0</v>
      </c>
    </row>
    <row r="156" hidden="1" outlineLevel="1">
      <c r="A156" s="317"/>
      <c r="B156" s="317"/>
      <c r="C156" s="498"/>
      <c r="D156" s="279"/>
      <c r="E156" s="279"/>
      <c r="F156" s="346"/>
      <c r="G156" s="317"/>
      <c r="H156" s="317"/>
      <c r="I156" s="318"/>
      <c r="J156" s="319"/>
      <c r="K156" s="431"/>
      <c r="L156" s="317"/>
      <c r="M156" s="317"/>
      <c r="N156" s="118" t="b">
        <v>0</v>
      </c>
      <c r="O156" s="487"/>
      <c r="Q156" s="284"/>
      <c r="R156" s="285" t="b">
        <v>0</v>
      </c>
      <c r="S156" s="285" t="b">
        <v>0</v>
      </c>
      <c r="T156" s="286" t="b">
        <v>0</v>
      </c>
    </row>
    <row r="157" hidden="1" outlineLevel="1">
      <c r="A157" s="432"/>
      <c r="B157" s="432"/>
      <c r="C157" s="440"/>
      <c r="D157" s="432"/>
      <c r="E157" s="432"/>
      <c r="F157" s="432"/>
      <c r="G157" s="432"/>
      <c r="H157" s="351"/>
      <c r="I157" s="441"/>
      <c r="J157" s="319"/>
      <c r="K157" s="436"/>
      <c r="L157" s="317"/>
      <c r="M157" s="432"/>
      <c r="N157" s="118" t="b">
        <v>0</v>
      </c>
      <c r="O157" s="487"/>
      <c r="Q157" s="284"/>
      <c r="R157" s="285" t="b">
        <v>0</v>
      </c>
      <c r="S157" s="285" t="b">
        <v>0</v>
      </c>
      <c r="T157" s="286" t="b">
        <v>0</v>
      </c>
    </row>
    <row r="158" hidden="1" outlineLevel="1">
      <c r="A158" s="317"/>
      <c r="B158" s="317"/>
      <c r="C158" s="316"/>
      <c r="D158" s="317"/>
      <c r="E158" s="317"/>
      <c r="F158" s="317"/>
      <c r="G158" s="317"/>
      <c r="H158" s="317"/>
      <c r="I158" s="318"/>
      <c r="J158" s="319"/>
      <c r="K158" s="436"/>
      <c r="L158" s="317"/>
      <c r="M158" s="317"/>
      <c r="N158" s="118" t="b">
        <v>0</v>
      </c>
      <c r="O158" s="487"/>
      <c r="Q158" s="284"/>
      <c r="R158" s="285" t="b">
        <v>0</v>
      </c>
      <c r="S158" s="285" t="b">
        <v>0</v>
      </c>
      <c r="T158" s="286" t="b">
        <v>0</v>
      </c>
    </row>
    <row r="159" hidden="1" outlineLevel="1">
      <c r="A159" s="317"/>
      <c r="B159" s="317"/>
      <c r="C159" s="444"/>
      <c r="D159" s="317"/>
      <c r="E159" s="317"/>
      <c r="F159" s="317"/>
      <c r="G159" s="317"/>
      <c r="H159" s="317"/>
      <c r="I159" s="318"/>
      <c r="J159" s="319"/>
      <c r="K159" s="436"/>
      <c r="L159" s="317"/>
      <c r="M159" s="317"/>
      <c r="N159" s="118" t="b">
        <v>0</v>
      </c>
      <c r="O159" s="487"/>
      <c r="Q159" s="284"/>
      <c r="R159" s="285" t="b">
        <v>0</v>
      </c>
      <c r="S159" s="285" t="b">
        <v>0</v>
      </c>
      <c r="T159" s="286" t="b">
        <v>0</v>
      </c>
    </row>
    <row r="160" hidden="1" outlineLevel="1">
      <c r="A160" s="317"/>
      <c r="B160" s="317"/>
      <c r="C160" s="444"/>
      <c r="D160" s="317"/>
      <c r="E160" s="317"/>
      <c r="F160" s="317"/>
      <c r="G160" s="317"/>
      <c r="H160" s="317"/>
      <c r="I160" s="318"/>
      <c r="J160" s="319"/>
      <c r="K160" s="436"/>
      <c r="L160" s="317"/>
      <c r="M160" s="317"/>
      <c r="N160" s="118" t="b">
        <v>0</v>
      </c>
      <c r="O160" s="487"/>
      <c r="P160" s="487"/>
      <c r="Q160" s="284"/>
      <c r="R160" s="285" t="b">
        <v>0</v>
      </c>
      <c r="S160" s="285" t="b">
        <v>0</v>
      </c>
      <c r="T160" s="286" t="b">
        <v>0</v>
      </c>
    </row>
    <row r="161" hidden="1" outlineLevel="1">
      <c r="A161" s="317"/>
      <c r="B161" s="317"/>
      <c r="C161" s="444"/>
      <c r="D161" s="317"/>
      <c r="E161" s="317"/>
      <c r="F161" s="317"/>
      <c r="G161" s="317"/>
      <c r="H161" s="317"/>
      <c r="I161" s="318"/>
      <c r="J161" s="319"/>
      <c r="K161" s="436"/>
      <c r="L161" s="317"/>
      <c r="M161" s="317"/>
      <c r="N161" s="118" t="b">
        <v>0</v>
      </c>
      <c r="O161" s="487"/>
      <c r="P161" s="487"/>
      <c r="Q161" s="284"/>
      <c r="R161" s="285" t="b">
        <v>0</v>
      </c>
      <c r="S161" s="285" t="b">
        <v>0</v>
      </c>
      <c r="T161" s="286" t="b">
        <v>0</v>
      </c>
    </row>
    <row r="162" hidden="1" outlineLevel="1">
      <c r="A162" s="317"/>
      <c r="B162" s="317"/>
      <c r="C162" s="444"/>
      <c r="D162" s="317"/>
      <c r="E162" s="317"/>
      <c r="F162" s="317"/>
      <c r="G162" s="317"/>
      <c r="H162" s="317"/>
      <c r="I162" s="318"/>
      <c r="J162" s="319"/>
      <c r="K162" s="436"/>
      <c r="L162" s="317"/>
      <c r="M162" s="317"/>
      <c r="N162" s="118" t="b">
        <v>0</v>
      </c>
      <c r="O162" s="487"/>
      <c r="P162" s="487"/>
      <c r="Q162" s="284"/>
      <c r="R162" s="285" t="b">
        <v>0</v>
      </c>
      <c r="S162" s="285" t="b">
        <v>0</v>
      </c>
      <c r="T162" s="286" t="b">
        <v>0</v>
      </c>
    </row>
    <row r="163" hidden="1" outlineLevel="1">
      <c r="A163" s="317"/>
      <c r="B163" s="317"/>
      <c r="C163" s="444"/>
      <c r="D163" s="317"/>
      <c r="E163" s="317"/>
      <c r="F163" s="317"/>
      <c r="G163" s="317"/>
      <c r="H163" s="317"/>
      <c r="I163" s="318"/>
      <c r="J163" s="319"/>
      <c r="K163" s="436"/>
      <c r="L163" s="317"/>
      <c r="M163" s="317"/>
      <c r="N163" s="118" t="b">
        <v>0</v>
      </c>
      <c r="O163" s="487"/>
      <c r="P163" s="487"/>
      <c r="Q163" s="284"/>
      <c r="R163" s="285" t="b">
        <v>0</v>
      </c>
      <c r="S163" s="285" t="b">
        <v>0</v>
      </c>
      <c r="T163" s="286" t="b">
        <v>0</v>
      </c>
    </row>
    <row r="164" hidden="1" outlineLevel="1">
      <c r="A164" s="317"/>
      <c r="B164" s="317"/>
      <c r="C164" s="444"/>
      <c r="D164" s="317"/>
      <c r="E164" s="317"/>
      <c r="F164" s="317"/>
      <c r="G164" s="317"/>
      <c r="H164" s="317"/>
      <c r="I164" s="318"/>
      <c r="J164" s="319"/>
      <c r="K164" s="436"/>
      <c r="L164" s="317"/>
      <c r="M164" s="317"/>
      <c r="N164" s="118" t="b">
        <v>0</v>
      </c>
      <c r="O164" s="487"/>
      <c r="P164" s="487"/>
      <c r="Q164" s="284"/>
      <c r="R164" s="285" t="b">
        <v>0</v>
      </c>
      <c r="S164" s="285" t="b">
        <v>0</v>
      </c>
      <c r="T164" s="286" t="b">
        <v>0</v>
      </c>
    </row>
    <row r="165" hidden="1" outlineLevel="1">
      <c r="A165" s="317"/>
      <c r="B165" s="317"/>
      <c r="C165" s="444"/>
      <c r="D165" s="317"/>
      <c r="E165" s="317"/>
      <c r="F165" s="317"/>
      <c r="G165" s="317"/>
      <c r="H165" s="317"/>
      <c r="I165" s="318"/>
      <c r="J165" s="319"/>
      <c r="K165" s="436"/>
      <c r="L165" s="317"/>
      <c r="M165" s="317"/>
      <c r="N165" s="118" t="b">
        <v>0</v>
      </c>
      <c r="O165" s="487"/>
      <c r="P165" s="487"/>
      <c r="Q165" s="284"/>
      <c r="R165" s="285" t="b">
        <v>0</v>
      </c>
      <c r="S165" s="285" t="b">
        <v>0</v>
      </c>
      <c r="T165" s="286" t="b">
        <v>0</v>
      </c>
    </row>
    <row r="166" hidden="1" outlineLevel="1">
      <c r="A166" s="317"/>
      <c r="B166" s="317"/>
      <c r="C166" s="444"/>
      <c r="D166" s="317"/>
      <c r="E166" s="317"/>
      <c r="F166" s="317"/>
      <c r="G166" s="317"/>
      <c r="H166" s="317"/>
      <c r="I166" s="318"/>
      <c r="J166" s="319"/>
      <c r="K166" s="436"/>
      <c r="L166" s="317"/>
      <c r="M166" s="317"/>
      <c r="N166" s="118" t="b">
        <v>0</v>
      </c>
      <c r="O166" s="487"/>
      <c r="P166" s="487"/>
      <c r="Q166" s="284"/>
      <c r="R166" s="285" t="b">
        <v>0</v>
      </c>
      <c r="S166" s="285" t="b">
        <v>0</v>
      </c>
      <c r="T166" s="286" t="b">
        <v>0</v>
      </c>
    </row>
    <row r="167" hidden="1" outlineLevel="1">
      <c r="A167" s="317"/>
      <c r="B167" s="317"/>
      <c r="C167" s="444"/>
      <c r="D167" s="317"/>
      <c r="E167" s="317"/>
      <c r="F167" s="317"/>
      <c r="G167" s="317"/>
      <c r="H167" s="317"/>
      <c r="I167" s="318"/>
      <c r="J167" s="319"/>
      <c r="K167" s="436"/>
      <c r="L167" s="317"/>
      <c r="M167" s="317"/>
      <c r="N167" s="118" t="b">
        <v>0</v>
      </c>
      <c r="O167" s="487"/>
      <c r="P167" s="487"/>
      <c r="Q167" s="284"/>
      <c r="R167" s="285" t="b">
        <v>0</v>
      </c>
      <c r="S167" s="285" t="b">
        <v>0</v>
      </c>
      <c r="T167" s="286" t="b">
        <v>0</v>
      </c>
    </row>
    <row r="168" hidden="1" outlineLevel="1">
      <c r="A168" s="317"/>
      <c r="B168" s="317"/>
      <c r="C168" s="444"/>
      <c r="D168" s="317"/>
      <c r="E168" s="317"/>
      <c r="F168" s="317"/>
      <c r="G168" s="317"/>
      <c r="H168" s="317"/>
      <c r="I168" s="318"/>
      <c r="J168" s="319"/>
      <c r="K168" s="436"/>
      <c r="L168" s="317"/>
      <c r="M168" s="317"/>
      <c r="N168" s="118" t="b">
        <v>0</v>
      </c>
      <c r="O168" s="487"/>
      <c r="P168" s="487"/>
      <c r="Q168" s="284"/>
      <c r="R168" s="285" t="b">
        <v>0</v>
      </c>
      <c r="S168" s="285" t="b">
        <v>0</v>
      </c>
      <c r="T168" s="286" t="b">
        <v>0</v>
      </c>
    </row>
    <row r="169" hidden="1" outlineLevel="1">
      <c r="A169" s="317"/>
      <c r="B169" s="317"/>
      <c r="C169" s="316"/>
      <c r="D169" s="317"/>
      <c r="E169" s="317"/>
      <c r="F169" s="445"/>
      <c r="G169" s="317"/>
      <c r="H169" s="317"/>
      <c r="I169" s="318"/>
      <c r="J169" s="435"/>
      <c r="K169" s="431"/>
      <c r="L169" s="317"/>
      <c r="M169" s="317"/>
      <c r="N169" s="118" t="b">
        <v>0</v>
      </c>
      <c r="O169" s="487"/>
      <c r="Q169" s="284"/>
      <c r="R169" s="285" t="b">
        <v>0</v>
      </c>
      <c r="S169" s="285" t="b">
        <v>0</v>
      </c>
      <c r="T169" s="286" t="b">
        <v>0</v>
      </c>
    </row>
    <row r="170">
      <c r="A170" s="348" t="s">
        <v>116</v>
      </c>
      <c r="B170" s="349">
        <f>COUNTIF(B90:B169,"ONLINE")+COUNTIF(B90:B169,"SEDE*")</f>
        <v>0</v>
      </c>
      <c r="C170" s="348" t="s">
        <v>116</v>
      </c>
      <c r="D170" s="349">
        <f t="shared" ref="D170:E170" si="7">COUNTIF(D90:D169, "*")</f>
        <v>0</v>
      </c>
      <c r="E170" s="349">
        <f t="shared" si="7"/>
        <v>0</v>
      </c>
      <c r="F170" s="480">
        <f>COUNTA(F90:F169)</f>
        <v>0</v>
      </c>
      <c r="G170" s="349">
        <f t="shared" ref="G170:H170" si="8">COUNTIF(G90:G169, "*")</f>
        <v>0</v>
      </c>
      <c r="H170" s="349">
        <f t="shared" si="8"/>
        <v>0</v>
      </c>
      <c r="I170" s="348" t="s">
        <v>116</v>
      </c>
      <c r="J170" s="481">
        <f t="shared" ref="J170:K170" si="9">SUM(J90:J169)</f>
        <v>0</v>
      </c>
      <c r="K170" s="482">
        <f t="shared" si="9"/>
        <v>0</v>
      </c>
      <c r="L170" s="349">
        <f t="shared" ref="L170:M170" si="10">COUNTIF(L90:L169, "*")</f>
        <v>0</v>
      </c>
      <c r="M170" s="349">
        <f t="shared" si="10"/>
        <v>0</v>
      </c>
      <c r="N170" s="349">
        <f>SUMPRODUCT(--N90:N169)</f>
        <v>0</v>
      </c>
      <c r="O170" s="349">
        <f t="shared" ref="O170:Q170" si="11">COUNTIF(O90:O169, "*")</f>
        <v>0</v>
      </c>
      <c r="P170" s="349">
        <f t="shared" si="11"/>
        <v>0</v>
      </c>
      <c r="Q170" s="349">
        <f t="shared" si="11"/>
        <v>0</v>
      </c>
      <c r="R170" s="349">
        <f t="shared" ref="R170:T170" si="12">SUMPRODUCT(--R90:R169)</f>
        <v>0</v>
      </c>
      <c r="S170" s="349">
        <f t="shared" si="12"/>
        <v>0</v>
      </c>
      <c r="T170" s="349">
        <f t="shared" si="12"/>
        <v>0</v>
      </c>
    </row>
    <row r="171">
      <c r="A171" s="245" t="s">
        <v>117</v>
      </c>
      <c r="B171" s="246">
        <f>COUNTIF(B90:B169, "SEDE*")</f>
        <v>0</v>
      </c>
      <c r="C171" s="351"/>
      <c r="D171" s="351"/>
      <c r="E171" s="351"/>
      <c r="F171" s="351"/>
      <c r="G171" s="351"/>
      <c r="H171" s="245" t="s">
        <v>1974</v>
      </c>
      <c r="I171" s="355" t="s">
        <v>121</v>
      </c>
      <c r="J171" s="483" t="str">
        <f>COUNTIFS($B$90:$B$169,"*SEDE*",$J$90:$J$169, $F$176)&amp; " da €"&amp;$F$176</f>
        <v>0 da €32</v>
      </c>
      <c r="K171" s="484" t="str">
        <f>COUNTIFS($B$90:$B$169,"*SEDE*",$K$90:$K$169, $F$175)&amp; " da €"&amp;$F$175</f>
        <v>0 da €30</v>
      </c>
      <c r="L171" s="368" t="str">
        <f>COUNTIFS($B$90:$B$169,"*SEDE*",$J$90:$J$169, $F$178)&amp; " da €"&amp;$F$178</f>
        <v>0 da €37</v>
      </c>
      <c r="M171" s="369" t="str">
        <f>COUNTIFS($B$90:$B$169,"*SEDE*",$K$90:$K$169, $F$177)&amp; " da €"&amp;$F$177</f>
        <v>0 da €35</v>
      </c>
      <c r="N171" s="365" t="str">
        <f>COUNTIFS($B$90:$B$169,"*SEDE*",$J$90:$J$169, $G$176)&amp; " da €"&amp;$G$176</f>
        <v>0 da €42</v>
      </c>
      <c r="O171" s="373" t="str">
        <f>COUNTIFS($B$90:$B$169,"*SEDE*",$K$90:$K$169, $G$175)&amp; " da €"&amp;$G$175</f>
        <v>0 da €40</v>
      </c>
      <c r="P171" s="499" t="s">
        <v>40</v>
      </c>
      <c r="Q171" s="486">
        <f>SUM(J172,K172,L172,M172,N172,O172)</f>
        <v>0</v>
      </c>
      <c r="R171" s="500"/>
      <c r="S171" s="351"/>
      <c r="T171" s="351"/>
    </row>
    <row r="172">
      <c r="A172" s="245" t="s">
        <v>74</v>
      </c>
      <c r="B172" s="246">
        <f>COUNTIF(B90:B169, "ONLINE")</f>
        <v>0</v>
      </c>
      <c r="C172" s="245"/>
      <c r="D172" s="317"/>
      <c r="E172" s="351"/>
      <c r="I172" s="367" t="s">
        <v>122</v>
      </c>
      <c r="J172" s="368">
        <f>SUMIFS($J$90:$J$169,$B$90:$B$169,"*SEDE*",$J$90:$J$169,$F$176)</f>
        <v>0</v>
      </c>
      <c r="K172" s="436">
        <f>SUMIFS($K$90:$K$169,$B$90:$B$169,"*SEDE*",$K$90:$K$169,$F$175)</f>
        <v>0</v>
      </c>
      <c r="L172" s="368">
        <f>SUMIFS($J$90:$J$169,$B$90:$B$169,"*SEDE*",$J$90:$J$169,$F$178)</f>
        <v>0</v>
      </c>
      <c r="M172" s="436">
        <f>SUMIFS($K$90:$K$169,$B$90:$B$169,"*SEDE*",$K$90:$K$169,$F$177)</f>
        <v>0</v>
      </c>
      <c r="N172" s="501">
        <f>SUMIFS($J$90:$J$169,$B$90:$B$169,"*SEDE*",$J$90:$J$169,$G$176)</f>
        <v>0</v>
      </c>
      <c r="O172" s="436">
        <f>SUMIFS($K$90:$K$169,$B$90:$B$169,"*SEDE*",$K$90:$K$169,$G$175)</f>
        <v>0</v>
      </c>
      <c r="R172" s="500"/>
      <c r="S172" s="351"/>
      <c r="T172" s="351"/>
    </row>
    <row r="173">
      <c r="A173" s="245"/>
      <c r="B173" s="246"/>
      <c r="C173" s="245"/>
      <c r="D173" s="351"/>
      <c r="E173" s="351"/>
      <c r="F173" s="502"/>
      <c r="G173" s="503"/>
      <c r="I173" s="355" t="s">
        <v>123</v>
      </c>
      <c r="J173" s="368" t="str">
        <f>COUNTIFS($B$90:$B$169,"*ONLINE*",$J$90:$J$169, $F$176)&amp; " da €"&amp;$F$176</f>
        <v>0 da €32</v>
      </c>
      <c r="K173" s="484" t="str">
        <f>COUNTIFS($B$90:$B$169,"*ONLINE*",$K$90:$K$169, $F$175)&amp; " da €"&amp;$F$175</f>
        <v>0 da €30</v>
      </c>
      <c r="L173" s="368" t="str">
        <f>COUNTIFS($B$90:$B$169,"*ONLINE*",$J$90:$J$169, $F$178)&amp; " da €"&amp;$F$178</f>
        <v>0 da €37</v>
      </c>
      <c r="M173" s="369" t="str">
        <f>COUNTIFS($B$90:$B$169,"*ONLINE*",$K$90:$K$169, $F$177)&amp; " da €"&amp;$F$177</f>
        <v>0 da €35</v>
      </c>
      <c r="N173" s="483" t="str">
        <f>COUNTIFS($B$90:$B$169,"*ONLINE*",$J$90:$J$169, $G$176)&amp; " da €"&amp;$G$176</f>
        <v>0 da €42</v>
      </c>
      <c r="O173" s="484" t="str">
        <f>COUNTIFS($B$90:$B$169,"*ONLINE*",$K$90:$K$169, $G$175)&amp; " da €"&amp;$G$175</f>
        <v>0 da €40</v>
      </c>
      <c r="P173" s="485" t="s">
        <v>40</v>
      </c>
      <c r="Q173" s="486">
        <f>SUM(J174,K174,L174,M174,N174,O174)</f>
        <v>0</v>
      </c>
      <c r="R173" s="500"/>
      <c r="S173" s="351"/>
      <c r="T173" s="351"/>
    </row>
    <row r="174">
      <c r="A174" s="379"/>
      <c r="B174" s="379"/>
      <c r="C174" s="245"/>
      <c r="D174" s="351"/>
      <c r="E174" s="351"/>
      <c r="F174" s="502"/>
      <c r="G174" s="503"/>
      <c r="H174" s="196"/>
      <c r="I174" s="355" t="s">
        <v>124</v>
      </c>
      <c r="J174" s="483">
        <f>SUMIFS($J$90:$J$169,$B$90:$B$169,"*ONLINE*",$J$90:$J$169,$F$176)</f>
        <v>0</v>
      </c>
      <c r="K174" s="484">
        <f>SUMIFS($K$90:$K$169,$B$90:$B$169,"*ONLINE*",$K$90:$K$169,$F$175)</f>
        <v>0</v>
      </c>
      <c r="L174" s="368">
        <f>SUMIFS($J$90:$J$169,$B$90:$B$169,"*ONLINE*",$J$90:$J$169,$F$178)</f>
        <v>0</v>
      </c>
      <c r="M174" s="436">
        <f>SUMIFS($K$90:$K$169,$B$90:$B$169,"*ONLINE*",$K$90:$K$169,$F$177)</f>
        <v>0</v>
      </c>
      <c r="N174" s="365">
        <f>SUMIFS($J$90:$J$169,$B$90:$B$169,"*ONLINE*",$J$90:$J$169,$G$176)</f>
        <v>0</v>
      </c>
      <c r="O174" s="436">
        <f>SUMIFS($K$90:$K$169,$B$90:$B$169,"*ONLINE*",$K$90:$K$169,$G$175)</f>
        <v>0</v>
      </c>
      <c r="P174" s="196"/>
      <c r="Q174" s="196"/>
      <c r="R174" s="245" t="s">
        <v>120</v>
      </c>
      <c r="S174" s="378" t="str">
        <f>IF(SUM(J170:K170) = SUM(Q171:Q174), "OK", "ERRORE")</f>
        <v>OK</v>
      </c>
      <c r="T174" s="351"/>
    </row>
    <row r="175">
      <c r="A175" s="208" t="s">
        <v>127</v>
      </c>
      <c r="B175" s="504">
        <f t="shared" ref="B175:B176" si="13">SUM(B85,B171)</f>
        <v>8</v>
      </c>
      <c r="C175" s="505"/>
      <c r="D175" s="452"/>
      <c r="E175" s="506" t="s">
        <v>1596</v>
      </c>
      <c r="F175" s="353">
        <v>30.0</v>
      </c>
      <c r="G175" s="507">
        <v>40.0</v>
      </c>
      <c r="H175" s="508" t="s">
        <v>1975</v>
      </c>
      <c r="I175" s="509" t="s">
        <v>132</v>
      </c>
      <c r="J175" s="510" t="str">
        <f>COUNTIFS($B$4:$B$83,"*SEDE*",$J$4:$J$83, $F$176)+COUNTIFS($B$90:$B$169,"*SEDE*",$J$90:$J$169, $F$176)&amp; " da €"&amp;$F$176</f>
        <v>1 da €32</v>
      </c>
      <c r="K175" s="511" t="str">
        <f>COUNTIFS($B$4:$B$83,"*SEDE*",$K$4:$K$83, $F$175)+COUNTIFS($B$90:$B$169,"*SEDE*",$K$90:$K$169, $F$175)&amp; " da €"&amp;$F$175</f>
        <v>3 da €30</v>
      </c>
      <c r="L175" s="510" t="str">
        <f>COUNTIFS($B$4:$B$83,"*SEDE*",$J$4:$J$83, $F$178)+COUNTIFS($B$90:$B$169,"*SEDE*",$J$90:$J$169, $F$178)&amp; " da €"&amp;$F$178</f>
        <v>0 da €37</v>
      </c>
      <c r="M175" s="511" t="str">
        <f>COUNTIFS($B$4:$B$83,"*SEDE*",$K$4:$K$83, $F$177)+COUNTIFS($B$90:$B$169,"*SEDE*",$K$90:$K$169, $F$177)&amp; " da €"&amp;$F$177</f>
        <v>3 da €35</v>
      </c>
      <c r="N175" s="510" t="str">
        <f>COUNTIFS($B$4:$B$83,"*SEDE*",$J$4:$J$83, $G$176)+COUNTIFS($B$90:$B$169,"*SEDE*",$J$90:$J$169, $G$176)&amp; " da €"&amp;$G$176</f>
        <v>1 da €42</v>
      </c>
      <c r="O175" s="511" t="str">
        <f>COUNTIFS($B$4:$B$83,"*SEDE*",$K$4:$K$83, $G$175)+COUNTIFS($B$90:$B$169,"*SEDE*",$K$90:$K$169, $G$175)&amp; " da €"&amp;$G$175</f>
        <v>0 da €40</v>
      </c>
      <c r="P175" s="512" t="s">
        <v>127</v>
      </c>
      <c r="Q175" s="359">
        <f>SUM(J176,K176,L176,M176,N176,O176)</f>
        <v>269</v>
      </c>
      <c r="R175" s="205" t="s">
        <v>130</v>
      </c>
      <c r="S175" s="513">
        <f>SUM(J84,K84,J170,K170)</f>
        <v>2607</v>
      </c>
      <c r="T175" s="207"/>
    </row>
    <row r="176">
      <c r="A176" s="208" t="s">
        <v>131</v>
      </c>
      <c r="B176" s="504">
        <f t="shared" si="13"/>
        <v>70</v>
      </c>
      <c r="C176" s="245"/>
      <c r="D176" s="351"/>
      <c r="E176" s="514"/>
      <c r="F176" s="365">
        <v>32.0</v>
      </c>
      <c r="G176" s="319">
        <v>42.0</v>
      </c>
      <c r="I176" s="515" t="s">
        <v>122</v>
      </c>
      <c r="J176" s="455">
        <f t="shared" ref="J176:O176" si="14">SUM(J86,J172)</f>
        <v>32</v>
      </c>
      <c r="K176" s="456">
        <f t="shared" si="14"/>
        <v>90</v>
      </c>
      <c r="L176" s="455">
        <f t="shared" si="14"/>
        <v>0</v>
      </c>
      <c r="M176" s="456">
        <f t="shared" si="14"/>
        <v>105</v>
      </c>
      <c r="N176" s="455">
        <f t="shared" si="14"/>
        <v>42</v>
      </c>
      <c r="O176" s="456">
        <f t="shared" si="14"/>
        <v>0</v>
      </c>
    </row>
    <row r="177">
      <c r="A177" s="213" t="s">
        <v>133</v>
      </c>
      <c r="B177" s="371">
        <f>SUM(B175:B176)</f>
        <v>78</v>
      </c>
      <c r="C177" s="245"/>
      <c r="D177" s="351"/>
      <c r="E177" s="514"/>
      <c r="F177" s="373">
        <v>35.0</v>
      </c>
      <c r="G177" s="431">
        <v>0.0</v>
      </c>
      <c r="I177" s="515" t="s">
        <v>135</v>
      </c>
      <c r="J177" s="483" t="str">
        <f>COUNTIFS($B$4:$B$83,"*ONLINE*",$J$4:$J$83, $F$176)+COUNTIFS($B$90:$B$169,"*ONLINE*",$J$90:$J$169, $F$176)&amp; " da €"&amp;$F$176</f>
        <v>40 da €32</v>
      </c>
      <c r="K177" s="92" t="str">
        <f>COUNTIFS($B$4:$B$83,"*ONLINE*",$K$4:$K$83, $F$175)+COUNTIFS($B$90:$B$169,"*ONLINE*",$K$90:$K$169, $F$175)&amp; " da €"&amp;$F$175</f>
        <v>6 da €30</v>
      </c>
      <c r="L177" s="516" t="str">
        <f>COUNTIFS($B$4:$B$83,"*ONLINE*",$J$4:$J$83, $F$178)+COUNTIFS($B$90:$B$169,"*ONLINE*",$J$90:$J$169, $F$178)&amp; " da €"&amp;$F$178</f>
        <v>19 da €37</v>
      </c>
      <c r="M177" s="92" t="str">
        <f>COUNTIFS($B$4:$B$83,"*ONLINE*",$K$4:$K$83, $F$177)+COUNTIFS($B$90:$B$169,"*ONLINE*",$K$90:$K$169, $F$177)&amp; " da €"&amp;$F$177</f>
        <v>5 da €35</v>
      </c>
      <c r="N177" s="516" t="str">
        <f>COUNTIFS($B$4:$B$83,"*ONLINE*",$J$4:$J$83, $G$176)+COUNTIFS($B$90:$B$169,"*ONLINE*",$J$90:$J$169, $G$176)&amp; " da €"&amp;$G$176</f>
        <v>0 da €42</v>
      </c>
      <c r="O177" s="92" t="str">
        <f>COUNTIFS($B$4:$B$83,"*ONLINE*",$K$4:$K$83, $G$175)+COUNTIFS($B$90:$B$169,"*ONLINE*",$K$90:$K$169, $G$175)&amp; " da €"&amp;$G$175</f>
        <v>0 da €40</v>
      </c>
      <c r="P177" s="512" t="s">
        <v>131</v>
      </c>
      <c r="Q177" s="359">
        <f>SUM(J178,K178,L178,M178,N178,O178)</f>
        <v>2338</v>
      </c>
    </row>
    <row r="178">
      <c r="A178" s="517" t="s">
        <v>134</v>
      </c>
      <c r="B178" s="518">
        <f>COUNTIF(M4:M169,"*NON TESSERATO*")</f>
        <v>59</v>
      </c>
      <c r="C178" s="245"/>
      <c r="D178" s="351"/>
      <c r="E178" s="519"/>
      <c r="F178" s="382">
        <v>37.0</v>
      </c>
      <c r="G178" s="520">
        <v>0.0</v>
      </c>
      <c r="H178" s="196"/>
      <c r="I178" s="521" t="s">
        <v>124</v>
      </c>
      <c r="J178" s="522">
        <f t="shared" ref="J178:O178" si="15">SUM(J88,J174)</f>
        <v>1280</v>
      </c>
      <c r="K178" s="523">
        <f t="shared" si="15"/>
        <v>180</v>
      </c>
      <c r="L178" s="522">
        <f t="shared" si="15"/>
        <v>703</v>
      </c>
      <c r="M178" s="523">
        <f t="shared" si="15"/>
        <v>175</v>
      </c>
      <c r="N178" s="522">
        <f t="shared" si="15"/>
        <v>0</v>
      </c>
      <c r="O178" s="523">
        <f t="shared" si="15"/>
        <v>0</v>
      </c>
      <c r="P178" s="196"/>
      <c r="Q178" s="196"/>
      <c r="R178" s="196"/>
      <c r="S178" s="196"/>
      <c r="T178" s="196"/>
    </row>
    <row r="179">
      <c r="A179" s="524" t="s">
        <v>136</v>
      </c>
      <c r="B179" s="525">
        <f>COUNTIF(M4:M169,"*TESSERATO*")-COUNTIF(M4:M169,"*NON TESSERATO*")</f>
        <v>19</v>
      </c>
      <c r="C179" s="245"/>
      <c r="D179" s="351"/>
      <c r="E179" s="526"/>
      <c r="F179" s="485"/>
      <c r="G179" s="527"/>
      <c r="H179" s="508"/>
      <c r="I179" s="515"/>
      <c r="J179" s="528"/>
      <c r="K179" s="528"/>
      <c r="L179" s="528"/>
      <c r="M179" s="528"/>
      <c r="N179" s="528"/>
      <c r="O179" s="528"/>
      <c r="P179" s="529"/>
      <c r="Q179" s="530"/>
      <c r="R179" s="531"/>
      <c r="S179" s="530"/>
      <c r="T179" s="530"/>
    </row>
  </sheetData>
  <mergeCells count="161">
    <mergeCell ref="A1:P1"/>
    <mergeCell ref="R1:T1"/>
    <mergeCell ref="O2:P2"/>
    <mergeCell ref="A3:Q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9:P69"/>
    <mergeCell ref="O70:P70"/>
    <mergeCell ref="O83:P83"/>
    <mergeCell ref="H85:H88"/>
    <mergeCell ref="P85:P86"/>
    <mergeCell ref="Q85:Q86"/>
    <mergeCell ref="P87:P88"/>
    <mergeCell ref="Q87:Q88"/>
    <mergeCell ref="A89:Q89"/>
    <mergeCell ref="O90:P90"/>
    <mergeCell ref="O91:P91"/>
    <mergeCell ref="O92:P92"/>
    <mergeCell ref="O93:P93"/>
    <mergeCell ref="O94:P94"/>
    <mergeCell ref="O95:P95"/>
    <mergeCell ref="O96:P96"/>
    <mergeCell ref="O97:P97"/>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P173:P174"/>
    <mergeCell ref="P175:P176"/>
    <mergeCell ref="Q175:Q176"/>
    <mergeCell ref="R175:R178"/>
    <mergeCell ref="S175:T178"/>
    <mergeCell ref="Q177:Q178"/>
    <mergeCell ref="O169:P169"/>
    <mergeCell ref="H171:H174"/>
    <mergeCell ref="P171:P172"/>
    <mergeCell ref="Q171:Q172"/>
    <mergeCell ref="Q173:Q174"/>
    <mergeCell ref="E175:E178"/>
    <mergeCell ref="H175:H178"/>
    <mergeCell ref="P177:P178"/>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 ref="O148:P148"/>
    <mergeCell ref="O149:P149"/>
    <mergeCell ref="O150:P150"/>
    <mergeCell ref="O151:P151"/>
    <mergeCell ref="O152:P152"/>
    <mergeCell ref="O153:P153"/>
    <mergeCell ref="O154:P154"/>
    <mergeCell ref="O155:P155"/>
    <mergeCell ref="O156:P156"/>
    <mergeCell ref="O157:P157"/>
    <mergeCell ref="O158:P158"/>
    <mergeCell ref="O159:P159"/>
  </mergeCells>
  <conditionalFormatting sqref="A4:P83 T4:T83 A90:P169 T90:T169">
    <cfRule type="expression" dxfId="0" priority="1">
      <formula>$T4</formula>
    </cfRule>
  </conditionalFormatting>
  <conditionalFormatting sqref="S88 S174">
    <cfRule type="cellIs" dxfId="2" priority="2" operator="equal">
      <formula>"ERRORE"</formula>
    </cfRule>
  </conditionalFormatting>
  <conditionalFormatting sqref="S88 S174">
    <cfRule type="cellIs" dxfId="0" priority="3" operator="equal">
      <formula>"OK"</formula>
    </cfRule>
  </conditionalFormatting>
  <conditionalFormatting sqref="S4:S83 S90:S169">
    <cfRule type="expression" dxfId="1" priority="4">
      <formula>$S4</formula>
    </cfRule>
  </conditionalFormatting>
  <conditionalFormatting sqref="S4:S83 S90:S169">
    <cfRule type="expression" dxfId="2" priority="5">
      <formula>$M4="DIGIT - TESSERATO"</formula>
    </cfRule>
  </conditionalFormatting>
  <conditionalFormatting sqref="R4:R83 R90:R169">
    <cfRule type="expression" dxfId="3" priority="6">
      <formula>$R4</formula>
    </cfRule>
  </conditionalFormatting>
  <conditionalFormatting sqref="R4:R83 R90:R169">
    <cfRule type="expression" dxfId="4" priority="7">
      <formula>$M4="CASH - TESSERATO"</formula>
    </cfRule>
  </conditionalFormatting>
  <conditionalFormatting sqref="R4:R83 R90:R169">
    <cfRule type="expression" dxfId="4" priority="8">
      <formula>$M4="CASH - NON TESSERATO"</formula>
    </cfRule>
  </conditionalFormatting>
  <conditionalFormatting sqref="S4:S83 S90:S169">
    <cfRule type="expression" dxfId="2" priority="9">
      <formula>$M4="DIGIT - NON TESSERATO"</formula>
    </cfRule>
  </conditionalFormatting>
  <conditionalFormatting sqref="Q4:Q83 Q90:Q169">
    <cfRule type="expression" dxfId="0" priority="10">
      <formula>ISBLANK($Q4)=FALSE</formula>
    </cfRule>
  </conditionalFormatting>
  <conditionalFormatting sqref="A4:P83 A90:P169">
    <cfRule type="expression" dxfId="5" priority="11">
      <formula>$N4</formula>
    </cfRule>
  </conditionalFormatting>
  <dataValidations>
    <dataValidation type="list" allowBlank="1" showInputMessage="1" prompt="Fai clic e immetti un valore dall'elenco di elementi" sqref="M4:M83 M90:M169">
      <formula1>"CASH - TESSERATO,CASH - NON TESSERATO,DIGIT - TESSERATO,DIGIT - NON TESSERATO"</formula1>
    </dataValidation>
    <dataValidation type="list" allowBlank="1" showInputMessage="1" showErrorMessage="1" prompt="Fai clic e immetti un valore dall'intervallo" sqref="A4:A83 A90:A169">
      <formula1>elenchi!$M$2:$M$100</formula1>
    </dataValidation>
    <dataValidation type="list" allowBlank="1" showErrorMessage="1" sqref="B4:B83 B90:B169">
      <formula1>"ONLINE,SEDE Estefany,SEDE Giuditta,SEDE Alexandra,SEDE Nura,SEDE Joel"</formula1>
    </dataValidation>
    <dataValidation type="list" allowBlank="1" showErrorMessage="1" sqref="L4:L83 L90:L169">
      <formula1>"NURA02WS,GIUDITTA02WS,ALEXANDRA02WS,ESTEFANY02WS,JOEL02WS,MASSI02WS,SANTO02WS,SARA02WS,OMAGGIO100"</formula1>
    </dataValidation>
    <dataValidation type="list" allowBlank="1" sqref="Q4:Q83 Q90:Q169">
      <formula1>"INSERITO,CELL,EMAIL,COD FISCALE,INDIRIZZO"</formula1>
    </dataValidation>
    <dataValidation type="custom" allowBlank="1" showDropDown="1" showInputMessage="1" prompt="Immetti una data valida" sqref="I4:I5 C4:C83 I7:I83 C90:C169 I90:I169">
      <formula1>OR(NOT(ISERROR(DATEVALUE(C4))), AND(ISNUMBER(C4), LEFT(CELL("format", C4))="D"))</formula1>
    </dataValidation>
  </dataValidations>
  <hyperlinks>
    <hyperlink r:id="rId4" location="gid=1339966351" ref="A1"/>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7.38"/>
    <col customWidth="1" min="2" max="2" width="17.5"/>
    <col customWidth="1" min="3" max="3" width="18.5"/>
    <col customWidth="1" min="4" max="4" width="20.25"/>
    <col customWidth="1" min="5" max="5" width="24.38"/>
    <col customWidth="1" min="6" max="12" width="36.0"/>
  </cols>
  <sheetData>
    <row r="1">
      <c r="A1" s="559" t="s">
        <v>2925</v>
      </c>
      <c r="B1" s="560"/>
      <c r="C1" s="560"/>
      <c r="D1" s="560"/>
      <c r="E1" s="560"/>
      <c r="F1" s="561"/>
      <c r="G1" s="562"/>
      <c r="H1" s="562"/>
      <c r="I1" s="562"/>
      <c r="J1" s="562"/>
      <c r="K1" s="562"/>
      <c r="L1" s="562"/>
    </row>
    <row r="2">
      <c r="A2" s="563" t="s">
        <v>56</v>
      </c>
      <c r="B2" s="563" t="s">
        <v>57</v>
      </c>
      <c r="C2" s="563" t="s">
        <v>58</v>
      </c>
      <c r="D2" s="563" t="s">
        <v>60</v>
      </c>
      <c r="E2" s="563" t="s">
        <v>2926</v>
      </c>
      <c r="F2" s="563" t="s">
        <v>2927</v>
      </c>
      <c r="G2" s="564" t="s">
        <v>2928</v>
      </c>
      <c r="H2" s="564"/>
      <c r="I2" s="564"/>
      <c r="J2" s="564"/>
      <c r="K2" s="564"/>
      <c r="L2" s="564"/>
    </row>
    <row r="3">
      <c r="A3" s="565"/>
      <c r="B3" s="566"/>
      <c r="C3" s="567"/>
      <c r="D3" s="567"/>
      <c r="E3" s="568"/>
      <c r="F3" s="569" t="s">
        <v>2929</v>
      </c>
      <c r="G3" s="570"/>
      <c r="H3" s="570"/>
      <c r="I3" s="570"/>
      <c r="J3" s="570"/>
      <c r="K3" s="570"/>
      <c r="L3" s="570"/>
    </row>
    <row r="4">
      <c r="A4" s="571"/>
      <c r="B4" s="572"/>
      <c r="C4" s="573"/>
      <c r="D4" s="567"/>
      <c r="E4" s="574"/>
      <c r="F4" s="574"/>
      <c r="G4" s="570"/>
      <c r="H4" s="570"/>
      <c r="I4" s="570"/>
      <c r="J4" s="570"/>
      <c r="K4" s="570"/>
      <c r="L4" s="570"/>
    </row>
    <row r="5">
      <c r="A5" s="575"/>
      <c r="B5" s="566"/>
      <c r="C5" s="567"/>
      <c r="D5" s="567"/>
      <c r="E5" s="568"/>
      <c r="F5" s="568"/>
      <c r="G5" s="576"/>
      <c r="H5" s="576"/>
      <c r="I5" s="576"/>
      <c r="J5" s="576"/>
      <c r="K5" s="576"/>
      <c r="L5" s="576"/>
    </row>
    <row r="6">
      <c r="A6" s="571"/>
      <c r="B6" s="577"/>
      <c r="C6" s="573"/>
      <c r="D6" s="567"/>
      <c r="E6" s="574"/>
      <c r="F6" s="574"/>
      <c r="G6" s="570"/>
      <c r="H6" s="570"/>
      <c r="I6" s="570"/>
      <c r="J6" s="570"/>
      <c r="K6" s="570"/>
      <c r="L6" s="570"/>
    </row>
    <row r="7">
      <c r="A7" s="578"/>
      <c r="B7" s="579"/>
      <c r="C7" s="573"/>
      <c r="D7" s="573"/>
      <c r="E7" s="574"/>
      <c r="F7" s="574"/>
      <c r="G7" s="570"/>
      <c r="H7" s="570"/>
      <c r="I7" s="570"/>
      <c r="J7" s="570"/>
      <c r="K7" s="570"/>
      <c r="L7" s="570"/>
    </row>
    <row r="8">
      <c r="A8" s="580"/>
      <c r="B8" s="581"/>
      <c r="C8" s="582"/>
      <c r="D8" s="582"/>
      <c r="E8" s="583"/>
      <c r="F8" s="584"/>
      <c r="G8" s="585"/>
      <c r="H8" s="585"/>
      <c r="I8" s="585"/>
      <c r="J8" s="585"/>
      <c r="K8" s="585"/>
      <c r="L8" s="585"/>
    </row>
    <row r="9">
      <c r="A9" s="578"/>
      <c r="B9" s="579"/>
      <c r="C9" s="573"/>
      <c r="D9" s="573"/>
      <c r="E9" s="574"/>
      <c r="F9" s="574"/>
      <c r="G9" s="570"/>
      <c r="H9" s="570"/>
      <c r="I9" s="570"/>
      <c r="J9" s="570"/>
      <c r="K9" s="570"/>
      <c r="L9" s="570"/>
    </row>
    <row r="10">
      <c r="A10" s="580"/>
      <c r="B10" s="579"/>
      <c r="C10" s="573"/>
      <c r="D10" s="573"/>
      <c r="E10" s="574"/>
      <c r="F10" s="574"/>
      <c r="G10" s="570"/>
      <c r="H10" s="570"/>
      <c r="I10" s="570"/>
      <c r="J10" s="570"/>
      <c r="K10" s="570"/>
      <c r="L10" s="570"/>
    </row>
    <row r="11">
      <c r="A11" s="578"/>
      <c r="B11" s="586"/>
      <c r="C11" s="587"/>
      <c r="D11" s="587"/>
      <c r="E11" s="587"/>
      <c r="F11" s="587"/>
    </row>
    <row r="12">
      <c r="A12" s="580"/>
      <c r="B12" s="579"/>
      <c r="C12" s="573"/>
      <c r="D12" s="573"/>
      <c r="E12" s="574"/>
      <c r="F12" s="574"/>
      <c r="G12" s="570"/>
      <c r="H12" s="570"/>
      <c r="I12" s="570"/>
      <c r="J12" s="570"/>
      <c r="K12" s="570"/>
      <c r="L12" s="570"/>
    </row>
    <row r="13">
      <c r="A13" s="578"/>
      <c r="B13" s="586"/>
      <c r="C13" s="587"/>
      <c r="D13" s="587"/>
      <c r="E13" s="587"/>
      <c r="F13" s="587"/>
    </row>
    <row r="14">
      <c r="A14" s="580"/>
      <c r="B14" s="579"/>
      <c r="C14" s="573"/>
      <c r="D14" s="573"/>
      <c r="E14" s="574"/>
      <c r="F14" s="574"/>
      <c r="G14" s="570"/>
      <c r="H14" s="570"/>
      <c r="I14" s="570"/>
      <c r="J14" s="570"/>
      <c r="K14" s="570"/>
      <c r="L14" s="570"/>
    </row>
    <row r="15">
      <c r="A15" s="578"/>
      <c r="B15" s="586"/>
      <c r="C15" s="587"/>
      <c r="D15" s="587"/>
      <c r="E15" s="587"/>
      <c r="F15" s="587"/>
    </row>
    <row r="16">
      <c r="A16" s="580"/>
      <c r="B16" s="586"/>
      <c r="C16" s="587"/>
      <c r="D16" s="587"/>
      <c r="E16" s="587"/>
      <c r="F16" s="587"/>
    </row>
    <row r="17">
      <c r="A17" s="578"/>
      <c r="B17" s="586"/>
      <c r="C17" s="587"/>
      <c r="D17" s="587"/>
      <c r="E17" s="587"/>
      <c r="F17" s="587"/>
    </row>
    <row r="18">
      <c r="A18" s="588" t="s">
        <v>40</v>
      </c>
      <c r="B18" s="589"/>
      <c r="C18" s="590"/>
      <c r="D18" s="591"/>
      <c r="E18" s="591"/>
      <c r="F18" s="591"/>
      <c r="G18" s="592"/>
      <c r="H18" s="592"/>
      <c r="I18" s="592"/>
      <c r="J18" s="592"/>
      <c r="K18" s="592"/>
      <c r="L18" s="592"/>
    </row>
    <row r="19">
      <c r="A19" s="587"/>
      <c r="B19" s="586"/>
      <c r="C19" s="587"/>
      <c r="D19" s="587"/>
      <c r="E19" s="587"/>
      <c r="F19" s="587"/>
    </row>
  </sheetData>
  <mergeCells count="1">
    <mergeCell ref="A1:F1"/>
  </mergeCells>
  <dataValidations>
    <dataValidation type="list" allowBlank="1" showErrorMessage="1" sqref="F3">
      <formula1>"2526BANANA19OTT,2526KUMO09NOV,2526TIMOR26OTT,2526LULU26OTT,2526NEREA14DIC,2526DEANGELIS16NOV,2526ESPOSITO16NOV,2526LELI09NOV,2526NEREA14DIC-2 - Pasitos"</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0" t="s">
        <v>2930</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ollapsed="1">
      <c r="A3" s="110"/>
      <c r="B3" s="110"/>
      <c r="C3" s="110" t="s">
        <v>2931</v>
      </c>
    </row>
    <row r="4" hidden="1" outlineLevel="1">
      <c r="A4" s="111"/>
      <c r="B4" s="111"/>
      <c r="C4" s="112"/>
      <c r="D4" s="111"/>
      <c r="E4" s="111"/>
      <c r="F4" s="111"/>
      <c r="G4" s="111"/>
      <c r="H4" s="111"/>
      <c r="I4" s="111"/>
      <c r="J4" s="126"/>
      <c r="K4" s="115"/>
      <c r="L4" s="116"/>
      <c r="M4" s="117" t="str">
        <f>IFERROR(__xludf.DUMMYFUNCTION("IF(
  K4="""",
  """",
  ROUND(
    IF(
      L4="""",
      K4,
      IF(
        ISERROR(FIND(""-"",L4)),
        K4 - VALUE(REGEXEXTRACT(L4,""(\d+)"")),
        K4 * (1 - VALUE(REGEXEXTRACT(L4,""(\d+)""))/100)
      )
    ),
    2
  )
)
")," ")</f>
        <v/>
      </c>
      <c r="N4" s="111"/>
      <c r="O4" s="118" t="b">
        <v>0</v>
      </c>
      <c r="P4" s="119"/>
      <c r="Q4" s="120"/>
      <c r="R4" s="121" t="b">
        <v>0</v>
      </c>
      <c r="S4" s="121" t="b">
        <v>0</v>
      </c>
      <c r="T4" s="122" t="b">
        <v>0</v>
      </c>
    </row>
    <row r="5" hidden="1" outlineLevel="1">
      <c r="A5" s="111"/>
      <c r="B5" s="111"/>
      <c r="C5" s="112"/>
      <c r="D5" s="111"/>
      <c r="E5" s="111"/>
      <c r="F5" s="111"/>
      <c r="G5" s="111"/>
      <c r="H5" s="111"/>
      <c r="I5" s="111"/>
      <c r="J5" s="126"/>
      <c r="K5" s="115"/>
      <c r="L5" s="116"/>
      <c r="M5" s="117" t="str">
        <f>IFERROR(__xludf.DUMMYFUNCTION("IF(
  K5="""",
  """",
  ROUND(
    IF(
      L5="""",
      K5,
      IF(
        ISERROR(FIND(""-"",L5)),
        K5 - VALUE(REGEXEXTRACT(L5,""(\d+)"")),
        K5 * (1 - VALUE(REGEXEXTRACT(L5,""(\d+)""))/100)
      )
    ),
    2
  )
)
")," ")</f>
        <v/>
      </c>
      <c r="N5" s="111"/>
      <c r="O5" s="118" t="b">
        <v>0</v>
      </c>
      <c r="P5" s="119"/>
      <c r="Q5" s="120"/>
      <c r="R5" s="121" t="b">
        <v>0</v>
      </c>
      <c r="S5" s="121" t="b">
        <v>0</v>
      </c>
      <c r="T5" s="122" t="b">
        <v>0</v>
      </c>
    </row>
    <row r="6" hidden="1" outlineLevel="1">
      <c r="A6" s="111"/>
      <c r="B6" s="111"/>
      <c r="C6" s="112"/>
      <c r="D6" s="111"/>
      <c r="E6" s="111"/>
      <c r="F6" s="111"/>
      <c r="G6" s="111"/>
      <c r="H6" s="111"/>
      <c r="I6" s="111"/>
      <c r="J6" s="239"/>
      <c r="K6" s="115"/>
      <c r="L6" s="116"/>
      <c r="M6" s="117" t="str">
        <f>IFERROR(__xludf.DUMMYFUNCTION("IF(
  K6="""",
  """",
  ROUND(
    IF(
      L6="""",
      K6,
      IF(
        ISERROR(FIND(""-"",L6)),
        K6 - VALUE(REGEXEXTRACT(L6,""(\d+)"")),
        K6 * (1 - VALUE(REGEXEXTRACT(L6,""(\d+)""))/100)
      )
    ),
    2
  )
)
")," ")</f>
        <v/>
      </c>
      <c r="N6" s="111"/>
      <c r="O6" s="118" t="b">
        <v>0</v>
      </c>
      <c r="P6" s="119"/>
      <c r="Q6" s="120"/>
      <c r="R6" s="121" t="b">
        <v>0</v>
      </c>
      <c r="S6" s="121" t="b">
        <v>0</v>
      </c>
      <c r="T6" s="122" t="b">
        <v>0</v>
      </c>
    </row>
    <row r="7" hidden="1" outlineLevel="1">
      <c r="A7" s="111"/>
      <c r="B7" s="111"/>
      <c r="C7" s="112"/>
      <c r="D7" s="111"/>
      <c r="E7" s="111"/>
      <c r="F7" s="111"/>
      <c r="G7" s="111"/>
      <c r="H7" s="111"/>
      <c r="I7" s="111"/>
      <c r="J7" s="126"/>
      <c r="K7" s="115"/>
      <c r="L7" s="116"/>
      <c r="M7" s="117" t="str">
        <f>IFERROR(__xludf.DUMMYFUNCTION("IF(
  K7="""",
  """",
  ROUND(
    IF(
      L7="""",
      K7,
      IF(
        ISERROR(FIND(""-"",L7)),
        K7 - VALUE(REGEXEXTRACT(L7,""(\d+)"")),
        K7 * (1 - VALUE(REGEXEXTRACT(L7,""(\d+)""))/100)
      )
    ),
    2
  )
)
")," ")</f>
        <v/>
      </c>
      <c r="N7" s="111"/>
      <c r="O7" s="118" t="b">
        <v>0</v>
      </c>
      <c r="P7" s="119"/>
      <c r="Q7" s="120"/>
      <c r="R7" s="121" t="b">
        <v>0</v>
      </c>
      <c r="S7" s="121" t="b">
        <v>0</v>
      </c>
      <c r="T7" s="122" t="b">
        <v>0</v>
      </c>
    </row>
    <row r="8" hidden="1" outlineLevel="1">
      <c r="A8" s="111"/>
      <c r="B8" s="111"/>
      <c r="C8" s="112"/>
      <c r="D8" s="111"/>
      <c r="E8" s="111"/>
      <c r="F8" s="111"/>
      <c r="G8" s="111"/>
      <c r="H8" s="111"/>
      <c r="I8" s="111"/>
      <c r="J8" s="126"/>
      <c r="K8" s="115"/>
      <c r="L8" s="131"/>
      <c r="M8" s="117" t="str">
        <f>IFERROR(__xludf.DUMMYFUNCTION("IF(
  K8="""",
  """",
  ROUND(
    IF(
      L8="""",
      K8,
      IF(
        ISERROR(FIND(""-"",L8)),
        K8 - VALUE(REGEXEXTRACT(L8,""(\d+)"")),
        K8 * (1 - VALUE(REGEXEXTRACT(L8,""(\d+)""))/100)
      )
    ),
    2
  )
)
")," ")</f>
        <v/>
      </c>
      <c r="N8" s="111"/>
      <c r="O8" s="118" t="b">
        <v>0</v>
      </c>
      <c r="P8" s="119"/>
      <c r="Q8" s="120"/>
      <c r="R8" s="121" t="b">
        <v>0</v>
      </c>
      <c r="S8" s="121" t="b">
        <v>0</v>
      </c>
      <c r="T8" s="122" t="b">
        <v>0</v>
      </c>
    </row>
    <row r="9" hidden="1" outlineLevel="1">
      <c r="A9" s="111"/>
      <c r="B9" s="111"/>
      <c r="C9" s="112"/>
      <c r="D9" s="111"/>
      <c r="E9" s="111"/>
      <c r="F9" s="111"/>
      <c r="G9" s="111"/>
      <c r="H9" s="111"/>
      <c r="I9" s="111"/>
      <c r="J9" s="112"/>
      <c r="K9" s="115"/>
      <c r="L9" s="116"/>
      <c r="M9" s="117" t="str">
        <f>IFERROR(__xludf.DUMMYFUNCTION("IF(
  K9="""",
  """",
  ROUND(
    IF(
      L9="""",
      K9,
      IF(
        ISERROR(FIND(""-"",L9)),
        K9 - VALUE(REGEXEXTRACT(L9,""(\d+)"")),
        K9 * (1 - VALUE(REGEXEXTRACT(L9,""(\d+)""))/100)
      )
    ),
    2
  )
)
")," ")</f>
        <v/>
      </c>
      <c r="N9" s="111"/>
      <c r="O9" s="118" t="b">
        <v>0</v>
      </c>
      <c r="P9" s="119"/>
      <c r="Q9" s="120"/>
      <c r="R9" s="121" t="b">
        <v>0</v>
      </c>
      <c r="S9" s="121" t="b">
        <v>0</v>
      </c>
      <c r="T9" s="122" t="b">
        <v>0</v>
      </c>
    </row>
    <row r="10" hidden="1" outlineLevel="1">
      <c r="A10" s="111"/>
      <c r="B10" s="111"/>
      <c r="C10" s="112"/>
      <c r="D10" s="111"/>
      <c r="E10" s="111"/>
      <c r="F10" s="111"/>
      <c r="G10" s="111"/>
      <c r="H10" s="128"/>
      <c r="I10" s="111"/>
      <c r="J10" s="126"/>
      <c r="K10" s="115"/>
      <c r="L10" s="116"/>
      <c r="M10" s="117" t="str">
        <f>IFERROR(__xludf.DUMMYFUNCTION("IF(
  K10="""",
  """",
  ROUND(
    IF(
      L10="""",
      K10,
      IF(
        ISERROR(FIND(""-"",L10)),
        K10 - VALUE(REGEXEXTRACT(L10,""(\d+)"")),
        K10 * (1 - VALUE(REGEXEXTRACT(L10,""(\d+)""))/100)
      )
    ),
    2
  )
)
")," ")</f>
        <v/>
      </c>
      <c r="N10" s="111"/>
      <c r="O10" s="118" t="b">
        <v>0</v>
      </c>
      <c r="P10" s="119"/>
      <c r="Q10" s="120"/>
      <c r="R10" s="121" t="b">
        <v>0</v>
      </c>
      <c r="S10" s="121" t="b">
        <v>0</v>
      </c>
      <c r="T10" s="122" t="b">
        <v>0</v>
      </c>
    </row>
    <row r="11" hidden="1" outlineLevel="1">
      <c r="A11" s="111"/>
      <c r="B11" s="111"/>
      <c r="C11" s="112"/>
      <c r="D11" s="111"/>
      <c r="E11" s="111"/>
      <c r="F11" s="111"/>
      <c r="G11" s="111"/>
      <c r="H11" s="111"/>
      <c r="I11" s="111"/>
      <c r="J11" s="126"/>
      <c r="K11" s="115"/>
      <c r="L11" s="116"/>
      <c r="M11" s="117" t="str">
        <f>IFERROR(__xludf.DUMMYFUNCTION("IF(
  K11="""",
  """",
  ROUND(
    IF(
      L11="""",
      K11,
      IF(
        ISERROR(FIND(""-"",L11)),
        K11 - VALUE(REGEXEXTRACT(L11,""(\d+)"")),
        K11 * (1 - VALUE(REGEXEXTRACT(L11,""(\d+)""))/100)
      )
    ),
    2
  )
)
")," ")</f>
        <v/>
      </c>
      <c r="N11" s="111"/>
      <c r="O11" s="118" t="b">
        <v>0</v>
      </c>
      <c r="P11" s="119"/>
      <c r="Q11" s="120"/>
      <c r="R11" s="121" t="b">
        <v>0</v>
      </c>
      <c r="S11" s="121" t="b">
        <v>0</v>
      </c>
      <c r="T11" s="122" t="b">
        <v>0</v>
      </c>
    </row>
    <row r="12" hidden="1" outlineLevel="1">
      <c r="A12" s="111"/>
      <c r="B12" s="111"/>
      <c r="C12" s="112"/>
      <c r="D12" s="111"/>
      <c r="E12" s="111"/>
      <c r="F12" s="111"/>
      <c r="G12" s="111"/>
      <c r="H12" s="111"/>
      <c r="I12" s="111"/>
      <c r="J12" s="126"/>
      <c r="K12" s="115"/>
      <c r="L12" s="116"/>
      <c r="M12" s="117" t="str">
        <f>IFERROR(__xludf.DUMMYFUNCTION("IF(
  K12="""",
  """",
  ROUND(
    IF(
      L12="""",
      K12,
      IF(
        ISERROR(FIND(""-"",L12)),
        K12 - VALUE(REGEXEXTRACT(L12,""(\d+)"")),
        K12 * (1 - VALUE(REGEXEXTRACT(L12,""(\d+)""))/100)
      )
    ),
    2
  )
)
")," ")</f>
        <v/>
      </c>
      <c r="N12" s="111"/>
      <c r="O12" s="118" t="b">
        <v>0</v>
      </c>
      <c r="P12" s="119"/>
      <c r="Q12" s="120"/>
      <c r="R12" s="121" t="b">
        <v>0</v>
      </c>
      <c r="S12" s="121" t="b">
        <v>0</v>
      </c>
      <c r="T12" s="122" t="b">
        <v>0</v>
      </c>
    </row>
    <row r="13" hidden="1" outlineLevel="1">
      <c r="A13" s="111"/>
      <c r="B13" s="111"/>
      <c r="C13" s="112"/>
      <c r="D13" s="111"/>
      <c r="E13" s="111"/>
      <c r="F13" s="111"/>
      <c r="G13" s="189"/>
      <c r="H13" s="111"/>
      <c r="I13" s="111"/>
      <c r="J13" s="126"/>
      <c r="K13" s="115"/>
      <c r="L13" s="116"/>
      <c r="M13" s="117" t="str">
        <f>IFERROR(__xludf.DUMMYFUNCTION("IF(
  K13="""",
  """",
  ROUND(
    IF(
      L13="""",
      K13,
      IF(
        ISERROR(FIND(""-"",L13)),
        K13 - VALUE(REGEXEXTRACT(L13,""(\d+)"")),
        K13 * (1 - VALUE(REGEXEXTRACT(L13,""(\d+)""))/100)
      )
    ),
    2
  )
)
")," ")</f>
        <v/>
      </c>
      <c r="N13" s="111"/>
      <c r="O13" s="118" t="b">
        <v>0</v>
      </c>
      <c r="P13" s="119"/>
      <c r="Q13" s="120"/>
      <c r="R13" s="121" t="b">
        <v>0</v>
      </c>
      <c r="S13" s="121" t="b">
        <v>0</v>
      </c>
      <c r="T13" s="122" t="b">
        <v>0</v>
      </c>
    </row>
    <row r="14" hidden="1" outlineLevel="1">
      <c r="A14" s="116"/>
      <c r="B14" s="116"/>
      <c r="C14" s="129"/>
      <c r="D14" s="111"/>
      <c r="E14" s="111"/>
      <c r="F14" s="116"/>
      <c r="G14" s="116"/>
      <c r="H14" s="116"/>
      <c r="I14" s="116"/>
      <c r="J14" s="135"/>
      <c r="K14" s="115"/>
      <c r="L14" s="116"/>
      <c r="M14" s="117" t="str">
        <f>IFERROR(__xludf.DUMMYFUNCTION("IF(
  K14="""",
  """",
  ROUND(
    IF(
      L14="""",
      K14,
      IF(
        ISERROR(FIND(""-"",L14)),
        K14 - VALUE(REGEXEXTRACT(L14,""(\d+)"")),
        K14 * (1 - VALUE(REGEXEXTRACT(L14,""(\d+)""))/100)
      )
    ),
    2
  )
)
")," ")</f>
        <v/>
      </c>
      <c r="N14" s="111"/>
      <c r="O14" s="118" t="b">
        <v>0</v>
      </c>
      <c r="P14" s="119"/>
      <c r="Q14" s="120"/>
      <c r="R14" s="121" t="b">
        <v>0</v>
      </c>
      <c r="S14" s="121" t="b">
        <v>0</v>
      </c>
      <c r="T14" s="122" t="b">
        <v>0</v>
      </c>
    </row>
    <row r="15" hidden="1" outlineLevel="1">
      <c r="A15" s="116"/>
      <c r="B15" s="116"/>
      <c r="C15" s="129"/>
      <c r="D15" s="111"/>
      <c r="E15" s="111"/>
      <c r="F15" s="116"/>
      <c r="G15" s="116"/>
      <c r="H15" s="116"/>
      <c r="I15" s="116"/>
      <c r="J15" s="132"/>
      <c r="K15" s="115"/>
      <c r="L15" s="116"/>
      <c r="M15" s="117" t="str">
        <f>IFERROR(__xludf.DUMMYFUNCTION("IF(
  K15="""",
  """",
  ROUND(
    IF(
      L15="""",
      K15,
      IF(
        ISERROR(FIND(""-"",L15)),
        K15 - VALUE(REGEXEXTRACT(L15,""(\d+)"")),
        K15 * (1 - VALUE(REGEXEXTRACT(L15,""(\d+)""))/100)
      )
    ),
    2
  )
)
")," ")</f>
        <v/>
      </c>
      <c r="N15" s="111"/>
      <c r="O15" s="118" t="b">
        <v>0</v>
      </c>
      <c r="P15" s="119"/>
      <c r="Q15" s="120"/>
      <c r="R15" s="121" t="b">
        <v>0</v>
      </c>
      <c r="S15" s="121" t="b">
        <v>0</v>
      </c>
      <c r="T15" s="122" t="b">
        <v>0</v>
      </c>
    </row>
    <row r="16" hidden="1" outlineLevel="1">
      <c r="A16" s="111"/>
      <c r="B16" s="111"/>
      <c r="C16" s="129"/>
      <c r="D16" s="111"/>
      <c r="E16" s="111"/>
      <c r="F16" s="111"/>
      <c r="G16" s="111"/>
      <c r="H16" s="111"/>
      <c r="I16" s="111"/>
      <c r="J16" s="132"/>
      <c r="K16" s="115"/>
      <c r="L16" s="116"/>
      <c r="M16" s="117" t="str">
        <f>IFERROR(__xludf.DUMMYFUNCTION("IF(
  K16="""",
  """",
  ROUND(
    IF(
      L16="""",
      K16,
      IF(
        ISERROR(FIND(""-"",L16)),
        K16 - VALUE(REGEXEXTRACT(L16,""(\d+)"")),
        K16 * (1 - VALUE(REGEXEXTRACT(L16,""(\d+)""))/100)
      )
    ),
    2
  )
)
")," ")</f>
        <v/>
      </c>
      <c r="N16" s="111"/>
      <c r="O16" s="118" t="b">
        <v>0</v>
      </c>
      <c r="P16" s="119"/>
      <c r="Q16" s="120"/>
      <c r="R16" s="121" t="b">
        <v>0</v>
      </c>
      <c r="S16" s="121" t="b">
        <v>0</v>
      </c>
      <c r="T16" s="122" t="b">
        <v>0</v>
      </c>
    </row>
    <row r="17" hidden="1" outlineLevel="1">
      <c r="A17" s="111"/>
      <c r="B17" s="111"/>
      <c r="C17" s="129"/>
      <c r="D17" s="111"/>
      <c r="E17" s="111"/>
      <c r="F17" s="111"/>
      <c r="G17" s="111"/>
      <c r="H17" s="111"/>
      <c r="I17" s="111"/>
      <c r="J17" s="132"/>
      <c r="K17" s="115"/>
      <c r="L17" s="116"/>
      <c r="M17" s="117" t="str">
        <f>IFERROR(__xludf.DUMMYFUNCTION("IF(
  K17="""",
  """",
  ROUND(
    IF(
      L17="""",
      K17,
      IF(
        ISERROR(FIND(""-"",L17)),
        K17 - VALUE(REGEXEXTRACT(L17,""(\d+)"")),
        K17 * (1 - VALUE(REGEXEXTRACT(L17,""(\d+)""))/100)
      )
    ),
    2
  )
)
")," ")</f>
        <v/>
      </c>
      <c r="N17" s="111"/>
      <c r="O17" s="118" t="b">
        <v>0</v>
      </c>
      <c r="P17" s="119"/>
      <c r="Q17" s="120"/>
      <c r="R17" s="121" t="b">
        <v>0</v>
      </c>
      <c r="S17" s="121" t="b">
        <v>0</v>
      </c>
      <c r="T17" s="122" t="b">
        <v>0</v>
      </c>
    </row>
    <row r="18" hidden="1" outlineLevel="1">
      <c r="A18" s="116"/>
      <c r="B18" s="116"/>
      <c r="C18" s="129"/>
      <c r="D18" s="111"/>
      <c r="E18" s="111"/>
      <c r="F18" s="116"/>
      <c r="G18" s="116"/>
      <c r="H18" s="116"/>
      <c r="I18" s="116"/>
      <c r="J18" s="135"/>
      <c r="K18" s="115"/>
      <c r="L18" s="116"/>
      <c r="M18" s="117" t="str">
        <f>IFERROR(__xludf.DUMMYFUNCTION("IF(
  K18="""",
  """",
  ROUND(
    IF(
      L18="""",
      K18,
      IF(
        ISERROR(FIND(""-"",L18)),
        K18 - VALUE(REGEXEXTRACT(L18,""(\d+)"")),
        K18 * (1 - VALUE(REGEXEXTRACT(L18,""(\d+)""))/100)
      )
    ),
    2
  )
)
")," ")</f>
        <v/>
      </c>
      <c r="N18" s="111"/>
      <c r="O18" s="118" t="b">
        <v>0</v>
      </c>
      <c r="P18" s="119"/>
      <c r="Q18" s="120"/>
      <c r="R18" s="121" t="b">
        <v>0</v>
      </c>
      <c r="S18" s="121" t="b">
        <v>0</v>
      </c>
      <c r="T18" s="122" t="b">
        <v>0</v>
      </c>
    </row>
    <row r="19" hidden="1" outlineLevel="1">
      <c r="A19" s="116"/>
      <c r="B19" s="116"/>
      <c r="C19" s="129"/>
      <c r="D19" s="111"/>
      <c r="E19" s="111"/>
      <c r="F19" s="116"/>
      <c r="G19" s="116"/>
      <c r="H19" s="116"/>
      <c r="I19" s="116"/>
      <c r="J19" s="132"/>
      <c r="K19" s="115"/>
      <c r="L19" s="116"/>
      <c r="M19" s="117" t="str">
        <f>IFERROR(__xludf.DUMMYFUNCTION("IF(
  K19="""",
  """",
  ROUND(
    IF(
      L19="""",
      K19,
      IF(
        ISERROR(FIND(""-"",L19)),
        K19 - VALUE(REGEXEXTRACT(L19,""(\d+)"")),
        K19 * (1 - VALUE(REGEXEXTRACT(L19,""(\d+)""))/100)
      )
    ),
    2
  )
)
")," ")</f>
        <v/>
      </c>
      <c r="N19" s="111"/>
      <c r="O19" s="118" t="b">
        <v>0</v>
      </c>
      <c r="P19" s="119"/>
      <c r="Q19" s="120"/>
      <c r="R19" s="121" t="b">
        <v>0</v>
      </c>
      <c r="S19" s="121" t="b">
        <v>0</v>
      </c>
      <c r="T19" s="122" t="b">
        <v>0</v>
      </c>
    </row>
    <row r="20" hidden="1" outlineLevel="1">
      <c r="A20" s="116"/>
      <c r="B20" s="116"/>
      <c r="C20" s="129"/>
      <c r="D20" s="111"/>
      <c r="E20" s="111"/>
      <c r="F20" s="116"/>
      <c r="G20" s="116"/>
      <c r="H20" s="116"/>
      <c r="I20" s="116"/>
      <c r="J20" s="132"/>
      <c r="K20" s="115"/>
      <c r="L20" s="116"/>
      <c r="M20" s="117" t="str">
        <f>IFERROR(__xludf.DUMMYFUNCTION("IF(
  K20="""",
  """",
  ROUND(
    IF(
      L20="""",
      K20,
      IF(
        ISERROR(FIND(""-"",L20)),
        K20 - VALUE(REGEXEXTRACT(L20,""(\d+)"")),
        K20 * (1 - VALUE(REGEXEXTRACT(L20,""(\d+)""))/100)
      )
    ),
    2
  )
)
")," ")</f>
        <v/>
      </c>
      <c r="N20" s="116"/>
      <c r="O20" s="118" t="b">
        <v>0</v>
      </c>
      <c r="P20" s="119"/>
      <c r="Q20" s="120"/>
      <c r="R20" s="121" t="b">
        <v>0</v>
      </c>
      <c r="S20" s="121" t="b">
        <v>0</v>
      </c>
      <c r="T20" s="122" t="b">
        <v>0</v>
      </c>
    </row>
    <row r="21" hidden="1" outlineLevel="1">
      <c r="A21" s="116"/>
      <c r="B21" s="116"/>
      <c r="C21" s="129"/>
      <c r="D21" s="111"/>
      <c r="E21" s="111"/>
      <c r="F21" s="116"/>
      <c r="G21" s="116"/>
      <c r="H21" s="116"/>
      <c r="I21" s="116"/>
      <c r="J21" s="135"/>
      <c r="K21" s="115"/>
      <c r="L21" s="116"/>
      <c r="M21" s="117" t="str">
        <f>IFERROR(__xludf.DUMMYFUNCTION("IF(
  K21="""",
  """",
  ROUND(
    IF(
      L21="""",
      K21,
      IF(
        ISERROR(FIND(""-"",L21)),
        K21 - VALUE(REGEXEXTRACT(L21,""(\d+)"")),
        K21 * (1 - VALUE(REGEXEXTRACT(L21,""(\d+)""))/100)
      )
    ),
    2
  )
)
")," ")</f>
        <v/>
      </c>
      <c r="N21" s="111"/>
      <c r="O21" s="118" t="b">
        <v>0</v>
      </c>
      <c r="P21" s="119"/>
      <c r="Q21" s="120"/>
      <c r="R21" s="121" t="b">
        <v>0</v>
      </c>
      <c r="S21" s="121" t="b">
        <v>0</v>
      </c>
      <c r="T21" s="122" t="b">
        <v>0</v>
      </c>
    </row>
    <row r="22" hidden="1" outlineLevel="1">
      <c r="A22" s="111"/>
      <c r="B22" s="111"/>
      <c r="C22" s="129"/>
      <c r="D22" s="111"/>
      <c r="E22" s="111"/>
      <c r="F22" s="111"/>
      <c r="G22" s="111"/>
      <c r="H22" s="240"/>
      <c r="I22" s="240"/>
      <c r="J22" s="126"/>
      <c r="K22" s="115"/>
      <c r="L22" s="116"/>
      <c r="M22" s="117" t="str">
        <f>IFERROR(__xludf.DUMMYFUNCTION("IF(
  K22="""",
  """",
  ROUND(
    IF(
      L22="""",
      K22,
      IF(
        ISERROR(FIND(""-"",L22)),
        K22 - VALUE(REGEXEXTRACT(L22,""(\d+)"")),
        K22 * (1 - VALUE(REGEXEXTRACT(L22,""(\d+)""))/100)
      )
    ),
    2
  )
)
")," ")</f>
        <v/>
      </c>
      <c r="N22" s="111"/>
      <c r="O22" s="118" t="b">
        <v>0</v>
      </c>
      <c r="P22" s="119"/>
      <c r="Q22" s="120"/>
      <c r="R22" s="121" t="b">
        <v>0</v>
      </c>
      <c r="S22" s="121" t="b">
        <v>0</v>
      </c>
      <c r="T22" s="122" t="b">
        <v>0</v>
      </c>
    </row>
    <row r="23" hidden="1"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t="b">
        <v>0</v>
      </c>
      <c r="S23" s="121" t="b">
        <v>0</v>
      </c>
      <c r="T23" s="122" t="b">
        <v>0</v>
      </c>
    </row>
    <row r="24" hidden="1" outlineLevel="1">
      <c r="A24" s="116"/>
      <c r="B24" s="116"/>
      <c r="C24" s="129"/>
      <c r="D24" s="111"/>
      <c r="E24" s="111"/>
      <c r="F24" s="116"/>
      <c r="G24" s="116"/>
      <c r="H24" s="116"/>
      <c r="I24" s="116"/>
      <c r="J24" s="134"/>
      <c r="K24" s="115"/>
      <c r="L24" s="116"/>
      <c r="M24" s="117" t="str">
        <f>IFERROR(__xludf.DUMMYFUNCTION("IF(
  K24="""",
  """",
  ROUND(
    IF(
      L24="""",
      K24,
      IF(
        ISERROR(FIND(""-"",L24)),
        K24 - VALUE(REGEXEXTRACT(L24,""(\d+)"")),
        K24 * (1 - VALUE(REGEXEXTRACT(L24,""(\d+)""))/100)
      )
    ),
    2
  )
)
")," ")</f>
        <v/>
      </c>
      <c r="N24" s="111"/>
      <c r="O24" s="118" t="b">
        <v>0</v>
      </c>
      <c r="P24" s="119"/>
      <c r="Q24" s="120"/>
      <c r="R24" s="121" t="b">
        <v>0</v>
      </c>
      <c r="S24" s="121" t="b">
        <v>0</v>
      </c>
      <c r="T24" s="122" t="b">
        <v>0</v>
      </c>
    </row>
    <row r="25" hidden="1" outlineLevel="1">
      <c r="A25" s="116"/>
      <c r="B25" s="116"/>
      <c r="C25" s="129"/>
      <c r="D25" s="111"/>
      <c r="E25" s="111"/>
      <c r="F25" s="116"/>
      <c r="G25" s="116"/>
      <c r="H25" s="116"/>
      <c r="I25" s="116"/>
      <c r="J25" s="134"/>
      <c r="K25" s="115"/>
      <c r="L25" s="116"/>
      <c r="M25" s="117" t="str">
        <f>IFERROR(__xludf.DUMMYFUNCTION("IF(
  K25="""",
  """",
  ROUND(
    IF(
      L25="""",
      K25,
      IF(
        ISERROR(FIND(""-"",L25)),
        K25 - VALUE(REGEXEXTRACT(L25,""(\d+)"")),
        K25 * (1 - VALUE(REGEXEXTRACT(L25,""(\d+)""))/100)
      )
    ),
    2
  )
)
")," ")</f>
        <v/>
      </c>
      <c r="N25" s="111"/>
      <c r="O25" s="118" t="b">
        <v>0</v>
      </c>
      <c r="P25" s="119"/>
      <c r="Q25" s="120"/>
      <c r="R25" s="121" t="b">
        <v>0</v>
      </c>
      <c r="S25" s="121" t="b">
        <v>0</v>
      </c>
      <c r="T25" s="122" t="b">
        <v>0</v>
      </c>
    </row>
    <row r="26" hidden="1" outlineLevel="1">
      <c r="A26" s="116"/>
      <c r="B26" s="116"/>
      <c r="C26" s="129"/>
      <c r="D26" s="111"/>
      <c r="E26" s="111"/>
      <c r="F26" s="116"/>
      <c r="G26" s="116"/>
      <c r="H26" s="116"/>
      <c r="I26" s="116"/>
      <c r="J26" s="134"/>
      <c r="K26" s="115"/>
      <c r="L26" s="116"/>
      <c r="M26" s="117" t="str">
        <f>IFERROR(__xludf.DUMMYFUNCTION("IF(
  K26="""",
  """",
  ROUND(
    IF(
      L26="""",
      K26,
      IF(
        ISERROR(FIND(""-"",L26)),
        K26 - VALUE(REGEXEXTRACT(L26,""(\d+)"")),
        K26 * (1 - VALUE(REGEXEXTRACT(L26,""(\d+)""))/100)
      )
    ),
    2
  )
)
")," ")</f>
        <v/>
      </c>
      <c r="N26" s="111"/>
      <c r="O26" s="118" t="b">
        <v>0</v>
      </c>
      <c r="P26" s="119"/>
      <c r="Q26" s="120"/>
      <c r="R26" s="121" t="b">
        <v>0</v>
      </c>
      <c r="S26" s="121" t="b">
        <v>0</v>
      </c>
      <c r="T26" s="122" t="b">
        <v>0</v>
      </c>
    </row>
    <row r="27" hidden="1"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hidden="1" outlineLevel="1">
      <c r="A28" s="116"/>
      <c r="B28" s="116"/>
      <c r="C28" s="129"/>
      <c r="D28" s="111"/>
      <c r="E28" s="111"/>
      <c r="F28" s="116"/>
      <c r="G28" s="116"/>
      <c r="H28" s="113"/>
      <c r="I28" s="113"/>
      <c r="J28" s="134"/>
      <c r="K28" s="115"/>
      <c r="L28" s="131"/>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hidden="1"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hidden="1" outlineLevel="1">
      <c r="A30" s="116"/>
      <c r="B30" s="116"/>
      <c r="C30" s="129"/>
      <c r="D30" s="111"/>
      <c r="E30" s="111"/>
      <c r="F30" s="116"/>
      <c r="G30" s="116"/>
      <c r="H30" s="116"/>
      <c r="I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hidden="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hidden="1"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hidden="1"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hidden="1"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hidden="1"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hidden="1"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hidden="1"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hidden="1"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hidden="1"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hidden="1"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hidden="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hidden="1"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hidden="1"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20"/>
      <c r="R43" s="121" t="b">
        <v>0</v>
      </c>
      <c r="S43" s="121" t="b">
        <v>0</v>
      </c>
      <c r="T43" s="122" t="b">
        <v>0</v>
      </c>
    </row>
    <row r="44" hidden="1" outlineLevel="1">
      <c r="A44" s="116"/>
      <c r="B44" s="116"/>
      <c r="C44" s="129"/>
      <c r="D44" s="111"/>
      <c r="E44" s="111"/>
      <c r="F44" s="116"/>
      <c r="G44" s="116"/>
      <c r="H44" s="143"/>
      <c r="I44" s="116"/>
      <c r="J44" s="134"/>
      <c r="K44" s="115"/>
      <c r="L44" s="131"/>
      <c r="M44" s="117" t="str">
        <f>IFERROR(__xludf.DUMMYFUNCTION("IF(
  K44="""",
  """",
  ROUND(
    IF(
      L44="""",
      K44,
      IF(
        ISERROR(FIND(""-"",L44)),
        K44 - VALUE(REGEXEXTRACT(L44,""(\d+)"")),
        K44 * (1 - VALUE(REGEXEXTRACT(L44,""(\d+)""))/100)
      )
    ),
    2
  )
)
")," ")</f>
        <v/>
      </c>
      <c r="N44" s="131"/>
      <c r="O44" s="118" t="b">
        <v>0</v>
      </c>
      <c r="P44" s="119"/>
      <c r="Q44" s="120"/>
      <c r="R44" s="121" t="b">
        <v>0</v>
      </c>
      <c r="S44" s="121" t="b">
        <v>0</v>
      </c>
      <c r="T44" s="122" t="b">
        <v>0</v>
      </c>
    </row>
    <row r="45" hidden="1"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hidden="1"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hidden="1"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hidden="1"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hidden="1"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hidden="1"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hidden="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hidden="1"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hidden="1"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hidden="1"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hidden="1"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hidden="1"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hidden="1"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hidden="1"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hidden="1"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hidden="1"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hidden="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hidden="1"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hidden="1"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hidden="1"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hidden="1"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hidden="1"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hidden="1"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hidden="1"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hidden="1"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hidden="1"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hidden="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hidden="1"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hidden="1"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hidden="1"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hidden="1"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hidden="1"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hidden="1"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hidden="1"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hidden="1"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hidden="1"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hidden="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hidden="1"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hidden="1"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0</v>
      </c>
      <c r="C84" s="160" t="s">
        <v>116</v>
      </c>
      <c r="D84" s="161">
        <f t="shared" ref="D84:F84" si="1">COUNTIF(D4:D83, "*")</f>
        <v>0</v>
      </c>
      <c r="E84" s="161">
        <f t="shared" si="1"/>
        <v>0</v>
      </c>
      <c r="F84" s="161">
        <f t="shared" si="1"/>
        <v>0</v>
      </c>
      <c r="G84" s="162">
        <f>COUNTA(G4:G83)</f>
        <v>0</v>
      </c>
      <c r="H84" s="161">
        <f t="shared" ref="H84:I84" si="2">COUNTIF(H4:H83, "*")</f>
        <v>0</v>
      </c>
      <c r="I84" s="161">
        <f t="shared" si="2"/>
        <v>0</v>
      </c>
      <c r="J84" s="160" t="s">
        <v>116</v>
      </c>
      <c r="K84" s="163">
        <f>SUM(K4:K83)</f>
        <v>0</v>
      </c>
      <c r="L84" s="161">
        <f>COUNTIF(L4:L83, "*")</f>
        <v>0</v>
      </c>
      <c r="M84" s="163">
        <f>SUM(M4:M83)</f>
        <v>0</v>
      </c>
      <c r="N84" s="161">
        <f>COUNTIF(N4:N83, "*")</f>
        <v>0</v>
      </c>
      <c r="O84" s="161">
        <f>SUMPRODUCT(--O4:O83)</f>
        <v>0</v>
      </c>
      <c r="P84" s="161">
        <f t="shared" ref="P84:Q84" si="3">COUNTIF(P4:P83, "*")</f>
        <v>0</v>
      </c>
      <c r="Q84" s="161">
        <f t="shared" si="3"/>
        <v>0</v>
      </c>
      <c r="R84" s="161">
        <f t="shared" ref="R84:T84" si="4">SUMPRODUCT(--R4:R83)</f>
        <v>0</v>
      </c>
      <c r="S84" s="161">
        <f t="shared" si="4"/>
        <v>0</v>
      </c>
      <c r="T84" s="161">
        <f t="shared" si="4"/>
        <v>0</v>
      </c>
    </row>
    <row r="85">
      <c r="A85" s="164" t="s">
        <v>117</v>
      </c>
      <c r="B85" s="165">
        <f>COUNTIF(B4:B83, "SEDE*")</f>
        <v>0</v>
      </c>
      <c r="C85" s="142"/>
      <c r="D85" s="166" t="s">
        <v>118</v>
      </c>
      <c r="E85" s="167" t="s">
        <v>119</v>
      </c>
      <c r="F85" s="168" t="str">
        <f>IFERROR(__xludf.DUMMYFUNCTION("IFERROR(TRANSPOSE(SORT(UNIQUE(FILTER($M$4:$M$83,$M$4:$M$83&lt;&gt;"""")))),"""")")," ")</f>
        <v/>
      </c>
      <c r="G85" s="168"/>
      <c r="H85" s="168"/>
      <c r="I85" s="168"/>
      <c r="J85" s="168"/>
      <c r="K85" s="169"/>
      <c r="L85" s="169"/>
      <c r="M85" s="169"/>
      <c r="N85" s="169"/>
      <c r="O85" s="168"/>
      <c r="P85" s="170" t="s">
        <v>40</v>
      </c>
      <c r="Q85" s="171" t="str">
        <f>IF(SUM(F87:O87)=0,"",SUM(F87:O87))
</f>
        <v/>
      </c>
      <c r="R85" s="164" t="s">
        <v>120</v>
      </c>
      <c r="S85" s="165" t="str">
        <f>IF(SUM(M84) = SUM(Q85:Q89), "OK", "ERRORE")</f>
        <v>OK</v>
      </c>
    </row>
    <row r="86">
      <c r="A86" s="164" t="s">
        <v>74</v>
      </c>
      <c r="B86" s="165">
        <f>COUNTIF(B4:B83, "ONLINE")</f>
        <v>0</v>
      </c>
      <c r="E86" s="172" t="s">
        <v>121</v>
      </c>
      <c r="F86" s="172" t="str">
        <f t="shared" ref="F86:O86" si="5">IF(
  F$85="",
  "",
  COUNTIFS($B$4:$B$83,"*SEDE*",$M$4:$M$83,F$85)
)
</f>
        <v/>
      </c>
      <c r="G86" s="172" t="str">
        <f t="shared" si="5"/>
        <v/>
      </c>
      <c r="H86" s="172" t="str">
        <f t="shared" si="5"/>
        <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t="str">
        <f t="shared" ref="F87:O87" si="6">IF(
  F$85="",
  "",
  SUMIFS($M$4:$M$83,$B$4:$B$83,"*SEDE*",$M$4:$M$83,F$85)
)
</f>
        <v/>
      </c>
      <c r="G87" s="174" t="str">
        <f t="shared" si="6"/>
        <v/>
      </c>
      <c r="H87" s="174" t="str">
        <f t="shared" si="6"/>
        <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t="str">
        <f t="shared" ref="F88:O88" si="7">IF(
  F$85="",
  "",
  COUNTIFS($B$4:$B$83,"*ONLINE*",$M$4:$M$83,F$85)
)
</f>
        <v/>
      </c>
      <c r="G88" s="175" t="str">
        <f t="shared" si="7"/>
        <v/>
      </c>
      <c r="H88" s="175" t="str">
        <f t="shared" si="7"/>
        <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t="str">
        <f>IF(SUM(F89:O89)=0,"",SUM(F89:O89))
</f>
        <v/>
      </c>
    </row>
    <row r="89">
      <c r="E89" s="173" t="s">
        <v>124</v>
      </c>
      <c r="F89" s="174" t="str">
        <f t="shared" ref="F89:O89" si="8">IF(
  F$85="",
  "",
  SUMIFS($M$4:$M$83,$B$4:$B$83,"*ONLINE*",$M$4:$M$83,F$85)
)
</f>
        <v/>
      </c>
      <c r="G89" s="174" t="str">
        <f t="shared" si="8"/>
        <v/>
      </c>
      <c r="H89" s="174" t="str">
        <f t="shared" si="8"/>
        <v/>
      </c>
      <c r="I89" s="174" t="str">
        <f t="shared" si="8"/>
        <v/>
      </c>
      <c r="J89" s="174" t="str">
        <f t="shared" si="8"/>
        <v/>
      </c>
      <c r="K89" s="174" t="str">
        <f t="shared" si="8"/>
        <v/>
      </c>
      <c r="L89" s="174" t="str">
        <f t="shared" si="8"/>
        <v/>
      </c>
      <c r="M89" s="174" t="str">
        <f t="shared" si="8"/>
        <v/>
      </c>
      <c r="N89" s="174" t="str">
        <f t="shared" si="8"/>
        <v/>
      </c>
      <c r="O89" s="174" t="str">
        <f t="shared" si="8"/>
        <v/>
      </c>
    </row>
    <row r="90" ht="26.25" customHeight="1" collapsed="1">
      <c r="A90" s="176"/>
      <c r="B90" s="176"/>
      <c r="C90" s="176" t="s">
        <v>125</v>
      </c>
    </row>
    <row r="91" hidden="1" outlineLevel="1">
      <c r="A91" s="116"/>
      <c r="B91" s="116"/>
      <c r="C91" s="129"/>
      <c r="D91" s="157"/>
      <c r="E91" s="157"/>
      <c r="F91" s="156"/>
      <c r="G91" s="157"/>
      <c r="H91" s="116"/>
      <c r="I91" s="116"/>
      <c r="J91" s="134"/>
      <c r="K91" s="177"/>
      <c r="L91" s="116"/>
      <c r="M91" s="178" t="str">
        <f>IFERROR(__xludf.DUMMYFUNCTION("IF(
  K91="""",
  """",
  ROUND(
    IF(
      L91="""",
      K91,
      IF(
        ISERROR(FIND(""-"",L91)),
        K91 - VALUE(REGEXEXTRACT(L91,""(\d+)"")),
        K91 * (1 - VALUE(REGEXEXTRACT(L91,""(\d+)""))/100)
      )
    ),
    2
  )
)
")," ")</f>
        <v/>
      </c>
      <c r="N91" s="116"/>
      <c r="O91" s="118" t="b">
        <v>0</v>
      </c>
      <c r="P91" s="179"/>
      <c r="Q91" s="120"/>
      <c r="R91" s="121" t="b">
        <v>0</v>
      </c>
      <c r="S91" s="121" t="b">
        <v>0</v>
      </c>
      <c r="T91" s="122" t="b">
        <v>0</v>
      </c>
    </row>
    <row r="92" hidden="1" outlineLevel="1">
      <c r="A92" s="116"/>
      <c r="B92" s="116"/>
      <c r="C92" s="129"/>
      <c r="D92" s="116"/>
      <c r="E92" s="116"/>
      <c r="F92" s="116"/>
      <c r="G92" s="116"/>
      <c r="H92" s="116"/>
      <c r="I92" s="116"/>
      <c r="J92" s="134"/>
      <c r="K92" s="177"/>
      <c r="L92" s="116"/>
      <c r="M92" s="178" t="str">
        <f>IFERROR(__xludf.DUMMYFUNCTION("IF(
  K92="""",
  """",
  ROUND(
    IF(
      L92="""",
      K92,
      IF(
        ISERROR(FIND(""-"",L92)),
        K92 - VALUE(REGEXEXTRACT(L92,""(\d+)"")),
        K92 * (1 - VALUE(REGEXEXTRACT(L92,""(\d+)""))/100)
      )
    ),
    2
  )
)
")," ")</f>
        <v/>
      </c>
      <c r="N92" s="116"/>
      <c r="O92" s="118" t="b">
        <v>0</v>
      </c>
      <c r="P92" s="179"/>
      <c r="Q92" s="120"/>
      <c r="R92" s="121" t="b">
        <v>0</v>
      </c>
      <c r="S92" s="121" t="b">
        <v>0</v>
      </c>
      <c r="T92" s="122" t="b">
        <v>0</v>
      </c>
    </row>
    <row r="93" hidden="1" outlineLevel="1">
      <c r="A93" s="116"/>
      <c r="B93" s="116"/>
      <c r="C93" s="129"/>
      <c r="D93" s="116"/>
      <c r="E93" s="116"/>
      <c r="F93" s="116"/>
      <c r="G93" s="116"/>
      <c r="H93" s="111"/>
      <c r="I93" s="111"/>
      <c r="J93" s="126"/>
      <c r="K93" s="180"/>
      <c r="L93" s="116"/>
      <c r="M93" s="178" t="str">
        <f>IFERROR(__xludf.DUMMYFUNCTION("IF(
  K93="""",
  """",
  ROUND(
    IF(
      L93="""",
      K93,
      IF(
        ISERROR(FIND(""-"",L93)),
        K93 - VALUE(REGEXEXTRACT(L93,""(\d+)"")),
        K93 * (1 - VALUE(REGEXEXTRACT(L93,""(\d+)""))/100)
      )
    ),
    2
  )
)
")," ")</f>
        <v/>
      </c>
      <c r="N93" s="116"/>
      <c r="O93" s="118" t="b">
        <v>0</v>
      </c>
      <c r="P93" s="179"/>
      <c r="Q93" s="120"/>
      <c r="R93" s="121" t="b">
        <v>0</v>
      </c>
      <c r="S93" s="121" t="b">
        <v>0</v>
      </c>
      <c r="T93" s="122" t="b">
        <v>0</v>
      </c>
    </row>
    <row r="94" hidden="1" outlineLevel="1">
      <c r="A94" s="116"/>
      <c r="B94" s="116"/>
      <c r="C94" s="129"/>
      <c r="D94" s="157"/>
      <c r="E94" s="157"/>
      <c r="F94" s="116"/>
      <c r="G94" s="116"/>
      <c r="H94" s="116"/>
      <c r="I94" s="116"/>
      <c r="J94" s="134"/>
      <c r="K94" s="177"/>
      <c r="L94" s="116"/>
      <c r="M94" s="178" t="str">
        <f>IFERROR(__xludf.DUMMYFUNCTION("IF(
  K94="""",
  """",
  ROUND(
    IF(
      L94="""",
      K94,
      IF(
        ISERROR(FIND(""-"",L94)),
        K94 - VALUE(REGEXEXTRACT(L94,""(\d+)"")),
        K94 * (1 - VALUE(REGEXEXTRACT(L94,""(\d+)""))/100)
      )
    ),
    2
  )
)
")," ")</f>
        <v/>
      </c>
      <c r="N94" s="116"/>
      <c r="O94" s="118" t="b">
        <v>0</v>
      </c>
      <c r="P94" s="179"/>
      <c r="Q94" s="120"/>
      <c r="R94" s="121" t="b">
        <v>0</v>
      </c>
      <c r="S94" s="121" t="b">
        <v>0</v>
      </c>
      <c r="T94" s="122" t="b">
        <v>0</v>
      </c>
    </row>
    <row r="95" hidden="1" outlineLevel="1">
      <c r="A95" s="116"/>
      <c r="B95" s="116"/>
      <c r="C95" s="129"/>
      <c r="D95" s="116"/>
      <c r="E95" s="116"/>
      <c r="F95" s="116"/>
      <c r="G95" s="116"/>
      <c r="H95" s="116"/>
      <c r="I95" s="116"/>
      <c r="J95" s="134"/>
      <c r="K95" s="177"/>
      <c r="L95" s="116"/>
      <c r="M95" s="178" t="str">
        <f>IFERROR(__xludf.DUMMYFUNCTION("IF(
  K95="""",
  """",
  ROUND(
    IF(
      L95="""",
      K95,
      IF(
        ISERROR(FIND(""-"",L95)),
        K95 - VALUE(REGEXEXTRACT(L95,""(\d+)"")),
        K95 * (1 - VALUE(REGEXEXTRACT(L95,""(\d+)""))/100)
      )
    ),
    2
  )
)
")," ")</f>
        <v/>
      </c>
      <c r="N95" s="116"/>
      <c r="O95" s="118" t="b">
        <v>0</v>
      </c>
      <c r="P95" s="179"/>
      <c r="Q95" s="120"/>
      <c r="R95" s="121" t="b">
        <v>0</v>
      </c>
      <c r="S95" s="121" t="b">
        <v>0</v>
      </c>
      <c r="T95" s="122" t="b">
        <v>0</v>
      </c>
    </row>
    <row r="96" hidden="1" outlineLevel="1">
      <c r="A96" s="116"/>
      <c r="B96" s="116"/>
      <c r="C96" s="112"/>
      <c r="D96" s="116"/>
      <c r="E96" s="116"/>
      <c r="F96" s="111"/>
      <c r="G96" s="111"/>
      <c r="H96" s="111"/>
      <c r="I96" s="111"/>
      <c r="J96" s="134"/>
      <c r="K96" s="177"/>
      <c r="L96" s="116"/>
      <c r="M96" s="178" t="str">
        <f>IFERROR(__xludf.DUMMYFUNCTION("IF(
  K96="""",
  """",
  ROUND(
    IF(
      L96="""",
      K96,
      IF(
        ISERROR(FIND(""-"",L96)),
        K96 - VALUE(REGEXEXTRACT(L96,""(\d+)"")),
        K96 * (1 - VALUE(REGEXEXTRACT(L96,""(\d+)""))/100)
      )
    ),
    2
  )
)
")," ")</f>
        <v/>
      </c>
      <c r="N96" s="116"/>
      <c r="O96" s="118" t="b">
        <v>0</v>
      </c>
      <c r="P96" s="179"/>
      <c r="Q96" s="120"/>
      <c r="R96" s="121" t="b">
        <v>0</v>
      </c>
      <c r="S96" s="121" t="b">
        <v>0</v>
      </c>
      <c r="T96" s="122" t="b">
        <v>0</v>
      </c>
    </row>
    <row r="97" hidden="1" outlineLevel="1">
      <c r="A97" s="116"/>
      <c r="B97" s="116"/>
      <c r="C97" s="112"/>
      <c r="D97" s="157"/>
      <c r="E97" s="157"/>
      <c r="F97" s="111"/>
      <c r="G97" s="111"/>
      <c r="H97" s="111"/>
      <c r="I97" s="111"/>
      <c r="J97" s="114"/>
      <c r="K97" s="177"/>
      <c r="L97" s="116"/>
      <c r="M97" s="178" t="str">
        <f>IFERROR(__xludf.DUMMYFUNCTION("IF(
  K97="""",
  """",
  ROUND(
    IF(
      L97="""",
      K97,
      IF(
        ISERROR(FIND(""-"",L97)),
        K97 - VALUE(REGEXEXTRACT(L97,""(\d+)"")),
        K97 * (1 - VALUE(REGEXEXTRACT(L97,""(\d+)""))/100)
      )
    ),
    2
  )
)
")," ")</f>
        <v/>
      </c>
      <c r="N97" s="116"/>
      <c r="O97" s="118" t="b">
        <v>0</v>
      </c>
      <c r="P97" s="179"/>
      <c r="Q97" s="120"/>
      <c r="R97" s="121" t="b">
        <v>0</v>
      </c>
      <c r="S97" s="121" t="b">
        <v>0</v>
      </c>
      <c r="T97" s="122" t="b">
        <v>0</v>
      </c>
    </row>
    <row r="98" hidden="1" outlineLevel="1">
      <c r="A98" s="116"/>
      <c r="B98" s="116"/>
      <c r="C98" s="112"/>
      <c r="D98" s="116"/>
      <c r="E98" s="116"/>
      <c r="F98" s="111"/>
      <c r="G98" s="111"/>
      <c r="H98" s="111"/>
      <c r="I98" s="111"/>
      <c r="J98" s="126"/>
      <c r="K98" s="180"/>
      <c r="L98" s="116"/>
      <c r="M98" s="178" t="str">
        <f>IFERROR(__xludf.DUMMYFUNCTION("IF(
  K98="""",
  """",
  ROUND(
    IF(
      L98="""",
      K98,
      IF(
        ISERROR(FIND(""-"",L98)),
        K98 - VALUE(REGEXEXTRACT(L98,""(\d+)"")),
        K98 * (1 - VALUE(REGEXEXTRACT(L98,""(\d+)""))/100)
      )
    ),
    2
  )
)
")," ")</f>
        <v/>
      </c>
      <c r="N98" s="116"/>
      <c r="O98" s="118" t="b">
        <v>0</v>
      </c>
      <c r="P98" s="179"/>
      <c r="Q98" s="120"/>
      <c r="R98" s="121" t="b">
        <v>0</v>
      </c>
      <c r="S98" s="121" t="b">
        <v>0</v>
      </c>
      <c r="T98" s="122" t="b">
        <v>0</v>
      </c>
    </row>
    <row r="99" hidden="1" outlineLevel="1">
      <c r="A99" s="116"/>
      <c r="B99" s="116"/>
      <c r="C99" s="112"/>
      <c r="D99" s="116"/>
      <c r="E99" s="116"/>
      <c r="F99" s="111"/>
      <c r="G99" s="111"/>
      <c r="H99" s="111"/>
      <c r="I99" s="111"/>
      <c r="J99" s="126"/>
      <c r="K99" s="177"/>
      <c r="L99" s="116"/>
      <c r="M99" s="178" t="str">
        <f>IFERROR(__xludf.DUMMYFUNCTION("IF(
  K99="""",
  """",
  ROUND(
    IF(
      L99="""",
      K99,
      IF(
        ISERROR(FIND(""-"",L99)),
        K99 - VALUE(REGEXEXTRACT(L99,""(\d+)"")),
        K99 * (1 - VALUE(REGEXEXTRACT(L99,""(\d+)""))/100)
      )
    ),
    2
  )
)
")," ")</f>
        <v/>
      </c>
      <c r="N99" s="116"/>
      <c r="O99" s="118" t="b">
        <v>0</v>
      </c>
      <c r="P99" s="179"/>
      <c r="Q99" s="120"/>
      <c r="R99" s="121" t="b">
        <v>0</v>
      </c>
      <c r="S99" s="121" t="b">
        <v>0</v>
      </c>
      <c r="T99" s="122" t="b">
        <v>0</v>
      </c>
    </row>
    <row r="100" hidden="1" outlineLevel="1">
      <c r="A100" s="116"/>
      <c r="B100" s="116"/>
      <c r="C100" s="112"/>
      <c r="D100" s="157"/>
      <c r="E100" s="157"/>
      <c r="F100" s="111"/>
      <c r="G100" s="111"/>
      <c r="H100" s="111"/>
      <c r="I100" s="111"/>
      <c r="J100" s="114"/>
      <c r="K100" s="177"/>
      <c r="L100" s="116"/>
      <c r="M100" s="178" t="str">
        <f>IFERROR(__xludf.DUMMYFUNCTION("IF(
  K100="""",
  """",
  ROUND(
    IF(
      L100="""",
      K100,
      IF(
        ISERROR(FIND(""-"",L100)),
        K100 - VALUE(REGEXEXTRACT(L100,""(\d+)"")),
        K100 * (1 - VALUE(REGEXEXTRACT(L100,""(\d+)""))/100)
      )
    ),
    2
  )
)"&amp;"
")," ")</f>
        <v/>
      </c>
      <c r="N100" s="116"/>
      <c r="O100" s="118" t="b">
        <v>0</v>
      </c>
      <c r="P100" s="179"/>
      <c r="Q100" s="120"/>
      <c r="R100" s="121" t="b">
        <v>0</v>
      </c>
      <c r="S100" s="121" t="b">
        <v>0</v>
      </c>
      <c r="T100" s="122" t="b">
        <v>0</v>
      </c>
    </row>
    <row r="101" hidden="1" outlineLevel="1">
      <c r="A101" s="116"/>
      <c r="B101" s="116"/>
      <c r="C101" s="112"/>
      <c r="D101" s="116"/>
      <c r="E101" s="116"/>
      <c r="F101" s="111"/>
      <c r="G101" s="111"/>
      <c r="H101" s="111"/>
      <c r="I101" s="111"/>
      <c r="J101" s="126"/>
      <c r="K101" s="177"/>
      <c r="L101" s="116"/>
      <c r="M101" s="178" t="str">
        <f>IFERROR(__xludf.DUMMYFUNCTION("IF(
  K101="""",
  """",
  ROUND(
    IF(
      L101="""",
      K101,
      IF(
        ISERROR(FIND(""-"",L101)),
        K101 - VALUE(REGEXEXTRACT(L101,""(\d+)"")),
        K101 * (1 - VALUE(REGEXEXTRACT(L101,""(\d+)""))/100)
      )
    ),
    2
  )
)"&amp;"
")," ")</f>
        <v/>
      </c>
      <c r="N101" s="116"/>
      <c r="O101" s="118" t="b">
        <v>0</v>
      </c>
      <c r="P101" s="179"/>
      <c r="Q101" s="120"/>
      <c r="R101" s="121" t="b">
        <v>0</v>
      </c>
      <c r="S101" s="121" t="b">
        <v>0</v>
      </c>
      <c r="T101" s="122" t="b">
        <v>0</v>
      </c>
    </row>
    <row r="102" hidden="1" outlineLevel="1">
      <c r="A102" s="116"/>
      <c r="B102" s="116"/>
      <c r="C102" s="112"/>
      <c r="D102" s="116"/>
      <c r="E102" s="116"/>
      <c r="F102" s="111"/>
      <c r="G102" s="111"/>
      <c r="H102" s="111"/>
      <c r="I102" s="111"/>
      <c r="J102" s="126"/>
      <c r="K102" s="177"/>
      <c r="L102" s="116"/>
      <c r="M102" s="178" t="str">
        <f>IFERROR(__xludf.DUMMYFUNCTION("IF(
  K102="""",
  """",
  ROUND(
    IF(
      L102="""",
      K102,
      IF(
        ISERROR(FIND(""-"",L102)),
        K102 - VALUE(REGEXEXTRACT(L102,""(\d+)"")),
        K102 * (1 - VALUE(REGEXEXTRACT(L102,""(\d+)""))/100)
      )
    ),
    2
  )
)"&amp;"
")," ")</f>
        <v/>
      </c>
      <c r="N102" s="116"/>
      <c r="O102" s="118" t="b">
        <v>0</v>
      </c>
      <c r="P102" s="179"/>
      <c r="Q102" s="120"/>
      <c r="R102" s="121" t="b">
        <v>0</v>
      </c>
      <c r="S102" s="121" t="b">
        <v>0</v>
      </c>
      <c r="T102" s="122" t="b">
        <v>0</v>
      </c>
    </row>
    <row r="103" hidden="1" outlineLevel="1">
      <c r="A103" s="116"/>
      <c r="B103" s="116"/>
      <c r="C103" s="112"/>
      <c r="D103" s="157"/>
      <c r="E103" s="157"/>
      <c r="F103" s="111"/>
      <c r="G103" s="111"/>
      <c r="H103" s="111"/>
      <c r="I103" s="111"/>
      <c r="J103" s="126"/>
      <c r="K103" s="177"/>
      <c r="L103" s="116"/>
      <c r="M103" s="178" t="str">
        <f>IFERROR(__xludf.DUMMYFUNCTION("IF(
  K103="""",
  """",
  ROUND(
    IF(
      L103="""",
      K103,
      IF(
        ISERROR(FIND(""-"",L103)),
        K103 - VALUE(REGEXEXTRACT(L103,""(\d+)"")),
        K103 * (1 - VALUE(REGEXEXTRACT(L103,""(\d+)""))/100)
      )
    ),
    2
  )
)"&amp;"
")," ")</f>
        <v/>
      </c>
      <c r="N103" s="116"/>
      <c r="O103" s="118" t="b">
        <v>0</v>
      </c>
      <c r="P103" s="179"/>
      <c r="Q103" s="120"/>
      <c r="R103" s="121" t="b">
        <v>0</v>
      </c>
      <c r="S103" s="121" t="b">
        <v>0</v>
      </c>
      <c r="T103" s="122" t="b">
        <v>0</v>
      </c>
    </row>
    <row r="104" hidden="1" outlineLevel="1">
      <c r="A104" s="116"/>
      <c r="B104" s="116"/>
      <c r="C104" s="112"/>
      <c r="D104" s="116"/>
      <c r="E104" s="116"/>
      <c r="F104" s="111"/>
      <c r="G104" s="111"/>
      <c r="H104" s="111"/>
      <c r="I104" s="111"/>
      <c r="J104" s="126"/>
      <c r="K104" s="177"/>
      <c r="L104" s="116"/>
      <c r="M104" s="178" t="str">
        <f>IFERROR(__xludf.DUMMYFUNCTION("IF(
  K104="""",
  """",
  ROUND(
    IF(
      L104="""",
      K104,
      IF(
        ISERROR(FIND(""-"",L104)),
        K104 - VALUE(REGEXEXTRACT(L104,""(\d+)"")),
        K104 * (1 - VALUE(REGEXEXTRACT(L104,""(\d+)""))/100)
      )
    ),
    2
  )
)"&amp;"
")," ")</f>
        <v/>
      </c>
      <c r="N104" s="116"/>
      <c r="O104" s="118" t="b">
        <v>0</v>
      </c>
      <c r="P104" s="179"/>
      <c r="Q104" s="120"/>
      <c r="R104" s="121" t="b">
        <v>0</v>
      </c>
      <c r="S104" s="121" t="b">
        <v>0</v>
      </c>
      <c r="T104" s="122" t="b">
        <v>0</v>
      </c>
    </row>
    <row r="105" hidden="1" outlineLevel="1">
      <c r="A105" s="116"/>
      <c r="B105" s="116"/>
      <c r="C105" s="112"/>
      <c r="D105" s="116"/>
      <c r="E105" s="116"/>
      <c r="F105" s="111"/>
      <c r="G105" s="111"/>
      <c r="H105" s="111"/>
      <c r="I105" s="111"/>
      <c r="J105" s="126"/>
      <c r="K105" s="177"/>
      <c r="L105" s="116"/>
      <c r="M105" s="178" t="str">
        <f>IFERROR(__xludf.DUMMYFUNCTION("IF(
  K105="""",
  """",
  ROUND(
    IF(
      L105="""",
      K105,
      IF(
        ISERROR(FIND(""-"",L105)),
        K105 - VALUE(REGEXEXTRACT(L105,""(\d+)"")),
        K105 * (1 - VALUE(REGEXEXTRACT(L105,""(\d+)""))/100)
      )
    ),
    2
  )
)"&amp;"
")," ")</f>
        <v/>
      </c>
      <c r="N105" s="116"/>
      <c r="O105" s="118" t="b">
        <v>0</v>
      </c>
      <c r="P105" s="179"/>
      <c r="Q105" s="120"/>
      <c r="R105" s="121" t="b">
        <v>0</v>
      </c>
      <c r="S105" s="121" t="b">
        <v>0</v>
      </c>
      <c r="T105" s="122" t="b">
        <v>0</v>
      </c>
    </row>
    <row r="106" hidden="1" outlineLevel="1">
      <c r="A106" s="116"/>
      <c r="B106" s="116"/>
      <c r="C106" s="112"/>
      <c r="D106" s="157"/>
      <c r="E106" s="157"/>
      <c r="F106" s="111"/>
      <c r="G106" s="111"/>
      <c r="H106" s="111"/>
      <c r="I106" s="111"/>
      <c r="J106" s="126"/>
      <c r="K106" s="177"/>
      <c r="L106" s="116"/>
      <c r="M106" s="178" t="str">
        <f>IFERROR(__xludf.DUMMYFUNCTION("IF(
  K106="""",
  """",
  ROUND(
    IF(
      L106="""",
      K106,
      IF(
        ISERROR(FIND(""-"",L106)),
        K106 - VALUE(REGEXEXTRACT(L106,""(\d+)"")),
        K106 * (1 - VALUE(REGEXEXTRACT(L106,""(\d+)""))/100)
      )
    ),
    2
  )
)"&amp;"
")," ")</f>
        <v/>
      </c>
      <c r="N106" s="116"/>
      <c r="O106" s="118" t="b">
        <v>0</v>
      </c>
      <c r="P106" s="179"/>
      <c r="Q106" s="120"/>
      <c r="R106" s="121" t="b">
        <v>0</v>
      </c>
      <c r="S106" s="121" t="b">
        <v>0</v>
      </c>
      <c r="T106" s="122" t="b">
        <v>0</v>
      </c>
    </row>
    <row r="107" hidden="1" outlineLevel="1">
      <c r="A107" s="131"/>
      <c r="B107" s="131"/>
      <c r="C107" s="123"/>
      <c r="D107" s="116"/>
      <c r="E107" s="116"/>
      <c r="F107" s="124"/>
      <c r="G107" s="124"/>
      <c r="H107" s="124"/>
      <c r="I107" s="124"/>
      <c r="J107" s="125"/>
      <c r="K107" s="180"/>
      <c r="L107" s="131"/>
      <c r="M107" s="178" t="str">
        <f>IFERROR(__xludf.DUMMYFUNCTION("IF(
  K107="""",
  """",
  ROUND(
    IF(
      L107="""",
      K107,
      IF(
        ISERROR(FIND(""-"",L107)),
        K107 - VALUE(REGEXEXTRACT(L107,""(\d+)"")),
        K107 * (1 - VALUE(REGEXEXTRACT(L107,""(\d+)""))/100)
      )
    ),
    2
  )
)"&amp;"
")," ")</f>
        <v/>
      </c>
      <c r="N107" s="131"/>
      <c r="O107" s="118" t="b">
        <v>0</v>
      </c>
      <c r="P107" s="179"/>
      <c r="Q107" s="149"/>
      <c r="R107" s="121" t="b">
        <v>0</v>
      </c>
      <c r="S107" s="121" t="b">
        <v>0</v>
      </c>
      <c r="T107" s="122" t="b">
        <v>0</v>
      </c>
    </row>
    <row r="108" hidden="1" outlineLevel="1">
      <c r="A108" s="116"/>
      <c r="B108" s="116"/>
      <c r="C108" s="112"/>
      <c r="D108" s="116"/>
      <c r="E108" s="116"/>
      <c r="F108" s="111"/>
      <c r="G108" s="111"/>
      <c r="H108" s="111"/>
      <c r="I108" s="111"/>
      <c r="J108" s="126"/>
      <c r="K108" s="177"/>
      <c r="L108" s="116"/>
      <c r="M108" s="178" t="str">
        <f>IFERROR(__xludf.DUMMYFUNCTION("IF(
  K108="""",
  """",
  ROUND(
    IF(
      L108="""",
      K108,
      IF(
        ISERROR(FIND(""-"",L108)),
        K108 - VALUE(REGEXEXTRACT(L108,""(\d+)"")),
        K108 * (1 - VALUE(REGEXEXTRACT(L108,""(\d+)""))/100)
      )
    ),
    2
  )
)"&amp;"
")," ")</f>
        <v/>
      </c>
      <c r="N108" s="116"/>
      <c r="O108" s="118" t="b">
        <v>0</v>
      </c>
      <c r="P108" s="179"/>
      <c r="Q108" s="120"/>
      <c r="R108" s="121" t="b">
        <v>0</v>
      </c>
      <c r="S108" s="121" t="b">
        <v>0</v>
      </c>
      <c r="T108" s="122" t="b">
        <v>0</v>
      </c>
    </row>
    <row r="109" hidden="1" outlineLevel="1">
      <c r="A109" s="116"/>
      <c r="B109" s="116"/>
      <c r="C109" s="112"/>
      <c r="D109" s="157"/>
      <c r="E109" s="157"/>
      <c r="F109" s="111"/>
      <c r="G109" s="111"/>
      <c r="H109" s="111"/>
      <c r="I109" s="111"/>
      <c r="J109" s="126"/>
      <c r="K109" s="177"/>
      <c r="L109" s="116"/>
      <c r="M109" s="178" t="str">
        <f>IFERROR(__xludf.DUMMYFUNCTION("IF(
  K109="""",
  """",
  ROUND(
    IF(
      L109="""",
      K109,
      IF(
        ISERROR(FIND(""-"",L109)),
        K109 - VALUE(REGEXEXTRACT(L109,""(\d+)"")),
        K109 * (1 - VALUE(REGEXEXTRACT(L109,""(\d+)""))/100)
      )
    ),
    2
  )
)"&amp;"
")," ")</f>
        <v/>
      </c>
      <c r="N109" s="116"/>
      <c r="O109" s="118" t="b">
        <v>0</v>
      </c>
      <c r="P109" s="179"/>
      <c r="Q109" s="120"/>
      <c r="R109" s="121" t="b">
        <v>0</v>
      </c>
      <c r="S109" s="121" t="b">
        <v>0</v>
      </c>
      <c r="T109" s="122" t="b">
        <v>0</v>
      </c>
    </row>
    <row r="110" hidden="1" outlineLevel="1">
      <c r="A110" s="116"/>
      <c r="B110" s="116"/>
      <c r="C110" s="112"/>
      <c r="D110" s="116"/>
      <c r="E110" s="116"/>
      <c r="F110" s="111"/>
      <c r="G110" s="111"/>
      <c r="H110" s="111"/>
      <c r="I110" s="111"/>
      <c r="J110" s="114"/>
      <c r="K110" s="177"/>
      <c r="L110" s="116"/>
      <c r="M110" s="178" t="str">
        <f>IFERROR(__xludf.DUMMYFUNCTION("IF(
  K110="""",
  """",
  ROUND(
    IF(
      L110="""",
      K110,
      IF(
        ISERROR(FIND(""-"",L110)),
        K110 - VALUE(REGEXEXTRACT(L110,""(\d+)"")),
        K110 * (1 - VALUE(REGEXEXTRACT(L110,""(\d+)""))/100)
      )
    ),
    2
  )
)"&amp;"
")," ")</f>
        <v/>
      </c>
      <c r="N110" s="116"/>
      <c r="O110" s="118" t="b">
        <v>0</v>
      </c>
      <c r="P110" s="179"/>
      <c r="Q110" s="120"/>
      <c r="R110" s="121" t="b">
        <v>0</v>
      </c>
      <c r="S110" s="121" t="b">
        <v>0</v>
      </c>
      <c r="T110" s="122" t="b">
        <v>0</v>
      </c>
    </row>
    <row r="111" hidden="1" outlineLevel="1">
      <c r="A111" s="116"/>
      <c r="B111" s="116"/>
      <c r="C111" s="112"/>
      <c r="D111" s="116"/>
      <c r="E111" s="116"/>
      <c r="F111" s="111"/>
      <c r="G111" s="111"/>
      <c r="H111" s="111"/>
      <c r="I111" s="111"/>
      <c r="J111" s="114"/>
      <c r="K111" s="177"/>
      <c r="L111" s="116"/>
      <c r="M111" s="178" t="str">
        <f>IFERROR(__xludf.DUMMYFUNCTION("IF(
  K111="""",
  """",
  ROUND(
    IF(
      L111="""",
      K111,
      IF(
        ISERROR(FIND(""-"",L111)),
        K111 - VALUE(REGEXEXTRACT(L111,""(\d+)"")),
        K111 * (1 - VALUE(REGEXEXTRACT(L111,""(\d+)""))/100)
      )
    ),
    2
  )
)"&amp;"
")," ")</f>
        <v/>
      </c>
      <c r="N111" s="116"/>
      <c r="O111" s="118" t="b">
        <v>0</v>
      </c>
      <c r="P111" s="179"/>
      <c r="Q111" s="120"/>
      <c r="R111" s="121" t="b">
        <v>0</v>
      </c>
      <c r="S111" s="121" t="b">
        <v>0</v>
      </c>
      <c r="T111" s="122" t="b">
        <v>0</v>
      </c>
    </row>
    <row r="112" hidden="1" outlineLevel="1">
      <c r="A112" s="116"/>
      <c r="B112" s="116"/>
      <c r="C112" s="112"/>
      <c r="D112" s="157"/>
      <c r="E112" s="157"/>
      <c r="F112" s="111"/>
      <c r="G112" s="111"/>
      <c r="H112" s="111"/>
      <c r="I112" s="111"/>
      <c r="J112" s="114"/>
      <c r="K112" s="177"/>
      <c r="L112" s="116"/>
      <c r="M112" s="178" t="str">
        <f>IFERROR(__xludf.DUMMYFUNCTION("IF(
  K112="""",
  """",
  ROUND(
    IF(
      L112="""",
      K112,
      IF(
        ISERROR(FIND(""-"",L112)),
        K112 - VALUE(REGEXEXTRACT(L112,""(\d+)"")),
        K112 * (1 - VALUE(REGEXEXTRACT(L112,""(\d+)""))/100)
      )
    ),
    2
  )
)"&amp;"
")," ")</f>
        <v/>
      </c>
      <c r="N112" s="116"/>
      <c r="O112" s="118" t="b">
        <v>0</v>
      </c>
      <c r="P112" s="179"/>
      <c r="Q112" s="120"/>
      <c r="R112" s="121" t="b">
        <v>0</v>
      </c>
      <c r="S112" s="121" t="b">
        <v>0</v>
      </c>
      <c r="T112" s="122" t="b">
        <v>0</v>
      </c>
    </row>
    <row r="113" hidden="1" outlineLevel="1">
      <c r="A113" s="116"/>
      <c r="B113" s="116"/>
      <c r="C113" s="112"/>
      <c r="D113" s="116"/>
      <c r="E113" s="116"/>
      <c r="F113" s="111"/>
      <c r="G113" s="111"/>
      <c r="H113" s="111"/>
      <c r="I113" s="111"/>
      <c r="J113" s="114"/>
      <c r="K113" s="177"/>
      <c r="L113" s="116"/>
      <c r="M113" s="178" t="str">
        <f>IFERROR(__xludf.DUMMYFUNCTION("IF(
  K113="""",
  """",
  ROUND(
    IF(
      L113="""",
      K113,
      IF(
        ISERROR(FIND(""-"",L113)),
        K113 - VALUE(REGEXEXTRACT(L113,""(\d+)"")),
        K113 * (1 - VALUE(REGEXEXTRACT(L113,""(\d+)""))/100)
      )
    ),
    2
  )
)"&amp;"
")," ")</f>
        <v/>
      </c>
      <c r="N113" s="116"/>
      <c r="O113" s="118" t="b">
        <v>0</v>
      </c>
      <c r="P113" s="179"/>
      <c r="Q113" s="120"/>
      <c r="R113" s="121" t="b">
        <v>0</v>
      </c>
      <c r="S113" s="121" t="b">
        <v>0</v>
      </c>
      <c r="T113" s="122" t="b">
        <v>0</v>
      </c>
    </row>
    <row r="114" hidden="1" outlineLevel="1">
      <c r="A114" s="116"/>
      <c r="B114" s="116"/>
      <c r="C114" s="129"/>
      <c r="D114" s="116"/>
      <c r="E114" s="116"/>
      <c r="F114" s="116"/>
      <c r="G114" s="116"/>
      <c r="H114" s="116"/>
      <c r="I114" s="116"/>
      <c r="J114" s="134"/>
      <c r="K114" s="177"/>
      <c r="L114" s="116"/>
      <c r="M114" s="178" t="str">
        <f>IFERROR(__xludf.DUMMYFUNCTION("IF(
  K114="""",
  """",
  ROUND(
    IF(
      L114="""",
      K114,
      IF(
        ISERROR(FIND(""-"",L114)),
        K114 - VALUE(REGEXEXTRACT(L114,""(\d+)"")),
        K114 * (1 - VALUE(REGEXEXTRACT(L114,""(\d+)""))/100)
      )
    ),
    2
  )
)"&amp;"
")," ")</f>
        <v/>
      </c>
      <c r="N114" s="116"/>
      <c r="O114" s="118" t="b">
        <v>0</v>
      </c>
      <c r="P114" s="179"/>
      <c r="Q114" s="120"/>
      <c r="R114" s="121" t="b">
        <v>0</v>
      </c>
      <c r="S114" s="121" t="b">
        <v>0</v>
      </c>
      <c r="T114" s="122" t="b">
        <v>0</v>
      </c>
    </row>
    <row r="115" hidden="1" outlineLevel="1">
      <c r="A115" s="116"/>
      <c r="B115" s="116"/>
      <c r="C115" s="129"/>
      <c r="D115" s="157"/>
      <c r="E115" s="157"/>
      <c r="F115" s="116"/>
      <c r="G115" s="116"/>
      <c r="H115" s="181"/>
      <c r="I115" s="116"/>
      <c r="J115" s="134"/>
      <c r="K115" s="177"/>
      <c r="L115" s="116"/>
      <c r="M115" s="178" t="str">
        <f>IFERROR(__xludf.DUMMYFUNCTION("IF(
  K115="""",
  """",
  ROUND(
    IF(
      L115="""",
      K115,
      IF(
        ISERROR(FIND(""-"",L115)),
        K115 - VALUE(REGEXEXTRACT(L115,""(\d+)"")),
        K115 * (1 - VALUE(REGEXEXTRACT(L115,""(\d+)""))/100)
      )
    ),
    2
  )
)"&amp;"
")," ")</f>
        <v/>
      </c>
      <c r="N115" s="116"/>
      <c r="O115" s="118" t="b">
        <v>0</v>
      </c>
      <c r="P115" s="179"/>
      <c r="Q115" s="120"/>
      <c r="R115" s="121" t="b">
        <v>0</v>
      </c>
      <c r="S115" s="121" t="b">
        <v>0</v>
      </c>
      <c r="T115" s="122" t="b">
        <v>0</v>
      </c>
    </row>
    <row r="116" hidden="1" outlineLevel="1">
      <c r="A116" s="116"/>
      <c r="B116" s="116"/>
      <c r="C116" s="129"/>
      <c r="D116" s="116"/>
      <c r="E116" s="116"/>
      <c r="F116" s="116"/>
      <c r="G116" s="116"/>
      <c r="H116" s="116"/>
      <c r="I116" s="116"/>
      <c r="J116" s="134"/>
      <c r="K116" s="177"/>
      <c r="L116" s="116"/>
      <c r="M116" s="178" t="str">
        <f>IFERROR(__xludf.DUMMYFUNCTION("IF(
  K116="""",
  """",
  ROUND(
    IF(
      L116="""",
      K116,
      IF(
        ISERROR(FIND(""-"",L116)),
        K116 - VALUE(REGEXEXTRACT(L116,""(\d+)"")),
        K116 * (1 - VALUE(REGEXEXTRACT(L116,""(\d+)""))/100)
      )
    ),
    2
  )
)"&amp;"
")," ")</f>
        <v/>
      </c>
      <c r="N116" s="116"/>
      <c r="O116" s="118" t="b">
        <v>0</v>
      </c>
      <c r="P116" s="179"/>
      <c r="Q116" s="120"/>
      <c r="R116" s="121" t="b">
        <v>0</v>
      </c>
      <c r="S116" s="121" t="b">
        <v>0</v>
      </c>
      <c r="T116" s="122" t="b">
        <v>0</v>
      </c>
    </row>
    <row r="117" hidden="1" outlineLevel="1">
      <c r="A117" s="116"/>
      <c r="B117" s="116"/>
      <c r="C117" s="129"/>
      <c r="D117" s="116"/>
      <c r="E117" s="116"/>
      <c r="F117" s="116"/>
      <c r="G117" s="116"/>
      <c r="H117" s="116"/>
      <c r="I117" s="116"/>
      <c r="J117" s="132"/>
      <c r="K117" s="177"/>
      <c r="L117" s="116"/>
      <c r="M117" s="178" t="str">
        <f>IFERROR(__xludf.DUMMYFUNCTION("IF(
  K117="""",
  """",
  ROUND(
    IF(
      L117="""",
      K117,
      IF(
        ISERROR(FIND(""-"",L117)),
        K117 - VALUE(REGEXEXTRACT(L117,""(\d+)"")),
        K117 * (1 - VALUE(REGEXEXTRACT(L117,""(\d+)""))/100)
      )
    ),
    2
  )
)"&amp;"
")," ")</f>
        <v/>
      </c>
      <c r="N117" s="116"/>
      <c r="O117" s="118" t="b">
        <v>0</v>
      </c>
      <c r="P117" s="179"/>
      <c r="Q117" s="120"/>
      <c r="R117" s="121" t="b">
        <v>0</v>
      </c>
      <c r="S117" s="121" t="b">
        <v>0</v>
      </c>
      <c r="T117" s="122" t="b">
        <v>0</v>
      </c>
    </row>
    <row r="118" hidden="1" outlineLevel="1">
      <c r="A118" s="116"/>
      <c r="B118" s="116"/>
      <c r="C118" s="129"/>
      <c r="D118" s="157"/>
      <c r="E118" s="157"/>
      <c r="F118" s="116"/>
      <c r="G118" s="116"/>
      <c r="H118" s="116"/>
      <c r="I118" s="116"/>
      <c r="J118" s="134"/>
      <c r="K118" s="177"/>
      <c r="L118" s="116"/>
      <c r="M118" s="178" t="str">
        <f>IFERROR(__xludf.DUMMYFUNCTION("IF(
  K118="""",
  """",
  ROUND(
    IF(
      L118="""",
      K118,
      IF(
        ISERROR(FIND(""-"",L118)),
        K118 - VALUE(REGEXEXTRACT(L118,""(\d+)"")),
        K118 * (1 - VALUE(REGEXEXTRACT(L118,""(\d+)""))/100)
      )
    ),
    2
  )
)"&amp;"
")," ")</f>
        <v/>
      </c>
      <c r="N118" s="116"/>
      <c r="O118" s="118" t="b">
        <v>0</v>
      </c>
      <c r="P118" s="179"/>
      <c r="Q118" s="120"/>
      <c r="R118" s="121" t="b">
        <v>0</v>
      </c>
      <c r="S118" s="121" t="b">
        <v>0</v>
      </c>
      <c r="T118" s="122" t="b">
        <v>0</v>
      </c>
    </row>
    <row r="119" hidden="1" outlineLevel="1">
      <c r="A119" s="116"/>
      <c r="B119" s="116"/>
      <c r="C119" s="129"/>
      <c r="D119" s="116"/>
      <c r="E119" s="116"/>
      <c r="F119" s="116"/>
      <c r="G119" s="116"/>
      <c r="H119" s="116"/>
      <c r="I119" s="116"/>
      <c r="J119" s="133"/>
      <c r="K119" s="177"/>
      <c r="L119" s="116"/>
      <c r="M119" s="178" t="str">
        <f>IFERROR(__xludf.DUMMYFUNCTION("IF(
  K119="""",
  """",
  ROUND(
    IF(
      L119="""",
      K119,
      IF(
        ISERROR(FIND(""-"",L119)),
        K119 - VALUE(REGEXEXTRACT(L119,""(\d+)"")),
        K119 * (1 - VALUE(REGEXEXTRACT(L119,""(\d+)""))/100)
      )
    ),
    2
  )
)"&amp;"
")," ")</f>
        <v/>
      </c>
      <c r="N119" s="116"/>
      <c r="O119" s="118" t="b">
        <v>0</v>
      </c>
      <c r="P119" s="179"/>
      <c r="Q119" s="120"/>
      <c r="R119" s="121" t="b">
        <v>0</v>
      </c>
      <c r="S119" s="121" t="b">
        <v>0</v>
      </c>
      <c r="T119" s="122" t="b">
        <v>0</v>
      </c>
    </row>
    <row r="120" hidden="1" outlineLevel="1">
      <c r="A120" s="116"/>
      <c r="B120" s="116"/>
      <c r="C120" s="129"/>
      <c r="D120" s="116"/>
      <c r="E120" s="116"/>
      <c r="F120" s="116"/>
      <c r="G120" s="116"/>
      <c r="H120" s="116"/>
      <c r="I120" s="116"/>
      <c r="J120" s="133"/>
      <c r="K120" s="177"/>
      <c r="L120" s="116"/>
      <c r="M120" s="178" t="str">
        <f>IFERROR(__xludf.DUMMYFUNCTION("IF(
  K120="""",
  """",
  ROUND(
    IF(
      L120="""",
      K120,
      IF(
        ISERROR(FIND(""-"",L120)),
        K120 - VALUE(REGEXEXTRACT(L120,""(\d+)"")),
        K120 * (1 - VALUE(REGEXEXTRACT(L120,""(\d+)""))/100)
      )
    ),
    2
  )
)"&amp;"
")," ")</f>
        <v/>
      </c>
      <c r="N120" s="116"/>
      <c r="O120" s="118" t="b">
        <v>0</v>
      </c>
      <c r="P120" s="179"/>
      <c r="Q120" s="120"/>
      <c r="R120" s="121" t="b">
        <v>0</v>
      </c>
      <c r="S120" s="121" t="b">
        <v>0</v>
      </c>
      <c r="T120" s="122" t="b">
        <v>0</v>
      </c>
    </row>
    <row r="121" hidden="1" outlineLevel="1">
      <c r="A121" s="116"/>
      <c r="B121" s="116"/>
      <c r="C121" s="129"/>
      <c r="D121" s="157"/>
      <c r="E121" s="157"/>
      <c r="F121" s="116"/>
      <c r="G121" s="116"/>
      <c r="H121" s="116"/>
      <c r="I121" s="116"/>
      <c r="J121" s="129"/>
      <c r="K121" s="177"/>
      <c r="L121" s="116"/>
      <c r="M121" s="178" t="str">
        <f>IFERROR(__xludf.DUMMYFUNCTION("IF(
  K121="""",
  """",
  ROUND(
    IF(
      L121="""",
      K121,
      IF(
        ISERROR(FIND(""-"",L121)),
        K121 - VALUE(REGEXEXTRACT(L121,""(\d+)"")),
        K121 * (1 - VALUE(REGEXEXTRACT(L121,""(\d+)""))/100)
      )
    ),
    2
  )
)"&amp;"
")," ")</f>
        <v/>
      </c>
      <c r="N121" s="116"/>
      <c r="O121" s="118" t="b">
        <v>0</v>
      </c>
      <c r="P121" s="179"/>
      <c r="Q121" s="120"/>
      <c r="R121" s="121" t="b">
        <v>0</v>
      </c>
      <c r="S121" s="121" t="b">
        <v>0</v>
      </c>
      <c r="T121" s="122" t="b">
        <v>0</v>
      </c>
    </row>
    <row r="122" hidden="1" outlineLevel="1">
      <c r="A122" s="116"/>
      <c r="B122" s="116"/>
      <c r="C122" s="133"/>
      <c r="D122" s="116"/>
      <c r="E122" s="116"/>
      <c r="F122" s="116"/>
      <c r="G122" s="116"/>
      <c r="H122" s="116"/>
      <c r="I122" s="116"/>
      <c r="J122" s="134"/>
      <c r="K122" s="177"/>
      <c r="L122" s="116"/>
      <c r="M122" s="178" t="str">
        <f>IFERROR(__xludf.DUMMYFUNCTION("IF(
  K122="""",
  """",
  ROUND(
    IF(
      L122="""",
      K122,
      IF(
        ISERROR(FIND(""-"",L122)),
        K122 - VALUE(REGEXEXTRACT(L122,""(\d+)"")),
        K122 * (1 - VALUE(REGEXEXTRACT(L122,""(\d+)""))/100)
      )
    ),
    2
  )
)"&amp;"
")," ")</f>
        <v/>
      </c>
      <c r="N122" s="116"/>
      <c r="O122" s="118" t="b">
        <v>0</v>
      </c>
      <c r="P122" s="179"/>
      <c r="Q122" s="120"/>
      <c r="R122" s="121" t="b">
        <v>0</v>
      </c>
      <c r="S122" s="121" t="b">
        <v>0</v>
      </c>
      <c r="T122" s="122" t="b">
        <v>0</v>
      </c>
    </row>
    <row r="123" hidden="1" outlineLevel="1">
      <c r="A123" s="116"/>
      <c r="B123" s="116"/>
      <c r="C123" s="129"/>
      <c r="D123" s="116"/>
      <c r="E123" s="116"/>
      <c r="F123" s="116"/>
      <c r="G123" s="116"/>
      <c r="H123" s="181"/>
      <c r="I123" s="116"/>
      <c r="J123" s="129"/>
      <c r="K123" s="177"/>
      <c r="L123" s="116"/>
      <c r="M123" s="178" t="str">
        <f>IFERROR(__xludf.DUMMYFUNCTION("IF(
  K123="""",
  """",
  ROUND(
    IF(
      L123="""",
      K123,
      IF(
        ISERROR(FIND(""-"",L123)),
        K123 - VALUE(REGEXEXTRACT(L123,""(\d+)"")),
        K123 * (1 - VALUE(REGEXEXTRACT(L123,""(\d+)""))/100)
      )
    ),
    2
  )
)"&amp;"
")," ")</f>
        <v/>
      </c>
      <c r="N123" s="116"/>
      <c r="O123" s="118" t="b">
        <v>0</v>
      </c>
      <c r="P123" s="179"/>
      <c r="Q123" s="120"/>
      <c r="R123" s="121" t="b">
        <v>0</v>
      </c>
      <c r="S123" s="121" t="b">
        <v>0</v>
      </c>
      <c r="T123" s="122" t="b">
        <v>0</v>
      </c>
    </row>
    <row r="124" hidden="1" outlineLevel="1">
      <c r="A124" s="116"/>
      <c r="B124" s="116"/>
      <c r="C124" s="129"/>
      <c r="D124" s="157"/>
      <c r="E124" s="157"/>
      <c r="F124" s="116"/>
      <c r="G124" s="116"/>
      <c r="H124" s="116"/>
      <c r="I124" s="116"/>
      <c r="J124" s="129"/>
      <c r="K124" s="177"/>
      <c r="L124" s="116"/>
      <c r="M124" s="178" t="str">
        <f>IFERROR(__xludf.DUMMYFUNCTION("IF(
  K124="""",
  """",
  ROUND(
    IF(
      L124="""",
      K124,
      IF(
        ISERROR(FIND(""-"",L124)),
        K124 - VALUE(REGEXEXTRACT(L124,""(\d+)"")),
        K124 * (1 - VALUE(REGEXEXTRACT(L124,""(\d+)""))/100)
      )
    ),
    2
  )
)"&amp;"
")," ")</f>
        <v/>
      </c>
      <c r="N124" s="116"/>
      <c r="O124" s="118" t="b">
        <v>0</v>
      </c>
      <c r="P124" s="179"/>
      <c r="Q124" s="120"/>
      <c r="R124" s="121" t="b">
        <v>0</v>
      </c>
      <c r="S124" s="121" t="b">
        <v>0</v>
      </c>
      <c r="T124" s="122" t="b">
        <v>0</v>
      </c>
    </row>
    <row r="125" hidden="1" outlineLevel="1">
      <c r="A125" s="131"/>
      <c r="B125" s="131"/>
      <c r="C125" s="182"/>
      <c r="D125" s="116"/>
      <c r="E125" s="116"/>
      <c r="F125" s="131"/>
      <c r="G125" s="131"/>
      <c r="H125" s="131"/>
      <c r="I125" s="131"/>
      <c r="J125" s="148"/>
      <c r="K125" s="180"/>
      <c r="L125" s="131"/>
      <c r="M125" s="178" t="str">
        <f>IFERROR(__xludf.DUMMYFUNCTION("IF(
  K125="""",
  """",
  ROUND(
    IF(
      L125="""",
      K125,
      IF(
        ISERROR(FIND(""-"",L125)),
        K125 - VALUE(REGEXEXTRACT(L125,""(\d+)"")),
        K125 * (1 - VALUE(REGEXEXTRACT(L125,""(\d+)""))/100)
      )
    ),
    2
  )
)"&amp;"
")," ")</f>
        <v/>
      </c>
      <c r="N125" s="131"/>
      <c r="O125" s="118" t="b">
        <v>0</v>
      </c>
      <c r="P125" s="179"/>
      <c r="Q125" s="149"/>
      <c r="R125" s="121" t="b">
        <v>0</v>
      </c>
      <c r="S125" s="121" t="b">
        <v>0</v>
      </c>
      <c r="T125" s="122" t="b">
        <v>0</v>
      </c>
    </row>
    <row r="126" hidden="1" outlineLevel="1">
      <c r="A126" s="131"/>
      <c r="B126" s="131"/>
      <c r="C126" s="182"/>
      <c r="D126" s="116"/>
      <c r="E126" s="116"/>
      <c r="F126" s="131"/>
      <c r="G126" s="116"/>
      <c r="H126" s="116"/>
      <c r="I126" s="116"/>
      <c r="J126" s="134"/>
      <c r="K126" s="177"/>
      <c r="L126" s="131"/>
      <c r="M126" s="178" t="str">
        <f>IFERROR(__xludf.DUMMYFUNCTION("IF(
  K126="""",
  """",
  ROUND(
    IF(
      L126="""",
      K126,
      IF(
        ISERROR(FIND(""-"",L126)),
        K126 - VALUE(REGEXEXTRACT(L126,""(\d+)"")),
        K126 * (1 - VALUE(REGEXEXTRACT(L126,""(\d+)""))/100)
      )
    ),
    2
  )
)"&amp;"
")," ")</f>
        <v/>
      </c>
      <c r="N126" s="116"/>
      <c r="O126" s="118" t="b">
        <v>0</v>
      </c>
      <c r="P126" s="179"/>
      <c r="Q126" s="120"/>
      <c r="R126" s="121" t="b">
        <v>0</v>
      </c>
      <c r="S126" s="121" t="b">
        <v>0</v>
      </c>
      <c r="T126" s="122" t="b">
        <v>0</v>
      </c>
    </row>
    <row r="127" hidden="1" outlineLevel="1">
      <c r="A127" s="131"/>
      <c r="B127" s="131"/>
      <c r="C127" s="153"/>
      <c r="D127" s="157"/>
      <c r="E127" s="157"/>
      <c r="F127" s="131"/>
      <c r="G127" s="131"/>
      <c r="H127" s="131"/>
      <c r="I127" s="183"/>
      <c r="J127" s="148"/>
      <c r="K127" s="180"/>
      <c r="L127" s="131"/>
      <c r="M127" s="178" t="str">
        <f>IFERROR(__xludf.DUMMYFUNCTION("IF(
  K127="""",
  """",
  ROUND(
    IF(
      L127="""",
      K127,
      IF(
        ISERROR(FIND(""-"",L127)),
        K127 - VALUE(REGEXEXTRACT(L127,""(\d+)"")),
        K127 * (1 - VALUE(REGEXEXTRACT(L127,""(\d+)""))/100)
      )
    ),
    2
  )
)"&amp;"
")," ")</f>
        <v/>
      </c>
      <c r="N127" s="131"/>
      <c r="O127" s="118" t="b">
        <v>0</v>
      </c>
      <c r="P127" s="179"/>
      <c r="Q127" s="149"/>
      <c r="R127" s="121" t="b">
        <v>0</v>
      </c>
      <c r="S127" s="121" t="b">
        <v>0</v>
      </c>
      <c r="T127" s="122" t="b">
        <v>0</v>
      </c>
    </row>
    <row r="128" hidden="1" outlineLevel="1">
      <c r="A128" s="116"/>
      <c r="B128" s="116"/>
      <c r="C128" s="133"/>
      <c r="D128" s="116"/>
      <c r="E128" s="116"/>
      <c r="F128" s="116"/>
      <c r="G128" s="116"/>
      <c r="H128" s="116"/>
      <c r="I128" s="116"/>
      <c r="J128" s="134"/>
      <c r="K128" s="177"/>
      <c r="L128" s="116"/>
      <c r="M128" s="178" t="str">
        <f>IFERROR(__xludf.DUMMYFUNCTION("IF(
  K128="""",
  """",
  ROUND(
    IF(
      L128="""",
      K128,
      IF(
        ISERROR(FIND(""-"",L128)),
        K128 - VALUE(REGEXEXTRACT(L128,""(\d+)"")),
        K128 * (1 - VALUE(REGEXEXTRACT(L128,""(\d+)""))/100)
      )
    ),
    2
  )
)"&amp;"
")," ")</f>
        <v/>
      </c>
      <c r="N128" s="116"/>
      <c r="O128" s="118" t="b">
        <v>0</v>
      </c>
      <c r="P128" s="179"/>
      <c r="Q128" s="120"/>
      <c r="R128" s="121" t="b">
        <v>0</v>
      </c>
      <c r="S128" s="121" t="b">
        <v>0</v>
      </c>
      <c r="T128" s="122" t="b">
        <v>0</v>
      </c>
    </row>
    <row r="129" hidden="1" outlineLevel="1">
      <c r="A129" s="116"/>
      <c r="B129" s="116"/>
      <c r="C129" s="129"/>
      <c r="D129" s="116"/>
      <c r="E129" s="116"/>
      <c r="F129" s="116"/>
      <c r="G129" s="184"/>
      <c r="H129" s="116"/>
      <c r="I129" s="116"/>
      <c r="J129" s="134"/>
      <c r="K129" s="177"/>
      <c r="L129" s="116"/>
      <c r="M129" s="178" t="str">
        <f>IFERROR(__xludf.DUMMYFUNCTION("IF(
  K129="""",
  """",
  ROUND(
    IF(
      L129="""",
      K129,
      IF(
        ISERROR(FIND(""-"",L129)),
        K129 - VALUE(REGEXEXTRACT(L129,""(\d+)"")),
        K129 * (1 - VALUE(REGEXEXTRACT(L129,""(\d+)""))/100)
      )
    ),
    2
  )
)"&amp;"
")," ")</f>
        <v/>
      </c>
      <c r="N129" s="116"/>
      <c r="O129" s="118" t="b">
        <v>0</v>
      </c>
      <c r="P129" s="179"/>
      <c r="Q129" s="120"/>
      <c r="R129" s="121" t="b">
        <v>0</v>
      </c>
      <c r="S129" s="121" t="b">
        <v>0</v>
      </c>
      <c r="T129" s="122" t="b">
        <v>0</v>
      </c>
    </row>
    <row r="130" hidden="1" outlineLevel="1">
      <c r="A130" s="116"/>
      <c r="B130" s="116"/>
      <c r="C130" s="129"/>
      <c r="D130" s="157"/>
      <c r="E130" s="157"/>
      <c r="F130" s="116"/>
      <c r="G130" s="116"/>
      <c r="H130" s="116"/>
      <c r="I130" s="116"/>
      <c r="J130" s="134"/>
      <c r="K130" s="177"/>
      <c r="L130" s="116"/>
      <c r="M130" s="178" t="str">
        <f>IFERROR(__xludf.DUMMYFUNCTION("IF(
  K130="""",
  """",
  ROUND(
    IF(
      L130="""",
      K130,
      IF(
        ISERROR(FIND(""-"",L130)),
        K130 - VALUE(REGEXEXTRACT(L130,""(\d+)"")),
        K130 * (1 - VALUE(REGEXEXTRACT(L130,""(\d+)""))/100)
      )
    ),
    2
  )
)"&amp;"
")," ")</f>
        <v/>
      </c>
      <c r="N130" s="116"/>
      <c r="O130" s="118" t="b">
        <v>0</v>
      </c>
      <c r="P130" s="179"/>
      <c r="Q130" s="120"/>
      <c r="R130" s="121" t="b">
        <v>0</v>
      </c>
      <c r="S130" s="121" t="b">
        <v>0</v>
      </c>
      <c r="T130" s="122" t="b">
        <v>0</v>
      </c>
    </row>
    <row r="131" hidden="1" outlineLevel="1">
      <c r="A131" s="116"/>
      <c r="B131" s="116"/>
      <c r="C131" s="129"/>
      <c r="D131" s="116"/>
      <c r="E131" s="116"/>
      <c r="F131" s="116"/>
      <c r="G131" s="116"/>
      <c r="H131" s="116"/>
      <c r="I131" s="116"/>
      <c r="J131" s="134"/>
      <c r="K131" s="177"/>
      <c r="L131" s="116"/>
      <c r="M131" s="178" t="str">
        <f>IFERROR(__xludf.DUMMYFUNCTION("IF(
  K131="""",
  """",
  ROUND(
    IF(
      L131="""",
      K131,
      IF(
        ISERROR(FIND(""-"",L131)),
        K131 - VALUE(REGEXEXTRACT(L131,""(\d+)"")),
        K131 * (1 - VALUE(REGEXEXTRACT(L131,""(\d+)""))/100)
      )
    ),
    2
  )
)"&amp;"
")," ")</f>
        <v/>
      </c>
      <c r="N131" s="116"/>
      <c r="O131" s="118" t="b">
        <v>0</v>
      </c>
      <c r="P131" s="179"/>
      <c r="Q131" s="120"/>
      <c r="R131" s="121" t="b">
        <v>0</v>
      </c>
      <c r="S131" s="121" t="b">
        <v>0</v>
      </c>
      <c r="T131" s="122" t="b">
        <v>0</v>
      </c>
    </row>
    <row r="132" hidden="1" outlineLevel="1">
      <c r="A132" s="131"/>
      <c r="B132" s="131"/>
      <c r="C132" s="130"/>
      <c r="D132" s="116"/>
      <c r="E132" s="116"/>
      <c r="F132" s="131"/>
      <c r="G132" s="131"/>
      <c r="H132" s="131"/>
      <c r="I132" s="131"/>
      <c r="J132" s="148"/>
      <c r="K132" s="180"/>
      <c r="L132" s="131"/>
      <c r="M132" s="178" t="str">
        <f>IFERROR(__xludf.DUMMYFUNCTION("IF(
  K132="""",
  """",
  ROUND(
    IF(
      L132="""",
      K132,
      IF(
        ISERROR(FIND(""-"",L132)),
        K132 - VALUE(REGEXEXTRACT(L132,""(\d+)"")),
        K132 * (1 - VALUE(REGEXEXTRACT(L132,""(\d+)""))/100)
      )
    ),
    2
  )
)"&amp;"
")," ")</f>
        <v/>
      </c>
      <c r="N132" s="116"/>
      <c r="O132" s="118" t="b">
        <v>0</v>
      </c>
      <c r="P132" s="179"/>
      <c r="Q132" s="120"/>
      <c r="R132" s="121" t="b">
        <v>0</v>
      </c>
      <c r="S132" s="121" t="b">
        <v>0</v>
      </c>
      <c r="T132" s="122" t="b">
        <v>0</v>
      </c>
    </row>
    <row r="133" hidden="1" outlineLevel="1">
      <c r="A133" s="116"/>
      <c r="B133" s="116"/>
      <c r="C133" s="129"/>
      <c r="D133" s="157"/>
      <c r="E133" s="157"/>
      <c r="F133" s="116"/>
      <c r="G133" s="116"/>
      <c r="H133" s="116"/>
      <c r="I133" s="116"/>
      <c r="J133" s="134"/>
      <c r="K133" s="177"/>
      <c r="L133" s="116"/>
      <c r="M133" s="178" t="str">
        <f>IFERROR(__xludf.DUMMYFUNCTION("IF(
  K133="""",
  """",
  ROUND(
    IF(
      L133="""",
      K133,
      IF(
        ISERROR(FIND(""-"",L133)),
        K133 - VALUE(REGEXEXTRACT(L133,""(\d+)"")),
        K133 * (1 - VALUE(REGEXEXTRACT(L133,""(\d+)""))/100)
      )
    ),
    2
  )
)"&amp;"
")," ")</f>
        <v/>
      </c>
      <c r="N133" s="116"/>
      <c r="O133" s="118" t="b">
        <v>0</v>
      </c>
      <c r="P133" s="179"/>
      <c r="Q133" s="120"/>
      <c r="R133" s="121" t="b">
        <v>0</v>
      </c>
      <c r="S133" s="121" t="b">
        <v>0</v>
      </c>
      <c r="T133" s="122" t="b">
        <v>0</v>
      </c>
    </row>
    <row r="134" hidden="1" outlineLevel="1">
      <c r="A134" s="116"/>
      <c r="B134" s="116"/>
      <c r="C134" s="130"/>
      <c r="D134" s="116"/>
      <c r="E134" s="116"/>
      <c r="F134" s="131"/>
      <c r="G134" s="131"/>
      <c r="H134" s="131"/>
      <c r="I134" s="131"/>
      <c r="J134" s="148"/>
      <c r="K134" s="180"/>
      <c r="L134" s="131"/>
      <c r="M134" s="178" t="str">
        <f>IFERROR(__xludf.DUMMYFUNCTION("IF(
  K134="""",
  """",
  ROUND(
    IF(
      L134="""",
      K134,
      IF(
        ISERROR(FIND(""-"",L134)),
        K134 - VALUE(REGEXEXTRACT(L134,""(\d+)"")),
        K134 * (1 - VALUE(REGEXEXTRACT(L134,""(\d+)""))/100)
      )
    ),
    2
  )
)"&amp;"
")," ")</f>
        <v/>
      </c>
      <c r="N134" s="131"/>
      <c r="O134" s="118" t="b">
        <v>0</v>
      </c>
      <c r="P134" s="179"/>
      <c r="Q134" s="149"/>
      <c r="R134" s="121" t="b">
        <v>0</v>
      </c>
      <c r="S134" s="121" t="b">
        <v>0</v>
      </c>
      <c r="T134" s="122" t="b">
        <v>0</v>
      </c>
    </row>
    <row r="135" hidden="1" outlineLevel="1">
      <c r="A135" s="131"/>
      <c r="B135" s="131"/>
      <c r="C135" s="130"/>
      <c r="D135" s="116"/>
      <c r="E135" s="116"/>
      <c r="F135" s="131"/>
      <c r="G135" s="131"/>
      <c r="H135" s="131"/>
      <c r="I135" s="131"/>
      <c r="J135" s="148"/>
      <c r="K135" s="180"/>
      <c r="L135" s="131"/>
      <c r="M135" s="178" t="str">
        <f>IFERROR(__xludf.DUMMYFUNCTION("IF(
  K135="""",
  """",
  ROUND(
    IF(
      L135="""",
      K135,
      IF(
        ISERROR(FIND(""-"",L135)),
        K135 - VALUE(REGEXEXTRACT(L135,""(\d+)"")),
        K135 * (1 - VALUE(REGEXEXTRACT(L135,""(\d+)""))/100)
      )
    ),
    2
  )
)"&amp;"
")," ")</f>
        <v/>
      </c>
      <c r="N135" s="116"/>
      <c r="O135" s="118" t="b">
        <v>0</v>
      </c>
      <c r="P135" s="179"/>
      <c r="Q135" s="149"/>
      <c r="R135" s="121" t="b">
        <v>0</v>
      </c>
      <c r="S135" s="121" t="b">
        <v>0</v>
      </c>
      <c r="T135" s="122" t="b">
        <v>0</v>
      </c>
    </row>
    <row r="136" hidden="1" outlineLevel="1">
      <c r="A136" s="116"/>
      <c r="B136" s="116"/>
      <c r="C136" s="129"/>
      <c r="D136" s="157"/>
      <c r="E136" s="157"/>
      <c r="F136" s="116"/>
      <c r="G136" s="116"/>
      <c r="H136" s="116"/>
      <c r="I136" s="116"/>
      <c r="J136" s="134"/>
      <c r="K136" s="177"/>
      <c r="L136" s="116"/>
      <c r="M136" s="178" t="str">
        <f>IFERROR(__xludf.DUMMYFUNCTION("IF(
  K136="""",
  """",
  ROUND(
    IF(
      L136="""",
      K136,
      IF(
        ISERROR(FIND(""-"",L136)),
        K136 - VALUE(REGEXEXTRACT(L136,""(\d+)"")),
        K136 * (1 - VALUE(REGEXEXTRACT(L136,""(\d+)""))/100)
      )
    ),
    2
  )
)"&amp;"
")," ")</f>
        <v/>
      </c>
      <c r="N136" s="116"/>
      <c r="O136" s="118" t="b">
        <v>0</v>
      </c>
      <c r="P136" s="179"/>
      <c r="Q136" s="120"/>
      <c r="R136" s="121" t="b">
        <v>0</v>
      </c>
      <c r="S136" s="121" t="b">
        <v>0</v>
      </c>
      <c r="T136" s="122" t="b">
        <v>0</v>
      </c>
    </row>
    <row r="137" hidden="1" outlineLevel="1">
      <c r="A137" s="116"/>
      <c r="B137" s="116"/>
      <c r="C137" s="129"/>
      <c r="D137" s="116"/>
      <c r="E137" s="116"/>
      <c r="F137" s="116"/>
      <c r="G137" s="116"/>
      <c r="H137" s="116"/>
      <c r="I137" s="116"/>
      <c r="J137" s="134"/>
      <c r="K137" s="177"/>
      <c r="L137" s="116"/>
      <c r="M137" s="178" t="str">
        <f>IFERROR(__xludf.DUMMYFUNCTION("IF(
  K137="""",
  """",
  ROUND(
    IF(
      L137="""",
      K137,
      IF(
        ISERROR(FIND(""-"",L137)),
        K137 - VALUE(REGEXEXTRACT(L137,""(\d+)"")),
        K137 * (1 - VALUE(REGEXEXTRACT(L137,""(\d+)""))/100)
      )
    ),
    2
  )
)"&amp;"
")," ")</f>
        <v/>
      </c>
      <c r="N137" s="116"/>
      <c r="O137" s="118" t="b">
        <v>0</v>
      </c>
      <c r="P137" s="179"/>
      <c r="Q137" s="120"/>
      <c r="R137" s="121" t="b">
        <v>0</v>
      </c>
      <c r="S137" s="121" t="b">
        <v>0</v>
      </c>
      <c r="T137" s="122" t="b">
        <v>0</v>
      </c>
    </row>
    <row r="138" hidden="1" outlineLevel="1">
      <c r="A138" s="116"/>
      <c r="B138" s="116"/>
      <c r="C138" s="129"/>
      <c r="D138" s="116"/>
      <c r="E138" s="116"/>
      <c r="F138" s="116"/>
      <c r="G138" s="116"/>
      <c r="H138" s="116"/>
      <c r="I138" s="116"/>
      <c r="J138" s="134"/>
      <c r="K138" s="177"/>
      <c r="L138" s="116"/>
      <c r="M138" s="178" t="str">
        <f>IFERROR(__xludf.DUMMYFUNCTION("IF(
  K138="""",
  """",
  ROUND(
    IF(
      L138="""",
      K138,
      IF(
        ISERROR(FIND(""-"",L138)),
        K138 - VALUE(REGEXEXTRACT(L138,""(\d+)"")),
        K138 * (1 - VALUE(REGEXEXTRACT(L138,""(\d+)""))/100)
      )
    ),
    2
  )
)"&amp;"
")," ")</f>
        <v/>
      </c>
      <c r="N138" s="116"/>
      <c r="O138" s="118" t="b">
        <v>0</v>
      </c>
      <c r="P138" s="179"/>
      <c r="Q138" s="120"/>
      <c r="R138" s="121" t="b">
        <v>0</v>
      </c>
      <c r="S138" s="121" t="b">
        <v>0</v>
      </c>
      <c r="T138" s="122" t="b">
        <v>0</v>
      </c>
    </row>
    <row r="139" hidden="1" outlineLevel="1">
      <c r="A139" s="116"/>
      <c r="B139" s="116"/>
      <c r="C139" s="129"/>
      <c r="D139" s="157"/>
      <c r="E139" s="157"/>
      <c r="F139" s="116"/>
      <c r="G139" s="116"/>
      <c r="H139" s="116"/>
      <c r="I139" s="116"/>
      <c r="J139" s="134"/>
      <c r="K139" s="177"/>
      <c r="L139" s="116"/>
      <c r="M139" s="178" t="str">
        <f>IFERROR(__xludf.DUMMYFUNCTION("IF(
  K139="""",
  """",
  ROUND(
    IF(
      L139="""",
      K139,
      IF(
        ISERROR(FIND(""-"",L139)),
        K139 - VALUE(REGEXEXTRACT(L139,""(\d+)"")),
        K139 * (1 - VALUE(REGEXEXTRACT(L139,""(\d+)""))/100)
      )
    ),
    2
  )
)"&amp;"
")," ")</f>
        <v/>
      </c>
      <c r="N139" s="116"/>
      <c r="O139" s="118" t="b">
        <v>0</v>
      </c>
      <c r="P139" s="179"/>
      <c r="Q139" s="120"/>
      <c r="R139" s="121" t="b">
        <v>0</v>
      </c>
      <c r="S139" s="121" t="b">
        <v>0</v>
      </c>
      <c r="T139" s="122" t="b">
        <v>0</v>
      </c>
    </row>
    <row r="140" hidden="1" outlineLevel="1">
      <c r="A140" s="116"/>
      <c r="B140" s="116"/>
      <c r="C140" s="129"/>
      <c r="D140" s="116"/>
      <c r="E140" s="116"/>
      <c r="F140" s="116"/>
      <c r="G140" s="116"/>
      <c r="H140" s="116"/>
      <c r="I140" s="116"/>
      <c r="J140" s="134"/>
      <c r="K140" s="177"/>
      <c r="L140" s="116"/>
      <c r="M140" s="178" t="str">
        <f>IFERROR(__xludf.DUMMYFUNCTION("IF(
  K140="""",
  """",
  ROUND(
    IF(
      L140="""",
      K140,
      IF(
        ISERROR(FIND(""-"",L140)),
        K140 - VALUE(REGEXEXTRACT(L140,""(\d+)"")),
        K140 * (1 - VALUE(REGEXEXTRACT(L140,""(\d+)""))/100)
      )
    ),
    2
  )
)"&amp;"
")," ")</f>
        <v/>
      </c>
      <c r="N140" s="116"/>
      <c r="O140" s="118" t="b">
        <v>0</v>
      </c>
      <c r="P140" s="179"/>
      <c r="Q140" s="120"/>
      <c r="R140" s="121" t="b">
        <v>0</v>
      </c>
      <c r="S140" s="121" t="b">
        <v>0</v>
      </c>
      <c r="T140" s="122" t="b">
        <v>0</v>
      </c>
    </row>
    <row r="141" hidden="1" outlineLevel="1">
      <c r="A141" s="116"/>
      <c r="B141" s="116"/>
      <c r="C141" s="129"/>
      <c r="D141" s="116"/>
      <c r="E141" s="116"/>
      <c r="F141" s="116"/>
      <c r="G141" s="116"/>
      <c r="H141" s="116"/>
      <c r="I141" s="116"/>
      <c r="J141" s="134"/>
      <c r="K141" s="177"/>
      <c r="L141" s="116"/>
      <c r="M141" s="178" t="str">
        <f>IFERROR(__xludf.DUMMYFUNCTION("IF(
  K141="""",
  """",
  ROUND(
    IF(
      L141="""",
      K141,
      IF(
        ISERROR(FIND(""-"",L141)),
        K141 - VALUE(REGEXEXTRACT(L141,""(\d+)"")),
        K141 * (1 - VALUE(REGEXEXTRACT(L141,""(\d+)""))/100)
      )
    ),
    2
  )
)"&amp;"
")," ")</f>
        <v/>
      </c>
      <c r="N141" s="116"/>
      <c r="O141" s="118" t="b">
        <v>0</v>
      </c>
      <c r="P141" s="179"/>
      <c r="Q141" s="120"/>
      <c r="R141" s="121" t="b">
        <v>0</v>
      </c>
      <c r="S141" s="121" t="b">
        <v>0</v>
      </c>
      <c r="T141" s="122" t="b">
        <v>0</v>
      </c>
    </row>
    <row r="142" hidden="1" outlineLevel="1">
      <c r="A142" s="116"/>
      <c r="B142" s="116"/>
      <c r="C142" s="129"/>
      <c r="D142" s="157"/>
      <c r="E142" s="157"/>
      <c r="F142" s="116"/>
      <c r="G142" s="116"/>
      <c r="H142" s="116"/>
      <c r="I142" s="116"/>
      <c r="J142" s="134"/>
      <c r="K142" s="177"/>
      <c r="L142" s="116"/>
      <c r="M142" s="178" t="str">
        <f>IFERROR(__xludf.DUMMYFUNCTION("IF(
  K142="""",
  """",
  ROUND(
    IF(
      L142="""",
      K142,
      IF(
        ISERROR(FIND(""-"",L142)),
        K142 - VALUE(REGEXEXTRACT(L142,""(\d+)"")),
        K142 * (1 - VALUE(REGEXEXTRACT(L142,""(\d+)""))/100)
      )
    ),
    2
  )
)"&amp;"
")," ")</f>
        <v/>
      </c>
      <c r="N142" s="116"/>
      <c r="O142" s="118" t="b">
        <v>0</v>
      </c>
      <c r="P142" s="179"/>
      <c r="Q142" s="120"/>
      <c r="R142" s="121" t="b">
        <v>0</v>
      </c>
      <c r="S142" s="121" t="b">
        <v>0</v>
      </c>
      <c r="T142" s="122" t="b">
        <v>0</v>
      </c>
    </row>
    <row r="143" hidden="1" outlineLevel="1">
      <c r="A143" s="116"/>
      <c r="B143" s="116"/>
      <c r="C143" s="129"/>
      <c r="D143" s="116"/>
      <c r="E143" s="116"/>
      <c r="F143" s="116"/>
      <c r="G143" s="116"/>
      <c r="H143" s="116"/>
      <c r="I143" s="116"/>
      <c r="J143" s="134"/>
      <c r="K143" s="180"/>
      <c r="L143" s="116"/>
      <c r="M143" s="178" t="str">
        <f>IFERROR(__xludf.DUMMYFUNCTION("IF(
  K143="""",
  """",
  ROUND(
    IF(
      L143="""",
      K143,
      IF(
        ISERROR(FIND(""-"",L143)),
        K143 - VALUE(REGEXEXTRACT(L143,""(\d+)"")),
        K143 * (1 - VALUE(REGEXEXTRACT(L143,""(\d+)""))/100)
      )
    ),
    2
  )
)"&amp;"
")," ")</f>
        <v/>
      </c>
      <c r="N143" s="116"/>
      <c r="O143" s="118" t="b">
        <v>0</v>
      </c>
      <c r="P143" s="179"/>
      <c r="Q143" s="120"/>
      <c r="R143" s="121" t="b">
        <v>0</v>
      </c>
      <c r="S143" s="121" t="b">
        <v>0</v>
      </c>
      <c r="T143" s="122" t="b">
        <v>0</v>
      </c>
    </row>
    <row r="144" hidden="1" outlineLevel="1">
      <c r="A144" s="116"/>
      <c r="B144" s="116"/>
      <c r="C144" s="129"/>
      <c r="D144" s="116"/>
      <c r="E144" s="116"/>
      <c r="F144" s="116"/>
      <c r="G144" s="116"/>
      <c r="H144" s="116"/>
      <c r="I144" s="116"/>
      <c r="J144" s="134"/>
      <c r="K144" s="177"/>
      <c r="L144" s="116"/>
      <c r="M144" s="178" t="str">
        <f>IFERROR(__xludf.DUMMYFUNCTION("IF(
  K144="""",
  """",
  ROUND(
    IF(
      L144="""",
      K144,
      IF(
        ISERROR(FIND(""-"",L144)),
        K144 - VALUE(REGEXEXTRACT(L144,""(\d+)"")),
        K144 * (1 - VALUE(REGEXEXTRACT(L144,""(\d+)""))/100)
      )
    ),
    2
  )
)"&amp;"
")," ")</f>
        <v/>
      </c>
      <c r="N144" s="116"/>
      <c r="O144" s="118" t="b">
        <v>0</v>
      </c>
      <c r="P144" s="179"/>
      <c r="Q144" s="120"/>
      <c r="R144" s="121" t="b">
        <v>0</v>
      </c>
      <c r="S144" s="121" t="b">
        <v>0</v>
      </c>
      <c r="T144" s="122" t="b">
        <v>0</v>
      </c>
    </row>
    <row r="145" hidden="1" outlineLevel="1">
      <c r="A145" s="116"/>
      <c r="B145" s="116"/>
      <c r="C145" s="129"/>
      <c r="D145" s="157"/>
      <c r="E145" s="157"/>
      <c r="F145" s="116"/>
      <c r="G145" s="116"/>
      <c r="H145" s="116"/>
      <c r="I145" s="116"/>
      <c r="J145" s="134"/>
      <c r="K145" s="177"/>
      <c r="L145" s="116"/>
      <c r="M145" s="178" t="str">
        <f>IFERROR(__xludf.DUMMYFUNCTION("IF(
  K145="""",
  """",
  ROUND(
    IF(
      L145="""",
      K145,
      IF(
        ISERROR(FIND(""-"",L145)),
        K145 - VALUE(REGEXEXTRACT(L145,""(\d+)"")),
        K145 * (1 - VALUE(REGEXEXTRACT(L145,""(\d+)""))/100)
      )
    ),
    2
  )
)"&amp;"
")," ")</f>
        <v/>
      </c>
      <c r="N145" s="116"/>
      <c r="O145" s="118" t="b">
        <v>0</v>
      </c>
      <c r="P145" s="179"/>
      <c r="Q145" s="120"/>
      <c r="R145" s="121" t="b">
        <v>0</v>
      </c>
      <c r="S145" s="121" t="b">
        <v>0</v>
      </c>
      <c r="T145" s="122" t="b">
        <v>0</v>
      </c>
    </row>
    <row r="146" hidden="1" outlineLevel="1">
      <c r="A146" s="116"/>
      <c r="B146" s="116"/>
      <c r="C146" s="185"/>
      <c r="D146" s="116"/>
      <c r="E146" s="116"/>
      <c r="F146" s="116"/>
      <c r="G146" s="116"/>
      <c r="H146" s="116"/>
      <c r="I146" s="116"/>
      <c r="J146" s="134"/>
      <c r="K146" s="177"/>
      <c r="L146" s="116"/>
      <c r="M146" s="178" t="str">
        <f>IFERROR(__xludf.DUMMYFUNCTION("IF(
  K146="""",
  """",
  ROUND(
    IF(
      L146="""",
      K146,
      IF(
        ISERROR(FIND(""-"",L146)),
        K146 - VALUE(REGEXEXTRACT(L146,""(\d+)"")),
        K146 * (1 - VALUE(REGEXEXTRACT(L146,""(\d+)""))/100)
      )
    ),
    2
  )
)"&amp;"
")," ")</f>
        <v/>
      </c>
      <c r="N146" s="116"/>
      <c r="O146" s="118" t="b">
        <v>0</v>
      </c>
      <c r="P146" s="179"/>
      <c r="Q146" s="120"/>
      <c r="R146" s="121" t="b">
        <v>0</v>
      </c>
      <c r="S146" s="121" t="b">
        <v>0</v>
      </c>
      <c r="T146" s="122" t="b">
        <v>0</v>
      </c>
    </row>
    <row r="147" hidden="1" outlineLevel="1">
      <c r="A147" s="116"/>
      <c r="B147" s="116"/>
      <c r="C147" s="185"/>
      <c r="D147" s="116"/>
      <c r="E147" s="116"/>
      <c r="F147" s="116"/>
      <c r="G147" s="116"/>
      <c r="H147" s="116"/>
      <c r="I147" s="116"/>
      <c r="J147" s="134"/>
      <c r="K147" s="177"/>
      <c r="L147" s="116"/>
      <c r="M147" s="178" t="str">
        <f>IFERROR(__xludf.DUMMYFUNCTION("IF(
  K147="""",
  """",
  ROUND(
    IF(
      L147="""",
      K147,
      IF(
        ISERROR(FIND(""-"",L147)),
        K147 - VALUE(REGEXEXTRACT(L147,""(\d+)"")),
        K147 * (1 - VALUE(REGEXEXTRACT(L147,""(\d+)""))/100)
      )
    ),
    2
  )
)"&amp;"
")," ")</f>
        <v/>
      </c>
      <c r="N147" s="116"/>
      <c r="O147" s="118" t="b">
        <v>0</v>
      </c>
      <c r="P147" s="179"/>
      <c r="Q147" s="120"/>
      <c r="R147" s="121" t="b">
        <v>0</v>
      </c>
      <c r="S147" s="121" t="b">
        <v>0</v>
      </c>
      <c r="T147" s="122" t="b">
        <v>0</v>
      </c>
    </row>
    <row r="148" hidden="1" outlineLevel="1">
      <c r="A148" s="116"/>
      <c r="B148" s="116"/>
      <c r="C148" s="185"/>
      <c r="D148" s="157"/>
      <c r="E148" s="157"/>
      <c r="F148" s="116"/>
      <c r="G148" s="116"/>
      <c r="H148" s="116"/>
      <c r="I148" s="116"/>
      <c r="J148" s="134"/>
      <c r="K148" s="177"/>
      <c r="L148" s="116"/>
      <c r="M148" s="178" t="str">
        <f>IFERROR(__xludf.DUMMYFUNCTION("IF(
  K148="""",
  """",
  ROUND(
    IF(
      L148="""",
      K148,
      IF(
        ISERROR(FIND(""-"",L148)),
        K148 - VALUE(REGEXEXTRACT(L148,""(\d+)"")),
        K148 * (1 - VALUE(REGEXEXTRACT(L148,""(\d+)""))/100)
      )
    ),
    2
  )
)"&amp;"
")," ")</f>
        <v/>
      </c>
      <c r="N148" s="116"/>
      <c r="O148" s="118" t="b">
        <v>0</v>
      </c>
      <c r="P148" s="179"/>
      <c r="Q148" s="120"/>
      <c r="R148" s="121" t="b">
        <v>0</v>
      </c>
      <c r="S148" s="121" t="b">
        <v>0</v>
      </c>
      <c r="T148" s="122" t="b">
        <v>0</v>
      </c>
    </row>
    <row r="149" hidden="1" outlineLevel="1">
      <c r="A149" s="116"/>
      <c r="B149" s="116"/>
      <c r="C149" s="185"/>
      <c r="D149" s="116"/>
      <c r="E149" s="116"/>
      <c r="F149" s="116"/>
      <c r="G149" s="116"/>
      <c r="H149" s="116"/>
      <c r="I149" s="116"/>
      <c r="J149" s="134"/>
      <c r="K149" s="177"/>
      <c r="L149" s="116"/>
      <c r="M149" s="178" t="str">
        <f>IFERROR(__xludf.DUMMYFUNCTION("IF(
  K149="""",
  """",
  ROUND(
    IF(
      L149="""",
      K149,
      IF(
        ISERROR(FIND(""-"",L149)),
        K149 - VALUE(REGEXEXTRACT(L149,""(\d+)"")),
        K149 * (1 - VALUE(REGEXEXTRACT(L149,""(\d+)""))/100)
      )
    ),
    2
  )
)"&amp;"
")," ")</f>
        <v/>
      </c>
      <c r="N149" s="116"/>
      <c r="O149" s="118" t="b">
        <v>0</v>
      </c>
      <c r="P149" s="179"/>
      <c r="Q149" s="120"/>
      <c r="R149" s="121" t="b">
        <v>0</v>
      </c>
      <c r="S149" s="121" t="b">
        <v>0</v>
      </c>
      <c r="T149" s="122" t="b">
        <v>0</v>
      </c>
    </row>
    <row r="150" hidden="1" outlineLevel="1">
      <c r="A150" s="116"/>
      <c r="B150" s="116"/>
      <c r="C150" s="185"/>
      <c r="D150" s="116"/>
      <c r="E150" s="116"/>
      <c r="F150" s="116"/>
      <c r="G150" s="116"/>
      <c r="H150" s="116"/>
      <c r="I150" s="116"/>
      <c r="J150" s="134"/>
      <c r="K150" s="177"/>
      <c r="L150" s="116"/>
      <c r="M150" s="178" t="str">
        <f>IFERROR(__xludf.DUMMYFUNCTION("IF(
  K150="""",
  """",
  ROUND(
    IF(
      L150="""",
      K150,
      IF(
        ISERROR(FIND(""-"",L150)),
        K150 - VALUE(REGEXEXTRACT(L150,""(\d+)"")),
        K150 * (1 - VALUE(REGEXEXTRACT(L150,""(\d+)""))/100)
      )
    ),
    2
  )
)"&amp;"
")," ")</f>
        <v/>
      </c>
      <c r="N150" s="116"/>
      <c r="O150" s="118" t="b">
        <v>0</v>
      </c>
      <c r="P150" s="179"/>
      <c r="Q150" s="120"/>
      <c r="R150" s="121" t="b">
        <v>0</v>
      </c>
      <c r="S150" s="121" t="b">
        <v>0</v>
      </c>
      <c r="T150" s="122" t="b">
        <v>0</v>
      </c>
    </row>
    <row r="151" hidden="1" outlineLevel="1">
      <c r="A151" s="116"/>
      <c r="B151" s="116"/>
      <c r="C151" s="185"/>
      <c r="D151" s="157"/>
      <c r="E151" s="157"/>
      <c r="F151" s="116"/>
      <c r="G151" s="116"/>
      <c r="H151" s="116"/>
      <c r="I151" s="116"/>
      <c r="J151" s="134"/>
      <c r="K151" s="177"/>
      <c r="L151" s="116"/>
      <c r="M151" s="178" t="str">
        <f>IFERROR(__xludf.DUMMYFUNCTION("IF(
  K151="""",
  """",
  ROUND(
    IF(
      L151="""",
      K151,
      IF(
        ISERROR(FIND(""-"",L151)),
        K151 - VALUE(REGEXEXTRACT(L151,""(\d+)"")),
        K151 * (1 - VALUE(REGEXEXTRACT(L151,""(\d+)""))/100)
      )
    ),
    2
  )
)"&amp;"
")," ")</f>
        <v/>
      </c>
      <c r="N151" s="116"/>
      <c r="O151" s="118" t="b">
        <v>0</v>
      </c>
      <c r="P151" s="179"/>
      <c r="Q151" s="120"/>
      <c r="R151" s="121" t="b">
        <v>0</v>
      </c>
      <c r="S151" s="121" t="b">
        <v>0</v>
      </c>
      <c r="T151" s="122" t="b">
        <v>0</v>
      </c>
    </row>
    <row r="152" hidden="1" outlineLevel="1">
      <c r="A152" s="116"/>
      <c r="B152" s="116"/>
      <c r="C152" s="185"/>
      <c r="D152" s="116"/>
      <c r="E152" s="116"/>
      <c r="F152" s="116"/>
      <c r="G152" s="116"/>
      <c r="H152" s="116"/>
      <c r="I152" s="116"/>
      <c r="J152" s="134"/>
      <c r="K152" s="180"/>
      <c r="L152" s="116"/>
      <c r="M152" s="178" t="str">
        <f>IFERROR(__xludf.DUMMYFUNCTION("IF(
  K152="""",
  """",
  ROUND(
    IF(
      L152="""",
      K152,
      IF(
        ISERROR(FIND(""-"",L152)),
        K152 - VALUE(REGEXEXTRACT(L152,""(\d+)"")),
        K152 * (1 - VALUE(REGEXEXTRACT(L152,""(\d+)""))/100)
      )
    ),
    2
  )
)"&amp;"
")," ")</f>
        <v/>
      </c>
      <c r="N152" s="116"/>
      <c r="O152" s="118" t="b">
        <v>0</v>
      </c>
      <c r="P152" s="179"/>
      <c r="Q152" s="120"/>
      <c r="R152" s="121" t="b">
        <v>0</v>
      </c>
      <c r="S152" s="121" t="b">
        <v>0</v>
      </c>
      <c r="T152" s="122" t="b">
        <v>0</v>
      </c>
    </row>
    <row r="153" hidden="1" outlineLevel="1">
      <c r="A153" s="116"/>
      <c r="B153" s="116"/>
      <c r="C153" s="185"/>
      <c r="D153" s="116"/>
      <c r="E153" s="116"/>
      <c r="F153" s="116"/>
      <c r="G153" s="116"/>
      <c r="H153" s="116"/>
      <c r="I153" s="116"/>
      <c r="J153" s="134"/>
      <c r="K153" s="180"/>
      <c r="L153" s="116"/>
      <c r="M153" s="178" t="str">
        <f>IFERROR(__xludf.DUMMYFUNCTION("IF(
  K153="""",
  """",
  ROUND(
    IF(
      L153="""",
      K153,
      IF(
        ISERROR(FIND(""-"",L153)),
        K153 - VALUE(REGEXEXTRACT(L153,""(\d+)"")),
        K153 * (1 - VALUE(REGEXEXTRACT(L153,""(\d+)""))/100)
      )
    ),
    2
  )
)"&amp;"
")," ")</f>
        <v/>
      </c>
      <c r="N153" s="116"/>
      <c r="O153" s="118" t="b">
        <v>0</v>
      </c>
      <c r="P153" s="179"/>
      <c r="Q153" s="120"/>
      <c r="R153" s="121" t="b">
        <v>0</v>
      </c>
      <c r="S153" s="121" t="b">
        <v>0</v>
      </c>
      <c r="T153" s="122" t="b">
        <v>0</v>
      </c>
    </row>
    <row r="154" hidden="1" outlineLevel="1">
      <c r="A154" s="116"/>
      <c r="B154" s="116"/>
      <c r="C154" s="185"/>
      <c r="D154" s="157"/>
      <c r="E154" s="157"/>
      <c r="F154" s="116"/>
      <c r="G154" s="116"/>
      <c r="H154" s="116"/>
      <c r="I154" s="116"/>
      <c r="J154" s="134"/>
      <c r="K154" s="177"/>
      <c r="L154" s="116"/>
      <c r="M154" s="178" t="str">
        <f>IFERROR(__xludf.DUMMYFUNCTION("IF(
  K154="""",
  """",
  ROUND(
    IF(
      L154="""",
      K154,
      IF(
        ISERROR(FIND(""-"",L154)),
        K154 - VALUE(REGEXEXTRACT(L154,""(\d+)"")),
        K154 * (1 - VALUE(REGEXEXTRACT(L154,""(\d+)""))/100)
      )
    ),
    2
  )
)"&amp;"
")," ")</f>
        <v/>
      </c>
      <c r="N154" s="116"/>
      <c r="O154" s="118" t="b">
        <v>0</v>
      </c>
      <c r="P154" s="179"/>
      <c r="Q154" s="120"/>
      <c r="R154" s="121" t="b">
        <v>0</v>
      </c>
      <c r="S154" s="121" t="b">
        <v>0</v>
      </c>
      <c r="T154" s="122" t="b">
        <v>0</v>
      </c>
    </row>
    <row r="155" hidden="1" outlineLevel="1">
      <c r="A155" s="116"/>
      <c r="B155" s="116"/>
      <c r="C155" s="185"/>
      <c r="D155" s="116"/>
      <c r="E155" s="116"/>
      <c r="F155" s="116"/>
      <c r="G155" s="116"/>
      <c r="H155" s="116"/>
      <c r="I155" s="116"/>
      <c r="J155" s="134"/>
      <c r="K155" s="177"/>
      <c r="L155" s="116"/>
      <c r="M155" s="178" t="str">
        <f>IFERROR(__xludf.DUMMYFUNCTION("IF(
  K155="""",
  """",
  ROUND(
    IF(
      L155="""",
      K155,
      IF(
        ISERROR(FIND(""-"",L155)),
        K155 - VALUE(REGEXEXTRACT(L155,""(\d+)"")),
        K155 * (1 - VALUE(REGEXEXTRACT(L155,""(\d+)""))/100)
      )
    ),
    2
  )
)"&amp;"
")," ")</f>
        <v/>
      </c>
      <c r="N155" s="116"/>
      <c r="O155" s="118" t="b">
        <v>0</v>
      </c>
      <c r="P155" s="179"/>
      <c r="Q155" s="120"/>
      <c r="R155" s="121" t="b">
        <v>0</v>
      </c>
      <c r="S155" s="121" t="b">
        <v>0</v>
      </c>
      <c r="T155" s="122" t="b">
        <v>0</v>
      </c>
    </row>
    <row r="156" hidden="1" outlineLevel="1">
      <c r="A156" s="116"/>
      <c r="B156" s="116"/>
      <c r="C156" s="186"/>
      <c r="D156" s="116"/>
      <c r="E156" s="116"/>
      <c r="F156" s="156"/>
      <c r="G156" s="157"/>
      <c r="H156" s="116"/>
      <c r="I156" s="116"/>
      <c r="J156" s="134"/>
      <c r="K156" s="177"/>
      <c r="L156" s="116"/>
      <c r="M156" s="178" t="str">
        <f>IFERROR(__xludf.DUMMYFUNCTION("IF(
  K156="""",
  """",
  ROUND(
    IF(
      L156="""",
      K156,
      IF(
        ISERROR(FIND(""-"",L156)),
        K156 - VALUE(REGEXEXTRACT(L156,""(\d+)"")),
        K156 * (1 - VALUE(REGEXEXTRACT(L156,""(\d+)""))/100)
      )
    ),
    2
  )
)"&amp;"
")," ")</f>
        <v/>
      </c>
      <c r="N156" s="116"/>
      <c r="O156" s="118" t="b">
        <v>0</v>
      </c>
      <c r="P156" s="179"/>
      <c r="Q156" s="120"/>
      <c r="R156" s="121" t="b">
        <v>0</v>
      </c>
      <c r="S156" s="121" t="b">
        <v>0</v>
      </c>
      <c r="T156" s="122" t="b">
        <v>0</v>
      </c>
    </row>
    <row r="157" hidden="1" outlineLevel="1">
      <c r="A157" s="116"/>
      <c r="B157" s="116"/>
      <c r="C157" s="186"/>
      <c r="D157" s="157"/>
      <c r="E157" s="157"/>
      <c r="F157" s="187"/>
      <c r="G157" s="188"/>
      <c r="H157" s="116"/>
      <c r="I157" s="116"/>
      <c r="J157" s="134"/>
      <c r="K157" s="177"/>
      <c r="L157" s="116"/>
      <c r="M157" s="178" t="str">
        <f>IFERROR(__xludf.DUMMYFUNCTION("IF(
  K157="""",
  """",
  ROUND(
    IF(
      L157="""",
      K157,
      IF(
        ISERROR(FIND(""-"",L157)),
        K157 - VALUE(REGEXEXTRACT(L157,""(\d+)"")),
        K157 * (1 - VALUE(REGEXEXTRACT(L157,""(\d+)""))/100)
      )
    ),
    2
  )
)"&amp;"
")," ")</f>
        <v/>
      </c>
      <c r="N157" s="116"/>
      <c r="O157" s="118" t="b">
        <v>0</v>
      </c>
      <c r="P157" s="179"/>
      <c r="Q157" s="120"/>
      <c r="R157" s="121" t="b">
        <v>0</v>
      </c>
      <c r="S157" s="121" t="b">
        <v>0</v>
      </c>
      <c r="T157" s="122" t="b">
        <v>0</v>
      </c>
    </row>
    <row r="158" hidden="1" outlineLevel="1">
      <c r="A158" s="131"/>
      <c r="B158" s="131"/>
      <c r="C158" s="130"/>
      <c r="D158" s="116"/>
      <c r="E158" s="116"/>
      <c r="F158" s="131"/>
      <c r="G158" s="131"/>
      <c r="H158" s="131"/>
      <c r="I158" s="183"/>
      <c r="J158" s="148"/>
      <c r="K158" s="177"/>
      <c r="L158" s="116"/>
      <c r="M158" s="178" t="str">
        <f>IFERROR(__xludf.DUMMYFUNCTION("IF(
  K158="""",
  """",
  ROUND(
    IF(
      L158="""",
      K158,
      IF(
        ISERROR(FIND(""-"",L158)),
        K158 - VALUE(REGEXEXTRACT(L158,""(\d+)"")),
        K158 * (1 - VALUE(REGEXEXTRACT(L158,""(\d+)""))/100)
      )
    ),
    2
  )
)"&amp;"
")," ")</f>
        <v/>
      </c>
      <c r="N158" s="131"/>
      <c r="O158" s="118" t="b">
        <v>0</v>
      </c>
      <c r="P158" s="179"/>
      <c r="Q158" s="120"/>
      <c r="R158" s="121" t="b">
        <v>0</v>
      </c>
      <c r="S158" s="121" t="b">
        <v>0</v>
      </c>
      <c r="T158" s="122" t="b">
        <v>0</v>
      </c>
    </row>
    <row r="159" hidden="1" outlineLevel="1">
      <c r="A159" s="131"/>
      <c r="B159" s="131"/>
      <c r="C159" s="130"/>
      <c r="D159" s="116"/>
      <c r="E159" s="116"/>
      <c r="F159" s="131"/>
      <c r="G159" s="131"/>
      <c r="H159" s="131"/>
      <c r="I159" s="183"/>
      <c r="J159" s="148"/>
      <c r="K159" s="177"/>
      <c r="L159" s="116"/>
      <c r="M159" s="178" t="str">
        <f>IFERROR(__xludf.DUMMYFUNCTION("IF(
  K159="""",
  """",
  ROUND(
    IF(
      L159="""",
      K159,
      IF(
        ISERROR(FIND(""-"",L159)),
        K159 - VALUE(REGEXEXTRACT(L159,""(\d+)"")),
        K159 * (1 - VALUE(REGEXEXTRACT(L159,""(\d+)""))/100)
      )
    ),
    2
  )
)"&amp;"
")," ")</f>
        <v/>
      </c>
      <c r="N159" s="131"/>
      <c r="O159" s="118" t="b">
        <v>0</v>
      </c>
      <c r="P159" s="179"/>
      <c r="Q159" s="120"/>
      <c r="R159" s="121" t="b">
        <v>0</v>
      </c>
      <c r="S159" s="121" t="b">
        <v>0</v>
      </c>
      <c r="T159" s="122" t="b">
        <v>0</v>
      </c>
    </row>
    <row r="160" hidden="1" outlineLevel="1">
      <c r="A160" s="131"/>
      <c r="B160" s="116"/>
      <c r="C160" s="130"/>
      <c r="D160" s="157"/>
      <c r="E160" s="157"/>
      <c r="F160" s="131"/>
      <c r="G160" s="131"/>
      <c r="H160" s="131"/>
      <c r="I160" s="183"/>
      <c r="J160" s="148"/>
      <c r="K160" s="177"/>
      <c r="L160" s="116"/>
      <c r="M160" s="178" t="str">
        <f>IFERROR(__xludf.DUMMYFUNCTION("IF(
  K160="""",
  """",
  ROUND(
    IF(
      L160="""",
      K160,
      IF(
        ISERROR(FIND(""-"",L160)),
        K160 - VALUE(REGEXEXTRACT(L160,""(\d+)"")),
        K160 * (1 - VALUE(REGEXEXTRACT(L160,""(\d+)""))/100)
      )
    ),
    2
  )
)"&amp;"
")," ")</f>
        <v/>
      </c>
      <c r="N160" s="131"/>
      <c r="O160" s="118" t="b">
        <v>0</v>
      </c>
      <c r="P160" s="179"/>
      <c r="Q160" s="120"/>
      <c r="R160" s="121" t="b">
        <v>0</v>
      </c>
      <c r="S160" s="121" t="b">
        <v>0</v>
      </c>
      <c r="T160" s="122" t="b">
        <v>0</v>
      </c>
    </row>
    <row r="161" hidden="1" outlineLevel="1">
      <c r="A161" s="131"/>
      <c r="B161" s="116"/>
      <c r="C161" s="130"/>
      <c r="D161" s="116"/>
      <c r="E161" s="116"/>
      <c r="F161" s="131"/>
      <c r="G161" s="131"/>
      <c r="H161" s="131"/>
      <c r="I161" s="183"/>
      <c r="J161" s="148"/>
      <c r="K161" s="177"/>
      <c r="L161" s="116"/>
      <c r="M161" s="178" t="str">
        <f>IFERROR(__xludf.DUMMYFUNCTION("IF(
  K161="""",
  """",
  ROUND(
    IF(
      L161="""",
      K161,
      IF(
        ISERROR(FIND(""-"",L161)),
        K161 - VALUE(REGEXEXTRACT(L161,""(\d+)"")),
        K161 * (1 - VALUE(REGEXEXTRACT(L161,""(\d+)""))/100)
      )
    ),
    2
  )
)"&amp;"
")," ")</f>
        <v/>
      </c>
      <c r="N161" s="131"/>
      <c r="O161" s="118" t="b">
        <v>0</v>
      </c>
      <c r="P161" s="179"/>
      <c r="Q161" s="120"/>
      <c r="R161" s="121" t="b">
        <v>0</v>
      </c>
      <c r="S161" s="121" t="b">
        <v>0</v>
      </c>
      <c r="T161" s="122" t="b">
        <v>0</v>
      </c>
    </row>
    <row r="162" hidden="1" outlineLevel="1">
      <c r="A162" s="131"/>
      <c r="B162" s="116"/>
      <c r="C162" s="130"/>
      <c r="D162" s="116"/>
      <c r="E162" s="116"/>
      <c r="F162" s="131"/>
      <c r="G162" s="131"/>
      <c r="H162" s="131"/>
      <c r="I162" s="183"/>
      <c r="J162" s="148"/>
      <c r="K162" s="177"/>
      <c r="L162" s="116"/>
      <c r="M162" s="178" t="str">
        <f>IFERROR(__xludf.DUMMYFUNCTION("IF(
  K162="""",
  """",
  ROUND(
    IF(
      L162="""",
      K162,
      IF(
        ISERROR(FIND(""-"",L162)),
        K162 - VALUE(REGEXEXTRACT(L162,""(\d+)"")),
        K162 * (1 - VALUE(REGEXEXTRACT(L162,""(\d+)""))/100)
      )
    ),
    2
  )
)"&amp;"
")," ")</f>
        <v/>
      </c>
      <c r="N162" s="131"/>
      <c r="O162" s="118" t="b">
        <v>0</v>
      </c>
      <c r="P162" s="179"/>
      <c r="Q162" s="120"/>
      <c r="R162" s="121" t="b">
        <v>0</v>
      </c>
      <c r="S162" s="121" t="b">
        <v>0</v>
      </c>
      <c r="T162" s="122" t="b">
        <v>0</v>
      </c>
    </row>
    <row r="163" hidden="1" outlineLevel="1">
      <c r="A163" s="131"/>
      <c r="B163" s="116"/>
      <c r="C163" s="130"/>
      <c r="D163" s="157"/>
      <c r="E163" s="157"/>
      <c r="F163" s="131"/>
      <c r="G163" s="131"/>
      <c r="H163" s="131"/>
      <c r="I163" s="183"/>
      <c r="J163" s="148"/>
      <c r="K163" s="177"/>
      <c r="L163" s="116"/>
      <c r="M163" s="178" t="str">
        <f>IFERROR(__xludf.DUMMYFUNCTION("IF(
  K163="""",
  """",
  ROUND(
    IF(
      L163="""",
      K163,
      IF(
        ISERROR(FIND(""-"",L163)),
        K163 - VALUE(REGEXEXTRACT(L163,""(\d+)"")),
        K163 * (1 - VALUE(REGEXEXTRACT(L163,""(\d+)""))/100)
      )
    ),
    2
  )
)"&amp;"
")," ")</f>
        <v/>
      </c>
      <c r="N163" s="131"/>
      <c r="O163" s="118" t="b">
        <v>0</v>
      </c>
      <c r="P163" s="179"/>
      <c r="Q163" s="120"/>
      <c r="R163" s="121" t="b">
        <v>0</v>
      </c>
      <c r="S163" s="121" t="b">
        <v>0</v>
      </c>
      <c r="T163" s="122" t="b">
        <v>0</v>
      </c>
    </row>
    <row r="164" hidden="1" outlineLevel="1">
      <c r="A164" s="131"/>
      <c r="B164" s="116"/>
      <c r="C164" s="130"/>
      <c r="D164" s="116"/>
      <c r="E164" s="116"/>
      <c r="F164" s="131"/>
      <c r="G164" s="131"/>
      <c r="H164" s="131"/>
      <c r="I164" s="183"/>
      <c r="J164" s="148"/>
      <c r="K164" s="177"/>
      <c r="L164" s="116"/>
      <c r="M164" s="178" t="str">
        <f>IFERROR(__xludf.DUMMYFUNCTION("IF(
  K164="""",
  """",
  ROUND(
    IF(
      L164="""",
      K164,
      IF(
        ISERROR(FIND(""-"",L164)),
        K164 - VALUE(REGEXEXTRACT(L164,""(\d+)"")),
        K164 * (1 - VALUE(REGEXEXTRACT(L164,""(\d+)""))/100)
      )
    ),
    2
  )
)"&amp;"
")," ")</f>
        <v/>
      </c>
      <c r="N164" s="131"/>
      <c r="O164" s="118" t="b">
        <v>0</v>
      </c>
      <c r="P164" s="179"/>
      <c r="Q164" s="120"/>
      <c r="R164" s="121" t="b">
        <v>0</v>
      </c>
      <c r="S164" s="121" t="b">
        <v>0</v>
      </c>
      <c r="T164" s="122" t="b">
        <v>0</v>
      </c>
    </row>
    <row r="165" hidden="1" outlineLevel="1">
      <c r="A165" s="131"/>
      <c r="B165" s="116"/>
      <c r="C165" s="130"/>
      <c r="D165" s="116"/>
      <c r="E165" s="116"/>
      <c r="F165" s="131"/>
      <c r="G165" s="131"/>
      <c r="H165" s="131"/>
      <c r="I165" s="183"/>
      <c r="J165" s="148"/>
      <c r="K165" s="177"/>
      <c r="L165" s="116"/>
      <c r="M165" s="178" t="str">
        <f>IFERROR(__xludf.DUMMYFUNCTION("IF(
  K165="""",
  """",
  ROUND(
    IF(
      L165="""",
      K165,
      IF(
        ISERROR(FIND(""-"",L165)),
        K165 - VALUE(REGEXEXTRACT(L165,""(\d+)"")),
        K165 * (1 - VALUE(REGEXEXTRACT(L165,""(\d+)""))/100)
      )
    ),
    2
  )
)"&amp;"
")," ")</f>
        <v/>
      </c>
      <c r="N165" s="131"/>
      <c r="O165" s="118" t="b">
        <v>0</v>
      </c>
      <c r="P165" s="179"/>
      <c r="Q165" s="120"/>
      <c r="R165" s="121" t="b">
        <v>0</v>
      </c>
      <c r="S165" s="121" t="b">
        <v>0</v>
      </c>
      <c r="T165" s="122" t="b">
        <v>0</v>
      </c>
    </row>
    <row r="166" hidden="1" outlineLevel="1">
      <c r="A166" s="131"/>
      <c r="B166" s="116"/>
      <c r="C166" s="130"/>
      <c r="D166" s="157"/>
      <c r="E166" s="157"/>
      <c r="F166" s="131"/>
      <c r="G166" s="131"/>
      <c r="H166" s="131"/>
      <c r="I166" s="183"/>
      <c r="J166" s="148"/>
      <c r="K166" s="177"/>
      <c r="L166" s="116"/>
      <c r="M166" s="178" t="str">
        <f>IFERROR(__xludf.DUMMYFUNCTION("IF(
  K166="""",
  """",
  ROUND(
    IF(
      L166="""",
      K166,
      IF(
        ISERROR(FIND(""-"",L166)),
        K166 - VALUE(REGEXEXTRACT(L166,""(\d+)"")),
        K166 * (1 - VALUE(REGEXEXTRACT(L166,""(\d+)""))/100)
      )
    ),
    2
  )
)"&amp;"
")," ")</f>
        <v/>
      </c>
      <c r="N166" s="131"/>
      <c r="O166" s="118" t="b">
        <v>0</v>
      </c>
      <c r="P166" s="179"/>
      <c r="Q166" s="120"/>
      <c r="R166" s="121" t="b">
        <v>0</v>
      </c>
      <c r="S166" s="121" t="b">
        <v>0</v>
      </c>
      <c r="T166" s="122" t="b">
        <v>0</v>
      </c>
    </row>
    <row r="167" hidden="1" outlineLevel="1">
      <c r="A167" s="131"/>
      <c r="B167" s="116"/>
      <c r="C167" s="130"/>
      <c r="D167" s="116"/>
      <c r="E167" s="116"/>
      <c r="F167" s="131"/>
      <c r="G167" s="131"/>
      <c r="H167" s="131"/>
      <c r="I167" s="183"/>
      <c r="J167" s="148"/>
      <c r="K167" s="177"/>
      <c r="L167" s="116"/>
      <c r="M167" s="178" t="str">
        <f>IFERROR(__xludf.DUMMYFUNCTION("IF(
  K167="""",
  """",
  ROUND(
    IF(
      L167="""",
      K167,
      IF(
        ISERROR(FIND(""-"",L167)),
        K167 - VALUE(REGEXEXTRACT(L167,""(\d+)"")),
        K167 * (1 - VALUE(REGEXEXTRACT(L167,""(\d+)""))/100)
      )
    ),
    2
  )
)"&amp;"
")," ")</f>
        <v/>
      </c>
      <c r="N167" s="131"/>
      <c r="O167" s="118" t="b">
        <v>0</v>
      </c>
      <c r="P167" s="179"/>
      <c r="Q167" s="120"/>
      <c r="R167" s="121" t="b">
        <v>0</v>
      </c>
      <c r="S167" s="121" t="b">
        <v>0</v>
      </c>
      <c r="T167" s="122" t="b">
        <v>0</v>
      </c>
    </row>
    <row r="168" hidden="1" outlineLevel="1">
      <c r="A168" s="116"/>
      <c r="B168" s="116"/>
      <c r="C168" s="129"/>
      <c r="D168" s="116"/>
      <c r="E168" s="116"/>
      <c r="F168" s="116"/>
      <c r="G168" s="116"/>
      <c r="H168" s="116"/>
      <c r="I168" s="116"/>
      <c r="J168" s="134"/>
      <c r="K168" s="177"/>
      <c r="L168" s="116"/>
      <c r="M168" s="178" t="str">
        <f>IFERROR(__xludf.DUMMYFUNCTION("IF(
  K168="""",
  """",
  ROUND(
    IF(
      L168="""",
      K168,
      IF(
        ISERROR(FIND(""-"",L168)),
        K168 - VALUE(REGEXEXTRACT(L168,""(\d+)"")),
        K168 * (1 - VALUE(REGEXEXTRACT(L168,""(\d+)""))/100)
      )
    ),
    2
  )
)"&amp;"
")," ")</f>
        <v/>
      </c>
      <c r="N168" s="116"/>
      <c r="O168" s="118" t="b">
        <v>0</v>
      </c>
      <c r="P168" s="179"/>
      <c r="Q168" s="120"/>
      <c r="R168" s="121" t="b">
        <v>0</v>
      </c>
      <c r="S168" s="121" t="b">
        <v>0</v>
      </c>
      <c r="T168" s="122" t="b">
        <v>0</v>
      </c>
    </row>
    <row r="169" hidden="1" outlineLevel="1">
      <c r="A169" s="116"/>
      <c r="B169" s="116"/>
      <c r="C169" s="185"/>
      <c r="D169" s="157"/>
      <c r="E169" s="157"/>
      <c r="F169" s="116"/>
      <c r="G169" s="116"/>
      <c r="H169" s="116"/>
      <c r="I169" s="116"/>
      <c r="J169" s="134"/>
      <c r="K169" s="177"/>
      <c r="L169" s="116"/>
      <c r="M169" s="178" t="str">
        <f>IFERROR(__xludf.DUMMYFUNCTION("IF(
  K169="""",
  """",
  ROUND(
    IF(
      L169="""",
      K169,
      IF(
        ISERROR(FIND(""-"",L169)),
        K169 - VALUE(REGEXEXTRACT(L169,""(\d+)"")),
        K169 * (1 - VALUE(REGEXEXTRACT(L169,""(\d+)""))/100)
      )
    ),
    2
  )
)"&amp;"
")," ")</f>
        <v/>
      </c>
      <c r="N169" s="116"/>
      <c r="O169" s="118" t="b">
        <v>0</v>
      </c>
      <c r="P169" s="179"/>
      <c r="Q169" s="120"/>
      <c r="R169" s="121" t="b">
        <v>0</v>
      </c>
      <c r="S169" s="121" t="b">
        <v>0</v>
      </c>
      <c r="T169" s="122" t="b">
        <v>0</v>
      </c>
    </row>
    <row r="170" hidden="1" outlineLevel="1">
      <c r="A170" s="116"/>
      <c r="B170" s="116"/>
      <c r="C170" s="129"/>
      <c r="D170" s="116"/>
      <c r="E170" s="116"/>
      <c r="F170" s="116"/>
      <c r="G170" s="189"/>
      <c r="H170" s="116"/>
      <c r="I170" s="116"/>
      <c r="J170" s="134"/>
      <c r="K170" s="177"/>
      <c r="L170" s="116"/>
      <c r="M170" s="178" t="str">
        <f>IFERROR(__xludf.DUMMYFUNCTION("IF(
  K170="""",
  """",
  ROUND(
    IF(
      L170="""",
      K170,
      IF(
        ISERROR(FIND(""-"",L170)),
        K170 - VALUE(REGEXEXTRACT(L170,""(\d+)"")),
        K170 * (1 - VALUE(REGEXEXTRACT(L170,""(\d+)""))/100)
      )
    ),
    2
  )
)"&amp;"
")," ")</f>
        <v/>
      </c>
      <c r="N170" s="116"/>
      <c r="O170" s="118" t="b">
        <v>0</v>
      </c>
      <c r="P170" s="17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90">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50"/>
      <c r="H172" s="117"/>
      <c r="I172" s="168"/>
      <c r="J172" s="150"/>
      <c r="K172" s="117"/>
      <c r="L172" s="117"/>
      <c r="M172" s="191"/>
      <c r="N172" s="191"/>
      <c r="O172" s="191"/>
      <c r="P172" s="174"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A174" s="142"/>
      <c r="E174" s="192" t="s">
        <v>122</v>
      </c>
      <c r="F174" s="193" t="str">
        <f t="shared" ref="F174:O174" si="14">IF(
  F$172="",
  "",
  SUMIFS($M$91:$M$170,$B$91:$B$170,"*SEDE*",$M$91:$M$170,F$172)
)
</f>
        <v/>
      </c>
      <c r="G174" s="193" t="str">
        <f t="shared" si="14"/>
        <v/>
      </c>
      <c r="H174" s="193" t="str">
        <f t="shared" si="14"/>
        <v/>
      </c>
      <c r="I174" s="193" t="str">
        <f t="shared" si="14"/>
        <v/>
      </c>
      <c r="J174" s="193" t="str">
        <f t="shared" si="14"/>
        <v/>
      </c>
      <c r="K174" s="193" t="str">
        <f t="shared" si="14"/>
        <v/>
      </c>
      <c r="L174" s="193" t="str">
        <f t="shared" si="14"/>
        <v/>
      </c>
      <c r="M174" s="193" t="str">
        <f t="shared" si="14"/>
        <v/>
      </c>
      <c r="N174" s="193" t="str">
        <f t="shared" si="14"/>
        <v/>
      </c>
      <c r="O174" s="193"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94" t="s">
        <v>124</v>
      </c>
      <c r="F176" s="195" t="str">
        <f t="shared" ref="F176:O176" si="16">IF(
  F$172="",
  "",
  SUMIFS($M$91:$M$170,$B$91:$B$170,"*ONLINE*",$M$91:$M$170,F$172)
)
</f>
        <v/>
      </c>
      <c r="G176" s="195" t="str">
        <f t="shared" si="16"/>
        <v/>
      </c>
      <c r="H176" s="195" t="str">
        <f t="shared" si="16"/>
        <v/>
      </c>
      <c r="I176" s="195" t="str">
        <f t="shared" si="16"/>
        <v/>
      </c>
      <c r="J176" s="195" t="str">
        <f t="shared" si="16"/>
        <v/>
      </c>
      <c r="K176" s="195" t="str">
        <f t="shared" si="16"/>
        <v/>
      </c>
      <c r="L176" s="195" t="str">
        <f t="shared" si="16"/>
        <v/>
      </c>
      <c r="M176" s="195" t="str">
        <f t="shared" si="16"/>
        <v/>
      </c>
      <c r="N176" s="195" t="str">
        <f t="shared" si="16"/>
        <v/>
      </c>
      <c r="O176" s="195" t="str">
        <f t="shared" si="16"/>
        <v/>
      </c>
      <c r="P176" s="196"/>
    </row>
    <row r="177">
      <c r="A177" s="197" t="s">
        <v>127</v>
      </c>
      <c r="B177" s="198">
        <f t="shared" ref="B177:B178" si="17">SUM(B85,B172)</f>
        <v>0</v>
      </c>
      <c r="D177" s="199" t="s">
        <v>128</v>
      </c>
      <c r="E177" s="200" t="s">
        <v>129</v>
      </c>
      <c r="F177" s="201" t="str">
        <f>IFERROR(__xludf.DUMMYFUNCTION("IFERROR(
  TRANSPOSE(
    SORT(
      UNIQUE(
        FILTER(
          {$M$4:$M$83;$M$91:$M$170},
          {$M$4:$M$83;$M$91:$M$170}&lt;&gt;""""
        )
      )
    )
  ),
  """"
)
")," ")</f>
        <v/>
      </c>
      <c r="G177" s="201"/>
      <c r="H177" s="201"/>
      <c r="I177" s="201"/>
      <c r="J177" s="201"/>
      <c r="K177" s="201"/>
      <c r="L177" s="202"/>
      <c r="M177" s="201"/>
      <c r="N177" s="201"/>
      <c r="O177" s="201"/>
      <c r="P177" s="203" t="s">
        <v>127</v>
      </c>
      <c r="Q177" s="204" t="str">
        <f>IF(SUM(F179:O179)=0,"",SUM(F179:O179))
</f>
        <v/>
      </c>
      <c r="R177" s="205" t="s">
        <v>130</v>
      </c>
      <c r="S177" s="206" t="str">
        <f>IF(SUM(Q177,Q180)=0,"",SUM(Q177,Q180))
</f>
        <v/>
      </c>
      <c r="T177" s="207"/>
    </row>
    <row r="178">
      <c r="A178" s="208" t="s">
        <v>131</v>
      </c>
      <c r="B178" s="209">
        <f t="shared" si="17"/>
        <v>0</v>
      </c>
      <c r="D178" s="210"/>
      <c r="E178" s="211" t="s">
        <v>132</v>
      </c>
      <c r="F178" s="212" t="str">
        <f t="shared" ref="F178:O178" si="18">IF(
  F$177="",
  "",
  COUNTIFS($B$4:$B$170,"*SEDE*",$M$4:$M$170,F$177) &amp; " da €" &amp; F$177
)
</f>
        <v/>
      </c>
      <c r="G178" s="212" t="str">
        <f t="shared" si="18"/>
        <v/>
      </c>
      <c r="H178" s="212" t="str">
        <f t="shared" si="18"/>
        <v/>
      </c>
      <c r="I178" s="212" t="str">
        <f t="shared" si="18"/>
        <v/>
      </c>
      <c r="J178" s="212" t="str">
        <f t="shared" si="18"/>
        <v/>
      </c>
      <c r="K178" s="212" t="str">
        <f t="shared" si="18"/>
        <v/>
      </c>
      <c r="L178" s="212" t="str">
        <f t="shared" si="18"/>
        <v/>
      </c>
      <c r="M178" s="212" t="str">
        <f t="shared" si="18"/>
        <v/>
      </c>
      <c r="N178" s="212" t="str">
        <f t="shared" si="18"/>
        <v/>
      </c>
      <c r="O178" s="212" t="str">
        <f t="shared" si="18"/>
        <v/>
      </c>
    </row>
    <row r="179">
      <c r="A179" s="213" t="s">
        <v>133</v>
      </c>
      <c r="B179" s="214">
        <f>SUM(B177:B178)</f>
        <v>0</v>
      </c>
      <c r="D179" s="210"/>
      <c r="E179" s="215" t="s">
        <v>122</v>
      </c>
      <c r="F179" s="216" t="str">
        <f t="shared" ref="F179:O179" si="19">IF(
  F$177="",
  "",
  SUMIFS($M$4:$M$170,$B$4:$B$170,"*SEDE*",$M$4:$M$170,F$177)
)
</f>
        <v/>
      </c>
      <c r="G179" s="216" t="str">
        <f t="shared" si="19"/>
        <v/>
      </c>
      <c r="H179" s="216" t="str">
        <f t="shared" si="19"/>
        <v/>
      </c>
      <c r="I179" s="216" t="str">
        <f t="shared" si="19"/>
        <v/>
      </c>
      <c r="J179" s="216" t="str">
        <f t="shared" si="19"/>
        <v/>
      </c>
      <c r="K179" s="216" t="str">
        <f t="shared" si="19"/>
        <v/>
      </c>
      <c r="L179" s="216" t="str">
        <f t="shared" si="19"/>
        <v/>
      </c>
      <c r="M179" s="216" t="str">
        <f t="shared" si="19"/>
        <v/>
      </c>
      <c r="N179" s="216" t="str">
        <f t="shared" si="19"/>
        <v/>
      </c>
      <c r="O179" s="216" t="str">
        <f t="shared" si="19"/>
        <v/>
      </c>
    </row>
    <row r="180">
      <c r="A180" s="217" t="s">
        <v>134</v>
      </c>
      <c r="B180" s="209">
        <f>COUNTIF(N4:N170,"*NON TESSERATO*")</f>
        <v>0</v>
      </c>
      <c r="D180" s="210"/>
      <c r="E180" s="211" t="s">
        <v>135</v>
      </c>
      <c r="F180" s="211" t="str">
        <f t="shared" ref="F180:O180" si="20">IF(
  F$177="",
  "",
  COUNTIFS($B$4:$B$170,"*ONLINE*",$M$4:$M$170,F$177) &amp; " da €" &amp; F$177
)
</f>
        <v/>
      </c>
      <c r="G180" s="211" t="str">
        <f t="shared" si="20"/>
        <v/>
      </c>
      <c r="H180" s="211" t="str">
        <f t="shared" si="20"/>
        <v/>
      </c>
      <c r="I180" s="211" t="str">
        <f t="shared" si="20"/>
        <v/>
      </c>
      <c r="J180" s="211" t="str">
        <f t="shared" si="20"/>
        <v/>
      </c>
      <c r="K180" s="211" t="str">
        <f t="shared" si="20"/>
        <v/>
      </c>
      <c r="L180" s="211" t="str">
        <f t="shared" si="20"/>
        <v/>
      </c>
      <c r="M180" s="211" t="str">
        <f t="shared" si="20"/>
        <v/>
      </c>
      <c r="N180" s="211" t="str">
        <f t="shared" si="20"/>
        <v/>
      </c>
      <c r="O180" s="211" t="str">
        <f t="shared" si="20"/>
        <v/>
      </c>
      <c r="P180" s="203" t="s">
        <v>131</v>
      </c>
      <c r="Q180" s="218" t="str">
        <f>IF(SUM(F181:O181)=0,"",SUM(F181:O181))
</f>
        <v/>
      </c>
    </row>
    <row r="181">
      <c r="A181" s="219" t="s">
        <v>136</v>
      </c>
      <c r="B181" s="220">
        <f>COUNTIF(N4:N170,"*TESSERATO*")-COUNTIF(N4:N170,"*NON TESSERATO*")</f>
        <v>0</v>
      </c>
      <c r="D181" s="221"/>
      <c r="E181" s="222" t="s">
        <v>124</v>
      </c>
      <c r="F181" s="223" t="str">
        <f t="shared" ref="F181:O181" si="21">IF(
  F$177="",
  "",
  SUMIFS($M$4:$M$170,$B$4:$B$170,"*ONLINE*",$M$4:$M$170,F$177)
)
</f>
        <v/>
      </c>
      <c r="G181" s="223" t="str">
        <f t="shared" si="21"/>
        <v/>
      </c>
      <c r="H181" s="223" t="str">
        <f t="shared" si="21"/>
        <v/>
      </c>
      <c r="I181" s="223" t="str">
        <f t="shared" si="21"/>
        <v/>
      </c>
      <c r="J181" s="223" t="str">
        <f t="shared" si="21"/>
        <v/>
      </c>
      <c r="K181" s="223" t="str">
        <f t="shared" si="21"/>
        <v/>
      </c>
      <c r="L181" s="223" t="str">
        <f t="shared" si="21"/>
        <v/>
      </c>
      <c r="M181" s="223" t="str">
        <f t="shared" si="21"/>
        <v/>
      </c>
      <c r="N181" s="223" t="str">
        <f t="shared" si="21"/>
        <v/>
      </c>
      <c r="O181" s="223" t="str">
        <f t="shared" si="21"/>
        <v/>
      </c>
      <c r="P181" s="196"/>
      <c r="Q181" s="196"/>
      <c r="R181" s="196"/>
      <c r="S181" s="196"/>
      <c r="T181" s="196"/>
    </row>
  </sheetData>
  <mergeCells count="28">
    <mergeCell ref="C85:C89"/>
    <mergeCell ref="A87:B89"/>
    <mergeCell ref="C172:C181"/>
    <mergeCell ref="D172:D176"/>
    <mergeCell ref="A174:B176"/>
    <mergeCell ref="D177:D181"/>
    <mergeCell ref="C1:T1"/>
    <mergeCell ref="C3:T3"/>
    <mergeCell ref="D85:D89"/>
    <mergeCell ref="P85:P87"/>
    <mergeCell ref="Q85:Q87"/>
    <mergeCell ref="R85:R89"/>
    <mergeCell ref="S85:T89"/>
    <mergeCell ref="C90:T90"/>
    <mergeCell ref="P175:P176"/>
    <mergeCell ref="P177:P179"/>
    <mergeCell ref="Q177:Q179"/>
    <mergeCell ref="R177:R181"/>
    <mergeCell ref="S177:T181"/>
    <mergeCell ref="P180:P181"/>
    <mergeCell ref="Q180:Q181"/>
    <mergeCell ref="P88:P89"/>
    <mergeCell ref="Q88:Q89"/>
    <mergeCell ref="P172:P174"/>
    <mergeCell ref="Q172:Q174"/>
    <mergeCell ref="R172:R176"/>
    <mergeCell ref="S172:T176"/>
    <mergeCell ref="Q175:Q176"/>
  </mergeCells>
  <conditionalFormatting sqref="A4:P83 T4:T83 A91:P170 T91:T170">
    <cfRule type="expression" dxfId="0" priority="1">
      <formula>$T4</formula>
    </cfRule>
  </conditionalFormatting>
  <conditionalFormatting sqref="S4:S83 S91:S170">
    <cfRule type="expression" dxfId="1" priority="2">
      <formula>$S4</formula>
    </cfRule>
  </conditionalFormatting>
  <conditionalFormatting sqref="S4:S83 S91:S170">
    <cfRule type="expression" dxfId="2" priority="3">
      <formula>$N4="DIGIT - TESSERATO"</formula>
    </cfRule>
  </conditionalFormatting>
  <conditionalFormatting sqref="R4:R83 R91:R170">
    <cfRule type="expression" dxfId="3" priority="4">
      <formula>$R4</formula>
    </cfRule>
  </conditionalFormatting>
  <conditionalFormatting sqref="R4:R83 R91:R170">
    <cfRule type="expression" dxfId="4" priority="5">
      <formula>$N4="CASH - TESSERATO"</formula>
    </cfRule>
  </conditionalFormatting>
  <conditionalFormatting sqref="R4:R83 R91:R170">
    <cfRule type="expression" dxfId="4" priority="6">
      <formula>$N4="CASH - NON TESSERATO"</formula>
    </cfRule>
  </conditionalFormatting>
  <conditionalFormatting sqref="S4:S83 S91:S170">
    <cfRule type="expression" dxfId="2" priority="7">
      <formula>$N4="DIGIT - NON TESSERATO"</formula>
    </cfRule>
  </conditionalFormatting>
  <conditionalFormatting sqref="Q4:Q83 Q91:Q170">
    <cfRule type="expression" dxfId="0" priority="8">
      <formula>ISBLANK($Q4)=FALSE</formula>
    </cfRule>
  </conditionalFormatting>
  <conditionalFormatting sqref="A4:P83 A91:P170">
    <cfRule type="expression" dxfId="5" priority="9">
      <formula>$O4</formula>
    </cfRule>
  </conditionalFormatting>
  <conditionalFormatting sqref="S85:T89 S172:T176">
    <cfRule type="containsText" dxfId="2" priority="10" operator="containsText" text="ERRORE">
      <formula>NOT(ISERROR(SEARCH(("ERRORE"),(S85))))</formula>
    </cfRule>
  </conditionalFormatting>
  <conditionalFormatting sqref="S85:T89 S172:T176">
    <cfRule type="containsText" dxfId="0" priority="11" operator="containsText" text="OK">
      <formula>NOT(ISERROR(SEARCH(("OK"),(S85))))</formula>
    </cfRule>
  </conditionalFormatting>
  <dataValidations>
    <dataValidation type="list" allowBlank="1" showErrorMessage="1" sqref="L4:L83 L91:L170">
      <formula1>"NURA02WS,GIUDITTA02WS,ALEXANDRA02WS,ESTEFANY02WS,JOEL02WS,MASSI02WS,SANTO02WS,SARA02WS,OMAGGIO-100WS,GAE-17WS"</formula1>
    </dataValidation>
    <dataValidation type="list" allowBlank="1" showInputMessage="1" prompt="Fai clic e immetti un valore dall'elenco di elementi" sqref="N4:N83 N91:N170">
      <formula1>"CASH - TESSERATO,CASH - NON TESSERATO,DIGIT - TESSERATO,DIGIT - NON TESSERATO"</formula1>
    </dataValidation>
    <dataValidation type="list" allowBlank="1" showErrorMessage="1" sqref="B4:B83 B91:B170">
      <formula1>"ONLINE,SEDE Estefany,SEDE Giuditta,SEDE Alexandra,SEDE Nura,SEDE Joel"</formula1>
    </dataValidation>
    <dataValidation type="list" allowBlank="1" showInputMessage="1" showErrorMessage="1" prompt="Fai clic e immetti un valore dall'intervallo" sqref="A4:A83 A91:A170">
      <formula1>elenchi!$M$2:$M$100</formula1>
    </dataValidation>
    <dataValidation type="list" allowBlank="1" sqref="Q4:Q83 Q91:Q170">
      <formula1>"INSERITO,CELL,EMAIL,COD FISCALE,INDIRIZZO"</formula1>
    </dataValidation>
    <dataValidation type="custom" allowBlank="1" showDropDown="1" showInputMessage="1" prompt="Immetti una data valida" sqref="J4:J5 C4:C83 J7:J83 C91:C170 J91:J170">
      <formula1>OR(NOT(ISERROR(DATEVALUE(C4))), AND(ISNUMBER(C4), LEFT(CELL("format", C4))="D"))</formula1>
    </dataValidation>
    <dataValidation type="list" allowBlank="1" showErrorMessage="1" sqref="D4">
      <formula1>"Opzione 1,Opzione 2"</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100"/>
      <c r="B1" s="100"/>
      <c r="C1" s="100" t="s">
        <v>2930</v>
      </c>
    </row>
    <row r="2">
      <c r="A2" s="102" t="s">
        <v>52</v>
      </c>
      <c r="B2" s="103" t="s">
        <v>53</v>
      </c>
      <c r="C2" s="103" t="s">
        <v>54</v>
      </c>
      <c r="D2" s="103" t="s">
        <v>55</v>
      </c>
      <c r="E2" s="102" t="s">
        <v>56</v>
      </c>
      <c r="F2" s="102" t="s">
        <v>57</v>
      </c>
      <c r="G2" s="102" t="s">
        <v>58</v>
      </c>
      <c r="H2" s="103" t="s">
        <v>59</v>
      </c>
      <c r="I2" s="103" t="s">
        <v>60</v>
      </c>
      <c r="J2" s="103" t="s">
        <v>61</v>
      </c>
      <c r="K2" s="104" t="s">
        <v>62</v>
      </c>
      <c r="L2" s="103" t="s">
        <v>63</v>
      </c>
      <c r="M2" s="105" t="s">
        <v>64</v>
      </c>
      <c r="N2" s="103" t="s">
        <v>65</v>
      </c>
      <c r="O2" s="103" t="s">
        <v>66</v>
      </c>
      <c r="P2" s="103" t="s">
        <v>67</v>
      </c>
      <c r="Q2" s="106" t="s">
        <v>68</v>
      </c>
      <c r="R2" s="107" t="s">
        <v>69</v>
      </c>
      <c r="S2" s="108" t="s">
        <v>70</v>
      </c>
      <c r="T2" s="109" t="s">
        <v>71</v>
      </c>
    </row>
    <row r="3" collapsed="1">
      <c r="A3" s="110"/>
      <c r="B3" s="110"/>
      <c r="C3" s="110" t="s">
        <v>2931</v>
      </c>
    </row>
    <row r="4" hidden="1" outlineLevel="1">
      <c r="A4" s="111"/>
      <c r="B4" s="111"/>
      <c r="C4" s="112"/>
      <c r="D4" s="111"/>
      <c r="E4" s="111"/>
      <c r="F4" s="111"/>
      <c r="G4" s="111"/>
      <c r="H4" s="111"/>
      <c r="I4" s="111"/>
      <c r="J4" s="126"/>
      <c r="K4" s="115"/>
      <c r="L4" s="116"/>
      <c r="M4" s="117" t="str">
        <f>IFERROR(__xludf.DUMMYFUNCTION("IF(
  K4="""",
  """",
  ROUND(
    IF(
      L4="""",
      K4,
      IF(
        ISERROR(FIND(""-"",L4)),
        K4 - VALUE(REGEXEXTRACT(L4,""(\d+)"")),
        K4 * (1 - VALUE(REGEXEXTRACT(L4,""(\d+)""))/100)
      )
    ),
    2
  )
)
")," ")</f>
        <v/>
      </c>
      <c r="N4" s="111"/>
      <c r="O4" s="118" t="b">
        <v>0</v>
      </c>
      <c r="P4" s="119"/>
      <c r="Q4" s="120"/>
      <c r="R4" s="121" t="b">
        <v>0</v>
      </c>
      <c r="S4" s="121" t="b">
        <v>0</v>
      </c>
      <c r="T4" s="122" t="b">
        <v>0</v>
      </c>
    </row>
    <row r="5" hidden="1" outlineLevel="1">
      <c r="A5" s="111"/>
      <c r="B5" s="111"/>
      <c r="C5" s="112"/>
      <c r="D5" s="111"/>
      <c r="E5" s="111"/>
      <c r="F5" s="111"/>
      <c r="G5" s="111"/>
      <c r="H5" s="111"/>
      <c r="I5" s="111"/>
      <c r="J5" s="126"/>
      <c r="K5" s="115"/>
      <c r="L5" s="116"/>
      <c r="M5" s="117" t="str">
        <f>IFERROR(__xludf.DUMMYFUNCTION("IF(
  K5="""",
  """",
  ROUND(
    IF(
      L5="""",
      K5,
      IF(
        ISERROR(FIND(""-"",L5)),
        K5 - VALUE(REGEXEXTRACT(L5,""(\d+)"")),
        K5 * (1 - VALUE(REGEXEXTRACT(L5,""(\d+)""))/100)
      )
    ),
    2
  )
)
")," ")</f>
        <v/>
      </c>
      <c r="N5" s="111"/>
      <c r="O5" s="118" t="b">
        <v>0</v>
      </c>
      <c r="P5" s="119"/>
      <c r="Q5" s="120"/>
      <c r="R5" s="121" t="b">
        <v>0</v>
      </c>
      <c r="S5" s="121" t="b">
        <v>0</v>
      </c>
      <c r="T5" s="122" t="b">
        <v>0</v>
      </c>
    </row>
    <row r="6" hidden="1" outlineLevel="1">
      <c r="A6" s="111"/>
      <c r="B6" s="111"/>
      <c r="C6" s="112"/>
      <c r="D6" s="111"/>
      <c r="E6" s="111"/>
      <c r="F6" s="111"/>
      <c r="G6" s="111"/>
      <c r="H6" s="111"/>
      <c r="I6" s="111"/>
      <c r="J6" s="239"/>
      <c r="K6" s="115"/>
      <c r="L6" s="116"/>
      <c r="M6" s="117" t="str">
        <f>IFERROR(__xludf.DUMMYFUNCTION("IF(
  K6="""",
  """",
  ROUND(
    IF(
      L6="""",
      K6,
      IF(
        ISERROR(FIND(""-"",L6)),
        K6 - VALUE(REGEXEXTRACT(L6,""(\d+)"")),
        K6 * (1 - VALUE(REGEXEXTRACT(L6,""(\d+)""))/100)
      )
    ),
    2
  )
)
")," ")</f>
        <v/>
      </c>
      <c r="N6" s="111"/>
      <c r="O6" s="118" t="b">
        <v>0</v>
      </c>
      <c r="P6" s="119"/>
      <c r="Q6" s="120"/>
      <c r="R6" s="121" t="b">
        <v>0</v>
      </c>
      <c r="S6" s="121" t="b">
        <v>0</v>
      </c>
      <c r="T6" s="122" t="b">
        <v>0</v>
      </c>
    </row>
    <row r="7" hidden="1" outlineLevel="1">
      <c r="A7" s="111"/>
      <c r="B7" s="111"/>
      <c r="C7" s="112"/>
      <c r="D7" s="111"/>
      <c r="E7" s="111"/>
      <c r="F7" s="111"/>
      <c r="G7" s="111"/>
      <c r="H7" s="111"/>
      <c r="I7" s="111"/>
      <c r="J7" s="126"/>
      <c r="K7" s="115"/>
      <c r="L7" s="116"/>
      <c r="M7" s="117" t="str">
        <f>IFERROR(__xludf.DUMMYFUNCTION("IF(
  K7="""",
  """",
  ROUND(
    IF(
      L7="""",
      K7,
      IF(
        ISERROR(FIND(""-"",L7)),
        K7 - VALUE(REGEXEXTRACT(L7,""(\d+)"")),
        K7 * (1 - VALUE(REGEXEXTRACT(L7,""(\d+)""))/100)
      )
    ),
    2
  )
)
")," ")</f>
        <v/>
      </c>
      <c r="N7" s="111"/>
      <c r="O7" s="118" t="b">
        <v>0</v>
      </c>
      <c r="P7" s="119"/>
      <c r="Q7" s="120"/>
      <c r="R7" s="121" t="b">
        <v>0</v>
      </c>
      <c r="S7" s="121" t="b">
        <v>0</v>
      </c>
      <c r="T7" s="122" t="b">
        <v>0</v>
      </c>
    </row>
    <row r="8" hidden="1" outlineLevel="1">
      <c r="A8" s="111"/>
      <c r="B8" s="111"/>
      <c r="C8" s="112"/>
      <c r="D8" s="111"/>
      <c r="E8" s="111"/>
      <c r="F8" s="111"/>
      <c r="G8" s="111"/>
      <c r="H8" s="111"/>
      <c r="I8" s="111"/>
      <c r="J8" s="126"/>
      <c r="K8" s="115"/>
      <c r="L8" s="131"/>
      <c r="M8" s="117" t="str">
        <f>IFERROR(__xludf.DUMMYFUNCTION("IF(
  K8="""",
  """",
  ROUND(
    IF(
      L8="""",
      K8,
      IF(
        ISERROR(FIND(""-"",L8)),
        K8 - VALUE(REGEXEXTRACT(L8,""(\d+)"")),
        K8 * (1 - VALUE(REGEXEXTRACT(L8,""(\d+)""))/100)
      )
    ),
    2
  )
)
")," ")</f>
        <v/>
      </c>
      <c r="N8" s="111"/>
      <c r="O8" s="118" t="b">
        <v>0</v>
      </c>
      <c r="P8" s="119"/>
      <c r="Q8" s="120"/>
      <c r="R8" s="121" t="b">
        <v>0</v>
      </c>
      <c r="S8" s="121" t="b">
        <v>0</v>
      </c>
      <c r="T8" s="122" t="b">
        <v>0</v>
      </c>
    </row>
    <row r="9" hidden="1" outlineLevel="1">
      <c r="A9" s="111"/>
      <c r="B9" s="111"/>
      <c r="C9" s="112"/>
      <c r="D9" s="111"/>
      <c r="E9" s="111"/>
      <c r="F9" s="111"/>
      <c r="G9" s="111"/>
      <c r="H9" s="111"/>
      <c r="I9" s="111"/>
      <c r="J9" s="112"/>
      <c r="K9" s="115"/>
      <c r="L9" s="116"/>
      <c r="M9" s="117" t="str">
        <f>IFERROR(__xludf.DUMMYFUNCTION("IF(
  K9="""",
  """",
  ROUND(
    IF(
      L9="""",
      K9,
      IF(
        ISERROR(FIND(""-"",L9)),
        K9 - VALUE(REGEXEXTRACT(L9,""(\d+)"")),
        K9 * (1 - VALUE(REGEXEXTRACT(L9,""(\d+)""))/100)
      )
    ),
    2
  )
)
")," ")</f>
        <v/>
      </c>
      <c r="N9" s="111"/>
      <c r="O9" s="118" t="b">
        <v>0</v>
      </c>
      <c r="P9" s="119"/>
      <c r="Q9" s="120"/>
      <c r="R9" s="121" t="b">
        <v>0</v>
      </c>
      <c r="S9" s="121" t="b">
        <v>0</v>
      </c>
      <c r="T9" s="122" t="b">
        <v>0</v>
      </c>
    </row>
    <row r="10" hidden="1" outlineLevel="1">
      <c r="A10" s="111"/>
      <c r="B10" s="111"/>
      <c r="C10" s="112"/>
      <c r="D10" s="111"/>
      <c r="E10" s="111"/>
      <c r="F10" s="111"/>
      <c r="G10" s="111"/>
      <c r="H10" s="128"/>
      <c r="I10" s="111"/>
      <c r="J10" s="126"/>
      <c r="K10" s="115"/>
      <c r="L10" s="116"/>
      <c r="M10" s="117" t="str">
        <f>IFERROR(__xludf.DUMMYFUNCTION("IF(
  K10="""",
  """",
  ROUND(
    IF(
      L10="""",
      K10,
      IF(
        ISERROR(FIND(""-"",L10)),
        K10 - VALUE(REGEXEXTRACT(L10,""(\d+)"")),
        K10 * (1 - VALUE(REGEXEXTRACT(L10,""(\d+)""))/100)
      )
    ),
    2
  )
)
")," ")</f>
        <v/>
      </c>
      <c r="N10" s="111"/>
      <c r="O10" s="118" t="b">
        <v>0</v>
      </c>
      <c r="P10" s="119"/>
      <c r="Q10" s="120"/>
      <c r="R10" s="121" t="b">
        <v>0</v>
      </c>
      <c r="S10" s="121" t="b">
        <v>0</v>
      </c>
      <c r="T10" s="122" t="b">
        <v>0</v>
      </c>
    </row>
    <row r="11" hidden="1" outlineLevel="1">
      <c r="A11" s="111"/>
      <c r="B11" s="111"/>
      <c r="C11" s="112"/>
      <c r="D11" s="111"/>
      <c r="E11" s="111"/>
      <c r="F11" s="111"/>
      <c r="G11" s="111"/>
      <c r="H11" s="111"/>
      <c r="I11" s="111"/>
      <c r="J11" s="126"/>
      <c r="K11" s="115"/>
      <c r="L11" s="116"/>
      <c r="M11" s="117" t="str">
        <f>IFERROR(__xludf.DUMMYFUNCTION("IF(
  K11="""",
  """",
  ROUND(
    IF(
      L11="""",
      K11,
      IF(
        ISERROR(FIND(""-"",L11)),
        K11 - VALUE(REGEXEXTRACT(L11,""(\d+)"")),
        K11 * (1 - VALUE(REGEXEXTRACT(L11,""(\d+)""))/100)
      )
    ),
    2
  )
)
")," ")</f>
        <v/>
      </c>
      <c r="N11" s="111"/>
      <c r="O11" s="118" t="b">
        <v>0</v>
      </c>
      <c r="P11" s="119"/>
      <c r="Q11" s="120"/>
      <c r="R11" s="121" t="b">
        <v>0</v>
      </c>
      <c r="S11" s="121" t="b">
        <v>0</v>
      </c>
      <c r="T11" s="122" t="b">
        <v>0</v>
      </c>
    </row>
    <row r="12" hidden="1" outlineLevel="1">
      <c r="A12" s="111"/>
      <c r="B12" s="111"/>
      <c r="C12" s="112"/>
      <c r="D12" s="111"/>
      <c r="E12" s="111"/>
      <c r="F12" s="111"/>
      <c r="G12" s="111"/>
      <c r="H12" s="111"/>
      <c r="I12" s="111"/>
      <c r="J12" s="126"/>
      <c r="K12" s="115"/>
      <c r="L12" s="116"/>
      <c r="M12" s="117" t="str">
        <f>IFERROR(__xludf.DUMMYFUNCTION("IF(
  K12="""",
  """",
  ROUND(
    IF(
      L12="""",
      K12,
      IF(
        ISERROR(FIND(""-"",L12)),
        K12 - VALUE(REGEXEXTRACT(L12,""(\d+)"")),
        K12 * (1 - VALUE(REGEXEXTRACT(L12,""(\d+)""))/100)
      )
    ),
    2
  )
)
")," ")</f>
        <v/>
      </c>
      <c r="N12" s="111"/>
      <c r="O12" s="118" t="b">
        <v>0</v>
      </c>
      <c r="P12" s="119"/>
      <c r="Q12" s="120"/>
      <c r="R12" s="121" t="b">
        <v>0</v>
      </c>
      <c r="S12" s="121" t="b">
        <v>0</v>
      </c>
      <c r="T12" s="122" t="b">
        <v>0</v>
      </c>
    </row>
    <row r="13" hidden="1" outlineLevel="1">
      <c r="A13" s="111"/>
      <c r="B13" s="111"/>
      <c r="C13" s="112"/>
      <c r="D13" s="111"/>
      <c r="E13" s="111"/>
      <c r="F13" s="111"/>
      <c r="G13" s="189"/>
      <c r="H13" s="111"/>
      <c r="I13" s="111"/>
      <c r="J13" s="126"/>
      <c r="K13" s="115"/>
      <c r="L13" s="116"/>
      <c r="M13" s="117" t="str">
        <f>IFERROR(__xludf.DUMMYFUNCTION("IF(
  K13="""",
  """",
  ROUND(
    IF(
      L13="""",
      K13,
      IF(
        ISERROR(FIND(""-"",L13)),
        K13 - VALUE(REGEXEXTRACT(L13,""(\d+)"")),
        K13 * (1 - VALUE(REGEXEXTRACT(L13,""(\d+)""))/100)
      )
    ),
    2
  )
)
")," ")</f>
        <v/>
      </c>
      <c r="N13" s="111"/>
      <c r="O13" s="118" t="b">
        <v>0</v>
      </c>
      <c r="P13" s="119"/>
      <c r="Q13" s="120"/>
      <c r="R13" s="121" t="b">
        <v>0</v>
      </c>
      <c r="S13" s="121" t="b">
        <v>0</v>
      </c>
      <c r="T13" s="122" t="b">
        <v>0</v>
      </c>
    </row>
    <row r="14" hidden="1" outlineLevel="1">
      <c r="A14" s="116"/>
      <c r="B14" s="116"/>
      <c r="C14" s="129"/>
      <c r="D14" s="111"/>
      <c r="E14" s="111"/>
      <c r="F14" s="116"/>
      <c r="G14" s="116"/>
      <c r="H14" s="116"/>
      <c r="I14" s="116"/>
      <c r="J14" s="135"/>
      <c r="K14" s="115"/>
      <c r="L14" s="116"/>
      <c r="M14" s="117" t="str">
        <f>IFERROR(__xludf.DUMMYFUNCTION("IF(
  K14="""",
  """",
  ROUND(
    IF(
      L14="""",
      K14,
      IF(
        ISERROR(FIND(""-"",L14)),
        K14 - VALUE(REGEXEXTRACT(L14,""(\d+)"")),
        K14 * (1 - VALUE(REGEXEXTRACT(L14,""(\d+)""))/100)
      )
    ),
    2
  )
)
")," ")</f>
        <v/>
      </c>
      <c r="N14" s="111"/>
      <c r="O14" s="118" t="b">
        <v>0</v>
      </c>
      <c r="P14" s="119"/>
      <c r="Q14" s="120"/>
      <c r="R14" s="121" t="b">
        <v>0</v>
      </c>
      <c r="S14" s="121" t="b">
        <v>0</v>
      </c>
      <c r="T14" s="122" t="b">
        <v>0</v>
      </c>
    </row>
    <row r="15" hidden="1" outlineLevel="1">
      <c r="A15" s="116"/>
      <c r="B15" s="116"/>
      <c r="C15" s="129"/>
      <c r="D15" s="111"/>
      <c r="E15" s="111"/>
      <c r="F15" s="116"/>
      <c r="G15" s="116"/>
      <c r="H15" s="116"/>
      <c r="I15" s="116"/>
      <c r="J15" s="132"/>
      <c r="K15" s="115"/>
      <c r="L15" s="116"/>
      <c r="M15" s="117" t="str">
        <f>IFERROR(__xludf.DUMMYFUNCTION("IF(
  K15="""",
  """",
  ROUND(
    IF(
      L15="""",
      K15,
      IF(
        ISERROR(FIND(""-"",L15)),
        K15 - VALUE(REGEXEXTRACT(L15,""(\d+)"")),
        K15 * (1 - VALUE(REGEXEXTRACT(L15,""(\d+)""))/100)
      )
    ),
    2
  )
)
")," ")</f>
        <v/>
      </c>
      <c r="N15" s="111"/>
      <c r="O15" s="118" t="b">
        <v>0</v>
      </c>
      <c r="P15" s="119"/>
      <c r="Q15" s="120"/>
      <c r="R15" s="121" t="b">
        <v>0</v>
      </c>
      <c r="S15" s="121" t="b">
        <v>0</v>
      </c>
      <c r="T15" s="122" t="b">
        <v>0</v>
      </c>
    </row>
    <row r="16" hidden="1" outlineLevel="1">
      <c r="A16" s="111"/>
      <c r="B16" s="111"/>
      <c r="C16" s="129"/>
      <c r="D16" s="111"/>
      <c r="E16" s="111"/>
      <c r="F16" s="111"/>
      <c r="G16" s="111"/>
      <c r="H16" s="111"/>
      <c r="I16" s="111"/>
      <c r="J16" s="132"/>
      <c r="K16" s="115"/>
      <c r="L16" s="116"/>
      <c r="M16" s="117" t="str">
        <f>IFERROR(__xludf.DUMMYFUNCTION("IF(
  K16="""",
  """",
  ROUND(
    IF(
      L16="""",
      K16,
      IF(
        ISERROR(FIND(""-"",L16)),
        K16 - VALUE(REGEXEXTRACT(L16,""(\d+)"")),
        K16 * (1 - VALUE(REGEXEXTRACT(L16,""(\d+)""))/100)
      )
    ),
    2
  )
)
")," ")</f>
        <v/>
      </c>
      <c r="N16" s="111"/>
      <c r="O16" s="118" t="b">
        <v>0</v>
      </c>
      <c r="P16" s="119"/>
      <c r="Q16" s="120"/>
      <c r="R16" s="121" t="b">
        <v>0</v>
      </c>
      <c r="S16" s="121" t="b">
        <v>0</v>
      </c>
      <c r="T16" s="122" t="b">
        <v>0</v>
      </c>
    </row>
    <row r="17" hidden="1" outlineLevel="1">
      <c r="A17" s="111"/>
      <c r="B17" s="111"/>
      <c r="C17" s="129"/>
      <c r="D17" s="111"/>
      <c r="E17" s="111"/>
      <c r="F17" s="111"/>
      <c r="G17" s="111"/>
      <c r="H17" s="111"/>
      <c r="I17" s="111"/>
      <c r="J17" s="132"/>
      <c r="K17" s="115"/>
      <c r="L17" s="116"/>
      <c r="M17" s="117" t="str">
        <f>IFERROR(__xludf.DUMMYFUNCTION("IF(
  K17="""",
  """",
  ROUND(
    IF(
      L17="""",
      K17,
      IF(
        ISERROR(FIND(""-"",L17)),
        K17 - VALUE(REGEXEXTRACT(L17,""(\d+)"")),
        K17 * (1 - VALUE(REGEXEXTRACT(L17,""(\d+)""))/100)
      )
    ),
    2
  )
)
")," ")</f>
        <v/>
      </c>
      <c r="N17" s="111"/>
      <c r="O17" s="118" t="b">
        <v>0</v>
      </c>
      <c r="P17" s="119"/>
      <c r="Q17" s="120"/>
      <c r="R17" s="121" t="b">
        <v>0</v>
      </c>
      <c r="S17" s="121" t="b">
        <v>0</v>
      </c>
      <c r="T17" s="122" t="b">
        <v>0</v>
      </c>
    </row>
    <row r="18" hidden="1" outlineLevel="1">
      <c r="A18" s="116"/>
      <c r="B18" s="116"/>
      <c r="C18" s="129"/>
      <c r="D18" s="111"/>
      <c r="E18" s="111"/>
      <c r="F18" s="116"/>
      <c r="G18" s="116"/>
      <c r="H18" s="116"/>
      <c r="I18" s="116"/>
      <c r="J18" s="135"/>
      <c r="K18" s="115"/>
      <c r="L18" s="116"/>
      <c r="M18" s="117" t="str">
        <f>IFERROR(__xludf.DUMMYFUNCTION("IF(
  K18="""",
  """",
  ROUND(
    IF(
      L18="""",
      K18,
      IF(
        ISERROR(FIND(""-"",L18)),
        K18 - VALUE(REGEXEXTRACT(L18,""(\d+)"")),
        K18 * (1 - VALUE(REGEXEXTRACT(L18,""(\d+)""))/100)
      )
    ),
    2
  )
)
")," ")</f>
        <v/>
      </c>
      <c r="N18" s="111"/>
      <c r="O18" s="118" t="b">
        <v>0</v>
      </c>
      <c r="P18" s="119"/>
      <c r="Q18" s="120"/>
      <c r="R18" s="121" t="b">
        <v>0</v>
      </c>
      <c r="S18" s="121" t="b">
        <v>0</v>
      </c>
      <c r="T18" s="122" t="b">
        <v>0</v>
      </c>
    </row>
    <row r="19" hidden="1" outlineLevel="1">
      <c r="A19" s="116"/>
      <c r="B19" s="116"/>
      <c r="C19" s="129"/>
      <c r="D19" s="111"/>
      <c r="E19" s="111"/>
      <c r="F19" s="116"/>
      <c r="G19" s="116"/>
      <c r="H19" s="116"/>
      <c r="I19" s="116"/>
      <c r="J19" s="132"/>
      <c r="K19" s="115"/>
      <c r="L19" s="116"/>
      <c r="M19" s="117" t="str">
        <f>IFERROR(__xludf.DUMMYFUNCTION("IF(
  K19="""",
  """",
  ROUND(
    IF(
      L19="""",
      K19,
      IF(
        ISERROR(FIND(""-"",L19)),
        K19 - VALUE(REGEXEXTRACT(L19,""(\d+)"")),
        K19 * (1 - VALUE(REGEXEXTRACT(L19,""(\d+)""))/100)
      )
    ),
    2
  )
)
")," ")</f>
        <v/>
      </c>
      <c r="N19" s="111"/>
      <c r="O19" s="118" t="b">
        <v>0</v>
      </c>
      <c r="P19" s="119"/>
      <c r="Q19" s="120"/>
      <c r="R19" s="121" t="b">
        <v>0</v>
      </c>
      <c r="S19" s="121" t="b">
        <v>0</v>
      </c>
      <c r="T19" s="122" t="b">
        <v>0</v>
      </c>
    </row>
    <row r="20" hidden="1" outlineLevel="1">
      <c r="A20" s="116"/>
      <c r="B20" s="116"/>
      <c r="C20" s="129"/>
      <c r="D20" s="111"/>
      <c r="E20" s="111"/>
      <c r="F20" s="116"/>
      <c r="G20" s="116"/>
      <c r="H20" s="116"/>
      <c r="I20" s="116"/>
      <c r="J20" s="132"/>
      <c r="K20" s="115"/>
      <c r="L20" s="116"/>
      <c r="M20" s="117" t="str">
        <f>IFERROR(__xludf.DUMMYFUNCTION("IF(
  K20="""",
  """",
  ROUND(
    IF(
      L20="""",
      K20,
      IF(
        ISERROR(FIND(""-"",L20)),
        K20 - VALUE(REGEXEXTRACT(L20,""(\d+)"")),
        K20 * (1 - VALUE(REGEXEXTRACT(L20,""(\d+)""))/100)
      )
    ),
    2
  )
)
")," ")</f>
        <v/>
      </c>
      <c r="N20" s="116"/>
      <c r="O20" s="118" t="b">
        <v>0</v>
      </c>
      <c r="P20" s="119"/>
      <c r="Q20" s="120"/>
      <c r="R20" s="121" t="b">
        <v>0</v>
      </c>
      <c r="S20" s="121" t="b">
        <v>0</v>
      </c>
      <c r="T20" s="122" t="b">
        <v>0</v>
      </c>
    </row>
    <row r="21" hidden="1" outlineLevel="1">
      <c r="A21" s="116"/>
      <c r="B21" s="116"/>
      <c r="C21" s="129"/>
      <c r="D21" s="111"/>
      <c r="E21" s="111"/>
      <c r="F21" s="116"/>
      <c r="G21" s="116"/>
      <c r="H21" s="116"/>
      <c r="I21" s="116"/>
      <c r="J21" s="135"/>
      <c r="K21" s="115"/>
      <c r="L21" s="116"/>
      <c r="M21" s="117" t="str">
        <f>IFERROR(__xludf.DUMMYFUNCTION("IF(
  K21="""",
  """",
  ROUND(
    IF(
      L21="""",
      K21,
      IF(
        ISERROR(FIND(""-"",L21)),
        K21 - VALUE(REGEXEXTRACT(L21,""(\d+)"")),
        K21 * (1 - VALUE(REGEXEXTRACT(L21,""(\d+)""))/100)
      )
    ),
    2
  )
)
")," ")</f>
        <v/>
      </c>
      <c r="N21" s="111"/>
      <c r="O21" s="118" t="b">
        <v>0</v>
      </c>
      <c r="P21" s="119"/>
      <c r="Q21" s="120"/>
      <c r="R21" s="121" t="b">
        <v>0</v>
      </c>
      <c r="S21" s="121" t="b">
        <v>0</v>
      </c>
      <c r="T21" s="122" t="b">
        <v>0</v>
      </c>
    </row>
    <row r="22" hidden="1" outlineLevel="1">
      <c r="A22" s="111"/>
      <c r="B22" s="111"/>
      <c r="C22" s="129"/>
      <c r="D22" s="111"/>
      <c r="E22" s="111"/>
      <c r="F22" s="111"/>
      <c r="G22" s="111"/>
      <c r="H22" s="240"/>
      <c r="I22" s="240"/>
      <c r="J22" s="126"/>
      <c r="K22" s="115"/>
      <c r="L22" s="116"/>
      <c r="M22" s="117" t="str">
        <f>IFERROR(__xludf.DUMMYFUNCTION("IF(
  K22="""",
  """",
  ROUND(
    IF(
      L22="""",
      K22,
      IF(
        ISERROR(FIND(""-"",L22)),
        K22 - VALUE(REGEXEXTRACT(L22,""(\d+)"")),
        K22 * (1 - VALUE(REGEXEXTRACT(L22,""(\d+)""))/100)
      )
    ),
    2
  )
)
")," ")</f>
        <v/>
      </c>
      <c r="N22" s="111"/>
      <c r="O22" s="118" t="b">
        <v>0</v>
      </c>
      <c r="P22" s="119"/>
      <c r="Q22" s="120"/>
      <c r="R22" s="121" t="b">
        <v>0</v>
      </c>
      <c r="S22" s="121" t="b">
        <v>0</v>
      </c>
      <c r="T22" s="122" t="b">
        <v>0</v>
      </c>
    </row>
    <row r="23" hidden="1"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t="b">
        <v>0</v>
      </c>
      <c r="S23" s="121" t="b">
        <v>0</v>
      </c>
      <c r="T23" s="122" t="b">
        <v>0</v>
      </c>
    </row>
    <row r="24" hidden="1" outlineLevel="1">
      <c r="A24" s="116"/>
      <c r="B24" s="116"/>
      <c r="C24" s="129"/>
      <c r="D24" s="111"/>
      <c r="E24" s="111"/>
      <c r="F24" s="116"/>
      <c r="G24" s="116"/>
      <c r="H24" s="116"/>
      <c r="I24" s="116"/>
      <c r="J24" s="134"/>
      <c r="K24" s="115"/>
      <c r="L24" s="116"/>
      <c r="M24" s="117" t="str">
        <f>IFERROR(__xludf.DUMMYFUNCTION("IF(
  K24="""",
  """",
  ROUND(
    IF(
      L24="""",
      K24,
      IF(
        ISERROR(FIND(""-"",L24)),
        K24 - VALUE(REGEXEXTRACT(L24,""(\d+)"")),
        K24 * (1 - VALUE(REGEXEXTRACT(L24,""(\d+)""))/100)
      )
    ),
    2
  )
)
")," ")</f>
        <v/>
      </c>
      <c r="N24" s="111"/>
      <c r="O24" s="118" t="b">
        <v>0</v>
      </c>
      <c r="P24" s="119"/>
      <c r="Q24" s="120"/>
      <c r="R24" s="121" t="b">
        <v>0</v>
      </c>
      <c r="S24" s="121" t="b">
        <v>0</v>
      </c>
      <c r="T24" s="122" t="b">
        <v>0</v>
      </c>
    </row>
    <row r="25" hidden="1" outlineLevel="1">
      <c r="A25" s="116"/>
      <c r="B25" s="116"/>
      <c r="C25" s="129"/>
      <c r="D25" s="111"/>
      <c r="E25" s="111"/>
      <c r="F25" s="116"/>
      <c r="G25" s="116"/>
      <c r="H25" s="116"/>
      <c r="I25" s="116"/>
      <c r="J25" s="134"/>
      <c r="K25" s="115"/>
      <c r="L25" s="116"/>
      <c r="M25" s="117" t="str">
        <f>IFERROR(__xludf.DUMMYFUNCTION("IF(
  K25="""",
  """",
  ROUND(
    IF(
      L25="""",
      K25,
      IF(
        ISERROR(FIND(""-"",L25)),
        K25 - VALUE(REGEXEXTRACT(L25,""(\d+)"")),
        K25 * (1 - VALUE(REGEXEXTRACT(L25,""(\d+)""))/100)
      )
    ),
    2
  )
)
")," ")</f>
        <v/>
      </c>
      <c r="N25" s="111"/>
      <c r="O25" s="118" t="b">
        <v>0</v>
      </c>
      <c r="P25" s="119"/>
      <c r="Q25" s="120"/>
      <c r="R25" s="121" t="b">
        <v>0</v>
      </c>
      <c r="S25" s="121" t="b">
        <v>0</v>
      </c>
      <c r="T25" s="122" t="b">
        <v>0</v>
      </c>
    </row>
    <row r="26" hidden="1" outlineLevel="1">
      <c r="A26" s="116"/>
      <c r="B26" s="116"/>
      <c r="C26" s="129"/>
      <c r="D26" s="111"/>
      <c r="E26" s="111"/>
      <c r="F26" s="116"/>
      <c r="G26" s="116"/>
      <c r="H26" s="116"/>
      <c r="I26" s="116"/>
      <c r="J26" s="134"/>
      <c r="K26" s="115"/>
      <c r="L26" s="116"/>
      <c r="M26" s="117" t="str">
        <f>IFERROR(__xludf.DUMMYFUNCTION("IF(
  K26="""",
  """",
  ROUND(
    IF(
      L26="""",
      K26,
      IF(
        ISERROR(FIND(""-"",L26)),
        K26 - VALUE(REGEXEXTRACT(L26,""(\d+)"")),
        K26 * (1 - VALUE(REGEXEXTRACT(L26,""(\d+)""))/100)
      )
    ),
    2
  )
)
")," ")</f>
        <v/>
      </c>
      <c r="N26" s="111"/>
      <c r="O26" s="118" t="b">
        <v>0</v>
      </c>
      <c r="P26" s="119"/>
      <c r="Q26" s="120"/>
      <c r="R26" s="121" t="b">
        <v>0</v>
      </c>
      <c r="S26" s="121" t="b">
        <v>0</v>
      </c>
      <c r="T26" s="122" t="b">
        <v>0</v>
      </c>
    </row>
    <row r="27" hidden="1"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hidden="1" outlineLevel="1">
      <c r="A28" s="116"/>
      <c r="B28" s="116"/>
      <c r="C28" s="129"/>
      <c r="D28" s="111"/>
      <c r="E28" s="111"/>
      <c r="F28" s="116"/>
      <c r="G28" s="116"/>
      <c r="H28" s="113"/>
      <c r="I28" s="113"/>
      <c r="J28" s="134"/>
      <c r="K28" s="115"/>
      <c r="L28" s="131"/>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hidden="1"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hidden="1" outlineLevel="1">
      <c r="A30" s="116"/>
      <c r="B30" s="116"/>
      <c r="C30" s="129"/>
      <c r="D30" s="111"/>
      <c r="E30" s="111"/>
      <c r="F30" s="116"/>
      <c r="G30" s="116"/>
      <c r="H30" s="116"/>
      <c r="I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hidden="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hidden="1"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hidden="1"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hidden="1"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hidden="1"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hidden="1"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hidden="1"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hidden="1"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hidden="1"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hidden="1"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hidden="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hidden="1"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hidden="1"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20"/>
      <c r="R43" s="121" t="b">
        <v>0</v>
      </c>
      <c r="S43" s="121" t="b">
        <v>0</v>
      </c>
      <c r="T43" s="122" t="b">
        <v>0</v>
      </c>
    </row>
    <row r="44" hidden="1" outlineLevel="1">
      <c r="A44" s="116"/>
      <c r="B44" s="116"/>
      <c r="C44" s="129"/>
      <c r="D44" s="111"/>
      <c r="E44" s="111"/>
      <c r="F44" s="116"/>
      <c r="G44" s="116"/>
      <c r="H44" s="143"/>
      <c r="I44" s="116"/>
      <c r="J44" s="134"/>
      <c r="K44" s="115"/>
      <c r="L44" s="131"/>
      <c r="M44" s="117" t="str">
        <f>IFERROR(__xludf.DUMMYFUNCTION("IF(
  K44="""",
  """",
  ROUND(
    IF(
      L44="""",
      K44,
      IF(
        ISERROR(FIND(""-"",L44)),
        K44 - VALUE(REGEXEXTRACT(L44,""(\d+)"")),
        K44 * (1 - VALUE(REGEXEXTRACT(L44,""(\d+)""))/100)
      )
    ),
    2
  )
)
")," ")</f>
        <v/>
      </c>
      <c r="N44" s="131"/>
      <c r="O44" s="118" t="b">
        <v>0</v>
      </c>
      <c r="P44" s="119"/>
      <c r="Q44" s="120"/>
      <c r="R44" s="121" t="b">
        <v>0</v>
      </c>
      <c r="S44" s="121" t="b">
        <v>0</v>
      </c>
      <c r="T44" s="122" t="b">
        <v>0</v>
      </c>
    </row>
    <row r="45" hidden="1" outlineLevel="1">
      <c r="A45" s="116"/>
      <c r="B45" s="116"/>
      <c r="C45" s="129"/>
      <c r="D45" s="111"/>
      <c r="E45" s="111"/>
      <c r="F45" s="116"/>
      <c r="G45" s="116"/>
      <c r="H45" s="116"/>
      <c r="I45" s="116"/>
      <c r="J45" s="134"/>
      <c r="K45" s="115"/>
      <c r="L45" s="116"/>
      <c r="M45" s="117" t="str">
        <f>IFERROR(__xludf.DUMMYFUNCTION("IF(
  K45="""",
  """",
  ROUND(
    IF(
      L45="""",
      K45,
      IF(
        ISERROR(FIND(""-"",L45)),
        K45 - VALUE(REGEXEXTRACT(L45,""(\d+)"")),
        K45 * (1 - VALUE(REGEXEXTRACT(L45,""(\d+)""))/100)
      )
    ),
    2
  )
)
")," ")</f>
        <v/>
      </c>
      <c r="N45" s="111"/>
      <c r="O45" s="118" t="b">
        <v>0</v>
      </c>
      <c r="P45" s="119"/>
      <c r="Q45" s="120"/>
      <c r="R45" s="121" t="b">
        <v>0</v>
      </c>
      <c r="S45" s="121" t="b">
        <v>0</v>
      </c>
      <c r="T45" s="122" t="b">
        <v>0</v>
      </c>
    </row>
    <row r="46" hidden="1" outlineLevel="1">
      <c r="A46" s="116"/>
      <c r="B46" s="116"/>
      <c r="C46" s="129"/>
      <c r="D46" s="111"/>
      <c r="E46" s="111"/>
      <c r="F46" s="116"/>
      <c r="G46" s="116"/>
      <c r="H46" s="144"/>
      <c r="I46" s="116"/>
      <c r="J46" s="132"/>
      <c r="K46" s="115"/>
      <c r="L46" s="116"/>
      <c r="M46" s="117" t="str">
        <f>IFERROR(__xludf.DUMMYFUNCTION("IF(
  K46="""",
  """",
  ROUND(
    IF(
      L46="""",
      K46,
      IF(
        ISERROR(FIND(""-"",L46)),
        K46 - VALUE(REGEXEXTRACT(L46,""(\d+)"")),
        K46 * (1 - VALUE(REGEXEXTRACT(L46,""(\d+)""))/100)
      )
    ),
    2
  )
)
")," ")</f>
        <v/>
      </c>
      <c r="N46" s="116"/>
      <c r="O46" s="118" t="b">
        <v>0</v>
      </c>
      <c r="P46" s="119"/>
      <c r="Q46" s="120"/>
      <c r="R46" s="121" t="b">
        <v>0</v>
      </c>
      <c r="S46" s="121" t="b">
        <v>0</v>
      </c>
      <c r="T46" s="122" t="b">
        <v>0</v>
      </c>
    </row>
    <row r="47" hidden="1" outlineLevel="1">
      <c r="A47" s="116"/>
      <c r="B47" s="116"/>
      <c r="C47" s="129"/>
      <c r="D47" s="111"/>
      <c r="E47" s="111"/>
      <c r="F47" s="116"/>
      <c r="G47" s="116"/>
      <c r="H47" s="116"/>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hidden="1"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hidden="1"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hidden="1" outlineLevel="1">
      <c r="A50" s="116"/>
      <c r="B50" s="116"/>
      <c r="C50" s="145"/>
      <c r="D50" s="111"/>
      <c r="E50" s="111"/>
      <c r="F50" s="116"/>
      <c r="G50" s="116"/>
      <c r="H50" s="116"/>
      <c r="I50" s="116"/>
      <c r="J50" s="126"/>
      <c r="K50" s="115"/>
      <c r="L50" s="116"/>
      <c r="M50" s="117" t="str">
        <f>IFERROR(__xludf.DUMMYFUNCTION("IF(
  K50="""",
  """",
  ROUND(
    IF(
      L50="""",
      K50,
      IF(
        ISERROR(FIND(""-"",L50)),
        K50 - VALUE(REGEXEXTRACT(L50,""(\d+)"")),
        K50 * (1 - VALUE(REGEXEXTRACT(L50,""(\d+)""))/100)
      )
    ),
    2
  )
)
")," ")</f>
        <v/>
      </c>
      <c r="N50" s="111"/>
      <c r="O50" s="118" t="b">
        <v>0</v>
      </c>
      <c r="P50" s="119"/>
      <c r="Q50" s="120"/>
      <c r="R50" s="121" t="b">
        <v>0</v>
      </c>
      <c r="S50" s="121" t="b">
        <v>0</v>
      </c>
      <c r="T50" s="122" t="b">
        <v>0</v>
      </c>
    </row>
    <row r="51" hidden="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hidden="1"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hidden="1" outlineLevel="1">
      <c r="A53" s="116"/>
      <c r="B53" s="116"/>
      <c r="C53" s="146"/>
      <c r="D53" s="111"/>
      <c r="E53" s="111"/>
      <c r="F53" s="111"/>
      <c r="G53" s="111"/>
      <c r="H53" s="111"/>
      <c r="I53" s="111"/>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hidden="1" outlineLevel="1">
      <c r="A54" s="131"/>
      <c r="B54" s="131"/>
      <c r="C54" s="147"/>
      <c r="D54" s="111"/>
      <c r="E54" s="111"/>
      <c r="F54" s="131"/>
      <c r="G54" s="131"/>
      <c r="H54" s="131"/>
      <c r="I54" s="131"/>
      <c r="J54" s="148"/>
      <c r="K54" s="115"/>
      <c r="L54" s="131"/>
      <c r="M54" s="117" t="str">
        <f>IFERROR(__xludf.DUMMYFUNCTION("IF(
  K54="""",
  """",
  ROUND(
    IF(
      L54="""",
      K54,
      IF(
        ISERROR(FIND(""-"",L54)),
        K54 - VALUE(REGEXEXTRACT(L54,""(\d+)"")),
        K54 * (1 - VALUE(REGEXEXTRACT(L54,""(\d+)""))/100)
      )
    ),
    2
  )
)
")," ")</f>
        <v/>
      </c>
      <c r="N54" s="131"/>
      <c r="O54" s="118" t="b">
        <v>0</v>
      </c>
      <c r="P54" s="119"/>
      <c r="Q54" s="149"/>
      <c r="R54" s="121" t="b">
        <v>0</v>
      </c>
      <c r="S54" s="121" t="b">
        <v>0</v>
      </c>
      <c r="T54" s="122" t="b">
        <v>0</v>
      </c>
    </row>
    <row r="55" hidden="1" outlineLevel="1">
      <c r="A55" s="116"/>
      <c r="B55" s="116"/>
      <c r="C55" s="146"/>
      <c r="D55" s="111"/>
      <c r="E55" s="111"/>
      <c r="F55" s="116"/>
      <c r="G55" s="116"/>
      <c r="H55" s="116"/>
      <c r="I55" s="116"/>
      <c r="J55" s="126"/>
      <c r="K55" s="115"/>
      <c r="L55" s="116"/>
      <c r="M55" s="117" t="str">
        <f>IFERROR(__xludf.DUMMYFUNCTION("IF(
  K55="""",
  """",
  ROUND(
    IF(
      L55="""",
      K55,
      IF(
        ISERROR(FIND(""-"",L55)),
        K55 - VALUE(REGEXEXTRACT(L55,""(\d+)"")),
        K55 * (1 - VALUE(REGEXEXTRACT(L55,""(\d+)""))/100)
      )
    ),
    2
  )
)
")," ")</f>
        <v/>
      </c>
      <c r="N55" s="111"/>
      <c r="O55" s="118" t="b">
        <v>0</v>
      </c>
      <c r="P55" s="119"/>
      <c r="Q55" s="120"/>
      <c r="R55" s="121" t="b">
        <v>0</v>
      </c>
      <c r="S55" s="121" t="b">
        <v>0</v>
      </c>
      <c r="T55" s="122" t="b">
        <v>0</v>
      </c>
    </row>
    <row r="56" hidden="1" outlineLevel="1">
      <c r="A56" s="116"/>
      <c r="B56" s="116"/>
      <c r="C56" s="145"/>
      <c r="D56" s="111"/>
      <c r="E56" s="111"/>
      <c r="F56" s="116"/>
      <c r="G56" s="116"/>
      <c r="H56" s="116"/>
      <c r="I56" s="116"/>
      <c r="J56" s="126"/>
      <c r="K56" s="115"/>
      <c r="L56" s="116"/>
      <c r="M56" s="150"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hidden="1" outlineLevel="1">
      <c r="A57" s="116"/>
      <c r="B57" s="116"/>
      <c r="C57" s="145"/>
      <c r="D57" s="111"/>
      <c r="E57" s="111"/>
      <c r="F57" s="116"/>
      <c r="G57" s="116"/>
      <c r="H57" s="151"/>
      <c r="I57" s="116"/>
      <c r="J57" s="126"/>
      <c r="K57" s="115"/>
      <c r="L57" s="116"/>
      <c r="M57" s="150" t="str">
        <f>IFERROR(__xludf.DUMMYFUNCTION("IF(
  K57="""",
  """",
  ROUND(
    IF(
      L57="""",
      K57,
      IF(
        ISERROR(FIND(""-"",L57)),
        K57 - VALUE(REGEXEXTRACT(L57,""(\d+)"")),
        K57 * (1 - VALUE(REGEXEXTRACT(L57,""(\d+)""))/100)
      )
    ),
    2
  )
)
")," ")</f>
        <v/>
      </c>
      <c r="N57" s="116"/>
      <c r="O57" s="118" t="b">
        <v>0</v>
      </c>
      <c r="P57" s="119"/>
      <c r="Q57" s="120"/>
      <c r="R57" s="121" t="b">
        <v>0</v>
      </c>
      <c r="S57" s="121" t="b">
        <v>0</v>
      </c>
      <c r="T57" s="122" t="b">
        <v>0</v>
      </c>
    </row>
    <row r="58" hidden="1" outlineLevel="1">
      <c r="A58" s="131"/>
      <c r="B58" s="131"/>
      <c r="C58" s="130"/>
      <c r="D58" s="111"/>
      <c r="E58" s="111"/>
      <c r="F58" s="131"/>
      <c r="G58" s="131"/>
      <c r="H58" s="152"/>
      <c r="I58" s="131"/>
      <c r="J58" s="153"/>
      <c r="K58" s="115"/>
      <c r="L58" s="116"/>
      <c r="M58" s="150" t="str">
        <f>IFERROR(__xludf.DUMMYFUNCTION("IF(
  K58="""",
  """",
  ROUND(
    IF(
      L58="""",
      K58,
      IF(
        ISERROR(FIND(""-"",L58)),
        K58 - VALUE(REGEXEXTRACT(L58,""(\d+)"")),
        K58 * (1 - VALUE(REGEXEXTRACT(L58,""(\d+)""))/100)
      )
    ),
    2
  )
)
")," ")</f>
        <v/>
      </c>
      <c r="N58" s="131"/>
      <c r="O58" s="118" t="b">
        <v>0</v>
      </c>
      <c r="P58" s="119"/>
      <c r="Q58" s="120"/>
      <c r="R58" s="121" t="b">
        <v>0</v>
      </c>
      <c r="S58" s="121" t="b">
        <v>0</v>
      </c>
      <c r="T58" s="122" t="b">
        <v>0</v>
      </c>
    </row>
    <row r="59" hidden="1"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hidden="1"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hidden="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hidden="1" outlineLevel="1">
      <c r="A62" s="116"/>
      <c r="B62" s="116"/>
      <c r="C62" s="129"/>
      <c r="D62" s="111"/>
      <c r="E62" s="111"/>
      <c r="F62" s="116"/>
      <c r="G62" s="116"/>
      <c r="H62" s="151"/>
      <c r="I62" s="116"/>
      <c r="J62" s="134"/>
      <c r="K62" s="115"/>
      <c r="L62" s="116"/>
      <c r="M62" s="150" t="str">
        <f>IFERROR(__xludf.DUMMYFUNCTION("IF(
  K62="""",
  """",
  ROUND(
    IF(
      L62="""",
      K62,
      IF(
        ISERROR(FIND(""-"",L62)),
        K62 - VALUE(REGEXEXTRACT(L62,""(\d+)"")),
        K62 * (1 - VALUE(REGEXEXTRACT(L62,""(\d+)""))/100)
      )
    ),
    2
  )
)
")," ")</f>
        <v/>
      </c>
      <c r="N62" s="116"/>
      <c r="O62" s="118" t="b">
        <v>0</v>
      </c>
      <c r="P62" s="119"/>
      <c r="Q62" s="120"/>
      <c r="R62" s="121" t="b">
        <v>0</v>
      </c>
      <c r="S62" s="121" t="b">
        <v>0</v>
      </c>
      <c r="T62" s="122" t="b">
        <v>0</v>
      </c>
    </row>
    <row r="63" hidden="1"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hidden="1"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hidden="1" outlineLevel="1">
      <c r="A65" s="111"/>
      <c r="B65" s="116"/>
      <c r="C65" s="112"/>
      <c r="D65" s="111"/>
      <c r="E65" s="111"/>
      <c r="F65" s="111"/>
      <c r="G65" s="111"/>
      <c r="H65" s="144"/>
      <c r="I65" s="111"/>
      <c r="J65" s="114"/>
      <c r="K65" s="115"/>
      <c r="L65" s="116"/>
      <c r="M65" s="117" t="str">
        <f>IFERROR(__xludf.DUMMYFUNCTION("IF(
  K65="""",
  """",
  ROUND(
    IF(
      L65="""",
      K65,
      IF(
        ISERROR(FIND(""-"",L65)),
        K65 - VALUE(REGEXEXTRACT(L65,""(\d+)"")),
        K65 * (1 - VALUE(REGEXEXTRACT(L65,""(\d+)""))/100)
      )
    ),
    2
  )
)
")," ")</f>
        <v/>
      </c>
      <c r="N65" s="111"/>
      <c r="O65" s="154" t="b">
        <v>0</v>
      </c>
      <c r="P65" s="119"/>
      <c r="Q65" s="120"/>
      <c r="R65" s="121" t="b">
        <v>0</v>
      </c>
      <c r="S65" s="121" t="b">
        <v>0</v>
      </c>
      <c r="T65" s="122" t="b">
        <v>0</v>
      </c>
    </row>
    <row r="66" hidden="1"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hidden="1"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hidden="1"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hidden="1"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hidden="1"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hidden="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hidden="1"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hidden="1"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hidden="1"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hidden="1"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hidden="1"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hidden="1"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hidden="1"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hidden="1" outlineLevel="1">
      <c r="A79" s="116"/>
      <c r="B79" s="116"/>
      <c r="C79" s="129"/>
      <c r="D79" s="111"/>
      <c r="E79" s="111"/>
      <c r="F79" s="116"/>
      <c r="G79" s="116"/>
      <c r="H79" s="151"/>
      <c r="I79" s="116"/>
      <c r="J79" s="132"/>
      <c r="K79" s="115"/>
      <c r="L79" s="116"/>
      <c r="M79" s="150" t="str">
        <f>IFERROR(__xludf.DUMMYFUNCTION("IF(
  K79="""",
  """",
  ROUND(
    IF(
      L79="""",
      K79,
      IF(
        ISERROR(FIND(""-"",L79)),
        K79 - VALUE(REGEXEXTRACT(L79,""(\d+)"")),
        K79 * (1 - VALUE(REGEXEXTRACT(L79,""(\d+)""))/100)
      )
    ),
    2
  )
)
")," ")</f>
        <v/>
      </c>
      <c r="N79" s="116"/>
      <c r="O79" s="118" t="b">
        <v>0</v>
      </c>
      <c r="P79" s="119"/>
      <c r="Q79" s="120"/>
      <c r="R79" s="121" t="b">
        <v>0</v>
      </c>
      <c r="S79" s="121" t="b">
        <v>0</v>
      </c>
      <c r="T79" s="122" t="b">
        <v>0</v>
      </c>
    </row>
    <row r="80" hidden="1" outlineLevel="1">
      <c r="A80" s="116"/>
      <c r="B80" s="116"/>
      <c r="C80" s="129"/>
      <c r="D80" s="111"/>
      <c r="E80" s="111"/>
      <c r="F80" s="116"/>
      <c r="G80" s="116"/>
      <c r="H80" s="151"/>
      <c r="I80" s="116"/>
      <c r="J80" s="132"/>
      <c r="K80" s="115"/>
      <c r="L80" s="116"/>
      <c r="M80" s="117"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hidden="1" outlineLevel="1">
      <c r="A81" s="116"/>
      <c r="B81" s="116"/>
      <c r="C81" s="129"/>
      <c r="D81" s="111"/>
      <c r="E81" s="111"/>
      <c r="F81" s="116"/>
      <c r="G81" s="116"/>
      <c r="H81" s="151"/>
      <c r="I81" s="116"/>
      <c r="J81" s="129"/>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hidden="1"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hidden="1" outlineLevel="1">
      <c r="A83" s="116"/>
      <c r="B83" s="116"/>
      <c r="C83" s="155"/>
      <c r="D83" s="111"/>
      <c r="E83" s="111"/>
      <c r="F83" s="156"/>
      <c r="G83" s="157"/>
      <c r="H83" s="156"/>
      <c r="I83" s="156"/>
      <c r="J83" s="158"/>
      <c r="K83" s="115"/>
      <c r="L83" s="116"/>
      <c r="M83" s="117" t="str">
        <f>IFERROR(__xludf.DUMMYFUNCTION("IF(
  K83="""",
  """",
  ROUND(
    IF(
      L83="""",
      K83,
      IF(
        ISERROR(FIND(""-"",L83)),
        K83 - VALUE(REGEXEXTRACT(L83,""(\d+)"")),
        K83 * (1 - VALUE(REGEXEXTRACT(L83,""(\d+)""))/100)
      )
    ),
    2
  )
)
")," ")</f>
        <v/>
      </c>
      <c r="N83" s="116"/>
      <c r="O83" s="118" t="b">
        <v>0</v>
      </c>
      <c r="P83" s="119"/>
      <c r="Q83" s="159"/>
      <c r="R83" s="121" t="b">
        <v>0</v>
      </c>
      <c r="S83" s="121" t="b">
        <v>0</v>
      </c>
      <c r="T83" s="122" t="b">
        <v>0</v>
      </c>
    </row>
    <row r="84">
      <c r="A84" s="160" t="s">
        <v>116</v>
      </c>
      <c r="B84" s="161">
        <f>COUNTIF(B4:B83,"ONLINE")+COUNTIF(B4:B83,"SEDE*")</f>
        <v>0</v>
      </c>
      <c r="C84" s="160" t="s">
        <v>116</v>
      </c>
      <c r="D84" s="161">
        <f t="shared" ref="D84:F84" si="1">COUNTIF(D4:D83, "*")</f>
        <v>0</v>
      </c>
      <c r="E84" s="161">
        <f t="shared" si="1"/>
        <v>0</v>
      </c>
      <c r="F84" s="161">
        <f t="shared" si="1"/>
        <v>0</v>
      </c>
      <c r="G84" s="162">
        <f>COUNTA(G4:G83)</f>
        <v>0</v>
      </c>
      <c r="H84" s="161">
        <f t="shared" ref="H84:I84" si="2">COUNTIF(H4:H83, "*")</f>
        <v>0</v>
      </c>
      <c r="I84" s="161">
        <f t="shared" si="2"/>
        <v>0</v>
      </c>
      <c r="J84" s="160" t="s">
        <v>116</v>
      </c>
      <c r="K84" s="163">
        <f>SUM(K4:K83)</f>
        <v>0</v>
      </c>
      <c r="L84" s="161">
        <f>COUNTIF(L4:L83, "*")</f>
        <v>0</v>
      </c>
      <c r="M84" s="163">
        <f>SUM(M4:M83)</f>
        <v>0</v>
      </c>
      <c r="N84" s="161">
        <f>COUNTIF(N4:N83, "*")</f>
        <v>0</v>
      </c>
      <c r="O84" s="161">
        <f>SUMPRODUCT(--O4:O83)</f>
        <v>0</v>
      </c>
      <c r="P84" s="161">
        <f t="shared" ref="P84:Q84" si="3">COUNTIF(P4:P83, "*")</f>
        <v>0</v>
      </c>
      <c r="Q84" s="161">
        <f t="shared" si="3"/>
        <v>0</v>
      </c>
      <c r="R84" s="161">
        <f t="shared" ref="R84:T84" si="4">SUMPRODUCT(--R4:R83)</f>
        <v>0</v>
      </c>
      <c r="S84" s="161">
        <f t="shared" si="4"/>
        <v>0</v>
      </c>
      <c r="T84" s="161">
        <f t="shared" si="4"/>
        <v>0</v>
      </c>
    </row>
    <row r="85">
      <c r="A85" s="164" t="s">
        <v>117</v>
      </c>
      <c r="B85" s="165">
        <f>COUNTIF(B4:B83, "SEDE*")</f>
        <v>0</v>
      </c>
      <c r="C85" s="142"/>
      <c r="D85" s="166" t="s">
        <v>118</v>
      </c>
      <c r="E85" s="167" t="s">
        <v>119</v>
      </c>
      <c r="F85" s="168" t="str">
        <f>IFERROR(__xludf.DUMMYFUNCTION("IFERROR(TRANSPOSE(SORT(UNIQUE(FILTER($M$4:$M$83,$M$4:$M$83&lt;&gt;"""")))),"""")")," ")</f>
        <v/>
      </c>
      <c r="G85" s="168"/>
      <c r="H85" s="168"/>
      <c r="I85" s="168"/>
      <c r="J85" s="168"/>
      <c r="K85" s="169"/>
      <c r="L85" s="169"/>
      <c r="M85" s="169"/>
      <c r="N85" s="169"/>
      <c r="O85" s="168"/>
      <c r="P85" s="170" t="s">
        <v>40</v>
      </c>
      <c r="Q85" s="171" t="str">
        <f>IF(SUM(F87:O87)=0,"",SUM(F87:O87))
</f>
        <v/>
      </c>
      <c r="R85" s="164" t="s">
        <v>120</v>
      </c>
      <c r="S85" s="165" t="str">
        <f>IF(SUM(M84) = SUM(Q85:Q89), "OK", "ERRORE")</f>
        <v>OK</v>
      </c>
    </row>
    <row r="86">
      <c r="A86" s="164" t="s">
        <v>74</v>
      </c>
      <c r="B86" s="165">
        <f>COUNTIF(B4:B83, "ONLINE")</f>
        <v>0</v>
      </c>
      <c r="E86" s="172" t="s">
        <v>121</v>
      </c>
      <c r="F86" s="172" t="str">
        <f t="shared" ref="F86:O86" si="5">IF(
  F$85="",
  "",
  COUNTIFS($B$4:$B$83,"*SEDE*",$M$4:$M$83,F$85)
)
</f>
        <v/>
      </c>
      <c r="G86" s="172" t="str">
        <f t="shared" si="5"/>
        <v/>
      </c>
      <c r="H86" s="172" t="str">
        <f t="shared" si="5"/>
        <v/>
      </c>
      <c r="I86" s="172" t="str">
        <f t="shared" si="5"/>
        <v/>
      </c>
      <c r="J86" s="172" t="str">
        <f t="shared" si="5"/>
        <v/>
      </c>
      <c r="K86" s="172" t="str">
        <f t="shared" si="5"/>
        <v/>
      </c>
      <c r="L86" s="172" t="str">
        <f t="shared" si="5"/>
        <v/>
      </c>
      <c r="M86" s="172" t="str">
        <f t="shared" si="5"/>
        <v/>
      </c>
      <c r="N86" s="172" t="str">
        <f t="shared" si="5"/>
        <v/>
      </c>
      <c r="O86" s="172" t="str">
        <f t="shared" si="5"/>
        <v/>
      </c>
    </row>
    <row r="87">
      <c r="E87" s="173" t="s">
        <v>122</v>
      </c>
      <c r="F87" s="174" t="str">
        <f t="shared" ref="F87:O87" si="6">IF(
  F$85="",
  "",
  SUMIFS($M$4:$M$83,$B$4:$B$83,"*SEDE*",$M$4:$M$83,F$85)
)
</f>
        <v/>
      </c>
      <c r="G87" s="174" t="str">
        <f t="shared" si="6"/>
        <v/>
      </c>
      <c r="H87" s="174" t="str">
        <f t="shared" si="6"/>
        <v/>
      </c>
      <c r="I87" s="174" t="str">
        <f t="shared" si="6"/>
        <v/>
      </c>
      <c r="J87" s="174" t="str">
        <f t="shared" si="6"/>
        <v/>
      </c>
      <c r="K87" s="174" t="str">
        <f t="shared" si="6"/>
        <v/>
      </c>
      <c r="L87" s="174" t="str">
        <f t="shared" si="6"/>
        <v/>
      </c>
      <c r="M87" s="174" t="str">
        <f t="shared" si="6"/>
        <v/>
      </c>
      <c r="N87" s="174" t="str">
        <f t="shared" si="6"/>
        <v/>
      </c>
      <c r="O87" s="174" t="str">
        <f t="shared" si="6"/>
        <v/>
      </c>
    </row>
    <row r="88">
      <c r="E88" s="172" t="s">
        <v>123</v>
      </c>
      <c r="F88" s="175" t="str">
        <f t="shared" ref="F88:O88" si="7">IF(
  F$85="",
  "",
  COUNTIFS($B$4:$B$83,"*ONLINE*",$M$4:$M$83,F$85)
)
</f>
        <v/>
      </c>
      <c r="G88" s="175" t="str">
        <f t="shared" si="7"/>
        <v/>
      </c>
      <c r="H88" s="175" t="str">
        <f t="shared" si="7"/>
        <v/>
      </c>
      <c r="I88" s="175" t="str">
        <f t="shared" si="7"/>
        <v/>
      </c>
      <c r="J88" s="175" t="str">
        <f t="shared" si="7"/>
        <v/>
      </c>
      <c r="K88" s="175" t="str">
        <f t="shared" si="7"/>
        <v/>
      </c>
      <c r="L88" s="175" t="str">
        <f t="shared" si="7"/>
        <v/>
      </c>
      <c r="M88" s="175" t="str">
        <f t="shared" si="7"/>
        <v/>
      </c>
      <c r="N88" s="175" t="str">
        <f t="shared" si="7"/>
        <v/>
      </c>
      <c r="O88" s="175" t="str">
        <f t="shared" si="7"/>
        <v/>
      </c>
      <c r="P88" s="170" t="s">
        <v>40</v>
      </c>
      <c r="Q88" s="171" t="str">
        <f>IF(SUM(F89:O89)=0,"",SUM(F89:O89))
</f>
        <v/>
      </c>
    </row>
    <row r="89">
      <c r="E89" s="173" t="s">
        <v>124</v>
      </c>
      <c r="F89" s="174" t="str">
        <f t="shared" ref="F89:O89" si="8">IF(
  F$85="",
  "",
  SUMIFS($M$4:$M$83,$B$4:$B$83,"*ONLINE*",$M$4:$M$83,F$85)
)
</f>
        <v/>
      </c>
      <c r="G89" s="174" t="str">
        <f t="shared" si="8"/>
        <v/>
      </c>
      <c r="H89" s="174" t="str">
        <f t="shared" si="8"/>
        <v/>
      </c>
      <c r="I89" s="174" t="str">
        <f t="shared" si="8"/>
        <v/>
      </c>
      <c r="J89" s="174" t="str">
        <f t="shared" si="8"/>
        <v/>
      </c>
      <c r="K89" s="174" t="str">
        <f t="shared" si="8"/>
        <v/>
      </c>
      <c r="L89" s="174" t="str">
        <f t="shared" si="8"/>
        <v/>
      </c>
      <c r="M89" s="174" t="str">
        <f t="shared" si="8"/>
        <v/>
      </c>
      <c r="N89" s="174" t="str">
        <f t="shared" si="8"/>
        <v/>
      </c>
      <c r="O89" s="174" t="str">
        <f t="shared" si="8"/>
        <v/>
      </c>
    </row>
    <row r="90" collapsed="1">
      <c r="A90" s="110"/>
      <c r="B90" s="110"/>
      <c r="C90" s="110" t="s">
        <v>2931</v>
      </c>
    </row>
    <row r="91" hidden="1" outlineLevel="1">
      <c r="A91" s="111"/>
      <c r="B91" s="111"/>
      <c r="C91" s="112"/>
      <c r="D91" s="111"/>
      <c r="E91" s="111"/>
      <c r="F91" s="111"/>
      <c r="G91" s="111"/>
      <c r="H91" s="111"/>
      <c r="I91" s="111"/>
      <c r="J91" s="126"/>
      <c r="K91" s="115"/>
      <c r="L91" s="116"/>
      <c r="M91" s="117" t="str">
        <f>IFERROR(__xludf.DUMMYFUNCTION("IF(
  K91="""",
  """",
  ROUND(
    IF(
      L91="""",
      K91,
      IF(
        ISERROR(FIND(""-"",L91)),
        K91 - VALUE(REGEXEXTRACT(L91,""(\d+)"")),
        K91 * (1 - VALUE(REGEXEXTRACT(L91,""(\d+)""))/100)
      )
    ),
    2
  )
)
")," ")</f>
        <v/>
      </c>
      <c r="N91" s="111"/>
      <c r="O91" s="118" t="b">
        <v>0</v>
      </c>
      <c r="P91" s="119"/>
      <c r="Q91" s="120"/>
      <c r="R91" s="121" t="b">
        <v>0</v>
      </c>
      <c r="S91" s="121" t="b">
        <v>0</v>
      </c>
      <c r="T91" s="122" t="b">
        <v>0</v>
      </c>
    </row>
    <row r="92" hidden="1" outlineLevel="1">
      <c r="A92" s="111"/>
      <c r="B92" s="111"/>
      <c r="C92" s="112"/>
      <c r="D92" s="111"/>
      <c r="E92" s="111"/>
      <c r="F92" s="111"/>
      <c r="G92" s="111"/>
      <c r="H92" s="111"/>
      <c r="I92" s="111"/>
      <c r="J92" s="126"/>
      <c r="K92" s="115"/>
      <c r="L92" s="116"/>
      <c r="M92" s="117" t="str">
        <f>IFERROR(__xludf.DUMMYFUNCTION("IF(
  K92="""",
  """",
  ROUND(
    IF(
      L92="""",
      K92,
      IF(
        ISERROR(FIND(""-"",L92)),
        K92 - VALUE(REGEXEXTRACT(L92,""(\d+)"")),
        K92 * (1 - VALUE(REGEXEXTRACT(L92,""(\d+)""))/100)
      )
    ),
    2
  )
)
")," ")</f>
        <v/>
      </c>
      <c r="N92" s="111"/>
      <c r="O92" s="118" t="b">
        <v>0</v>
      </c>
      <c r="P92" s="119"/>
      <c r="Q92" s="120"/>
      <c r="R92" s="121" t="b">
        <v>0</v>
      </c>
      <c r="S92" s="121" t="b">
        <v>0</v>
      </c>
      <c r="T92" s="122" t="b">
        <v>0</v>
      </c>
    </row>
    <row r="93" hidden="1" outlineLevel="1">
      <c r="A93" s="111"/>
      <c r="B93" s="111"/>
      <c r="C93" s="112"/>
      <c r="D93" s="111"/>
      <c r="E93" s="111"/>
      <c r="F93" s="111"/>
      <c r="G93" s="111"/>
      <c r="H93" s="111"/>
      <c r="I93" s="111"/>
      <c r="J93" s="239"/>
      <c r="K93" s="115"/>
      <c r="L93" s="116"/>
      <c r="M93" s="117" t="str">
        <f>IFERROR(__xludf.DUMMYFUNCTION("IF(
  K93="""",
  """",
  ROUND(
    IF(
      L93="""",
      K93,
      IF(
        ISERROR(FIND(""-"",L93)),
        K93 - VALUE(REGEXEXTRACT(L93,""(\d+)"")),
        K93 * (1 - VALUE(REGEXEXTRACT(L93,""(\d+)""))/100)
      )
    ),
    2
  )
)
")," ")</f>
        <v/>
      </c>
      <c r="N93" s="111"/>
      <c r="O93" s="118" t="b">
        <v>0</v>
      </c>
      <c r="P93" s="119"/>
      <c r="Q93" s="120"/>
      <c r="R93" s="121" t="b">
        <v>0</v>
      </c>
      <c r="S93" s="121" t="b">
        <v>0</v>
      </c>
      <c r="T93" s="122" t="b">
        <v>0</v>
      </c>
    </row>
    <row r="94" hidden="1" outlineLevel="1">
      <c r="A94" s="111"/>
      <c r="B94" s="111"/>
      <c r="C94" s="112"/>
      <c r="D94" s="111"/>
      <c r="E94" s="111"/>
      <c r="F94" s="111"/>
      <c r="G94" s="111"/>
      <c r="H94" s="111"/>
      <c r="I94" s="111"/>
      <c r="J94" s="126"/>
      <c r="K94" s="115"/>
      <c r="L94" s="116"/>
      <c r="M94" s="117" t="str">
        <f>IFERROR(__xludf.DUMMYFUNCTION("IF(
  K94="""",
  """",
  ROUND(
    IF(
      L94="""",
      K94,
      IF(
        ISERROR(FIND(""-"",L94)),
        K94 - VALUE(REGEXEXTRACT(L94,""(\d+)"")),
        K94 * (1 - VALUE(REGEXEXTRACT(L94,""(\d+)""))/100)
      )
    ),
    2
  )
)
")," ")</f>
        <v/>
      </c>
      <c r="N94" s="111"/>
      <c r="O94" s="118" t="b">
        <v>0</v>
      </c>
      <c r="P94" s="119"/>
      <c r="Q94" s="120"/>
      <c r="R94" s="121" t="b">
        <v>0</v>
      </c>
      <c r="S94" s="121" t="b">
        <v>0</v>
      </c>
      <c r="T94" s="122" t="b">
        <v>0</v>
      </c>
    </row>
    <row r="95" hidden="1" outlineLevel="1">
      <c r="A95" s="111"/>
      <c r="B95" s="111"/>
      <c r="C95" s="112"/>
      <c r="D95" s="111"/>
      <c r="E95" s="111"/>
      <c r="F95" s="111"/>
      <c r="G95" s="111"/>
      <c r="H95" s="111"/>
      <c r="I95" s="111"/>
      <c r="J95" s="126"/>
      <c r="K95" s="115"/>
      <c r="L95" s="131"/>
      <c r="M95" s="117" t="str">
        <f>IFERROR(__xludf.DUMMYFUNCTION("IF(
  K95="""",
  """",
  ROUND(
    IF(
      L95="""",
      K95,
      IF(
        ISERROR(FIND(""-"",L95)),
        K95 - VALUE(REGEXEXTRACT(L95,""(\d+)"")),
        K95 * (1 - VALUE(REGEXEXTRACT(L95,""(\d+)""))/100)
      )
    ),
    2
  )
)
")," ")</f>
        <v/>
      </c>
      <c r="N95" s="111"/>
      <c r="O95" s="118" t="b">
        <v>0</v>
      </c>
      <c r="P95" s="119"/>
      <c r="Q95" s="120"/>
      <c r="R95" s="121" t="b">
        <v>0</v>
      </c>
      <c r="S95" s="121" t="b">
        <v>0</v>
      </c>
      <c r="T95" s="122" t="b">
        <v>0</v>
      </c>
    </row>
    <row r="96" hidden="1" outlineLevel="1">
      <c r="A96" s="111"/>
      <c r="B96" s="111"/>
      <c r="C96" s="112"/>
      <c r="D96" s="111"/>
      <c r="E96" s="111"/>
      <c r="F96" s="111"/>
      <c r="G96" s="111"/>
      <c r="H96" s="111"/>
      <c r="I96" s="111"/>
      <c r="J96" s="112"/>
      <c r="K96" s="115"/>
      <c r="L96" s="116"/>
      <c r="M96" s="117" t="str">
        <f>IFERROR(__xludf.DUMMYFUNCTION("IF(
  K96="""",
  """",
  ROUND(
    IF(
      L96="""",
      K96,
      IF(
        ISERROR(FIND(""-"",L96)),
        K96 - VALUE(REGEXEXTRACT(L96,""(\d+)"")),
        K96 * (1 - VALUE(REGEXEXTRACT(L96,""(\d+)""))/100)
      )
    ),
    2
  )
)
")," ")</f>
        <v/>
      </c>
      <c r="N96" s="111"/>
      <c r="O96" s="118" t="b">
        <v>0</v>
      </c>
      <c r="P96" s="119"/>
      <c r="Q96" s="120"/>
      <c r="R96" s="121" t="b">
        <v>0</v>
      </c>
      <c r="S96" s="121" t="b">
        <v>0</v>
      </c>
      <c r="T96" s="122" t="b">
        <v>0</v>
      </c>
    </row>
    <row r="97" hidden="1" outlineLevel="1">
      <c r="A97" s="111"/>
      <c r="B97" s="111"/>
      <c r="C97" s="112"/>
      <c r="D97" s="111"/>
      <c r="E97" s="111"/>
      <c r="F97" s="111"/>
      <c r="G97" s="111"/>
      <c r="H97" s="128"/>
      <c r="I97" s="111"/>
      <c r="J97" s="126"/>
      <c r="K97" s="115"/>
      <c r="L97" s="116"/>
      <c r="M97" s="117" t="str">
        <f>IFERROR(__xludf.DUMMYFUNCTION("IF(
  K97="""",
  """",
  ROUND(
    IF(
      L97="""",
      K97,
      IF(
        ISERROR(FIND(""-"",L97)),
        K97 - VALUE(REGEXEXTRACT(L97,""(\d+)"")),
        K97 * (1 - VALUE(REGEXEXTRACT(L97,""(\d+)""))/100)
      )
    ),
    2
  )
)
")," ")</f>
        <v/>
      </c>
      <c r="N97" s="111"/>
      <c r="O97" s="118" t="b">
        <v>0</v>
      </c>
      <c r="P97" s="119"/>
      <c r="Q97" s="120"/>
      <c r="R97" s="121" t="b">
        <v>0</v>
      </c>
      <c r="S97" s="121" t="b">
        <v>0</v>
      </c>
      <c r="T97" s="122" t="b">
        <v>0</v>
      </c>
    </row>
    <row r="98" hidden="1" outlineLevel="1">
      <c r="A98" s="111"/>
      <c r="B98" s="111"/>
      <c r="C98" s="112"/>
      <c r="D98" s="111"/>
      <c r="E98" s="111"/>
      <c r="F98" s="111"/>
      <c r="G98" s="111"/>
      <c r="H98" s="111"/>
      <c r="I98" s="111"/>
      <c r="J98" s="126"/>
      <c r="K98" s="115"/>
      <c r="L98" s="116"/>
      <c r="M98" s="117" t="str">
        <f>IFERROR(__xludf.DUMMYFUNCTION("IF(
  K98="""",
  """",
  ROUND(
    IF(
      L98="""",
      K98,
      IF(
        ISERROR(FIND(""-"",L98)),
        K98 - VALUE(REGEXEXTRACT(L98,""(\d+)"")),
        K98 * (1 - VALUE(REGEXEXTRACT(L98,""(\d+)""))/100)
      )
    ),
    2
  )
)
")," ")</f>
        <v/>
      </c>
      <c r="N98" s="111"/>
      <c r="O98" s="118" t="b">
        <v>0</v>
      </c>
      <c r="P98" s="119"/>
      <c r="Q98" s="120"/>
      <c r="R98" s="121" t="b">
        <v>0</v>
      </c>
      <c r="S98" s="121" t="b">
        <v>0</v>
      </c>
      <c r="T98" s="122" t="b">
        <v>0</v>
      </c>
    </row>
    <row r="99" hidden="1" outlineLevel="1">
      <c r="A99" s="111"/>
      <c r="B99" s="111"/>
      <c r="C99" s="112"/>
      <c r="D99" s="111"/>
      <c r="E99" s="111"/>
      <c r="F99" s="111"/>
      <c r="G99" s="111"/>
      <c r="H99" s="111"/>
      <c r="I99" s="111"/>
      <c r="J99" s="126"/>
      <c r="K99" s="115"/>
      <c r="L99" s="116"/>
      <c r="M99" s="117" t="str">
        <f>IFERROR(__xludf.DUMMYFUNCTION("IF(
  K99="""",
  """",
  ROUND(
    IF(
      L99="""",
      K99,
      IF(
        ISERROR(FIND(""-"",L99)),
        K99 - VALUE(REGEXEXTRACT(L99,""(\d+)"")),
        K99 * (1 - VALUE(REGEXEXTRACT(L99,""(\d+)""))/100)
      )
    ),
    2
  )
)
")," ")</f>
        <v/>
      </c>
      <c r="N99" s="111"/>
      <c r="O99" s="118" t="b">
        <v>0</v>
      </c>
      <c r="P99" s="119"/>
      <c r="Q99" s="120"/>
      <c r="R99" s="121" t="b">
        <v>0</v>
      </c>
      <c r="S99" s="121" t="b">
        <v>0</v>
      </c>
      <c r="T99" s="122" t="b">
        <v>0</v>
      </c>
    </row>
    <row r="100" hidden="1" outlineLevel="1">
      <c r="A100" s="111"/>
      <c r="B100" s="111"/>
      <c r="C100" s="112"/>
      <c r="D100" s="111"/>
      <c r="E100" s="111"/>
      <c r="F100" s="111"/>
      <c r="G100" s="189"/>
      <c r="H100" s="111"/>
      <c r="I100" s="111"/>
      <c r="J100" s="126"/>
      <c r="K100" s="115"/>
      <c r="L100" s="116"/>
      <c r="M100" s="117" t="str">
        <f>IFERROR(__xludf.DUMMYFUNCTION("IF(
  K100="""",
  """",
  ROUND(
    IF(
      L100="""",
      K100,
      IF(
        ISERROR(FIND(""-"",L100)),
        K100 - VALUE(REGEXEXTRACT(L100,""(\d+)"")),
        K100 * (1 - VALUE(REGEXEXTRACT(L100,""(\d+)""))/100)
      )
    ),
    2
  )
)"&amp;"
")," ")</f>
        <v/>
      </c>
      <c r="N100" s="111"/>
      <c r="O100" s="118" t="b">
        <v>0</v>
      </c>
      <c r="P100" s="119"/>
      <c r="Q100" s="120"/>
      <c r="R100" s="121" t="b">
        <v>0</v>
      </c>
      <c r="S100" s="121" t="b">
        <v>0</v>
      </c>
      <c r="T100" s="122" t="b">
        <v>0</v>
      </c>
    </row>
    <row r="101" hidden="1" outlineLevel="1">
      <c r="A101" s="116"/>
      <c r="B101" s="116"/>
      <c r="C101" s="129"/>
      <c r="D101" s="111"/>
      <c r="E101" s="111"/>
      <c r="F101" s="116"/>
      <c r="G101" s="116"/>
      <c r="H101" s="116"/>
      <c r="I101" s="116"/>
      <c r="J101" s="135"/>
      <c r="K101" s="115"/>
      <c r="L101" s="116"/>
      <c r="M101" s="117" t="str">
        <f>IFERROR(__xludf.DUMMYFUNCTION("IF(
  K101="""",
  """",
  ROUND(
    IF(
      L101="""",
      K101,
      IF(
        ISERROR(FIND(""-"",L101)),
        K101 - VALUE(REGEXEXTRACT(L101,""(\d+)"")),
        K101 * (1 - VALUE(REGEXEXTRACT(L101,""(\d+)""))/100)
      )
    ),
    2
  )
)"&amp;"
")," ")</f>
        <v/>
      </c>
      <c r="N101" s="111"/>
      <c r="O101" s="118" t="b">
        <v>0</v>
      </c>
      <c r="P101" s="119"/>
      <c r="Q101" s="120"/>
      <c r="R101" s="121" t="b">
        <v>0</v>
      </c>
      <c r="S101" s="121" t="b">
        <v>0</v>
      </c>
      <c r="T101" s="122" t="b">
        <v>0</v>
      </c>
    </row>
    <row r="102" hidden="1" outlineLevel="1">
      <c r="A102" s="116"/>
      <c r="B102" s="116"/>
      <c r="C102" s="129"/>
      <c r="D102" s="111"/>
      <c r="E102" s="111"/>
      <c r="F102" s="116"/>
      <c r="G102" s="116"/>
      <c r="H102" s="116"/>
      <c r="I102" s="116"/>
      <c r="J102" s="132"/>
      <c r="K102" s="115"/>
      <c r="L102" s="116"/>
      <c r="M102" s="117" t="str">
        <f>IFERROR(__xludf.DUMMYFUNCTION("IF(
  K102="""",
  """",
  ROUND(
    IF(
      L102="""",
      K102,
      IF(
        ISERROR(FIND(""-"",L102)),
        K102 - VALUE(REGEXEXTRACT(L102,""(\d+)"")),
        K102 * (1 - VALUE(REGEXEXTRACT(L102,""(\d+)""))/100)
      )
    ),
    2
  )
)"&amp;"
")," ")</f>
        <v/>
      </c>
      <c r="N102" s="111"/>
      <c r="O102" s="118" t="b">
        <v>0</v>
      </c>
      <c r="P102" s="119"/>
      <c r="Q102" s="120"/>
      <c r="R102" s="121" t="b">
        <v>0</v>
      </c>
      <c r="S102" s="121" t="b">
        <v>0</v>
      </c>
      <c r="T102" s="122" t="b">
        <v>0</v>
      </c>
    </row>
    <row r="103" hidden="1" outlineLevel="1">
      <c r="A103" s="111"/>
      <c r="B103" s="111"/>
      <c r="C103" s="129"/>
      <c r="D103" s="111"/>
      <c r="E103" s="111"/>
      <c r="F103" s="111"/>
      <c r="G103" s="111"/>
      <c r="H103" s="111"/>
      <c r="I103" s="111"/>
      <c r="J103" s="132"/>
      <c r="K103" s="115"/>
      <c r="L103" s="116"/>
      <c r="M103" s="117" t="str">
        <f>IFERROR(__xludf.DUMMYFUNCTION("IF(
  K103="""",
  """",
  ROUND(
    IF(
      L103="""",
      K103,
      IF(
        ISERROR(FIND(""-"",L103)),
        K103 - VALUE(REGEXEXTRACT(L103,""(\d+)"")),
        K103 * (1 - VALUE(REGEXEXTRACT(L103,""(\d+)""))/100)
      )
    ),
    2
  )
)"&amp;"
")," ")</f>
        <v/>
      </c>
      <c r="N103" s="111"/>
      <c r="O103" s="118" t="b">
        <v>0</v>
      </c>
      <c r="P103" s="119"/>
      <c r="Q103" s="120"/>
      <c r="R103" s="121" t="b">
        <v>0</v>
      </c>
      <c r="S103" s="121" t="b">
        <v>0</v>
      </c>
      <c r="T103" s="122" t="b">
        <v>0</v>
      </c>
    </row>
    <row r="104" hidden="1" outlineLevel="1">
      <c r="A104" s="111"/>
      <c r="B104" s="111"/>
      <c r="C104" s="129"/>
      <c r="D104" s="111"/>
      <c r="E104" s="111"/>
      <c r="F104" s="111"/>
      <c r="G104" s="111"/>
      <c r="H104" s="111"/>
      <c r="I104" s="111"/>
      <c r="J104" s="132"/>
      <c r="K104" s="115"/>
      <c r="L104" s="116"/>
      <c r="M104" s="117" t="str">
        <f>IFERROR(__xludf.DUMMYFUNCTION("IF(
  K104="""",
  """",
  ROUND(
    IF(
      L104="""",
      K104,
      IF(
        ISERROR(FIND(""-"",L104)),
        K104 - VALUE(REGEXEXTRACT(L104,""(\d+)"")),
        K104 * (1 - VALUE(REGEXEXTRACT(L104,""(\d+)""))/100)
      )
    ),
    2
  )
)"&amp;"
")," ")</f>
        <v/>
      </c>
      <c r="N104" s="111"/>
      <c r="O104" s="118" t="b">
        <v>0</v>
      </c>
      <c r="P104" s="119"/>
      <c r="Q104" s="120"/>
      <c r="R104" s="121" t="b">
        <v>0</v>
      </c>
      <c r="S104" s="121" t="b">
        <v>0</v>
      </c>
      <c r="T104" s="122" t="b">
        <v>0</v>
      </c>
    </row>
    <row r="105" hidden="1" outlineLevel="1">
      <c r="A105" s="116"/>
      <c r="B105" s="116"/>
      <c r="C105" s="129"/>
      <c r="D105" s="111"/>
      <c r="E105" s="111"/>
      <c r="F105" s="116"/>
      <c r="G105" s="116"/>
      <c r="H105" s="116"/>
      <c r="I105" s="116"/>
      <c r="J105" s="135"/>
      <c r="K105" s="115"/>
      <c r="L105" s="116"/>
      <c r="M105" s="117" t="str">
        <f>IFERROR(__xludf.DUMMYFUNCTION("IF(
  K105="""",
  """",
  ROUND(
    IF(
      L105="""",
      K105,
      IF(
        ISERROR(FIND(""-"",L105)),
        K105 - VALUE(REGEXEXTRACT(L105,""(\d+)"")),
        K105 * (1 - VALUE(REGEXEXTRACT(L105,""(\d+)""))/100)
      )
    ),
    2
  )
)"&amp;"
")," ")</f>
        <v/>
      </c>
      <c r="N105" s="111"/>
      <c r="O105" s="118" t="b">
        <v>0</v>
      </c>
      <c r="P105" s="119"/>
      <c r="Q105" s="120"/>
      <c r="R105" s="121" t="b">
        <v>0</v>
      </c>
      <c r="S105" s="121" t="b">
        <v>0</v>
      </c>
      <c r="T105" s="122" t="b">
        <v>0</v>
      </c>
    </row>
    <row r="106" hidden="1" outlineLevel="1">
      <c r="A106" s="116"/>
      <c r="B106" s="116"/>
      <c r="C106" s="129"/>
      <c r="D106" s="111"/>
      <c r="E106" s="111"/>
      <c r="F106" s="116"/>
      <c r="G106" s="116"/>
      <c r="H106" s="116"/>
      <c r="I106" s="116"/>
      <c r="J106" s="132"/>
      <c r="K106" s="115"/>
      <c r="L106" s="116"/>
      <c r="M106" s="117" t="str">
        <f>IFERROR(__xludf.DUMMYFUNCTION("IF(
  K106="""",
  """",
  ROUND(
    IF(
      L106="""",
      K106,
      IF(
        ISERROR(FIND(""-"",L106)),
        K106 - VALUE(REGEXEXTRACT(L106,""(\d+)"")),
        K106 * (1 - VALUE(REGEXEXTRACT(L106,""(\d+)""))/100)
      )
    ),
    2
  )
)"&amp;"
")," ")</f>
        <v/>
      </c>
      <c r="N106" s="111"/>
      <c r="O106" s="118" t="b">
        <v>0</v>
      </c>
      <c r="P106" s="119"/>
      <c r="Q106" s="120"/>
      <c r="R106" s="121" t="b">
        <v>0</v>
      </c>
      <c r="S106" s="121" t="b">
        <v>0</v>
      </c>
      <c r="T106" s="122" t="b">
        <v>0</v>
      </c>
    </row>
    <row r="107" hidden="1" outlineLevel="1">
      <c r="A107" s="116"/>
      <c r="B107" s="116"/>
      <c r="C107" s="129"/>
      <c r="D107" s="111"/>
      <c r="E107" s="111"/>
      <c r="F107" s="116"/>
      <c r="G107" s="116"/>
      <c r="H107" s="116"/>
      <c r="I107" s="116"/>
      <c r="J107" s="132"/>
      <c r="K107" s="115"/>
      <c r="L107" s="116"/>
      <c r="M107" s="117" t="str">
        <f>IFERROR(__xludf.DUMMYFUNCTION("IF(
  K107="""",
  """",
  ROUND(
    IF(
      L107="""",
      K107,
      IF(
        ISERROR(FIND(""-"",L107)),
        K107 - VALUE(REGEXEXTRACT(L107,""(\d+)"")),
        K107 * (1 - VALUE(REGEXEXTRACT(L107,""(\d+)""))/100)
      )
    ),
    2
  )
)"&amp;"
")," ")</f>
        <v/>
      </c>
      <c r="N107" s="116"/>
      <c r="O107" s="118" t="b">
        <v>0</v>
      </c>
      <c r="P107" s="119"/>
      <c r="Q107" s="120"/>
      <c r="R107" s="121" t="b">
        <v>0</v>
      </c>
      <c r="S107" s="121" t="b">
        <v>0</v>
      </c>
      <c r="T107" s="122" t="b">
        <v>0</v>
      </c>
    </row>
    <row r="108" hidden="1" outlineLevel="1">
      <c r="A108" s="116"/>
      <c r="B108" s="116"/>
      <c r="C108" s="129"/>
      <c r="D108" s="111"/>
      <c r="E108" s="111"/>
      <c r="F108" s="116"/>
      <c r="G108" s="116"/>
      <c r="H108" s="116"/>
      <c r="I108" s="116"/>
      <c r="J108" s="135"/>
      <c r="K108" s="115"/>
      <c r="L108" s="116"/>
      <c r="M108" s="117" t="str">
        <f>IFERROR(__xludf.DUMMYFUNCTION("IF(
  K108="""",
  """",
  ROUND(
    IF(
      L108="""",
      K108,
      IF(
        ISERROR(FIND(""-"",L108)),
        K108 - VALUE(REGEXEXTRACT(L108,""(\d+)"")),
        K108 * (1 - VALUE(REGEXEXTRACT(L108,""(\d+)""))/100)
      )
    ),
    2
  )
)"&amp;"
")," ")</f>
        <v/>
      </c>
      <c r="N108" s="111"/>
      <c r="O108" s="118" t="b">
        <v>0</v>
      </c>
      <c r="P108" s="119"/>
      <c r="Q108" s="120"/>
      <c r="R108" s="121" t="b">
        <v>0</v>
      </c>
      <c r="S108" s="121" t="b">
        <v>0</v>
      </c>
      <c r="T108" s="122" t="b">
        <v>0</v>
      </c>
    </row>
    <row r="109" hidden="1" outlineLevel="1">
      <c r="A109" s="111"/>
      <c r="B109" s="111"/>
      <c r="C109" s="129"/>
      <c r="D109" s="111"/>
      <c r="E109" s="111"/>
      <c r="F109" s="111"/>
      <c r="G109" s="111"/>
      <c r="H109" s="240"/>
      <c r="I109" s="240"/>
      <c r="J109" s="126"/>
      <c r="K109" s="115"/>
      <c r="L109" s="116"/>
      <c r="M109" s="117" t="str">
        <f>IFERROR(__xludf.DUMMYFUNCTION("IF(
  K109="""",
  """",
  ROUND(
    IF(
      L109="""",
      K109,
      IF(
        ISERROR(FIND(""-"",L109)),
        K109 - VALUE(REGEXEXTRACT(L109,""(\d+)"")),
        K109 * (1 - VALUE(REGEXEXTRACT(L109,""(\d+)""))/100)
      )
    ),
    2
  )
)"&amp;"
")," ")</f>
        <v/>
      </c>
      <c r="N109" s="111"/>
      <c r="O109" s="118" t="b">
        <v>0</v>
      </c>
      <c r="P109" s="119"/>
      <c r="Q109" s="120"/>
      <c r="R109" s="121" t="b">
        <v>0</v>
      </c>
      <c r="S109" s="121" t="b">
        <v>0</v>
      </c>
      <c r="T109" s="122" t="b">
        <v>0</v>
      </c>
    </row>
    <row r="110" hidden="1" outlineLevel="1">
      <c r="A110" s="116"/>
      <c r="B110" s="116"/>
      <c r="C110" s="129"/>
      <c r="D110" s="111"/>
      <c r="E110" s="111"/>
      <c r="F110" s="116"/>
      <c r="G110" s="116"/>
      <c r="H110" s="116"/>
      <c r="I110" s="116"/>
      <c r="J110" s="132"/>
      <c r="K110" s="115"/>
      <c r="L110" s="116"/>
      <c r="M110" s="117" t="str">
        <f>IFERROR(__xludf.DUMMYFUNCTION("IF(
  K110="""",
  """",
  ROUND(
    IF(
      L110="""",
      K110,
      IF(
        ISERROR(FIND(""-"",L110)),
        K110 - VALUE(REGEXEXTRACT(L110,""(\d+)"")),
        K110 * (1 - VALUE(REGEXEXTRACT(L110,""(\d+)""))/100)
      )
    ),
    2
  )
)"&amp;"
")," ")</f>
        <v/>
      </c>
      <c r="N110" s="111"/>
      <c r="O110" s="118" t="b">
        <v>0</v>
      </c>
      <c r="P110" s="119"/>
      <c r="Q110" s="120"/>
      <c r="R110" s="121" t="b">
        <v>0</v>
      </c>
      <c r="S110" s="121" t="b">
        <v>0</v>
      </c>
      <c r="T110" s="122" t="b">
        <v>0</v>
      </c>
    </row>
    <row r="111" hidden="1" outlineLevel="1">
      <c r="A111" s="116"/>
      <c r="B111" s="116"/>
      <c r="C111" s="129"/>
      <c r="D111" s="111"/>
      <c r="E111" s="111"/>
      <c r="F111" s="116"/>
      <c r="G111" s="116"/>
      <c r="H111" s="116"/>
      <c r="I111" s="116"/>
      <c r="J111" s="134"/>
      <c r="K111" s="115"/>
      <c r="L111" s="116"/>
      <c r="M111" s="117" t="str">
        <f>IFERROR(__xludf.DUMMYFUNCTION("IF(
  K111="""",
  """",
  ROUND(
    IF(
      L111="""",
      K111,
      IF(
        ISERROR(FIND(""-"",L111)),
        K111 - VALUE(REGEXEXTRACT(L111,""(\d+)"")),
        K111 * (1 - VALUE(REGEXEXTRACT(L111,""(\d+)""))/100)
      )
    ),
    2
  )
)"&amp;"
")," ")</f>
        <v/>
      </c>
      <c r="N111" s="111"/>
      <c r="O111" s="118" t="b">
        <v>0</v>
      </c>
      <c r="P111" s="119"/>
      <c r="Q111" s="120"/>
      <c r="R111" s="121" t="b">
        <v>0</v>
      </c>
      <c r="S111" s="121" t="b">
        <v>0</v>
      </c>
      <c r="T111" s="122" t="b">
        <v>0</v>
      </c>
    </row>
    <row r="112" hidden="1" outlineLevel="1">
      <c r="A112" s="116"/>
      <c r="B112" s="116"/>
      <c r="C112" s="129"/>
      <c r="D112" s="111"/>
      <c r="E112" s="111"/>
      <c r="F112" s="116"/>
      <c r="G112" s="116"/>
      <c r="H112" s="116"/>
      <c r="I112" s="116"/>
      <c r="J112" s="134"/>
      <c r="K112" s="115"/>
      <c r="L112" s="116"/>
      <c r="M112" s="117" t="str">
        <f>IFERROR(__xludf.DUMMYFUNCTION("IF(
  K112="""",
  """",
  ROUND(
    IF(
      L112="""",
      K112,
      IF(
        ISERROR(FIND(""-"",L112)),
        K112 - VALUE(REGEXEXTRACT(L112,""(\d+)"")),
        K112 * (1 - VALUE(REGEXEXTRACT(L112,""(\d+)""))/100)
      )
    ),
    2
  )
)"&amp;"
")," ")</f>
        <v/>
      </c>
      <c r="N112" s="111"/>
      <c r="O112" s="118" t="b">
        <v>0</v>
      </c>
      <c r="P112" s="119"/>
      <c r="Q112" s="120"/>
      <c r="R112" s="121" t="b">
        <v>0</v>
      </c>
      <c r="S112" s="121" t="b">
        <v>0</v>
      </c>
      <c r="T112" s="122" t="b">
        <v>0</v>
      </c>
    </row>
    <row r="113" hidden="1" outlineLevel="1">
      <c r="A113" s="116"/>
      <c r="B113" s="116"/>
      <c r="C113" s="129"/>
      <c r="D113" s="111"/>
      <c r="E113" s="111"/>
      <c r="F113" s="116"/>
      <c r="G113" s="116"/>
      <c r="H113" s="116"/>
      <c r="I113" s="116"/>
      <c r="J113" s="134"/>
      <c r="K113" s="115"/>
      <c r="L113" s="116"/>
      <c r="M113" s="117" t="str">
        <f>IFERROR(__xludf.DUMMYFUNCTION("IF(
  K113="""",
  """",
  ROUND(
    IF(
      L113="""",
      K113,
      IF(
        ISERROR(FIND(""-"",L113)),
        K113 - VALUE(REGEXEXTRACT(L113,""(\d+)"")),
        K113 * (1 - VALUE(REGEXEXTRACT(L113,""(\d+)""))/100)
      )
    ),
    2
  )
)"&amp;"
")," ")</f>
        <v/>
      </c>
      <c r="N113" s="111"/>
      <c r="O113" s="118" t="b">
        <v>0</v>
      </c>
      <c r="P113" s="119"/>
      <c r="Q113" s="120"/>
      <c r="R113" s="121" t="b">
        <v>0</v>
      </c>
      <c r="S113" s="121" t="b">
        <v>0</v>
      </c>
      <c r="T113" s="122" t="b">
        <v>0</v>
      </c>
    </row>
    <row r="114" hidden="1" outlineLevel="1">
      <c r="A114" s="116"/>
      <c r="B114" s="116"/>
      <c r="C114" s="129"/>
      <c r="D114" s="111"/>
      <c r="E114" s="111"/>
      <c r="F114" s="116"/>
      <c r="G114" s="116"/>
      <c r="H114" s="116"/>
      <c r="I114" s="116"/>
      <c r="J114" s="134"/>
      <c r="K114" s="115"/>
      <c r="L114" s="116"/>
      <c r="M114" s="117" t="str">
        <f>IFERROR(__xludf.DUMMYFUNCTION("IF(
  K114="""",
  """",
  ROUND(
    IF(
      L114="""",
      K114,
      IF(
        ISERROR(FIND(""-"",L114)),
        K114 - VALUE(REGEXEXTRACT(L114,""(\d+)"")),
        K114 * (1 - VALUE(REGEXEXTRACT(L114,""(\d+)""))/100)
      )
    ),
    2
  )
)"&amp;"
")," ")</f>
        <v/>
      </c>
      <c r="N114" s="111"/>
      <c r="O114" s="118" t="b">
        <v>0</v>
      </c>
      <c r="P114" s="119"/>
      <c r="Q114" s="120"/>
      <c r="R114" s="121" t="b">
        <v>0</v>
      </c>
      <c r="S114" s="121" t="b">
        <v>0</v>
      </c>
      <c r="T114" s="122" t="b">
        <v>0</v>
      </c>
    </row>
    <row r="115" hidden="1" outlineLevel="1">
      <c r="A115" s="116"/>
      <c r="B115" s="116"/>
      <c r="C115" s="129"/>
      <c r="D115" s="111"/>
      <c r="E115" s="111"/>
      <c r="F115" s="116"/>
      <c r="G115" s="116"/>
      <c r="H115" s="113"/>
      <c r="I115" s="113"/>
      <c r="J115" s="134"/>
      <c r="K115" s="115"/>
      <c r="L115" s="131"/>
      <c r="M115" s="117" t="str">
        <f>IFERROR(__xludf.DUMMYFUNCTION("IF(
  K115="""",
  """",
  ROUND(
    IF(
      L115="""",
      K115,
      IF(
        ISERROR(FIND(""-"",L115)),
        K115 - VALUE(REGEXEXTRACT(L115,""(\d+)"")),
        K115 * (1 - VALUE(REGEXEXTRACT(L115,""(\d+)""))/100)
      )
    ),
    2
  )
)"&amp;"
")," ")</f>
        <v/>
      </c>
      <c r="N115" s="111"/>
      <c r="O115" s="118" t="b">
        <v>0</v>
      </c>
      <c r="P115" s="119"/>
      <c r="Q115" s="120"/>
      <c r="R115" s="121" t="b">
        <v>0</v>
      </c>
      <c r="S115" s="121" t="b">
        <v>0</v>
      </c>
      <c r="T115" s="122" t="b">
        <v>0</v>
      </c>
    </row>
    <row r="116" hidden="1" outlineLevel="1">
      <c r="A116" s="116"/>
      <c r="B116" s="116"/>
      <c r="C116" s="129"/>
      <c r="D116" s="111"/>
      <c r="E116" s="111"/>
      <c r="F116" s="116"/>
      <c r="G116" s="116"/>
      <c r="H116" s="116"/>
      <c r="I116" s="116"/>
      <c r="J116" s="134"/>
      <c r="K116" s="115"/>
      <c r="L116" s="116"/>
      <c r="M116" s="117" t="str">
        <f>IFERROR(__xludf.DUMMYFUNCTION("IF(
  K116="""",
  """",
  ROUND(
    IF(
      L116="""",
      K116,
      IF(
        ISERROR(FIND(""-"",L116)),
        K116 - VALUE(REGEXEXTRACT(L116,""(\d+)"")),
        K116 * (1 - VALUE(REGEXEXTRACT(L116,""(\d+)""))/100)
      )
    ),
    2
  )
)"&amp;"
")," ")</f>
        <v/>
      </c>
      <c r="N116" s="111"/>
      <c r="O116" s="118" t="b">
        <v>0</v>
      </c>
      <c r="P116" s="119"/>
      <c r="Q116" s="120"/>
      <c r="R116" s="121" t="b">
        <v>0</v>
      </c>
      <c r="S116" s="121" t="b">
        <v>0</v>
      </c>
      <c r="T116" s="122" t="b">
        <v>0</v>
      </c>
    </row>
    <row r="117" hidden="1" outlineLevel="1">
      <c r="A117" s="116"/>
      <c r="B117" s="116"/>
      <c r="C117" s="129"/>
      <c r="D117" s="111"/>
      <c r="E117" s="111"/>
      <c r="F117" s="116"/>
      <c r="G117" s="116"/>
      <c r="H117" s="116"/>
      <c r="I117" s="116"/>
      <c r="J117" s="134"/>
      <c r="K117" s="115"/>
      <c r="L117" s="116"/>
      <c r="M117" s="117" t="str">
        <f>IFERROR(__xludf.DUMMYFUNCTION("IF(
  K117="""",
  """",
  ROUND(
    IF(
      L117="""",
      K117,
      IF(
        ISERROR(FIND(""-"",L117)),
        K117 - VALUE(REGEXEXTRACT(L117,""(\d+)"")),
        K117 * (1 - VALUE(REGEXEXTRACT(L117,""(\d+)""))/100)
      )
    ),
    2
  )
)"&amp;"
")," ")</f>
        <v/>
      </c>
      <c r="N117" s="111"/>
      <c r="O117" s="118" t="b">
        <v>0</v>
      </c>
      <c r="P117" s="119"/>
      <c r="Q117" s="120"/>
      <c r="R117" s="121" t="b">
        <v>0</v>
      </c>
      <c r="S117" s="121" t="b">
        <v>0</v>
      </c>
      <c r="T117" s="122" t="b">
        <v>0</v>
      </c>
    </row>
    <row r="118" hidden="1" outlineLevel="1">
      <c r="A118" s="111"/>
      <c r="B118" s="111"/>
      <c r="C118" s="112"/>
      <c r="D118" s="111"/>
      <c r="E118" s="111"/>
      <c r="F118" s="111"/>
      <c r="G118" s="111"/>
      <c r="H118" s="111"/>
      <c r="I118" s="111"/>
      <c r="J118" s="126"/>
      <c r="K118" s="115"/>
      <c r="L118" s="116"/>
      <c r="M118" s="117" t="str">
        <f>IFERROR(__xludf.DUMMYFUNCTION("IF(
  K118="""",
  """",
  ROUND(
    IF(
      L118="""",
      K118,
      IF(
        ISERROR(FIND(""-"",L118)),
        K118 - VALUE(REGEXEXTRACT(L118,""(\d+)"")),
        K118 * (1 - VALUE(REGEXEXTRACT(L118,""(\d+)""))/100)
      )
    ),
    2
  )
)"&amp;"
")," ")</f>
        <v/>
      </c>
      <c r="N118" s="111"/>
      <c r="O118" s="118" t="b">
        <v>0</v>
      </c>
      <c r="P118" s="119"/>
      <c r="Q118" s="120"/>
      <c r="R118" s="121" t="b">
        <v>0</v>
      </c>
      <c r="S118" s="121" t="b">
        <v>0</v>
      </c>
      <c r="T118" s="122" t="b">
        <v>0</v>
      </c>
    </row>
    <row r="119" hidden="1" outlineLevel="1">
      <c r="A119" s="116"/>
      <c r="B119" s="116"/>
      <c r="C119" s="129"/>
      <c r="D119" s="111"/>
      <c r="E119" s="111"/>
      <c r="F119" s="116"/>
      <c r="G119" s="116"/>
      <c r="H119" s="116"/>
      <c r="I119" s="116"/>
      <c r="J119" s="134"/>
      <c r="K119" s="115"/>
      <c r="L119" s="116"/>
      <c r="M119" s="117" t="str">
        <f>IFERROR(__xludf.DUMMYFUNCTION("IF(
  K119="""",
  """",
  ROUND(
    IF(
      L119="""",
      K119,
      IF(
        ISERROR(FIND(""-"",L119)),
        K119 - VALUE(REGEXEXTRACT(L119,""(\d+)"")),
        K119 * (1 - VALUE(REGEXEXTRACT(L119,""(\d+)""))/100)
      )
    ),
    2
  )
)"&amp;"
")," ")</f>
        <v/>
      </c>
      <c r="N119" s="111"/>
      <c r="O119" s="118" t="b">
        <v>0</v>
      </c>
      <c r="P119" s="119"/>
      <c r="Q119" s="120"/>
      <c r="R119" s="121" t="b">
        <v>0</v>
      </c>
      <c r="S119" s="121" t="b">
        <v>0</v>
      </c>
      <c r="T119" s="122" t="b">
        <v>0</v>
      </c>
    </row>
    <row r="120" hidden="1" outlineLevel="1">
      <c r="A120" s="116"/>
      <c r="B120" s="116"/>
      <c r="C120" s="129"/>
      <c r="D120" s="111"/>
      <c r="E120" s="111"/>
      <c r="F120" s="116"/>
      <c r="G120" s="116"/>
      <c r="H120" s="116"/>
      <c r="I120" s="116"/>
      <c r="J120" s="134"/>
      <c r="K120" s="115"/>
      <c r="L120" s="116"/>
      <c r="M120" s="117" t="str">
        <f>IFERROR(__xludf.DUMMYFUNCTION("IF(
  K120="""",
  """",
  ROUND(
    IF(
      L120="""",
      K120,
      IF(
        ISERROR(FIND(""-"",L120)),
        K120 - VALUE(REGEXEXTRACT(L120,""(\d+)"")),
        K120 * (1 - VALUE(REGEXEXTRACT(L120,""(\d+)""))/100)
      )
    ),
    2
  )
)"&amp;"
")," ")</f>
        <v/>
      </c>
      <c r="N120" s="111"/>
      <c r="O120" s="118" t="b">
        <v>0</v>
      </c>
      <c r="P120" s="119"/>
      <c r="Q120" s="120"/>
      <c r="R120" s="121" t="b">
        <v>0</v>
      </c>
      <c r="S120" s="121" t="b">
        <v>0</v>
      </c>
      <c r="T120" s="122" t="b">
        <v>0</v>
      </c>
    </row>
    <row r="121" hidden="1" outlineLevel="1">
      <c r="A121" s="116"/>
      <c r="B121" s="116"/>
      <c r="C121" s="129"/>
      <c r="D121" s="111"/>
      <c r="E121" s="111"/>
      <c r="F121" s="116"/>
      <c r="G121" s="116"/>
      <c r="H121" s="116"/>
      <c r="I121" s="116"/>
      <c r="J121" s="132"/>
      <c r="K121" s="115"/>
      <c r="L121" s="116"/>
      <c r="M121" s="117" t="str">
        <f>IFERROR(__xludf.DUMMYFUNCTION("IF(
  K121="""",
  """",
  ROUND(
    IF(
      L121="""",
      K121,
      IF(
        ISERROR(FIND(""-"",L121)),
        K121 - VALUE(REGEXEXTRACT(L121,""(\d+)"")),
        K121 * (1 - VALUE(REGEXEXTRACT(L121,""(\d+)""))/100)
      )
    ),
    2
  )
)"&amp;"
")," ")</f>
        <v/>
      </c>
      <c r="N121" s="111"/>
      <c r="O121" s="118" t="b">
        <v>0</v>
      </c>
      <c r="P121" s="119"/>
      <c r="Q121" s="120"/>
      <c r="R121" s="121" t="b">
        <v>0</v>
      </c>
      <c r="S121" s="121" t="b">
        <v>0</v>
      </c>
      <c r="T121" s="122" t="b">
        <v>0</v>
      </c>
    </row>
    <row r="122" hidden="1" outlineLevel="1">
      <c r="A122" s="116"/>
      <c r="B122" s="116"/>
      <c r="C122" s="129"/>
      <c r="D122" s="111"/>
      <c r="E122" s="111"/>
      <c r="F122" s="116"/>
      <c r="G122" s="116"/>
      <c r="H122" s="116"/>
      <c r="I122" s="116"/>
      <c r="J122" s="132"/>
      <c r="K122" s="115"/>
      <c r="L122" s="116"/>
      <c r="M122" s="117" t="str">
        <f>IFERROR(__xludf.DUMMYFUNCTION("IF(
  K122="""",
  """",
  ROUND(
    IF(
      L122="""",
      K122,
      IF(
        ISERROR(FIND(""-"",L122)),
        K122 - VALUE(REGEXEXTRACT(L122,""(\d+)"")),
        K122 * (1 - VALUE(REGEXEXTRACT(L122,""(\d+)""))/100)
      )
    ),
    2
  )
)"&amp;"
")," ")</f>
        <v/>
      </c>
      <c r="N122" s="111"/>
      <c r="O122" s="118" t="b">
        <v>0</v>
      </c>
      <c r="P122" s="119"/>
      <c r="Q122" s="120"/>
      <c r="R122" s="121" t="b">
        <v>0</v>
      </c>
      <c r="S122" s="121" t="b">
        <v>0</v>
      </c>
      <c r="T122" s="122" t="b">
        <v>0</v>
      </c>
    </row>
    <row r="123" hidden="1" outlineLevel="1">
      <c r="A123" s="116"/>
      <c r="B123" s="116"/>
      <c r="C123" s="129"/>
      <c r="D123" s="111"/>
      <c r="E123" s="111"/>
      <c r="F123" s="116"/>
      <c r="G123" s="116"/>
      <c r="H123" s="116"/>
      <c r="I123" s="116"/>
      <c r="J123" s="132"/>
      <c r="K123" s="115"/>
      <c r="L123" s="116"/>
      <c r="M123" s="117" t="str">
        <f>IFERROR(__xludf.DUMMYFUNCTION("IF(
  K123="""",
  """",
  ROUND(
    IF(
      L123="""",
      K123,
      IF(
        ISERROR(FIND(""-"",L123)),
        K123 - VALUE(REGEXEXTRACT(L123,""(\d+)"")),
        K123 * (1 - VALUE(REGEXEXTRACT(L123,""(\d+)""))/100)
      )
    ),
    2
  )
)"&amp;"
")," ")</f>
        <v/>
      </c>
      <c r="N123" s="111"/>
      <c r="O123" s="118" t="b">
        <v>0</v>
      </c>
      <c r="P123" s="119"/>
      <c r="Q123" s="120"/>
      <c r="R123" s="121" t="b">
        <v>0</v>
      </c>
      <c r="S123" s="121" t="b">
        <v>0</v>
      </c>
      <c r="T123" s="122" t="b">
        <v>0</v>
      </c>
    </row>
    <row r="124" hidden="1" outlineLevel="1">
      <c r="A124" s="116"/>
      <c r="B124" s="116"/>
      <c r="C124" s="129"/>
      <c r="D124" s="111"/>
      <c r="E124" s="111"/>
      <c r="F124" s="116"/>
      <c r="G124" s="116"/>
      <c r="H124" s="116"/>
      <c r="I124" s="116"/>
      <c r="J124" s="134"/>
      <c r="K124" s="115"/>
      <c r="L124" s="116"/>
      <c r="M124" s="117" t="str">
        <f>IFERROR(__xludf.DUMMYFUNCTION("IF(
  K124="""",
  """",
  ROUND(
    IF(
      L124="""",
      K124,
      IF(
        ISERROR(FIND(""-"",L124)),
        K124 - VALUE(REGEXEXTRACT(L124,""(\d+)"")),
        K124 * (1 - VALUE(REGEXEXTRACT(L124,""(\d+)""))/100)
      )
    ),
    2
  )
)"&amp;"
")," ")</f>
        <v/>
      </c>
      <c r="N124" s="111"/>
      <c r="O124" s="118" t="b">
        <v>0</v>
      </c>
      <c r="P124" s="119"/>
      <c r="Q124" s="120"/>
      <c r="R124" s="121" t="b">
        <v>0</v>
      </c>
      <c r="S124" s="121" t="b">
        <v>0</v>
      </c>
      <c r="T124" s="122" t="b">
        <v>0</v>
      </c>
    </row>
    <row r="125" hidden="1" outlineLevel="1">
      <c r="A125" s="116"/>
      <c r="B125" s="116"/>
      <c r="C125" s="129"/>
      <c r="D125" s="111"/>
      <c r="E125" s="111"/>
      <c r="F125" s="116"/>
      <c r="G125" s="116"/>
      <c r="H125" s="116"/>
      <c r="I125" s="116"/>
      <c r="J125" s="132"/>
      <c r="K125" s="115"/>
      <c r="L125" s="116"/>
      <c r="M125" s="117" t="str">
        <f>IFERROR(__xludf.DUMMYFUNCTION("IF(
  K125="""",
  """",
  ROUND(
    IF(
      L125="""",
      K125,
      IF(
        ISERROR(FIND(""-"",L125)),
        K125 - VALUE(REGEXEXTRACT(L125,""(\d+)"")),
        K125 * (1 - VALUE(REGEXEXTRACT(L125,""(\d+)""))/100)
      )
    ),
    2
  )
)"&amp;"
")," ")</f>
        <v/>
      </c>
      <c r="N125" s="111"/>
      <c r="O125" s="118" t="b">
        <v>0</v>
      </c>
      <c r="P125" s="119"/>
      <c r="Q125" s="120"/>
      <c r="R125" s="121" t="b">
        <v>0</v>
      </c>
      <c r="S125" s="121" t="b">
        <v>0</v>
      </c>
      <c r="T125" s="122" t="b">
        <v>0</v>
      </c>
    </row>
    <row r="126" hidden="1" outlineLevel="1">
      <c r="A126" s="116"/>
      <c r="B126" s="116"/>
      <c r="C126" s="129"/>
      <c r="D126" s="111"/>
      <c r="E126" s="111"/>
      <c r="F126" s="116"/>
      <c r="G126" s="142"/>
      <c r="H126" s="116"/>
      <c r="I126" s="116"/>
      <c r="J126" s="134"/>
      <c r="K126" s="115"/>
      <c r="L126" s="116"/>
      <c r="M126" s="117" t="str">
        <f>IFERROR(__xludf.DUMMYFUNCTION("IF(
  K126="""",
  """",
  ROUND(
    IF(
      L126="""",
      K126,
      IF(
        ISERROR(FIND(""-"",L126)),
        K126 - VALUE(REGEXEXTRACT(L126,""(\d+)"")),
        K126 * (1 - VALUE(REGEXEXTRACT(L126,""(\d+)""))/100)
      )
    ),
    2
  )
)"&amp;"
")," ")</f>
        <v/>
      </c>
      <c r="N126" s="111"/>
      <c r="O126" s="118" t="b">
        <v>0</v>
      </c>
      <c r="P126" s="119"/>
      <c r="Q126" s="120"/>
      <c r="R126" s="121" t="b">
        <v>0</v>
      </c>
      <c r="S126" s="121" t="b">
        <v>0</v>
      </c>
      <c r="T126" s="122" t="b">
        <v>0</v>
      </c>
    </row>
    <row r="127" hidden="1" outlineLevel="1">
      <c r="A127" s="116"/>
      <c r="B127" s="116"/>
      <c r="C127" s="129"/>
      <c r="D127" s="111"/>
      <c r="E127" s="111"/>
      <c r="F127" s="116"/>
      <c r="G127" s="116"/>
      <c r="H127" s="116"/>
      <c r="I127" s="116"/>
      <c r="J127" s="134"/>
      <c r="K127" s="115"/>
      <c r="L127" s="116"/>
      <c r="M127" s="117" t="str">
        <f>IFERROR(__xludf.DUMMYFUNCTION("IF(
  K127="""",
  """",
  ROUND(
    IF(
      L127="""",
      K127,
      IF(
        ISERROR(FIND(""-"",L127)),
        K127 - VALUE(REGEXEXTRACT(L127,""(\d+)"")),
        K127 * (1 - VALUE(REGEXEXTRACT(L127,""(\d+)""))/100)
      )
    ),
    2
  )
)"&amp;"
")," ")</f>
        <v/>
      </c>
      <c r="N127" s="111"/>
      <c r="O127" s="118" t="b">
        <v>0</v>
      </c>
      <c r="P127" s="119"/>
      <c r="Q127" s="120"/>
      <c r="R127" s="121" t="b">
        <v>0</v>
      </c>
      <c r="S127" s="121" t="b">
        <v>0</v>
      </c>
      <c r="T127" s="122" t="b">
        <v>0</v>
      </c>
    </row>
    <row r="128" hidden="1" outlineLevel="1">
      <c r="A128" s="116"/>
      <c r="B128" s="116"/>
      <c r="C128" s="129"/>
      <c r="D128" s="111"/>
      <c r="E128" s="111"/>
      <c r="F128" s="116"/>
      <c r="G128" s="116"/>
      <c r="H128" s="116"/>
      <c r="I128" s="116"/>
      <c r="J128" s="134"/>
      <c r="K128" s="115"/>
      <c r="L128" s="116"/>
      <c r="M128" s="117" t="str">
        <f>IFERROR(__xludf.DUMMYFUNCTION("IF(
  K128="""",
  """",
  ROUND(
    IF(
      L128="""",
      K128,
      IF(
        ISERROR(FIND(""-"",L128)),
        K128 - VALUE(REGEXEXTRACT(L128,""(\d+)"")),
        K128 * (1 - VALUE(REGEXEXTRACT(L128,""(\d+)""))/100)
      )
    ),
    2
  )
)"&amp;"
")," ")</f>
        <v/>
      </c>
      <c r="N128" s="116"/>
      <c r="O128" s="118" t="b">
        <v>0</v>
      </c>
      <c r="P128" s="119"/>
      <c r="Q128" s="120"/>
      <c r="R128" s="121" t="b">
        <v>0</v>
      </c>
      <c r="S128" s="121" t="b">
        <v>0</v>
      </c>
      <c r="T128" s="122" t="b">
        <v>0</v>
      </c>
    </row>
    <row r="129" hidden="1" outlineLevel="1">
      <c r="A129" s="116"/>
      <c r="B129" s="116"/>
      <c r="C129" s="129"/>
      <c r="D129" s="111"/>
      <c r="E129" s="111"/>
      <c r="F129" s="116"/>
      <c r="G129" s="116"/>
      <c r="H129" s="116"/>
      <c r="I129" s="116"/>
      <c r="J129" s="134"/>
      <c r="K129" s="115"/>
      <c r="L129" s="116"/>
      <c r="M129" s="117" t="str">
        <f>IFERROR(__xludf.DUMMYFUNCTION("IF(
  K129="""",
  """",
  ROUND(
    IF(
      L129="""",
      K129,
      IF(
        ISERROR(FIND(""-"",L129)),
        K129 - VALUE(REGEXEXTRACT(L129,""(\d+)"")),
        K129 * (1 - VALUE(REGEXEXTRACT(L129,""(\d+)""))/100)
      )
    ),
    2
  )
)"&amp;"
")," ")</f>
        <v/>
      </c>
      <c r="N129" s="116"/>
      <c r="O129" s="118" t="b">
        <v>0</v>
      </c>
      <c r="P129" s="119"/>
      <c r="Q129" s="120"/>
      <c r="R129" s="121" t="b">
        <v>0</v>
      </c>
      <c r="S129" s="121" t="b">
        <v>0</v>
      </c>
      <c r="T129" s="122" t="b">
        <v>0</v>
      </c>
    </row>
    <row r="130" hidden="1" outlineLevel="1">
      <c r="A130" s="116"/>
      <c r="B130" s="116"/>
      <c r="C130" s="129"/>
      <c r="D130" s="111"/>
      <c r="E130" s="111"/>
      <c r="F130" s="116"/>
      <c r="G130" s="116"/>
      <c r="H130" s="116"/>
      <c r="I130" s="116"/>
      <c r="J130" s="134"/>
      <c r="K130" s="115"/>
      <c r="L130" s="116"/>
      <c r="M130" s="117" t="str">
        <f>IFERROR(__xludf.DUMMYFUNCTION("IF(
  K130="""",
  """",
  ROUND(
    IF(
      L130="""",
      K130,
      IF(
        ISERROR(FIND(""-"",L130)),
        K130 - VALUE(REGEXEXTRACT(L130,""(\d+)"")),
        K130 * (1 - VALUE(REGEXEXTRACT(L130,""(\d+)""))/100)
      )
    ),
    2
  )
)"&amp;"
")," ")</f>
        <v/>
      </c>
      <c r="N130" s="111"/>
      <c r="O130" s="118" t="b">
        <v>0</v>
      </c>
      <c r="P130" s="119"/>
      <c r="Q130" s="120"/>
      <c r="R130" s="121" t="b">
        <v>0</v>
      </c>
      <c r="S130" s="121" t="b">
        <v>0</v>
      </c>
      <c r="T130" s="122" t="b">
        <v>0</v>
      </c>
    </row>
    <row r="131" hidden="1" outlineLevel="1">
      <c r="A131" s="116"/>
      <c r="B131" s="116"/>
      <c r="C131" s="129"/>
      <c r="D131" s="111"/>
      <c r="E131" s="111"/>
      <c r="F131" s="116"/>
      <c r="G131" s="116"/>
      <c r="H131" s="143"/>
      <c r="I131" s="116"/>
      <c r="J131" s="134"/>
      <c r="K131" s="115"/>
      <c r="L131" s="131"/>
      <c r="M131" s="117" t="str">
        <f>IFERROR(__xludf.DUMMYFUNCTION("IF(
  K131="""",
  """",
  ROUND(
    IF(
      L131="""",
      K131,
      IF(
        ISERROR(FIND(""-"",L131)),
        K131 - VALUE(REGEXEXTRACT(L131,""(\d+)"")),
        K131 * (1 - VALUE(REGEXEXTRACT(L131,""(\d+)""))/100)
      )
    ),
    2
  )
)"&amp;"
")," ")</f>
        <v/>
      </c>
      <c r="N131" s="131"/>
      <c r="O131" s="118" t="b">
        <v>0</v>
      </c>
      <c r="P131" s="119"/>
      <c r="Q131" s="120"/>
      <c r="R131" s="121" t="b">
        <v>0</v>
      </c>
      <c r="S131" s="121" t="b">
        <v>0</v>
      </c>
      <c r="T131" s="122" t="b">
        <v>0</v>
      </c>
    </row>
    <row r="132" hidden="1" outlineLevel="1">
      <c r="A132" s="116"/>
      <c r="B132" s="116"/>
      <c r="C132" s="129"/>
      <c r="D132" s="111"/>
      <c r="E132" s="111"/>
      <c r="F132" s="116"/>
      <c r="G132" s="116"/>
      <c r="H132" s="116"/>
      <c r="I132" s="116"/>
      <c r="J132" s="134"/>
      <c r="K132" s="115"/>
      <c r="L132" s="116"/>
      <c r="M132" s="117" t="str">
        <f>IFERROR(__xludf.DUMMYFUNCTION("IF(
  K132="""",
  """",
  ROUND(
    IF(
      L132="""",
      K132,
      IF(
        ISERROR(FIND(""-"",L132)),
        K132 - VALUE(REGEXEXTRACT(L132,""(\d+)"")),
        K132 * (1 - VALUE(REGEXEXTRACT(L132,""(\d+)""))/100)
      )
    ),
    2
  )
)"&amp;"
")," ")</f>
        <v/>
      </c>
      <c r="N132" s="111"/>
      <c r="O132" s="118" t="b">
        <v>0</v>
      </c>
      <c r="P132" s="119"/>
      <c r="Q132" s="120"/>
      <c r="R132" s="121" t="b">
        <v>0</v>
      </c>
      <c r="S132" s="121" t="b">
        <v>0</v>
      </c>
      <c r="T132" s="122" t="b">
        <v>0</v>
      </c>
    </row>
    <row r="133" hidden="1" outlineLevel="1">
      <c r="A133" s="116"/>
      <c r="B133" s="116"/>
      <c r="C133" s="129"/>
      <c r="D133" s="111"/>
      <c r="E133" s="111"/>
      <c r="F133" s="116"/>
      <c r="G133" s="116"/>
      <c r="H133" s="144"/>
      <c r="I133" s="116"/>
      <c r="J133" s="132"/>
      <c r="K133" s="115"/>
      <c r="L133" s="116"/>
      <c r="M133" s="117" t="str">
        <f>IFERROR(__xludf.DUMMYFUNCTION("IF(
  K133="""",
  """",
  ROUND(
    IF(
      L133="""",
      K133,
      IF(
        ISERROR(FIND(""-"",L133)),
        K133 - VALUE(REGEXEXTRACT(L133,""(\d+)"")),
        K133 * (1 - VALUE(REGEXEXTRACT(L133,""(\d+)""))/100)
      )
    ),
    2
  )
)"&amp;"
")," ")</f>
        <v/>
      </c>
      <c r="N133" s="116"/>
      <c r="O133" s="118" t="b">
        <v>0</v>
      </c>
      <c r="P133" s="119"/>
      <c r="Q133" s="120"/>
      <c r="R133" s="121" t="b">
        <v>0</v>
      </c>
      <c r="S133" s="121" t="b">
        <v>0</v>
      </c>
      <c r="T133" s="122" t="b">
        <v>0</v>
      </c>
    </row>
    <row r="134" hidden="1" outlineLevel="1">
      <c r="A134" s="116"/>
      <c r="B134" s="116"/>
      <c r="C134" s="129"/>
      <c r="D134" s="111"/>
      <c r="E134" s="111"/>
      <c r="F134" s="116"/>
      <c r="G134" s="116"/>
      <c r="H134" s="116"/>
      <c r="I134" s="116"/>
      <c r="J134" s="132"/>
      <c r="K134" s="115"/>
      <c r="L134" s="116"/>
      <c r="M134" s="117" t="str">
        <f>IFERROR(__xludf.DUMMYFUNCTION("IF(
  K134="""",
  """",
  ROUND(
    IF(
      L134="""",
      K134,
      IF(
        ISERROR(FIND(""-"",L134)),
        K134 - VALUE(REGEXEXTRACT(L134,""(\d+)"")),
        K134 * (1 - VALUE(REGEXEXTRACT(L134,""(\d+)""))/100)
      )
    ),
    2
  )
)"&amp;"
")," ")</f>
        <v/>
      </c>
      <c r="N134" s="116"/>
      <c r="O134" s="118" t="b">
        <v>0</v>
      </c>
      <c r="P134" s="119"/>
      <c r="Q134" s="120"/>
      <c r="R134" s="121" t="b">
        <v>0</v>
      </c>
      <c r="S134" s="121" t="b">
        <v>0</v>
      </c>
      <c r="T134" s="122" t="b">
        <v>0</v>
      </c>
    </row>
    <row r="135" hidden="1" outlineLevel="1">
      <c r="A135" s="116"/>
      <c r="B135" s="116"/>
      <c r="C135" s="129"/>
      <c r="D135" s="111"/>
      <c r="E135" s="111"/>
      <c r="F135" s="116"/>
      <c r="G135" s="116"/>
      <c r="H135" s="116"/>
      <c r="I135" s="116"/>
      <c r="J135" s="132"/>
      <c r="K135" s="115"/>
      <c r="L135" s="116"/>
      <c r="M135" s="117" t="str">
        <f>IFERROR(__xludf.DUMMYFUNCTION("IF(
  K135="""",
  """",
  ROUND(
    IF(
      L135="""",
      K135,
      IF(
        ISERROR(FIND(""-"",L135)),
        K135 - VALUE(REGEXEXTRACT(L135,""(\d+)"")),
        K135 * (1 - VALUE(REGEXEXTRACT(L135,""(\d+)""))/100)
      )
    ),
    2
  )
)"&amp;"
")," ")</f>
        <v/>
      </c>
      <c r="N135" s="116"/>
      <c r="O135" s="118" t="b">
        <v>0</v>
      </c>
      <c r="P135" s="119"/>
      <c r="Q135" s="120"/>
      <c r="R135" s="121" t="b">
        <v>0</v>
      </c>
      <c r="S135" s="121" t="b">
        <v>0</v>
      </c>
      <c r="T135" s="122" t="b">
        <v>0</v>
      </c>
    </row>
    <row r="136" hidden="1" outlineLevel="1">
      <c r="A136" s="116"/>
      <c r="B136" s="116"/>
      <c r="C136" s="129"/>
      <c r="D136" s="111"/>
      <c r="E136" s="111"/>
      <c r="F136" s="116"/>
      <c r="G136" s="116"/>
      <c r="H136" s="116"/>
      <c r="I136" s="116"/>
      <c r="J136" s="132"/>
      <c r="K136" s="115"/>
      <c r="L136" s="116"/>
      <c r="M136" s="117" t="str">
        <f>IFERROR(__xludf.DUMMYFUNCTION("IF(
  K136="""",
  """",
  ROUND(
    IF(
      L136="""",
      K136,
      IF(
        ISERROR(FIND(""-"",L136)),
        K136 - VALUE(REGEXEXTRACT(L136,""(\d+)"")),
        K136 * (1 - VALUE(REGEXEXTRACT(L136,""(\d+)""))/100)
      )
    ),
    2
  )
)"&amp;"
")," ")</f>
        <v/>
      </c>
      <c r="N136" s="116"/>
      <c r="O136" s="118" t="b">
        <v>0</v>
      </c>
      <c r="P136" s="119"/>
      <c r="Q136" s="120"/>
      <c r="R136" s="121" t="b">
        <v>0</v>
      </c>
      <c r="S136" s="121" t="b">
        <v>0</v>
      </c>
      <c r="T136" s="122" t="b">
        <v>0</v>
      </c>
    </row>
    <row r="137" hidden="1" outlineLevel="1">
      <c r="A137" s="116"/>
      <c r="B137" s="116"/>
      <c r="C137" s="145"/>
      <c r="D137" s="111"/>
      <c r="E137" s="111"/>
      <c r="F137" s="116"/>
      <c r="G137" s="116"/>
      <c r="H137" s="116"/>
      <c r="I137" s="116"/>
      <c r="J137" s="126"/>
      <c r="K137" s="115"/>
      <c r="L137" s="116"/>
      <c r="M137" s="117" t="str">
        <f>IFERROR(__xludf.DUMMYFUNCTION("IF(
  K137="""",
  """",
  ROUND(
    IF(
      L137="""",
      K137,
      IF(
        ISERROR(FIND(""-"",L137)),
        K137 - VALUE(REGEXEXTRACT(L137,""(\d+)"")),
        K137 * (1 - VALUE(REGEXEXTRACT(L137,""(\d+)""))/100)
      )
    ),
    2
  )
)"&amp;"
")," ")</f>
        <v/>
      </c>
      <c r="N137" s="111"/>
      <c r="O137" s="118" t="b">
        <v>0</v>
      </c>
      <c r="P137" s="119"/>
      <c r="Q137" s="120"/>
      <c r="R137" s="121" t="b">
        <v>0</v>
      </c>
      <c r="S137" s="121" t="b">
        <v>0</v>
      </c>
      <c r="T137" s="122" t="b">
        <v>0</v>
      </c>
    </row>
    <row r="138" hidden="1" outlineLevel="1">
      <c r="A138" s="116"/>
      <c r="B138" s="116"/>
      <c r="C138" s="145"/>
      <c r="D138" s="111"/>
      <c r="E138" s="111"/>
      <c r="F138" s="116"/>
      <c r="G138" s="116"/>
      <c r="H138" s="116"/>
      <c r="I138" s="116"/>
      <c r="J138" s="126"/>
      <c r="K138" s="115"/>
      <c r="L138" s="116"/>
      <c r="M138" s="117" t="str">
        <f>IFERROR(__xludf.DUMMYFUNCTION("IF(
  K138="""",
  """",
  ROUND(
    IF(
      L138="""",
      K138,
      IF(
        ISERROR(FIND(""-"",L138)),
        K138 - VALUE(REGEXEXTRACT(L138,""(\d+)"")),
        K138 * (1 - VALUE(REGEXEXTRACT(L138,""(\d+)""))/100)
      )
    ),
    2
  )
)"&amp;"
")," ")</f>
        <v/>
      </c>
      <c r="N138" s="111"/>
      <c r="O138" s="118" t="b">
        <v>0</v>
      </c>
      <c r="P138" s="119"/>
      <c r="Q138" s="120"/>
      <c r="R138" s="121" t="b">
        <v>0</v>
      </c>
      <c r="S138" s="121" t="b">
        <v>0</v>
      </c>
      <c r="T138" s="122" t="b">
        <v>0</v>
      </c>
    </row>
    <row r="139" hidden="1" outlineLevel="1">
      <c r="A139" s="116"/>
      <c r="B139" s="116"/>
      <c r="C139" s="145"/>
      <c r="D139" s="111"/>
      <c r="E139" s="111"/>
      <c r="F139" s="116"/>
      <c r="G139" s="116"/>
      <c r="H139" s="116"/>
      <c r="I139" s="116"/>
      <c r="J139" s="126"/>
      <c r="K139" s="115"/>
      <c r="L139" s="116"/>
      <c r="M139" s="117" t="str">
        <f>IFERROR(__xludf.DUMMYFUNCTION("IF(
  K139="""",
  """",
  ROUND(
    IF(
      L139="""",
      K139,
      IF(
        ISERROR(FIND(""-"",L139)),
        K139 - VALUE(REGEXEXTRACT(L139,""(\d+)"")),
        K139 * (1 - VALUE(REGEXEXTRACT(L139,""(\d+)""))/100)
      )
    ),
    2
  )
)"&amp;"
")," ")</f>
        <v/>
      </c>
      <c r="N139" s="111"/>
      <c r="O139" s="118" t="b">
        <v>0</v>
      </c>
      <c r="P139" s="119"/>
      <c r="Q139" s="120"/>
      <c r="R139" s="121" t="b">
        <v>0</v>
      </c>
      <c r="S139" s="121" t="b">
        <v>0</v>
      </c>
      <c r="T139" s="122" t="b">
        <v>0</v>
      </c>
    </row>
    <row r="140" hidden="1" outlineLevel="1">
      <c r="A140" s="116"/>
      <c r="B140" s="116"/>
      <c r="C140" s="146"/>
      <c r="D140" s="111"/>
      <c r="E140" s="111"/>
      <c r="F140" s="111"/>
      <c r="G140" s="111"/>
      <c r="H140" s="111"/>
      <c r="I140" s="111"/>
      <c r="J140" s="126"/>
      <c r="K140" s="115"/>
      <c r="L140" s="116"/>
      <c r="M140" s="117" t="str">
        <f>IFERROR(__xludf.DUMMYFUNCTION("IF(
  K140="""",
  """",
  ROUND(
    IF(
      L140="""",
      K140,
      IF(
        ISERROR(FIND(""-"",L140)),
        K140 - VALUE(REGEXEXTRACT(L140,""(\d+)"")),
        K140 * (1 - VALUE(REGEXEXTRACT(L140,""(\d+)""))/100)
      )
    ),
    2
  )
)"&amp;"
")," ")</f>
        <v/>
      </c>
      <c r="N140" s="111"/>
      <c r="O140" s="118" t="b">
        <v>0</v>
      </c>
      <c r="P140" s="119"/>
      <c r="Q140" s="120"/>
      <c r="R140" s="121" t="b">
        <v>0</v>
      </c>
      <c r="S140" s="121" t="b">
        <v>0</v>
      </c>
      <c r="T140" s="122" t="b">
        <v>0</v>
      </c>
    </row>
    <row r="141" hidden="1" outlineLevel="1">
      <c r="A141" s="131"/>
      <c r="B141" s="131"/>
      <c r="C141" s="147"/>
      <c r="D141" s="111"/>
      <c r="E141" s="111"/>
      <c r="F141" s="131"/>
      <c r="G141" s="131"/>
      <c r="H141" s="131"/>
      <c r="I141" s="131"/>
      <c r="J141" s="148"/>
      <c r="K141" s="115"/>
      <c r="L141" s="131"/>
      <c r="M141" s="117" t="str">
        <f>IFERROR(__xludf.DUMMYFUNCTION("IF(
  K141="""",
  """",
  ROUND(
    IF(
      L141="""",
      K141,
      IF(
        ISERROR(FIND(""-"",L141)),
        K141 - VALUE(REGEXEXTRACT(L141,""(\d+)"")),
        K141 * (1 - VALUE(REGEXEXTRACT(L141,""(\d+)""))/100)
      )
    ),
    2
  )
)"&amp;"
")," ")</f>
        <v/>
      </c>
      <c r="N141" s="131"/>
      <c r="O141" s="118" t="b">
        <v>0</v>
      </c>
      <c r="P141" s="119"/>
      <c r="Q141" s="149"/>
      <c r="R141" s="121" t="b">
        <v>0</v>
      </c>
      <c r="S141" s="121" t="b">
        <v>0</v>
      </c>
      <c r="T141" s="122" t="b">
        <v>0</v>
      </c>
    </row>
    <row r="142" hidden="1" outlineLevel="1">
      <c r="A142" s="116"/>
      <c r="B142" s="116"/>
      <c r="C142" s="146"/>
      <c r="D142" s="111"/>
      <c r="E142" s="111"/>
      <c r="F142" s="116"/>
      <c r="G142" s="116"/>
      <c r="H142" s="116"/>
      <c r="I142" s="116"/>
      <c r="J142" s="126"/>
      <c r="K142" s="115"/>
      <c r="L142" s="116"/>
      <c r="M142" s="117" t="str">
        <f>IFERROR(__xludf.DUMMYFUNCTION("IF(
  K142="""",
  """",
  ROUND(
    IF(
      L142="""",
      K142,
      IF(
        ISERROR(FIND(""-"",L142)),
        K142 - VALUE(REGEXEXTRACT(L142,""(\d+)"")),
        K142 * (1 - VALUE(REGEXEXTRACT(L142,""(\d+)""))/100)
      )
    ),
    2
  )
)"&amp;"
")," ")</f>
        <v/>
      </c>
      <c r="N142" s="111"/>
      <c r="O142" s="118" t="b">
        <v>0</v>
      </c>
      <c r="P142" s="119"/>
      <c r="Q142" s="120"/>
      <c r="R142" s="121" t="b">
        <v>0</v>
      </c>
      <c r="S142" s="121" t="b">
        <v>0</v>
      </c>
      <c r="T142" s="122" t="b">
        <v>0</v>
      </c>
    </row>
    <row r="143" hidden="1" outlineLevel="1">
      <c r="A143" s="116"/>
      <c r="B143" s="116"/>
      <c r="C143" s="145"/>
      <c r="D143" s="111"/>
      <c r="E143" s="111"/>
      <c r="F143" s="116"/>
      <c r="G143" s="116"/>
      <c r="H143" s="116"/>
      <c r="I143" s="116"/>
      <c r="J143" s="126"/>
      <c r="K143" s="115"/>
      <c r="L143" s="116"/>
      <c r="M143" s="150" t="str">
        <f>IFERROR(__xludf.DUMMYFUNCTION("IF(
  K143="""",
  """",
  ROUND(
    IF(
      L143="""",
      K143,
      IF(
        ISERROR(FIND(""-"",L143)),
        K143 - VALUE(REGEXEXTRACT(L143,""(\d+)"")),
        K143 * (1 - VALUE(REGEXEXTRACT(L143,""(\d+)""))/100)
      )
    ),
    2
  )
)"&amp;"
")," ")</f>
        <v/>
      </c>
      <c r="N143" s="111"/>
      <c r="O143" s="118" t="b">
        <v>0</v>
      </c>
      <c r="P143" s="119"/>
      <c r="Q143" s="120"/>
      <c r="R143" s="121" t="b">
        <v>0</v>
      </c>
      <c r="S143" s="121" t="b">
        <v>0</v>
      </c>
      <c r="T143" s="122" t="b">
        <v>0</v>
      </c>
    </row>
    <row r="144" hidden="1" outlineLevel="1">
      <c r="A144" s="116"/>
      <c r="B144" s="116"/>
      <c r="C144" s="145"/>
      <c r="D144" s="111"/>
      <c r="E144" s="111"/>
      <c r="F144" s="116"/>
      <c r="G144" s="116"/>
      <c r="H144" s="151"/>
      <c r="I144" s="116"/>
      <c r="J144" s="126"/>
      <c r="K144" s="115"/>
      <c r="L144" s="116"/>
      <c r="M144" s="150" t="str">
        <f>IFERROR(__xludf.DUMMYFUNCTION("IF(
  K144="""",
  """",
  ROUND(
    IF(
      L144="""",
      K144,
      IF(
        ISERROR(FIND(""-"",L144)),
        K144 - VALUE(REGEXEXTRACT(L144,""(\d+)"")),
        K144 * (1 - VALUE(REGEXEXTRACT(L144,""(\d+)""))/100)
      )
    ),
    2
  )
)"&amp;"
")," ")</f>
        <v/>
      </c>
      <c r="N144" s="116"/>
      <c r="O144" s="118" t="b">
        <v>0</v>
      </c>
      <c r="P144" s="119"/>
      <c r="Q144" s="120"/>
      <c r="R144" s="121" t="b">
        <v>0</v>
      </c>
      <c r="S144" s="121" t="b">
        <v>0</v>
      </c>
      <c r="T144" s="122" t="b">
        <v>0</v>
      </c>
    </row>
    <row r="145" hidden="1" outlineLevel="1">
      <c r="A145" s="131"/>
      <c r="B145" s="131"/>
      <c r="C145" s="130"/>
      <c r="D145" s="111"/>
      <c r="E145" s="111"/>
      <c r="F145" s="131"/>
      <c r="G145" s="131"/>
      <c r="H145" s="152"/>
      <c r="I145" s="131"/>
      <c r="J145" s="153"/>
      <c r="K145" s="115"/>
      <c r="L145" s="116"/>
      <c r="M145" s="150" t="str">
        <f>IFERROR(__xludf.DUMMYFUNCTION("IF(
  K145="""",
  """",
  ROUND(
    IF(
      L145="""",
      K145,
      IF(
        ISERROR(FIND(""-"",L145)),
        K145 - VALUE(REGEXEXTRACT(L145,""(\d+)"")),
        K145 * (1 - VALUE(REGEXEXTRACT(L145,""(\d+)""))/100)
      )
    ),
    2
  )
)"&amp;"
")," ")</f>
        <v/>
      </c>
      <c r="N145" s="131"/>
      <c r="O145" s="118" t="b">
        <v>0</v>
      </c>
      <c r="P145" s="119"/>
      <c r="Q145" s="120"/>
      <c r="R145" s="121" t="b">
        <v>0</v>
      </c>
      <c r="S145" s="121" t="b">
        <v>0</v>
      </c>
      <c r="T145" s="122" t="b">
        <v>0</v>
      </c>
    </row>
    <row r="146" hidden="1" outlineLevel="1">
      <c r="A146" s="131"/>
      <c r="B146" s="131"/>
      <c r="C146" s="130"/>
      <c r="D146" s="111"/>
      <c r="E146" s="111"/>
      <c r="F146" s="131"/>
      <c r="G146" s="131"/>
      <c r="H146" s="152"/>
      <c r="I146" s="131"/>
      <c r="J146" s="153"/>
      <c r="K146" s="115"/>
      <c r="L146" s="116"/>
      <c r="M146" s="150" t="str">
        <f>IFERROR(__xludf.DUMMYFUNCTION("IF(
  K146="""",
  """",
  ROUND(
    IF(
      L146="""",
      K146,
      IF(
        ISERROR(FIND(""-"",L146)),
        K146 - VALUE(REGEXEXTRACT(L146,""(\d+)"")),
        K146 * (1 - VALUE(REGEXEXTRACT(L146,""(\d+)""))/100)
      )
    ),
    2
  )
)"&amp;"
")," ")</f>
        <v/>
      </c>
      <c r="N146" s="131"/>
      <c r="O146" s="118" t="b">
        <v>0</v>
      </c>
      <c r="P146" s="119"/>
      <c r="Q146" s="120"/>
      <c r="R146" s="121" t="b">
        <v>0</v>
      </c>
      <c r="S146" s="121" t="b">
        <v>0</v>
      </c>
      <c r="T146" s="122" t="b">
        <v>0</v>
      </c>
    </row>
    <row r="147" hidden="1" outlineLevel="1">
      <c r="A147" s="131"/>
      <c r="B147" s="131"/>
      <c r="C147" s="130"/>
      <c r="D147" s="111"/>
      <c r="E147" s="111"/>
      <c r="F147" s="131"/>
      <c r="G147" s="131"/>
      <c r="H147" s="152"/>
      <c r="I147" s="131"/>
      <c r="J147" s="153"/>
      <c r="K147" s="115"/>
      <c r="L147" s="116"/>
      <c r="M147" s="150" t="str">
        <f>IFERROR(__xludf.DUMMYFUNCTION("IF(
  K147="""",
  """",
  ROUND(
    IF(
      L147="""",
      K147,
      IF(
        ISERROR(FIND(""-"",L147)),
        K147 - VALUE(REGEXEXTRACT(L147,""(\d+)"")),
        K147 * (1 - VALUE(REGEXEXTRACT(L147,""(\d+)""))/100)
      )
    ),
    2
  )
)"&amp;"
")," ")</f>
        <v/>
      </c>
      <c r="N147" s="131"/>
      <c r="O147" s="118" t="b">
        <v>0</v>
      </c>
      <c r="P147" s="119"/>
      <c r="Q147" s="120"/>
      <c r="R147" s="121" t="b">
        <v>0</v>
      </c>
      <c r="S147" s="121" t="b">
        <v>0</v>
      </c>
      <c r="T147" s="122" t="b">
        <v>0</v>
      </c>
    </row>
    <row r="148" hidden="1" outlineLevel="1">
      <c r="A148" s="131"/>
      <c r="B148" s="131"/>
      <c r="C148" s="130"/>
      <c r="D148" s="111"/>
      <c r="E148" s="111"/>
      <c r="F148" s="131"/>
      <c r="G148" s="131"/>
      <c r="H148" s="152"/>
      <c r="I148" s="131"/>
      <c r="J148" s="153"/>
      <c r="K148" s="115"/>
      <c r="L148" s="116"/>
      <c r="M148" s="150" t="str">
        <f>IFERROR(__xludf.DUMMYFUNCTION("IF(
  K148="""",
  """",
  ROUND(
    IF(
      L148="""",
      K148,
      IF(
        ISERROR(FIND(""-"",L148)),
        K148 - VALUE(REGEXEXTRACT(L148,""(\d+)"")),
        K148 * (1 - VALUE(REGEXEXTRACT(L148,""(\d+)""))/100)
      )
    ),
    2
  )
)"&amp;"
")," ")</f>
        <v/>
      </c>
      <c r="N148" s="131"/>
      <c r="O148" s="118" t="b">
        <v>0</v>
      </c>
      <c r="P148" s="119"/>
      <c r="Q148" s="120"/>
      <c r="R148" s="121" t="b">
        <v>0</v>
      </c>
      <c r="S148" s="121" t="b">
        <v>0</v>
      </c>
      <c r="T148" s="122" t="b">
        <v>0</v>
      </c>
    </row>
    <row r="149" hidden="1" outlineLevel="1">
      <c r="A149" s="116"/>
      <c r="B149" s="116"/>
      <c r="C149" s="129"/>
      <c r="D149" s="111"/>
      <c r="E149" s="111"/>
      <c r="F149" s="116"/>
      <c r="G149" s="116"/>
      <c r="H149" s="151"/>
      <c r="I149" s="116"/>
      <c r="J149" s="134"/>
      <c r="K149" s="115"/>
      <c r="L149" s="116"/>
      <c r="M149" s="150" t="str">
        <f>IFERROR(__xludf.DUMMYFUNCTION("IF(
  K149="""",
  """",
  ROUND(
    IF(
      L149="""",
      K149,
      IF(
        ISERROR(FIND(""-"",L149)),
        K149 - VALUE(REGEXEXTRACT(L149,""(\d+)"")),
        K149 * (1 - VALUE(REGEXEXTRACT(L149,""(\d+)""))/100)
      )
    ),
    2
  )
)"&amp;"
")," ")</f>
        <v/>
      </c>
      <c r="N149" s="116"/>
      <c r="O149" s="118" t="b">
        <v>0</v>
      </c>
      <c r="P149" s="119"/>
      <c r="Q149" s="120"/>
      <c r="R149" s="121" t="b">
        <v>0</v>
      </c>
      <c r="S149" s="121" t="b">
        <v>0</v>
      </c>
      <c r="T149" s="122" t="b">
        <v>0</v>
      </c>
    </row>
    <row r="150" hidden="1" outlineLevel="1">
      <c r="A150" s="116"/>
      <c r="B150" s="116"/>
      <c r="C150" s="129"/>
      <c r="D150" s="111"/>
      <c r="E150" s="111"/>
      <c r="F150" s="116"/>
      <c r="G150" s="116"/>
      <c r="H150" s="151"/>
      <c r="I150" s="116"/>
      <c r="J150" s="134"/>
      <c r="K150" s="115"/>
      <c r="L150" s="116"/>
      <c r="M150" s="150" t="str">
        <f>IFERROR(__xludf.DUMMYFUNCTION("IF(
  K150="""",
  """",
  ROUND(
    IF(
      L150="""",
      K150,
      IF(
        ISERROR(FIND(""-"",L150)),
        K150 - VALUE(REGEXEXTRACT(L150,""(\d+)"")),
        K150 * (1 - VALUE(REGEXEXTRACT(L150,""(\d+)""))/100)
      )
    ),
    2
  )
)"&amp;"
")," ")</f>
        <v/>
      </c>
      <c r="N150" s="116"/>
      <c r="O150" s="118" t="b">
        <v>0</v>
      </c>
      <c r="P150" s="119"/>
      <c r="Q150" s="120"/>
      <c r="R150" s="121" t="b">
        <v>0</v>
      </c>
      <c r="S150" s="121" t="b">
        <v>0</v>
      </c>
      <c r="T150" s="122" t="b">
        <v>0</v>
      </c>
    </row>
    <row r="151" hidden="1" outlineLevel="1">
      <c r="A151" s="116"/>
      <c r="B151" s="116"/>
      <c r="C151" s="129"/>
      <c r="D151" s="111"/>
      <c r="E151" s="111"/>
      <c r="F151" s="116"/>
      <c r="G151" s="116"/>
      <c r="H151" s="151"/>
      <c r="I151" s="116"/>
      <c r="J151" s="134"/>
      <c r="K151" s="115"/>
      <c r="L151" s="116"/>
      <c r="M151" s="150" t="str">
        <f>IFERROR(__xludf.DUMMYFUNCTION("IF(
  K151="""",
  """",
  ROUND(
    IF(
      L151="""",
      K151,
      IF(
        ISERROR(FIND(""-"",L151)),
        K151 - VALUE(REGEXEXTRACT(L151,""(\d+)"")),
        K151 * (1 - VALUE(REGEXEXTRACT(L151,""(\d+)""))/100)
      )
    ),
    2
  )
)"&amp;"
")," ")</f>
        <v/>
      </c>
      <c r="N151" s="116"/>
      <c r="O151" s="118" t="b">
        <v>0</v>
      </c>
      <c r="P151" s="119"/>
      <c r="Q151" s="120"/>
      <c r="R151" s="121" t="b">
        <v>0</v>
      </c>
      <c r="S151" s="121" t="b">
        <v>0</v>
      </c>
      <c r="T151" s="122" t="b">
        <v>0</v>
      </c>
    </row>
    <row r="152" hidden="1" outlineLevel="1">
      <c r="A152" s="111"/>
      <c r="B152" s="116"/>
      <c r="C152" s="112"/>
      <c r="D152" s="111"/>
      <c r="E152" s="111"/>
      <c r="F152" s="111"/>
      <c r="G152" s="111"/>
      <c r="H152" s="144"/>
      <c r="I152" s="111"/>
      <c r="J152" s="114"/>
      <c r="K152" s="115"/>
      <c r="L152" s="116"/>
      <c r="M152" s="117" t="str">
        <f>IFERROR(__xludf.DUMMYFUNCTION("IF(
  K152="""",
  """",
  ROUND(
    IF(
      L152="""",
      K152,
      IF(
        ISERROR(FIND(""-"",L152)),
        K152 - VALUE(REGEXEXTRACT(L152,""(\d+)"")),
        K152 * (1 - VALUE(REGEXEXTRACT(L152,""(\d+)""))/100)
      )
    ),
    2
  )
)"&amp;"
")," ")</f>
        <v/>
      </c>
      <c r="N152" s="111"/>
      <c r="O152" s="154" t="b">
        <v>0</v>
      </c>
      <c r="P152" s="119"/>
      <c r="Q152" s="120"/>
      <c r="R152" s="121" t="b">
        <v>0</v>
      </c>
      <c r="S152" s="121" t="b">
        <v>0</v>
      </c>
      <c r="T152" s="122" t="b">
        <v>0</v>
      </c>
    </row>
    <row r="153" hidden="1" outlineLevel="1">
      <c r="A153" s="111"/>
      <c r="B153" s="116"/>
      <c r="C153" s="112"/>
      <c r="D153" s="111"/>
      <c r="E153" s="111"/>
      <c r="F153" s="111"/>
      <c r="G153" s="111"/>
      <c r="H153" s="144"/>
      <c r="I153" s="111"/>
      <c r="J153" s="114"/>
      <c r="K153" s="115"/>
      <c r="L153" s="116"/>
      <c r="M153" s="117" t="str">
        <f>IFERROR(__xludf.DUMMYFUNCTION("IF(
  K153="""",
  """",
  ROUND(
    IF(
      L153="""",
      K153,
      IF(
        ISERROR(FIND(""-"",L153)),
        K153 - VALUE(REGEXEXTRACT(L153,""(\d+)"")),
        K153 * (1 - VALUE(REGEXEXTRACT(L153,""(\d+)""))/100)
      )
    ),
    2
  )
)"&amp;"
")," ")</f>
        <v/>
      </c>
      <c r="N153" s="111"/>
      <c r="O153" s="154" t="b">
        <v>0</v>
      </c>
      <c r="P153" s="119"/>
      <c r="Q153" s="120"/>
      <c r="R153" s="121" t="b">
        <v>0</v>
      </c>
      <c r="S153" s="121" t="b">
        <v>0</v>
      </c>
      <c r="T153" s="122" t="b">
        <v>0</v>
      </c>
    </row>
    <row r="154" hidden="1" outlineLevel="1">
      <c r="A154" s="111"/>
      <c r="B154" s="116"/>
      <c r="C154" s="112"/>
      <c r="D154" s="111"/>
      <c r="E154" s="111"/>
      <c r="F154" s="111"/>
      <c r="G154" s="111"/>
      <c r="H154" s="144"/>
      <c r="I154" s="111"/>
      <c r="J154" s="114"/>
      <c r="K154" s="115"/>
      <c r="L154" s="116"/>
      <c r="M154" s="117" t="str">
        <f>IFERROR(__xludf.DUMMYFUNCTION("IF(
  K154="""",
  """",
  ROUND(
    IF(
      L154="""",
      K154,
      IF(
        ISERROR(FIND(""-"",L154)),
        K154 - VALUE(REGEXEXTRACT(L154,""(\d+)"")),
        K154 * (1 - VALUE(REGEXEXTRACT(L154,""(\d+)""))/100)
      )
    ),
    2
  )
)"&amp;"
")," ")</f>
        <v/>
      </c>
      <c r="N154" s="111"/>
      <c r="O154" s="154" t="b">
        <v>0</v>
      </c>
      <c r="P154" s="119"/>
      <c r="Q154" s="120"/>
      <c r="R154" s="121" t="b">
        <v>0</v>
      </c>
      <c r="S154" s="121" t="b">
        <v>0</v>
      </c>
      <c r="T154" s="122" t="b">
        <v>0</v>
      </c>
    </row>
    <row r="155" hidden="1" outlineLevel="1">
      <c r="A155" s="111"/>
      <c r="B155" s="116"/>
      <c r="C155" s="112"/>
      <c r="D155" s="111"/>
      <c r="E155" s="111"/>
      <c r="F155" s="111"/>
      <c r="G155" s="111"/>
      <c r="H155" s="144"/>
      <c r="I155" s="111"/>
      <c r="J155" s="114"/>
      <c r="K155" s="115"/>
      <c r="L155" s="116"/>
      <c r="M155" s="117" t="str">
        <f>IFERROR(__xludf.DUMMYFUNCTION("IF(
  K155="""",
  """",
  ROUND(
    IF(
      L155="""",
      K155,
      IF(
        ISERROR(FIND(""-"",L155)),
        K155 - VALUE(REGEXEXTRACT(L155,""(\d+)"")),
        K155 * (1 - VALUE(REGEXEXTRACT(L155,""(\d+)""))/100)
      )
    ),
    2
  )
)"&amp;"
")," ")</f>
        <v/>
      </c>
      <c r="N155" s="111"/>
      <c r="O155" s="154" t="b">
        <v>0</v>
      </c>
      <c r="P155" s="119"/>
      <c r="Q155" s="120"/>
      <c r="R155" s="121" t="b">
        <v>0</v>
      </c>
      <c r="S155" s="121" t="b">
        <v>0</v>
      </c>
      <c r="T155" s="122" t="b">
        <v>0</v>
      </c>
    </row>
    <row r="156" hidden="1" outlineLevel="1">
      <c r="A156" s="111"/>
      <c r="B156" s="116"/>
      <c r="C156" s="112"/>
      <c r="D156" s="111"/>
      <c r="E156" s="111"/>
      <c r="F156" s="111"/>
      <c r="G156" s="111"/>
      <c r="H156" s="144"/>
      <c r="I156" s="111"/>
      <c r="J156" s="114"/>
      <c r="K156" s="115"/>
      <c r="L156" s="116"/>
      <c r="M156" s="117" t="str">
        <f>IFERROR(__xludf.DUMMYFUNCTION("IF(
  K156="""",
  """",
  ROUND(
    IF(
      L156="""",
      K156,
      IF(
        ISERROR(FIND(""-"",L156)),
        K156 - VALUE(REGEXEXTRACT(L156,""(\d+)"")),
        K156 * (1 - VALUE(REGEXEXTRACT(L156,""(\d+)""))/100)
      )
    ),
    2
  )
)"&amp;"
")," ")</f>
        <v/>
      </c>
      <c r="N156" s="111"/>
      <c r="O156" s="154" t="b">
        <v>0</v>
      </c>
      <c r="P156" s="119"/>
      <c r="Q156" s="120"/>
      <c r="R156" s="121" t="b">
        <v>0</v>
      </c>
      <c r="S156" s="121" t="b">
        <v>0</v>
      </c>
      <c r="T156" s="122" t="b">
        <v>0</v>
      </c>
    </row>
    <row r="157" hidden="1" outlineLevel="1">
      <c r="A157" s="111"/>
      <c r="B157" s="116"/>
      <c r="C157" s="112"/>
      <c r="D157" s="111"/>
      <c r="E157" s="111"/>
      <c r="F157" s="111"/>
      <c r="G157" s="111"/>
      <c r="H157" s="144"/>
      <c r="I157" s="111"/>
      <c r="J157" s="114"/>
      <c r="K157" s="115"/>
      <c r="L157" s="116"/>
      <c r="M157" s="117" t="str">
        <f>IFERROR(__xludf.DUMMYFUNCTION("IF(
  K157="""",
  """",
  ROUND(
    IF(
      L157="""",
      K157,
      IF(
        ISERROR(FIND(""-"",L157)),
        K157 - VALUE(REGEXEXTRACT(L157,""(\d+)"")),
        K157 * (1 - VALUE(REGEXEXTRACT(L157,""(\d+)""))/100)
      )
    ),
    2
  )
)"&amp;"
")," ")</f>
        <v/>
      </c>
      <c r="N157" s="111"/>
      <c r="O157" s="154" t="b">
        <v>0</v>
      </c>
      <c r="P157" s="119"/>
      <c r="Q157" s="120"/>
      <c r="R157" s="121" t="b">
        <v>0</v>
      </c>
      <c r="S157" s="121" t="b">
        <v>0</v>
      </c>
      <c r="T157" s="122" t="b">
        <v>0</v>
      </c>
    </row>
    <row r="158" hidden="1" outlineLevel="1">
      <c r="A158" s="111"/>
      <c r="B158" s="116"/>
      <c r="C158" s="112"/>
      <c r="D158" s="111"/>
      <c r="E158" s="111"/>
      <c r="F158" s="111"/>
      <c r="G158" s="111"/>
      <c r="H158" s="144"/>
      <c r="I158" s="111"/>
      <c r="J158" s="114"/>
      <c r="K158" s="115"/>
      <c r="L158" s="116"/>
      <c r="M158" s="117" t="str">
        <f>IFERROR(__xludf.DUMMYFUNCTION("IF(
  K158="""",
  """",
  ROUND(
    IF(
      L158="""",
      K158,
      IF(
        ISERROR(FIND(""-"",L158)),
        K158 - VALUE(REGEXEXTRACT(L158,""(\d+)"")),
        K158 * (1 - VALUE(REGEXEXTRACT(L158,""(\d+)""))/100)
      )
    ),
    2
  )
)"&amp;"
")," ")</f>
        <v/>
      </c>
      <c r="N158" s="111"/>
      <c r="O158" s="154" t="b">
        <v>0</v>
      </c>
      <c r="P158" s="119"/>
      <c r="Q158" s="120"/>
      <c r="R158" s="121" t="b">
        <v>0</v>
      </c>
      <c r="S158" s="121" t="b">
        <v>0</v>
      </c>
      <c r="T158" s="122" t="b">
        <v>0</v>
      </c>
    </row>
    <row r="159" hidden="1" outlineLevel="1">
      <c r="A159" s="111"/>
      <c r="B159" s="116"/>
      <c r="C159" s="112"/>
      <c r="D159" s="111"/>
      <c r="E159" s="111"/>
      <c r="F159" s="111"/>
      <c r="G159" s="111"/>
      <c r="H159" s="144"/>
      <c r="I159" s="111"/>
      <c r="J159" s="114"/>
      <c r="K159" s="115"/>
      <c r="L159" s="116"/>
      <c r="M159" s="117" t="str">
        <f>IFERROR(__xludf.DUMMYFUNCTION("IF(
  K159="""",
  """",
  ROUND(
    IF(
      L159="""",
      K159,
      IF(
        ISERROR(FIND(""-"",L159)),
        K159 - VALUE(REGEXEXTRACT(L159,""(\d+)"")),
        K159 * (1 - VALUE(REGEXEXTRACT(L159,""(\d+)""))/100)
      )
    ),
    2
  )
)"&amp;"
")," ")</f>
        <v/>
      </c>
      <c r="N159" s="111"/>
      <c r="O159" s="154" t="b">
        <v>0</v>
      </c>
      <c r="P159" s="119"/>
      <c r="Q159" s="120"/>
      <c r="R159" s="121" t="b">
        <v>0</v>
      </c>
      <c r="S159" s="121" t="b">
        <v>0</v>
      </c>
      <c r="T159" s="122" t="b">
        <v>0</v>
      </c>
    </row>
    <row r="160" hidden="1" outlineLevel="1">
      <c r="A160" s="111"/>
      <c r="B160" s="116"/>
      <c r="C160" s="112"/>
      <c r="D160" s="111"/>
      <c r="E160" s="111"/>
      <c r="F160" s="111"/>
      <c r="G160" s="111"/>
      <c r="H160" s="144"/>
      <c r="I160" s="111"/>
      <c r="J160" s="114"/>
      <c r="K160" s="115"/>
      <c r="L160" s="116"/>
      <c r="M160" s="117" t="str">
        <f>IFERROR(__xludf.DUMMYFUNCTION("IF(
  K160="""",
  """",
  ROUND(
    IF(
      L160="""",
      K160,
      IF(
        ISERROR(FIND(""-"",L160)),
        K160 - VALUE(REGEXEXTRACT(L160,""(\d+)"")),
        K160 * (1 - VALUE(REGEXEXTRACT(L160,""(\d+)""))/100)
      )
    ),
    2
  )
)"&amp;"
")," ")</f>
        <v/>
      </c>
      <c r="N160" s="111"/>
      <c r="O160" s="154" t="b">
        <v>0</v>
      </c>
      <c r="P160" s="119"/>
      <c r="Q160" s="120"/>
      <c r="R160" s="121" t="b">
        <v>0</v>
      </c>
      <c r="S160" s="121" t="b">
        <v>0</v>
      </c>
      <c r="T160" s="122" t="b">
        <v>0</v>
      </c>
    </row>
    <row r="161" hidden="1" outlineLevel="1">
      <c r="A161" s="111"/>
      <c r="B161" s="116"/>
      <c r="C161" s="112"/>
      <c r="D161" s="111"/>
      <c r="E161" s="111"/>
      <c r="F161" s="111"/>
      <c r="G161" s="111"/>
      <c r="H161" s="144"/>
      <c r="I161" s="111"/>
      <c r="J161" s="114"/>
      <c r="K161" s="115"/>
      <c r="L161" s="116"/>
      <c r="M161" s="117" t="str">
        <f>IFERROR(__xludf.DUMMYFUNCTION("IF(
  K161="""",
  """",
  ROUND(
    IF(
      L161="""",
      K161,
      IF(
        ISERROR(FIND(""-"",L161)),
        K161 - VALUE(REGEXEXTRACT(L161,""(\d+)"")),
        K161 * (1 - VALUE(REGEXEXTRACT(L161,""(\d+)""))/100)
      )
    ),
    2
  )
)"&amp;"
")," ")</f>
        <v/>
      </c>
      <c r="N161" s="111"/>
      <c r="O161" s="154" t="b">
        <v>0</v>
      </c>
      <c r="P161" s="119"/>
      <c r="Q161" s="120"/>
      <c r="R161" s="121" t="b">
        <v>0</v>
      </c>
      <c r="S161" s="121" t="b">
        <v>0</v>
      </c>
      <c r="T161" s="122" t="b">
        <v>0</v>
      </c>
    </row>
    <row r="162" hidden="1" outlineLevel="1">
      <c r="A162" s="111"/>
      <c r="B162" s="116"/>
      <c r="C162" s="112"/>
      <c r="D162" s="111"/>
      <c r="E162" s="111"/>
      <c r="F162" s="111"/>
      <c r="G162" s="111"/>
      <c r="H162" s="144"/>
      <c r="I162" s="111"/>
      <c r="J162" s="114"/>
      <c r="K162" s="115"/>
      <c r="L162" s="116"/>
      <c r="M162" s="117" t="str">
        <f>IFERROR(__xludf.DUMMYFUNCTION("IF(
  K162="""",
  """",
  ROUND(
    IF(
      L162="""",
      K162,
      IF(
        ISERROR(FIND(""-"",L162)),
        K162 - VALUE(REGEXEXTRACT(L162,""(\d+)"")),
        K162 * (1 - VALUE(REGEXEXTRACT(L162,""(\d+)""))/100)
      )
    ),
    2
  )
)"&amp;"
")," ")</f>
        <v/>
      </c>
      <c r="N162" s="111"/>
      <c r="O162" s="154" t="b">
        <v>0</v>
      </c>
      <c r="P162" s="119"/>
      <c r="Q162" s="120"/>
      <c r="R162" s="121" t="b">
        <v>0</v>
      </c>
      <c r="S162" s="121" t="b">
        <v>0</v>
      </c>
      <c r="T162" s="122" t="b">
        <v>0</v>
      </c>
    </row>
    <row r="163" hidden="1" outlineLevel="1">
      <c r="A163" s="111"/>
      <c r="B163" s="116"/>
      <c r="C163" s="112"/>
      <c r="D163" s="111"/>
      <c r="E163" s="111"/>
      <c r="F163" s="111"/>
      <c r="G163" s="111"/>
      <c r="H163" s="144"/>
      <c r="I163" s="111"/>
      <c r="J163" s="114"/>
      <c r="K163" s="115"/>
      <c r="L163" s="116"/>
      <c r="M163" s="117" t="str">
        <f>IFERROR(__xludf.DUMMYFUNCTION("IF(
  K163="""",
  """",
  ROUND(
    IF(
      L163="""",
      K163,
      IF(
        ISERROR(FIND(""-"",L163)),
        K163 - VALUE(REGEXEXTRACT(L163,""(\d+)"")),
        K163 * (1 - VALUE(REGEXEXTRACT(L163,""(\d+)""))/100)
      )
    ),
    2
  )
)"&amp;"
")," ")</f>
        <v/>
      </c>
      <c r="N163" s="111"/>
      <c r="O163" s="154" t="b">
        <v>0</v>
      </c>
      <c r="P163" s="119"/>
      <c r="Q163" s="120"/>
      <c r="R163" s="121" t="b">
        <v>0</v>
      </c>
      <c r="S163" s="121" t="b">
        <v>0</v>
      </c>
      <c r="T163" s="122" t="b">
        <v>0</v>
      </c>
    </row>
    <row r="164" hidden="1" outlineLevel="1">
      <c r="A164" s="111"/>
      <c r="B164" s="116"/>
      <c r="C164" s="112"/>
      <c r="D164" s="111"/>
      <c r="E164" s="111"/>
      <c r="F164" s="111"/>
      <c r="G164" s="111"/>
      <c r="H164" s="144"/>
      <c r="I164" s="111"/>
      <c r="J164" s="114"/>
      <c r="K164" s="115"/>
      <c r="L164" s="116"/>
      <c r="M164" s="117" t="str">
        <f>IFERROR(__xludf.DUMMYFUNCTION("IF(
  K164="""",
  """",
  ROUND(
    IF(
      L164="""",
      K164,
      IF(
        ISERROR(FIND(""-"",L164)),
        K164 - VALUE(REGEXEXTRACT(L164,""(\d+)"")),
        K164 * (1 - VALUE(REGEXEXTRACT(L164,""(\d+)""))/100)
      )
    ),
    2
  )
)"&amp;"
")," ")</f>
        <v/>
      </c>
      <c r="N164" s="111"/>
      <c r="O164" s="154" t="b">
        <v>0</v>
      </c>
      <c r="P164" s="119"/>
      <c r="Q164" s="120"/>
      <c r="R164" s="121" t="b">
        <v>0</v>
      </c>
      <c r="S164" s="121" t="b">
        <v>0</v>
      </c>
      <c r="T164" s="122" t="b">
        <v>0</v>
      </c>
    </row>
    <row r="165" hidden="1" outlineLevel="1">
      <c r="A165" s="111"/>
      <c r="B165" s="116"/>
      <c r="C165" s="112"/>
      <c r="D165" s="111"/>
      <c r="E165" s="111"/>
      <c r="F165" s="111"/>
      <c r="G165" s="111"/>
      <c r="H165" s="144"/>
      <c r="I165" s="111"/>
      <c r="J165" s="114"/>
      <c r="K165" s="115"/>
      <c r="L165" s="116"/>
      <c r="M165" s="117" t="str">
        <f>IFERROR(__xludf.DUMMYFUNCTION("IF(
  K165="""",
  """",
  ROUND(
    IF(
      L165="""",
      K165,
      IF(
        ISERROR(FIND(""-"",L165)),
        K165 - VALUE(REGEXEXTRACT(L165,""(\d+)"")),
        K165 * (1 - VALUE(REGEXEXTRACT(L165,""(\d+)""))/100)
      )
    ),
    2
  )
)"&amp;"
")," ")</f>
        <v/>
      </c>
      <c r="N165" s="111"/>
      <c r="O165" s="154" t="b">
        <v>0</v>
      </c>
      <c r="P165" s="119"/>
      <c r="Q165" s="120"/>
      <c r="R165" s="121" t="b">
        <v>0</v>
      </c>
      <c r="S165" s="121" t="b">
        <v>0</v>
      </c>
      <c r="T165" s="122" t="b">
        <v>0</v>
      </c>
    </row>
    <row r="166" hidden="1" outlineLevel="1">
      <c r="A166" s="116"/>
      <c r="B166" s="116"/>
      <c r="C166" s="129"/>
      <c r="D166" s="111"/>
      <c r="E166" s="111"/>
      <c r="F166" s="116"/>
      <c r="G166" s="116"/>
      <c r="H166" s="151"/>
      <c r="I166" s="116"/>
      <c r="J166" s="132"/>
      <c r="K166" s="115"/>
      <c r="L166" s="116"/>
      <c r="M166" s="150" t="str">
        <f>IFERROR(__xludf.DUMMYFUNCTION("IF(
  K166="""",
  """",
  ROUND(
    IF(
      L166="""",
      K166,
      IF(
        ISERROR(FIND(""-"",L166)),
        K166 - VALUE(REGEXEXTRACT(L166,""(\d+)"")),
        K166 * (1 - VALUE(REGEXEXTRACT(L166,""(\d+)""))/100)
      )
    ),
    2
  )
)"&amp;"
")," ")</f>
        <v/>
      </c>
      <c r="N166" s="116"/>
      <c r="O166" s="118" t="b">
        <v>0</v>
      </c>
      <c r="P166" s="119"/>
      <c r="Q166" s="120"/>
      <c r="R166" s="121" t="b">
        <v>0</v>
      </c>
      <c r="S166" s="121" t="b">
        <v>0</v>
      </c>
      <c r="T166" s="122" t="b">
        <v>0</v>
      </c>
    </row>
    <row r="167" hidden="1" outlineLevel="1">
      <c r="A167" s="116"/>
      <c r="B167" s="116"/>
      <c r="C167" s="129"/>
      <c r="D167" s="111"/>
      <c r="E167" s="111"/>
      <c r="F167" s="116"/>
      <c r="G167" s="116"/>
      <c r="H167" s="151"/>
      <c r="I167" s="116"/>
      <c r="J167" s="132"/>
      <c r="K167" s="115"/>
      <c r="L167" s="116"/>
      <c r="M167" s="117" t="str">
        <f>IFERROR(__xludf.DUMMYFUNCTION("IF(
  K167="""",
  """",
  ROUND(
    IF(
      L167="""",
      K167,
      IF(
        ISERROR(FIND(""-"",L167)),
        K167 - VALUE(REGEXEXTRACT(L167,""(\d+)"")),
        K167 * (1 - VALUE(REGEXEXTRACT(L167,""(\d+)""))/100)
      )
    ),
    2
  )
)"&amp;"
")," ")</f>
        <v/>
      </c>
      <c r="N167" s="116"/>
      <c r="O167" s="118" t="b">
        <v>0</v>
      </c>
      <c r="P167" s="119"/>
      <c r="Q167" s="120"/>
      <c r="R167" s="121" t="b">
        <v>0</v>
      </c>
      <c r="S167" s="121" t="b">
        <v>0</v>
      </c>
      <c r="T167" s="122" t="b">
        <v>0</v>
      </c>
    </row>
    <row r="168" hidden="1" outlineLevel="1">
      <c r="A168" s="116"/>
      <c r="B168" s="116"/>
      <c r="C168" s="129"/>
      <c r="D168" s="111"/>
      <c r="E168" s="111"/>
      <c r="F168" s="116"/>
      <c r="G168" s="116"/>
      <c r="H168" s="151"/>
      <c r="I168" s="116"/>
      <c r="J168" s="129"/>
      <c r="K168" s="115"/>
      <c r="L168" s="116"/>
      <c r="M168" s="117" t="str">
        <f>IFERROR(__xludf.DUMMYFUNCTION("IF(
  K168="""",
  """",
  ROUND(
    IF(
      L168="""",
      K168,
      IF(
        ISERROR(FIND(""-"",L168)),
        K168 - VALUE(REGEXEXTRACT(L168,""(\d+)"")),
        K168 * (1 - VALUE(REGEXEXTRACT(L168,""(\d+)""))/100)
      )
    ),
    2
  )
)"&amp;"
")," ")</f>
        <v/>
      </c>
      <c r="N168" s="116"/>
      <c r="O168" s="118" t="b">
        <v>0</v>
      </c>
      <c r="P168" s="119"/>
      <c r="Q168" s="120"/>
      <c r="R168" s="121" t="b">
        <v>0</v>
      </c>
      <c r="S168" s="121" t="b">
        <v>0</v>
      </c>
      <c r="T168" s="122" t="b">
        <v>0</v>
      </c>
    </row>
    <row r="169" hidden="1" outlineLevel="1">
      <c r="A169" s="116"/>
      <c r="B169" s="116"/>
      <c r="C169" s="129"/>
      <c r="D169" s="111"/>
      <c r="E169" s="111"/>
      <c r="F169" s="116"/>
      <c r="G169" s="116"/>
      <c r="H169" s="151"/>
      <c r="I169" s="116"/>
      <c r="J169" s="129"/>
      <c r="K169" s="115"/>
      <c r="L169" s="116"/>
      <c r="M169" s="117" t="str">
        <f>IFERROR(__xludf.DUMMYFUNCTION("IF(
  K169="""",
  """",
  ROUND(
    IF(
      L169="""",
      K169,
      IF(
        ISERROR(FIND(""-"",L169)),
        K169 - VALUE(REGEXEXTRACT(L169,""(\d+)"")),
        K169 * (1 - VALUE(REGEXEXTRACT(L169,""(\d+)""))/100)
      )
    ),
    2
  )
)"&amp;"
")," ")</f>
        <v/>
      </c>
      <c r="N169" s="116"/>
      <c r="O169" s="118" t="b">
        <v>0</v>
      </c>
      <c r="P169" s="119"/>
      <c r="Q169" s="120"/>
      <c r="R169" s="121" t="b">
        <v>0</v>
      </c>
      <c r="S169" s="121" t="b">
        <v>0</v>
      </c>
      <c r="T169" s="122" t="b">
        <v>0</v>
      </c>
    </row>
    <row r="170" hidden="1" outlineLevel="1">
      <c r="A170" s="116"/>
      <c r="B170" s="116"/>
      <c r="C170" s="155"/>
      <c r="D170" s="111"/>
      <c r="E170" s="111"/>
      <c r="F170" s="156"/>
      <c r="G170" s="157"/>
      <c r="H170" s="156"/>
      <c r="I170" s="156"/>
      <c r="J170" s="158"/>
      <c r="K170" s="115"/>
      <c r="L170" s="116"/>
      <c r="M170" s="117" t="str">
        <f>IFERROR(__xludf.DUMMYFUNCTION("IF(
  K170="""",
  """",
  ROUND(
    IF(
      L170="""",
      K170,
      IF(
        ISERROR(FIND(""-"",L170)),
        K170 - VALUE(REGEXEXTRACT(L170,""(\d+)"")),
        K170 * (1 - VALUE(REGEXEXTRACT(L170,""(\d+)""))/100)
      )
    ),
    2
  )
)"&amp;"
")," ")</f>
        <v/>
      </c>
      <c r="N170" s="116"/>
      <c r="O170" s="118" t="b">
        <v>0</v>
      </c>
      <c r="P170" s="119"/>
      <c r="Q170" s="159"/>
      <c r="R170" s="121" t="b">
        <v>0</v>
      </c>
      <c r="S170" s="121" t="b">
        <v>0</v>
      </c>
      <c r="T170" s="122" t="b">
        <v>0</v>
      </c>
    </row>
    <row r="171">
      <c r="A171" s="160" t="s">
        <v>116</v>
      </c>
      <c r="B171" s="161">
        <f>COUNTIF(B91:B170,"ONLINE")+COUNTIF(B91:B170,"SEDE*")</f>
        <v>0</v>
      </c>
      <c r="C171" s="160" t="s">
        <v>116</v>
      </c>
      <c r="D171" s="161">
        <f t="shared" ref="D171:F171" si="9">COUNTIF(D91:D170, "*")</f>
        <v>0</v>
      </c>
      <c r="E171" s="161">
        <f t="shared" si="9"/>
        <v>0</v>
      </c>
      <c r="F171" s="161">
        <f t="shared" si="9"/>
        <v>0</v>
      </c>
      <c r="G171" s="162">
        <f>COUNTA(G91:G170)</f>
        <v>0</v>
      </c>
      <c r="H171" s="161">
        <f t="shared" ref="H171:I171" si="10">COUNTIF(H91:H170, "*")</f>
        <v>0</v>
      </c>
      <c r="I171" s="161">
        <f t="shared" si="10"/>
        <v>0</v>
      </c>
      <c r="J171" s="160" t="s">
        <v>116</v>
      </c>
      <c r="K171" s="163">
        <f>SUM(K91:K170)</f>
        <v>0</v>
      </c>
      <c r="L171" s="161">
        <f>COUNTIF(L91:L170, "*")</f>
        <v>0</v>
      </c>
      <c r="M171" s="163">
        <f>SUM(M91:M170)</f>
        <v>0</v>
      </c>
      <c r="N171" s="161">
        <f>COUNTIF(N91:N170, "*")</f>
        <v>0</v>
      </c>
      <c r="O171" s="161">
        <f>SUMPRODUCT(--O91:O170)</f>
        <v>0</v>
      </c>
      <c r="P171" s="161">
        <f t="shared" ref="P171:Q171" si="11">COUNTIF(P91:P170, "*")</f>
        <v>0</v>
      </c>
      <c r="Q171" s="161">
        <f t="shared" si="11"/>
        <v>0</v>
      </c>
      <c r="R171" s="161">
        <f t="shared" ref="R171:T171" si="12">SUMPRODUCT(--R91:R170)</f>
        <v>0</v>
      </c>
      <c r="S171" s="161">
        <f t="shared" si="12"/>
        <v>0</v>
      </c>
      <c r="T171" s="161">
        <f t="shared" si="12"/>
        <v>0</v>
      </c>
    </row>
    <row r="172">
      <c r="A172" s="164" t="s">
        <v>117</v>
      </c>
      <c r="B172" s="165">
        <f>COUNTIF(B91:B170, "SEDE*")</f>
        <v>0</v>
      </c>
      <c r="C172" s="142"/>
      <c r="D172" s="166" t="s">
        <v>126</v>
      </c>
      <c r="E172" s="167" t="s">
        <v>119</v>
      </c>
      <c r="F172" s="168" t="str">
        <f>IFERROR(__xludf.DUMMYFUNCTION("IFERROR(TRANSPOSE(SORT(UNIQUE(FILTER($M$91:$M$170,$M$91:$M$170&lt;&gt;"""")))),"""")")," ")</f>
        <v/>
      </c>
      <c r="G172" s="168"/>
      <c r="H172" s="168"/>
      <c r="I172" s="168"/>
      <c r="J172" s="168"/>
      <c r="K172" s="169"/>
      <c r="L172" s="169"/>
      <c r="M172" s="169"/>
      <c r="N172" s="169"/>
      <c r="O172" s="168"/>
      <c r="P172" s="170" t="s">
        <v>40</v>
      </c>
      <c r="Q172" s="171" t="str">
        <f>IF(SUM(F174:O174)=0,"",SUM(F174:O174))
</f>
        <v/>
      </c>
      <c r="R172" s="164" t="s">
        <v>120</v>
      </c>
      <c r="S172" s="165" t="str">
        <f>IF(SUM(M171) = SUM(Q172:Q176), "OK", "ERRORE")</f>
        <v>OK</v>
      </c>
    </row>
    <row r="173">
      <c r="A173" s="164" t="s">
        <v>74</v>
      </c>
      <c r="B173" s="165">
        <f>COUNTIF(B91:B170, "ONLINE")</f>
        <v>0</v>
      </c>
      <c r="E173" s="172" t="s">
        <v>121</v>
      </c>
      <c r="F173" s="172" t="str">
        <f t="shared" ref="F173:O173" si="13">IF(
  F$172="",
  "",
  COUNTIFS($B$91:$B$170,"*SEDE*",$M$91:$M$170,F$172)
)
</f>
        <v/>
      </c>
      <c r="G173" s="172" t="str">
        <f t="shared" si="13"/>
        <v/>
      </c>
      <c r="H173" s="172" t="str">
        <f t="shared" si="13"/>
        <v/>
      </c>
      <c r="I173" s="172" t="str">
        <f t="shared" si="13"/>
        <v/>
      </c>
      <c r="J173" s="172" t="str">
        <f t="shared" si="13"/>
        <v/>
      </c>
      <c r="K173" s="172" t="str">
        <f t="shared" si="13"/>
        <v/>
      </c>
      <c r="L173" s="172" t="str">
        <f t="shared" si="13"/>
        <v/>
      </c>
      <c r="M173" s="172" t="str">
        <f t="shared" si="13"/>
        <v/>
      </c>
      <c r="N173" s="172" t="str">
        <f t="shared" si="13"/>
        <v/>
      </c>
      <c r="O173" s="172" t="str">
        <f t="shared" si="13"/>
        <v/>
      </c>
    </row>
    <row r="174">
      <c r="E174" s="173" t="s">
        <v>122</v>
      </c>
      <c r="F174" s="174" t="str">
        <f t="shared" ref="F174:O174" si="14">IF(
  F$172="",
  "",
  SUMIFS($M$91:$M$170,$B$91:$B$170,"*SEDE*",$M$91:$M$170,F$172)
)
</f>
        <v/>
      </c>
      <c r="G174" s="174" t="str">
        <f t="shared" si="14"/>
        <v/>
      </c>
      <c r="H174" s="174" t="str">
        <f t="shared" si="14"/>
        <v/>
      </c>
      <c r="I174" s="174" t="str">
        <f t="shared" si="14"/>
        <v/>
      </c>
      <c r="J174" s="174" t="str">
        <f t="shared" si="14"/>
        <v/>
      </c>
      <c r="K174" s="174" t="str">
        <f t="shared" si="14"/>
        <v/>
      </c>
      <c r="L174" s="174" t="str">
        <f t="shared" si="14"/>
        <v/>
      </c>
      <c r="M174" s="174" t="str">
        <f t="shared" si="14"/>
        <v/>
      </c>
      <c r="N174" s="174" t="str">
        <f t="shared" si="14"/>
        <v/>
      </c>
      <c r="O174" s="174" t="str">
        <f t="shared" si="14"/>
        <v/>
      </c>
    </row>
    <row r="175">
      <c r="E175" s="172" t="s">
        <v>123</v>
      </c>
      <c r="F175" s="175" t="str">
        <f t="shared" ref="F175:O175" si="15">IF(
  F$172="",
  "",
  COUNTIFS($B$91:$B$170,"*ONLINE*",$M$91:$M$170,F$172)
)
</f>
        <v/>
      </c>
      <c r="G175" s="175" t="str">
        <f t="shared" si="15"/>
        <v/>
      </c>
      <c r="H175" s="175" t="str">
        <f t="shared" si="15"/>
        <v/>
      </c>
      <c r="I175" s="175" t="str">
        <f t="shared" si="15"/>
        <v/>
      </c>
      <c r="J175" s="175" t="str">
        <f t="shared" si="15"/>
        <v/>
      </c>
      <c r="K175" s="175" t="str">
        <f t="shared" si="15"/>
        <v/>
      </c>
      <c r="L175" s="175" t="str">
        <f t="shared" si="15"/>
        <v/>
      </c>
      <c r="M175" s="175" t="str">
        <f t="shared" si="15"/>
        <v/>
      </c>
      <c r="N175" s="175" t="str">
        <f t="shared" si="15"/>
        <v/>
      </c>
      <c r="O175" s="175" t="str">
        <f t="shared" si="15"/>
        <v/>
      </c>
      <c r="P175" s="170" t="s">
        <v>40</v>
      </c>
      <c r="Q175" s="171" t="str">
        <f>IF(SUM(F176:O176)=0,"",SUM(F176:O176))
</f>
        <v/>
      </c>
    </row>
    <row r="176">
      <c r="E176" s="173" t="s">
        <v>124</v>
      </c>
      <c r="F176" s="174" t="str">
        <f t="shared" ref="F176:O176" si="16">IF(
  F$172="",
  "",
  SUMIFS($M$91:$M$170,$B$91:$B$170,"*ONLINE*",$M$91:$M$170,F$172)
)
</f>
        <v/>
      </c>
      <c r="G176" s="174" t="str">
        <f t="shared" si="16"/>
        <v/>
      </c>
      <c r="H176" s="174" t="str">
        <f t="shared" si="16"/>
        <v/>
      </c>
      <c r="I176" s="174" t="str">
        <f t="shared" si="16"/>
        <v/>
      </c>
      <c r="J176" s="174" t="str">
        <f t="shared" si="16"/>
        <v/>
      </c>
      <c r="K176" s="174" t="str">
        <f t="shared" si="16"/>
        <v/>
      </c>
      <c r="L176" s="174" t="str">
        <f t="shared" si="16"/>
        <v/>
      </c>
      <c r="M176" s="174" t="str">
        <f t="shared" si="16"/>
        <v/>
      </c>
      <c r="N176" s="174" t="str">
        <f t="shared" si="16"/>
        <v/>
      </c>
      <c r="O176" s="174" t="str">
        <f t="shared" si="16"/>
        <v/>
      </c>
    </row>
    <row r="177" ht="26.25" customHeight="1" collapsed="1">
      <c r="A177" s="176"/>
      <c r="B177" s="176"/>
      <c r="C177" s="176" t="s">
        <v>125</v>
      </c>
    </row>
    <row r="178" hidden="1" outlineLevel="1">
      <c r="A178" s="116"/>
      <c r="B178" s="116"/>
      <c r="C178" s="129"/>
      <c r="D178" s="157"/>
      <c r="E178" s="157"/>
      <c r="F178" s="156"/>
      <c r="G178" s="157"/>
      <c r="H178" s="116"/>
      <c r="I178" s="116"/>
      <c r="J178" s="134"/>
      <c r="K178" s="177"/>
      <c r="L178" s="116"/>
      <c r="M178" s="178" t="str">
        <f>IFERROR(__xludf.DUMMYFUNCTION("IF(
  K178="""",
  """",
  ROUND(
    IF(
      L178="""",
      K178,
      IF(
        ISERROR(FIND(""-"",L178)),
        K178 - VALUE(REGEXEXTRACT(L178,""(\d+)"")),
        K178 * (1 - VALUE(REGEXEXTRACT(L178,""(\d+)""))/100)
      )
    ),
    2
  )
)"&amp;"
")," ")</f>
        <v/>
      </c>
      <c r="N178" s="116"/>
      <c r="O178" s="118" t="b">
        <v>0</v>
      </c>
      <c r="P178" s="179"/>
      <c r="Q178" s="120"/>
      <c r="R178" s="121" t="b">
        <v>0</v>
      </c>
      <c r="S178" s="121" t="b">
        <v>0</v>
      </c>
      <c r="T178" s="122" t="b">
        <v>0</v>
      </c>
    </row>
    <row r="179" hidden="1" outlineLevel="1">
      <c r="A179" s="116"/>
      <c r="B179" s="116"/>
      <c r="C179" s="129"/>
      <c r="D179" s="116"/>
      <c r="E179" s="116"/>
      <c r="F179" s="116"/>
      <c r="G179" s="116"/>
      <c r="H179" s="116"/>
      <c r="I179" s="116"/>
      <c r="J179" s="134"/>
      <c r="K179" s="177"/>
      <c r="L179" s="116"/>
      <c r="M179" s="178" t="str">
        <f>IFERROR(__xludf.DUMMYFUNCTION("IF(
  K179="""",
  """",
  ROUND(
    IF(
      L179="""",
      K179,
      IF(
        ISERROR(FIND(""-"",L179)),
        K179 - VALUE(REGEXEXTRACT(L179,""(\d+)"")),
        K179 * (1 - VALUE(REGEXEXTRACT(L179,""(\d+)""))/100)
      )
    ),
    2
  )
)"&amp;"
")," ")</f>
        <v/>
      </c>
      <c r="N179" s="116"/>
      <c r="O179" s="118" t="b">
        <v>0</v>
      </c>
      <c r="P179" s="179"/>
      <c r="Q179" s="120"/>
      <c r="R179" s="121" t="b">
        <v>0</v>
      </c>
      <c r="S179" s="121" t="b">
        <v>0</v>
      </c>
      <c r="T179" s="122" t="b">
        <v>0</v>
      </c>
    </row>
    <row r="180" hidden="1" outlineLevel="1">
      <c r="A180" s="116"/>
      <c r="B180" s="116"/>
      <c r="C180" s="129"/>
      <c r="D180" s="116"/>
      <c r="E180" s="116"/>
      <c r="F180" s="116"/>
      <c r="G180" s="116"/>
      <c r="H180" s="111"/>
      <c r="I180" s="111"/>
      <c r="J180" s="126"/>
      <c r="K180" s="180"/>
      <c r="L180" s="116"/>
      <c r="M180" s="178" t="str">
        <f>IFERROR(__xludf.DUMMYFUNCTION("IF(
  K180="""",
  """",
  ROUND(
    IF(
      L180="""",
      K180,
      IF(
        ISERROR(FIND(""-"",L180)),
        K180 - VALUE(REGEXEXTRACT(L180,""(\d+)"")),
        K180 * (1 - VALUE(REGEXEXTRACT(L180,""(\d+)""))/100)
      )
    ),
    2
  )
)"&amp;"
")," ")</f>
        <v/>
      </c>
      <c r="N180" s="116"/>
      <c r="O180" s="118" t="b">
        <v>0</v>
      </c>
      <c r="P180" s="179"/>
      <c r="Q180" s="120"/>
      <c r="R180" s="121" t="b">
        <v>0</v>
      </c>
      <c r="S180" s="121" t="b">
        <v>0</v>
      </c>
      <c r="T180" s="122" t="b">
        <v>0</v>
      </c>
    </row>
    <row r="181" hidden="1" outlineLevel="1">
      <c r="A181" s="116"/>
      <c r="B181" s="116"/>
      <c r="C181" s="129"/>
      <c r="D181" s="157"/>
      <c r="E181" s="157"/>
      <c r="F181" s="116"/>
      <c r="G181" s="116"/>
      <c r="H181" s="116"/>
      <c r="I181" s="116"/>
      <c r="J181" s="134"/>
      <c r="K181" s="177"/>
      <c r="L181" s="116"/>
      <c r="M181" s="178" t="str">
        <f>IFERROR(__xludf.DUMMYFUNCTION("IF(
  K181="""",
  """",
  ROUND(
    IF(
      L181="""",
      K181,
      IF(
        ISERROR(FIND(""-"",L181)),
        K181 - VALUE(REGEXEXTRACT(L181,""(\d+)"")),
        K181 * (1 - VALUE(REGEXEXTRACT(L181,""(\d+)""))/100)
      )
    ),
    2
  )
)"&amp;"
")," ")</f>
        <v/>
      </c>
      <c r="N181" s="116"/>
      <c r="O181" s="118" t="b">
        <v>0</v>
      </c>
      <c r="P181" s="179"/>
      <c r="Q181" s="120"/>
      <c r="R181" s="121" t="b">
        <v>0</v>
      </c>
      <c r="S181" s="121" t="b">
        <v>0</v>
      </c>
      <c r="T181" s="122" t="b">
        <v>0</v>
      </c>
    </row>
    <row r="182" hidden="1" outlineLevel="1">
      <c r="A182" s="116"/>
      <c r="B182" s="116"/>
      <c r="C182" s="129"/>
      <c r="D182" s="116"/>
      <c r="E182" s="116"/>
      <c r="F182" s="116"/>
      <c r="G182" s="116"/>
      <c r="H182" s="116"/>
      <c r="I182" s="116"/>
      <c r="J182" s="134"/>
      <c r="K182" s="177"/>
      <c r="L182" s="116"/>
      <c r="M182" s="178" t="str">
        <f>IFERROR(__xludf.DUMMYFUNCTION("IF(
  K182="""",
  """",
  ROUND(
    IF(
      L182="""",
      K182,
      IF(
        ISERROR(FIND(""-"",L182)),
        K182 - VALUE(REGEXEXTRACT(L182,""(\d+)"")),
        K182 * (1 - VALUE(REGEXEXTRACT(L182,""(\d+)""))/100)
      )
    ),
    2
  )
)"&amp;"
")," ")</f>
        <v/>
      </c>
      <c r="N182" s="116"/>
      <c r="O182" s="118" t="b">
        <v>0</v>
      </c>
      <c r="P182" s="179"/>
      <c r="Q182" s="120"/>
      <c r="R182" s="121" t="b">
        <v>0</v>
      </c>
      <c r="S182" s="121" t="b">
        <v>0</v>
      </c>
      <c r="T182" s="122" t="b">
        <v>0</v>
      </c>
    </row>
    <row r="183" hidden="1" outlineLevel="1">
      <c r="A183" s="116"/>
      <c r="B183" s="116"/>
      <c r="C183" s="112"/>
      <c r="D183" s="116"/>
      <c r="E183" s="116"/>
      <c r="F183" s="111"/>
      <c r="G183" s="111"/>
      <c r="H183" s="111"/>
      <c r="I183" s="111"/>
      <c r="J183" s="134"/>
      <c r="K183" s="177"/>
      <c r="L183" s="116"/>
      <c r="M183" s="178" t="str">
        <f>IFERROR(__xludf.DUMMYFUNCTION("IF(
  K183="""",
  """",
  ROUND(
    IF(
      L183="""",
      K183,
      IF(
        ISERROR(FIND(""-"",L183)),
        K183 - VALUE(REGEXEXTRACT(L183,""(\d+)"")),
        K183 * (1 - VALUE(REGEXEXTRACT(L183,""(\d+)""))/100)
      )
    ),
    2
  )
)"&amp;"
")," ")</f>
        <v/>
      </c>
      <c r="N183" s="116"/>
      <c r="O183" s="118" t="b">
        <v>0</v>
      </c>
      <c r="P183" s="179"/>
      <c r="Q183" s="120"/>
      <c r="R183" s="121" t="b">
        <v>0</v>
      </c>
      <c r="S183" s="121" t="b">
        <v>0</v>
      </c>
      <c r="T183" s="122" t="b">
        <v>0</v>
      </c>
    </row>
    <row r="184" hidden="1" outlineLevel="1">
      <c r="A184" s="116"/>
      <c r="B184" s="116"/>
      <c r="C184" s="112"/>
      <c r="D184" s="157"/>
      <c r="E184" s="157"/>
      <c r="F184" s="111"/>
      <c r="G184" s="111"/>
      <c r="H184" s="111"/>
      <c r="I184" s="111"/>
      <c r="J184" s="114"/>
      <c r="K184" s="177"/>
      <c r="L184" s="116"/>
      <c r="M184" s="178" t="str">
        <f>IFERROR(__xludf.DUMMYFUNCTION("IF(
  K184="""",
  """",
  ROUND(
    IF(
      L184="""",
      K184,
      IF(
        ISERROR(FIND(""-"",L184)),
        K184 - VALUE(REGEXEXTRACT(L184,""(\d+)"")),
        K184 * (1 - VALUE(REGEXEXTRACT(L184,""(\d+)""))/100)
      )
    ),
    2
  )
)"&amp;"
")," ")</f>
        <v/>
      </c>
      <c r="N184" s="116"/>
      <c r="O184" s="118" t="b">
        <v>0</v>
      </c>
      <c r="P184" s="179"/>
      <c r="Q184" s="120"/>
      <c r="R184" s="121" t="b">
        <v>0</v>
      </c>
      <c r="S184" s="121" t="b">
        <v>0</v>
      </c>
      <c r="T184" s="122" t="b">
        <v>0</v>
      </c>
    </row>
    <row r="185" hidden="1" outlineLevel="1">
      <c r="A185" s="116"/>
      <c r="B185" s="116"/>
      <c r="C185" s="112"/>
      <c r="D185" s="116"/>
      <c r="E185" s="116"/>
      <c r="F185" s="111"/>
      <c r="G185" s="111"/>
      <c r="H185" s="111"/>
      <c r="I185" s="111"/>
      <c r="J185" s="126"/>
      <c r="K185" s="180"/>
      <c r="L185" s="116"/>
      <c r="M185" s="178" t="str">
        <f>IFERROR(__xludf.DUMMYFUNCTION("IF(
  K185="""",
  """",
  ROUND(
    IF(
      L185="""",
      K185,
      IF(
        ISERROR(FIND(""-"",L185)),
        K185 - VALUE(REGEXEXTRACT(L185,""(\d+)"")),
        K185 * (1 - VALUE(REGEXEXTRACT(L185,""(\d+)""))/100)
      )
    ),
    2
  )
)"&amp;"
")," ")</f>
        <v/>
      </c>
      <c r="N185" s="116"/>
      <c r="O185" s="118" t="b">
        <v>0</v>
      </c>
      <c r="P185" s="179"/>
      <c r="Q185" s="120"/>
      <c r="R185" s="121" t="b">
        <v>0</v>
      </c>
      <c r="S185" s="121" t="b">
        <v>0</v>
      </c>
      <c r="T185" s="122" t="b">
        <v>0</v>
      </c>
    </row>
    <row r="186" hidden="1" outlineLevel="1">
      <c r="A186" s="116"/>
      <c r="B186" s="116"/>
      <c r="C186" s="112"/>
      <c r="D186" s="116"/>
      <c r="E186" s="116"/>
      <c r="F186" s="111"/>
      <c r="G186" s="111"/>
      <c r="H186" s="111"/>
      <c r="I186" s="111"/>
      <c r="J186" s="126"/>
      <c r="K186" s="177"/>
      <c r="L186" s="116"/>
      <c r="M186" s="178" t="str">
        <f>IFERROR(__xludf.DUMMYFUNCTION("IF(
  K186="""",
  """",
  ROUND(
    IF(
      L186="""",
      K186,
      IF(
        ISERROR(FIND(""-"",L186)),
        K186 - VALUE(REGEXEXTRACT(L186,""(\d+)"")),
        K186 * (1 - VALUE(REGEXEXTRACT(L186,""(\d+)""))/100)
      )
    ),
    2
  )
)"&amp;"
")," ")</f>
        <v/>
      </c>
      <c r="N186" s="116"/>
      <c r="O186" s="118" t="b">
        <v>0</v>
      </c>
      <c r="P186" s="179"/>
      <c r="Q186" s="120"/>
      <c r="R186" s="121" t="b">
        <v>0</v>
      </c>
      <c r="S186" s="121" t="b">
        <v>0</v>
      </c>
      <c r="T186" s="122" t="b">
        <v>0</v>
      </c>
    </row>
    <row r="187" hidden="1" outlineLevel="1">
      <c r="A187" s="116"/>
      <c r="B187" s="116"/>
      <c r="C187" s="112"/>
      <c r="D187" s="157"/>
      <c r="E187" s="157"/>
      <c r="F187" s="111"/>
      <c r="G187" s="111"/>
      <c r="H187" s="111"/>
      <c r="I187" s="111"/>
      <c r="J187" s="114"/>
      <c r="K187" s="177"/>
      <c r="L187" s="116"/>
      <c r="M187" s="178" t="str">
        <f>IFERROR(__xludf.DUMMYFUNCTION("IF(
  K187="""",
  """",
  ROUND(
    IF(
      L187="""",
      K187,
      IF(
        ISERROR(FIND(""-"",L187)),
        K187 - VALUE(REGEXEXTRACT(L187,""(\d+)"")),
        K187 * (1 - VALUE(REGEXEXTRACT(L187,""(\d+)""))/100)
      )
    ),
    2
  )
)"&amp;"
")," ")</f>
        <v/>
      </c>
      <c r="N187" s="116"/>
      <c r="O187" s="118" t="b">
        <v>0</v>
      </c>
      <c r="P187" s="179"/>
      <c r="Q187" s="120"/>
      <c r="R187" s="121" t="b">
        <v>0</v>
      </c>
      <c r="S187" s="121" t="b">
        <v>0</v>
      </c>
      <c r="T187" s="122" t="b">
        <v>0</v>
      </c>
    </row>
    <row r="188" hidden="1" outlineLevel="1">
      <c r="A188" s="116"/>
      <c r="B188" s="116"/>
      <c r="C188" s="112"/>
      <c r="D188" s="116"/>
      <c r="E188" s="116"/>
      <c r="F188" s="111"/>
      <c r="G188" s="111"/>
      <c r="H188" s="111"/>
      <c r="I188" s="111"/>
      <c r="J188" s="126"/>
      <c r="K188" s="177"/>
      <c r="L188" s="116"/>
      <c r="M188" s="178" t="str">
        <f>IFERROR(__xludf.DUMMYFUNCTION("IF(
  K188="""",
  """",
  ROUND(
    IF(
      L188="""",
      K188,
      IF(
        ISERROR(FIND(""-"",L188)),
        K188 - VALUE(REGEXEXTRACT(L188,""(\d+)"")),
        K188 * (1 - VALUE(REGEXEXTRACT(L188,""(\d+)""))/100)
      )
    ),
    2
  )
)"&amp;"
")," ")</f>
        <v/>
      </c>
      <c r="N188" s="116"/>
      <c r="O188" s="118" t="b">
        <v>0</v>
      </c>
      <c r="P188" s="179"/>
      <c r="Q188" s="120"/>
      <c r="R188" s="121" t="b">
        <v>0</v>
      </c>
      <c r="S188" s="121" t="b">
        <v>0</v>
      </c>
      <c r="T188" s="122" t="b">
        <v>0</v>
      </c>
    </row>
    <row r="189" hidden="1" outlineLevel="1">
      <c r="A189" s="116"/>
      <c r="B189" s="116"/>
      <c r="C189" s="112"/>
      <c r="D189" s="116"/>
      <c r="E189" s="116"/>
      <c r="F189" s="111"/>
      <c r="G189" s="111"/>
      <c r="H189" s="111"/>
      <c r="I189" s="111"/>
      <c r="J189" s="126"/>
      <c r="K189" s="177"/>
      <c r="L189" s="116"/>
      <c r="M189" s="178" t="str">
        <f>IFERROR(__xludf.DUMMYFUNCTION("IF(
  K189="""",
  """",
  ROUND(
    IF(
      L189="""",
      K189,
      IF(
        ISERROR(FIND(""-"",L189)),
        K189 - VALUE(REGEXEXTRACT(L189,""(\d+)"")),
        K189 * (1 - VALUE(REGEXEXTRACT(L189,""(\d+)""))/100)
      )
    ),
    2
  )
)"&amp;"
")," ")</f>
        <v/>
      </c>
      <c r="N189" s="116"/>
      <c r="O189" s="118" t="b">
        <v>0</v>
      </c>
      <c r="P189" s="179"/>
      <c r="Q189" s="120"/>
      <c r="R189" s="121" t="b">
        <v>0</v>
      </c>
      <c r="S189" s="121" t="b">
        <v>0</v>
      </c>
      <c r="T189" s="122" t="b">
        <v>0</v>
      </c>
    </row>
    <row r="190" hidden="1" outlineLevel="1">
      <c r="A190" s="116"/>
      <c r="B190" s="116"/>
      <c r="C190" s="112"/>
      <c r="D190" s="157"/>
      <c r="E190" s="157"/>
      <c r="F190" s="111"/>
      <c r="G190" s="111"/>
      <c r="H190" s="111"/>
      <c r="I190" s="111"/>
      <c r="J190" s="126"/>
      <c r="K190" s="177"/>
      <c r="L190" s="116"/>
      <c r="M190" s="178" t="str">
        <f>IFERROR(__xludf.DUMMYFUNCTION("IF(
  K190="""",
  """",
  ROUND(
    IF(
      L190="""",
      K190,
      IF(
        ISERROR(FIND(""-"",L190)),
        K190 - VALUE(REGEXEXTRACT(L190,""(\d+)"")),
        K190 * (1 - VALUE(REGEXEXTRACT(L190,""(\d+)""))/100)
      )
    ),
    2
  )
)"&amp;"
")," ")</f>
        <v/>
      </c>
      <c r="N190" s="116"/>
      <c r="O190" s="118" t="b">
        <v>0</v>
      </c>
      <c r="P190" s="179"/>
      <c r="Q190" s="120"/>
      <c r="R190" s="121" t="b">
        <v>0</v>
      </c>
      <c r="S190" s="121" t="b">
        <v>0</v>
      </c>
      <c r="T190" s="122" t="b">
        <v>0</v>
      </c>
    </row>
    <row r="191" hidden="1" outlineLevel="1">
      <c r="A191" s="116"/>
      <c r="B191" s="116"/>
      <c r="C191" s="112"/>
      <c r="D191" s="116"/>
      <c r="E191" s="116"/>
      <c r="F191" s="111"/>
      <c r="G191" s="111"/>
      <c r="H191" s="111"/>
      <c r="I191" s="111"/>
      <c r="J191" s="126"/>
      <c r="K191" s="177"/>
      <c r="L191" s="116"/>
      <c r="M191" s="178" t="str">
        <f>IFERROR(__xludf.DUMMYFUNCTION("IF(
  K191="""",
  """",
  ROUND(
    IF(
      L191="""",
      K191,
      IF(
        ISERROR(FIND(""-"",L191)),
        K191 - VALUE(REGEXEXTRACT(L191,""(\d+)"")),
        K191 * (1 - VALUE(REGEXEXTRACT(L191,""(\d+)""))/100)
      )
    ),
    2
  )
)"&amp;"
")," ")</f>
        <v/>
      </c>
      <c r="N191" s="116"/>
      <c r="O191" s="118" t="b">
        <v>0</v>
      </c>
      <c r="P191" s="179"/>
      <c r="Q191" s="120"/>
      <c r="R191" s="121" t="b">
        <v>0</v>
      </c>
      <c r="S191" s="121" t="b">
        <v>0</v>
      </c>
      <c r="T191" s="122" t="b">
        <v>0</v>
      </c>
    </row>
    <row r="192" hidden="1" outlineLevel="1">
      <c r="A192" s="116"/>
      <c r="B192" s="116"/>
      <c r="C192" s="112"/>
      <c r="D192" s="116"/>
      <c r="E192" s="116"/>
      <c r="F192" s="111"/>
      <c r="G192" s="111"/>
      <c r="H192" s="111"/>
      <c r="I192" s="111"/>
      <c r="J192" s="126"/>
      <c r="K192" s="177"/>
      <c r="L192" s="116"/>
      <c r="M192" s="178" t="str">
        <f>IFERROR(__xludf.DUMMYFUNCTION("IF(
  K192="""",
  """",
  ROUND(
    IF(
      L192="""",
      K192,
      IF(
        ISERROR(FIND(""-"",L192)),
        K192 - VALUE(REGEXEXTRACT(L192,""(\d+)"")),
        K192 * (1 - VALUE(REGEXEXTRACT(L192,""(\d+)""))/100)
      )
    ),
    2
  )
)"&amp;"
")," ")</f>
        <v/>
      </c>
      <c r="N192" s="116"/>
      <c r="O192" s="118" t="b">
        <v>0</v>
      </c>
      <c r="P192" s="179"/>
      <c r="Q192" s="120"/>
      <c r="R192" s="121" t="b">
        <v>0</v>
      </c>
      <c r="S192" s="121" t="b">
        <v>0</v>
      </c>
      <c r="T192" s="122" t="b">
        <v>0</v>
      </c>
    </row>
    <row r="193" hidden="1" outlineLevel="1">
      <c r="A193" s="116"/>
      <c r="B193" s="116"/>
      <c r="C193" s="112"/>
      <c r="D193" s="157"/>
      <c r="E193" s="157"/>
      <c r="F193" s="111"/>
      <c r="G193" s="111"/>
      <c r="H193" s="111"/>
      <c r="I193" s="111"/>
      <c r="J193" s="126"/>
      <c r="K193" s="177"/>
      <c r="L193" s="116"/>
      <c r="M193" s="178" t="str">
        <f>IFERROR(__xludf.DUMMYFUNCTION("IF(
  K193="""",
  """",
  ROUND(
    IF(
      L193="""",
      K193,
      IF(
        ISERROR(FIND(""-"",L193)),
        K193 - VALUE(REGEXEXTRACT(L193,""(\d+)"")),
        K193 * (1 - VALUE(REGEXEXTRACT(L193,""(\d+)""))/100)
      )
    ),
    2
  )
)"&amp;"
")," ")</f>
        <v/>
      </c>
      <c r="N193" s="116"/>
      <c r="O193" s="118" t="b">
        <v>0</v>
      </c>
      <c r="P193" s="179"/>
      <c r="Q193" s="120"/>
      <c r="R193" s="121" t="b">
        <v>0</v>
      </c>
      <c r="S193" s="121" t="b">
        <v>0</v>
      </c>
      <c r="T193" s="122" t="b">
        <v>0</v>
      </c>
    </row>
    <row r="194" hidden="1" outlineLevel="1">
      <c r="A194" s="131"/>
      <c r="B194" s="131"/>
      <c r="C194" s="123"/>
      <c r="D194" s="116"/>
      <c r="E194" s="116"/>
      <c r="F194" s="124"/>
      <c r="G194" s="124"/>
      <c r="H194" s="124"/>
      <c r="I194" s="124"/>
      <c r="J194" s="125"/>
      <c r="K194" s="180"/>
      <c r="L194" s="131"/>
      <c r="M194" s="178" t="str">
        <f>IFERROR(__xludf.DUMMYFUNCTION("IF(
  K194="""",
  """",
  ROUND(
    IF(
      L194="""",
      K194,
      IF(
        ISERROR(FIND(""-"",L194)),
        K194 - VALUE(REGEXEXTRACT(L194,""(\d+)"")),
        K194 * (1 - VALUE(REGEXEXTRACT(L194,""(\d+)""))/100)
      )
    ),
    2
  )
)"&amp;"
")," ")</f>
        <v/>
      </c>
      <c r="N194" s="131"/>
      <c r="O194" s="118" t="b">
        <v>0</v>
      </c>
      <c r="P194" s="179"/>
      <c r="Q194" s="149"/>
      <c r="R194" s="121" t="b">
        <v>0</v>
      </c>
      <c r="S194" s="121" t="b">
        <v>0</v>
      </c>
      <c r="T194" s="122" t="b">
        <v>0</v>
      </c>
    </row>
    <row r="195" hidden="1" outlineLevel="1">
      <c r="A195" s="116"/>
      <c r="B195" s="116"/>
      <c r="C195" s="112"/>
      <c r="D195" s="116"/>
      <c r="E195" s="116"/>
      <c r="F195" s="111"/>
      <c r="G195" s="111"/>
      <c r="H195" s="111"/>
      <c r="I195" s="111"/>
      <c r="J195" s="126"/>
      <c r="K195" s="177"/>
      <c r="L195" s="116"/>
      <c r="M195" s="178" t="str">
        <f>IFERROR(__xludf.DUMMYFUNCTION("IF(
  K195="""",
  """",
  ROUND(
    IF(
      L195="""",
      K195,
      IF(
        ISERROR(FIND(""-"",L195)),
        K195 - VALUE(REGEXEXTRACT(L195,""(\d+)"")),
        K195 * (1 - VALUE(REGEXEXTRACT(L195,""(\d+)""))/100)
      )
    ),
    2
  )
)"&amp;"
")," ")</f>
        <v/>
      </c>
      <c r="N195" s="116"/>
      <c r="O195" s="118" t="b">
        <v>0</v>
      </c>
      <c r="P195" s="179"/>
      <c r="Q195" s="120"/>
      <c r="R195" s="121" t="b">
        <v>0</v>
      </c>
      <c r="S195" s="121" t="b">
        <v>0</v>
      </c>
      <c r="T195" s="122" t="b">
        <v>0</v>
      </c>
    </row>
    <row r="196" hidden="1" outlineLevel="1">
      <c r="A196" s="116"/>
      <c r="B196" s="116"/>
      <c r="C196" s="112"/>
      <c r="D196" s="157"/>
      <c r="E196" s="157"/>
      <c r="F196" s="111"/>
      <c r="G196" s="111"/>
      <c r="H196" s="111"/>
      <c r="I196" s="111"/>
      <c r="J196" s="126"/>
      <c r="K196" s="177"/>
      <c r="L196" s="116"/>
      <c r="M196" s="178" t="str">
        <f>IFERROR(__xludf.DUMMYFUNCTION("IF(
  K196="""",
  """",
  ROUND(
    IF(
      L196="""",
      K196,
      IF(
        ISERROR(FIND(""-"",L196)),
        K196 - VALUE(REGEXEXTRACT(L196,""(\d+)"")),
        K196 * (1 - VALUE(REGEXEXTRACT(L196,""(\d+)""))/100)
      )
    ),
    2
  )
)"&amp;"
")," ")</f>
        <v/>
      </c>
      <c r="N196" s="116"/>
      <c r="O196" s="118" t="b">
        <v>0</v>
      </c>
      <c r="P196" s="179"/>
      <c r="Q196" s="120"/>
      <c r="R196" s="121" t="b">
        <v>0</v>
      </c>
      <c r="S196" s="121" t="b">
        <v>0</v>
      </c>
      <c r="T196" s="122" t="b">
        <v>0</v>
      </c>
    </row>
    <row r="197" hidden="1" outlineLevel="1">
      <c r="A197" s="116"/>
      <c r="B197" s="116"/>
      <c r="C197" s="112"/>
      <c r="D197" s="116"/>
      <c r="E197" s="116"/>
      <c r="F197" s="111"/>
      <c r="G197" s="111"/>
      <c r="H197" s="111"/>
      <c r="I197" s="111"/>
      <c r="J197" s="114"/>
      <c r="K197" s="177"/>
      <c r="L197" s="116"/>
      <c r="M197" s="178" t="str">
        <f>IFERROR(__xludf.DUMMYFUNCTION("IF(
  K197="""",
  """",
  ROUND(
    IF(
      L197="""",
      K197,
      IF(
        ISERROR(FIND(""-"",L197)),
        K197 - VALUE(REGEXEXTRACT(L197,""(\d+)"")),
        K197 * (1 - VALUE(REGEXEXTRACT(L197,""(\d+)""))/100)
      )
    ),
    2
  )
)"&amp;"
")," ")</f>
        <v/>
      </c>
      <c r="N197" s="116"/>
      <c r="O197" s="118" t="b">
        <v>0</v>
      </c>
      <c r="P197" s="179"/>
      <c r="Q197" s="120"/>
      <c r="R197" s="121" t="b">
        <v>0</v>
      </c>
      <c r="S197" s="121" t="b">
        <v>0</v>
      </c>
      <c r="T197" s="122" t="b">
        <v>0</v>
      </c>
    </row>
    <row r="198" hidden="1" outlineLevel="1">
      <c r="A198" s="116"/>
      <c r="B198" s="116"/>
      <c r="C198" s="112"/>
      <c r="D198" s="116"/>
      <c r="E198" s="116"/>
      <c r="F198" s="111"/>
      <c r="G198" s="111"/>
      <c r="H198" s="111"/>
      <c r="I198" s="111"/>
      <c r="J198" s="114"/>
      <c r="K198" s="177"/>
      <c r="L198" s="116"/>
      <c r="M198" s="178" t="str">
        <f>IFERROR(__xludf.DUMMYFUNCTION("IF(
  K198="""",
  """",
  ROUND(
    IF(
      L198="""",
      K198,
      IF(
        ISERROR(FIND(""-"",L198)),
        K198 - VALUE(REGEXEXTRACT(L198,""(\d+)"")),
        K198 * (1 - VALUE(REGEXEXTRACT(L198,""(\d+)""))/100)
      )
    ),
    2
  )
)"&amp;"
")," ")</f>
        <v/>
      </c>
      <c r="N198" s="116"/>
      <c r="O198" s="118" t="b">
        <v>0</v>
      </c>
      <c r="P198" s="179"/>
      <c r="Q198" s="120"/>
      <c r="R198" s="121" t="b">
        <v>0</v>
      </c>
      <c r="S198" s="121" t="b">
        <v>0</v>
      </c>
      <c r="T198" s="122" t="b">
        <v>0</v>
      </c>
    </row>
    <row r="199" hidden="1" outlineLevel="1">
      <c r="A199" s="116"/>
      <c r="B199" s="116"/>
      <c r="C199" s="112"/>
      <c r="D199" s="157"/>
      <c r="E199" s="157"/>
      <c r="F199" s="111"/>
      <c r="G199" s="111"/>
      <c r="H199" s="111"/>
      <c r="I199" s="111"/>
      <c r="J199" s="114"/>
      <c r="K199" s="177"/>
      <c r="L199" s="116"/>
      <c r="M199" s="178" t="str">
        <f>IFERROR(__xludf.DUMMYFUNCTION("IF(
  K199="""",
  """",
  ROUND(
    IF(
      L199="""",
      K199,
      IF(
        ISERROR(FIND(""-"",L199)),
        K199 - VALUE(REGEXEXTRACT(L199,""(\d+)"")),
        K199 * (1 - VALUE(REGEXEXTRACT(L199,""(\d+)""))/100)
      )
    ),
    2
  )
)"&amp;"
")," ")</f>
        <v/>
      </c>
      <c r="N199" s="116"/>
      <c r="O199" s="118" t="b">
        <v>0</v>
      </c>
      <c r="P199" s="179"/>
      <c r="Q199" s="120"/>
      <c r="R199" s="121" t="b">
        <v>0</v>
      </c>
      <c r="S199" s="121" t="b">
        <v>0</v>
      </c>
      <c r="T199" s="122" t="b">
        <v>0</v>
      </c>
    </row>
    <row r="200" hidden="1" outlineLevel="1">
      <c r="A200" s="116"/>
      <c r="B200" s="116"/>
      <c r="C200" s="112"/>
      <c r="D200" s="116"/>
      <c r="E200" s="116"/>
      <c r="F200" s="111"/>
      <c r="G200" s="111"/>
      <c r="H200" s="111"/>
      <c r="I200" s="111"/>
      <c r="J200" s="114"/>
      <c r="K200" s="177"/>
      <c r="L200" s="116"/>
      <c r="M200" s="178" t="str">
        <f>IFERROR(__xludf.DUMMYFUNCTION("IF(
  K200="""",
  """",
  ROUND(
    IF(
      L200="""",
      K200,
      IF(
        ISERROR(FIND(""-"",L200)),
        K200 - VALUE(REGEXEXTRACT(L200,""(\d+)"")),
        K200 * (1 - VALUE(REGEXEXTRACT(L200,""(\d+)""))/100)
      )
    ),
    2
  )
)"&amp;"
")," ")</f>
        <v/>
      </c>
      <c r="N200" s="116"/>
      <c r="O200" s="118" t="b">
        <v>0</v>
      </c>
      <c r="P200" s="179"/>
      <c r="Q200" s="120"/>
      <c r="R200" s="121" t="b">
        <v>0</v>
      </c>
      <c r="S200" s="121" t="b">
        <v>0</v>
      </c>
      <c r="T200" s="122" t="b">
        <v>0</v>
      </c>
    </row>
    <row r="201" hidden="1" outlineLevel="1">
      <c r="A201" s="116"/>
      <c r="B201" s="116"/>
      <c r="C201" s="129"/>
      <c r="D201" s="116"/>
      <c r="E201" s="116"/>
      <c r="F201" s="116"/>
      <c r="G201" s="116"/>
      <c r="H201" s="116"/>
      <c r="I201" s="116"/>
      <c r="J201" s="134"/>
      <c r="K201" s="177"/>
      <c r="L201" s="116"/>
      <c r="M201" s="178" t="str">
        <f>IFERROR(__xludf.DUMMYFUNCTION("IF(
  K201="""",
  """",
  ROUND(
    IF(
      L201="""",
      K201,
      IF(
        ISERROR(FIND(""-"",L201)),
        K201 - VALUE(REGEXEXTRACT(L201,""(\d+)"")),
        K201 * (1 - VALUE(REGEXEXTRACT(L201,""(\d+)""))/100)
      )
    ),
    2
  )
)"&amp;"
")," ")</f>
        <v/>
      </c>
      <c r="N201" s="116"/>
      <c r="O201" s="118" t="b">
        <v>0</v>
      </c>
      <c r="P201" s="179"/>
      <c r="Q201" s="120"/>
      <c r="R201" s="121" t="b">
        <v>0</v>
      </c>
      <c r="S201" s="121" t="b">
        <v>0</v>
      </c>
      <c r="T201" s="122" t="b">
        <v>0</v>
      </c>
    </row>
    <row r="202" hidden="1" outlineLevel="1">
      <c r="A202" s="116"/>
      <c r="B202" s="116"/>
      <c r="C202" s="129"/>
      <c r="D202" s="157"/>
      <c r="E202" s="157"/>
      <c r="F202" s="116"/>
      <c r="G202" s="116"/>
      <c r="H202" s="181"/>
      <c r="I202" s="116"/>
      <c r="J202" s="134"/>
      <c r="K202" s="177"/>
      <c r="L202" s="116"/>
      <c r="M202" s="178" t="str">
        <f>IFERROR(__xludf.DUMMYFUNCTION("IF(
  K202="""",
  """",
  ROUND(
    IF(
      L202="""",
      K202,
      IF(
        ISERROR(FIND(""-"",L202)),
        K202 - VALUE(REGEXEXTRACT(L202,""(\d+)"")),
        K202 * (1 - VALUE(REGEXEXTRACT(L202,""(\d+)""))/100)
      )
    ),
    2
  )
)"&amp;"
")," ")</f>
        <v/>
      </c>
      <c r="N202" s="116"/>
      <c r="O202" s="118" t="b">
        <v>0</v>
      </c>
      <c r="P202" s="179"/>
      <c r="Q202" s="120"/>
      <c r="R202" s="121" t="b">
        <v>0</v>
      </c>
      <c r="S202" s="121" t="b">
        <v>0</v>
      </c>
      <c r="T202" s="122" t="b">
        <v>0</v>
      </c>
    </row>
    <row r="203" hidden="1" outlineLevel="1">
      <c r="A203" s="116"/>
      <c r="B203" s="116"/>
      <c r="C203" s="129"/>
      <c r="D203" s="116"/>
      <c r="E203" s="116"/>
      <c r="F203" s="116"/>
      <c r="G203" s="116"/>
      <c r="H203" s="116"/>
      <c r="I203" s="116"/>
      <c r="J203" s="134"/>
      <c r="K203" s="177"/>
      <c r="L203" s="116"/>
      <c r="M203" s="178" t="str">
        <f>IFERROR(__xludf.DUMMYFUNCTION("IF(
  K203="""",
  """",
  ROUND(
    IF(
      L203="""",
      K203,
      IF(
        ISERROR(FIND(""-"",L203)),
        K203 - VALUE(REGEXEXTRACT(L203,""(\d+)"")),
        K203 * (1 - VALUE(REGEXEXTRACT(L203,""(\d+)""))/100)
      )
    ),
    2
  )
)"&amp;"
")," ")</f>
        <v/>
      </c>
      <c r="N203" s="116"/>
      <c r="O203" s="118" t="b">
        <v>0</v>
      </c>
      <c r="P203" s="179"/>
      <c r="Q203" s="120"/>
      <c r="R203" s="121" t="b">
        <v>0</v>
      </c>
      <c r="S203" s="121" t="b">
        <v>0</v>
      </c>
      <c r="T203" s="122" t="b">
        <v>0</v>
      </c>
    </row>
    <row r="204" hidden="1" outlineLevel="1">
      <c r="A204" s="116"/>
      <c r="B204" s="116"/>
      <c r="C204" s="129"/>
      <c r="D204" s="116"/>
      <c r="E204" s="116"/>
      <c r="F204" s="116"/>
      <c r="G204" s="116"/>
      <c r="H204" s="116"/>
      <c r="I204" s="116"/>
      <c r="J204" s="132"/>
      <c r="K204" s="177"/>
      <c r="L204" s="116"/>
      <c r="M204" s="178" t="str">
        <f>IFERROR(__xludf.DUMMYFUNCTION("IF(
  K204="""",
  """",
  ROUND(
    IF(
      L204="""",
      K204,
      IF(
        ISERROR(FIND(""-"",L204)),
        K204 - VALUE(REGEXEXTRACT(L204,""(\d+)"")),
        K204 * (1 - VALUE(REGEXEXTRACT(L204,""(\d+)""))/100)
      )
    ),
    2
  )
)"&amp;"
")," ")</f>
        <v/>
      </c>
      <c r="N204" s="116"/>
      <c r="O204" s="118" t="b">
        <v>0</v>
      </c>
      <c r="P204" s="179"/>
      <c r="Q204" s="120"/>
      <c r="R204" s="121" t="b">
        <v>0</v>
      </c>
      <c r="S204" s="121" t="b">
        <v>0</v>
      </c>
      <c r="T204" s="122" t="b">
        <v>0</v>
      </c>
    </row>
    <row r="205" hidden="1" outlineLevel="1">
      <c r="A205" s="116"/>
      <c r="B205" s="116"/>
      <c r="C205" s="129"/>
      <c r="D205" s="157"/>
      <c r="E205" s="157"/>
      <c r="F205" s="116"/>
      <c r="G205" s="116"/>
      <c r="H205" s="116"/>
      <c r="I205" s="116"/>
      <c r="J205" s="134"/>
      <c r="K205" s="177"/>
      <c r="L205" s="116"/>
      <c r="M205" s="178" t="str">
        <f>IFERROR(__xludf.DUMMYFUNCTION("IF(
  K205="""",
  """",
  ROUND(
    IF(
      L205="""",
      K205,
      IF(
        ISERROR(FIND(""-"",L205)),
        K205 - VALUE(REGEXEXTRACT(L205,""(\d+)"")),
        K205 * (1 - VALUE(REGEXEXTRACT(L205,""(\d+)""))/100)
      )
    ),
    2
  )
)"&amp;"
")," ")</f>
        <v/>
      </c>
      <c r="N205" s="116"/>
      <c r="O205" s="118" t="b">
        <v>0</v>
      </c>
      <c r="P205" s="179"/>
      <c r="Q205" s="120"/>
      <c r="R205" s="121" t="b">
        <v>0</v>
      </c>
      <c r="S205" s="121" t="b">
        <v>0</v>
      </c>
      <c r="T205" s="122" t="b">
        <v>0</v>
      </c>
    </row>
    <row r="206" hidden="1" outlineLevel="1">
      <c r="A206" s="116"/>
      <c r="B206" s="116"/>
      <c r="C206" s="129"/>
      <c r="D206" s="116"/>
      <c r="E206" s="116"/>
      <c r="F206" s="116"/>
      <c r="G206" s="116"/>
      <c r="H206" s="116"/>
      <c r="I206" s="116"/>
      <c r="J206" s="133"/>
      <c r="K206" s="177"/>
      <c r="L206" s="116"/>
      <c r="M206" s="178" t="str">
        <f>IFERROR(__xludf.DUMMYFUNCTION("IF(
  K206="""",
  """",
  ROUND(
    IF(
      L206="""",
      K206,
      IF(
        ISERROR(FIND(""-"",L206)),
        K206 - VALUE(REGEXEXTRACT(L206,""(\d+)"")),
        K206 * (1 - VALUE(REGEXEXTRACT(L206,""(\d+)""))/100)
      )
    ),
    2
  )
)"&amp;"
")," ")</f>
        <v/>
      </c>
      <c r="N206" s="116"/>
      <c r="O206" s="118" t="b">
        <v>0</v>
      </c>
      <c r="P206" s="179"/>
      <c r="Q206" s="120"/>
      <c r="R206" s="121" t="b">
        <v>0</v>
      </c>
      <c r="S206" s="121" t="b">
        <v>0</v>
      </c>
      <c r="T206" s="122" t="b">
        <v>0</v>
      </c>
    </row>
    <row r="207" hidden="1" outlineLevel="1">
      <c r="A207" s="116"/>
      <c r="B207" s="116"/>
      <c r="C207" s="129"/>
      <c r="D207" s="116"/>
      <c r="E207" s="116"/>
      <c r="F207" s="116"/>
      <c r="G207" s="116"/>
      <c r="H207" s="116"/>
      <c r="I207" s="116"/>
      <c r="J207" s="133"/>
      <c r="K207" s="177"/>
      <c r="L207" s="116"/>
      <c r="M207" s="178" t="str">
        <f>IFERROR(__xludf.DUMMYFUNCTION("IF(
  K207="""",
  """",
  ROUND(
    IF(
      L207="""",
      K207,
      IF(
        ISERROR(FIND(""-"",L207)),
        K207 - VALUE(REGEXEXTRACT(L207,""(\d+)"")),
        K207 * (1 - VALUE(REGEXEXTRACT(L207,""(\d+)""))/100)
      )
    ),
    2
  )
)"&amp;"
")," ")</f>
        <v/>
      </c>
      <c r="N207" s="116"/>
      <c r="O207" s="118" t="b">
        <v>0</v>
      </c>
      <c r="P207" s="179"/>
      <c r="Q207" s="120"/>
      <c r="R207" s="121" t="b">
        <v>0</v>
      </c>
      <c r="S207" s="121" t="b">
        <v>0</v>
      </c>
      <c r="T207" s="122" t="b">
        <v>0</v>
      </c>
    </row>
    <row r="208" hidden="1" outlineLevel="1">
      <c r="A208" s="116"/>
      <c r="B208" s="116"/>
      <c r="C208" s="129"/>
      <c r="D208" s="157"/>
      <c r="E208" s="157"/>
      <c r="F208" s="116"/>
      <c r="G208" s="116"/>
      <c r="H208" s="116"/>
      <c r="I208" s="116"/>
      <c r="J208" s="129"/>
      <c r="K208" s="177"/>
      <c r="L208" s="116"/>
      <c r="M208" s="178" t="str">
        <f>IFERROR(__xludf.DUMMYFUNCTION("IF(
  K208="""",
  """",
  ROUND(
    IF(
      L208="""",
      K208,
      IF(
        ISERROR(FIND(""-"",L208)),
        K208 - VALUE(REGEXEXTRACT(L208,""(\d+)"")),
        K208 * (1 - VALUE(REGEXEXTRACT(L208,""(\d+)""))/100)
      )
    ),
    2
  )
)"&amp;"
")," ")</f>
        <v/>
      </c>
      <c r="N208" s="116"/>
      <c r="O208" s="118" t="b">
        <v>0</v>
      </c>
      <c r="P208" s="179"/>
      <c r="Q208" s="120"/>
      <c r="R208" s="121" t="b">
        <v>0</v>
      </c>
      <c r="S208" s="121" t="b">
        <v>0</v>
      </c>
      <c r="T208" s="122" t="b">
        <v>0</v>
      </c>
    </row>
    <row r="209" hidden="1" outlineLevel="1">
      <c r="A209" s="116"/>
      <c r="B209" s="116"/>
      <c r="C209" s="133"/>
      <c r="D209" s="116"/>
      <c r="E209" s="116"/>
      <c r="F209" s="116"/>
      <c r="G209" s="116"/>
      <c r="H209" s="116"/>
      <c r="I209" s="116"/>
      <c r="J209" s="134"/>
      <c r="K209" s="177"/>
      <c r="L209" s="116"/>
      <c r="M209" s="178" t="str">
        <f>IFERROR(__xludf.DUMMYFUNCTION("IF(
  K209="""",
  """",
  ROUND(
    IF(
      L209="""",
      K209,
      IF(
        ISERROR(FIND(""-"",L209)),
        K209 - VALUE(REGEXEXTRACT(L209,""(\d+)"")),
        K209 * (1 - VALUE(REGEXEXTRACT(L209,""(\d+)""))/100)
      )
    ),
    2
  )
)"&amp;"
")," ")</f>
        <v/>
      </c>
      <c r="N209" s="116"/>
      <c r="O209" s="118" t="b">
        <v>0</v>
      </c>
      <c r="P209" s="179"/>
      <c r="Q209" s="120"/>
      <c r="R209" s="121" t="b">
        <v>0</v>
      </c>
      <c r="S209" s="121" t="b">
        <v>0</v>
      </c>
      <c r="T209" s="122" t="b">
        <v>0</v>
      </c>
    </row>
    <row r="210" hidden="1" outlineLevel="1">
      <c r="A210" s="116"/>
      <c r="B210" s="116"/>
      <c r="C210" s="129"/>
      <c r="D210" s="116"/>
      <c r="E210" s="116"/>
      <c r="F210" s="116"/>
      <c r="G210" s="116"/>
      <c r="H210" s="181"/>
      <c r="I210" s="116"/>
      <c r="J210" s="129"/>
      <c r="K210" s="177"/>
      <c r="L210" s="116"/>
      <c r="M210" s="178" t="str">
        <f>IFERROR(__xludf.DUMMYFUNCTION("IF(
  K210="""",
  """",
  ROUND(
    IF(
      L210="""",
      K210,
      IF(
        ISERROR(FIND(""-"",L210)),
        K210 - VALUE(REGEXEXTRACT(L210,""(\d+)"")),
        K210 * (1 - VALUE(REGEXEXTRACT(L210,""(\d+)""))/100)
      )
    ),
    2
  )
)"&amp;"
")," ")</f>
        <v/>
      </c>
      <c r="N210" s="116"/>
      <c r="O210" s="118" t="b">
        <v>0</v>
      </c>
      <c r="P210" s="179"/>
      <c r="Q210" s="120"/>
      <c r="R210" s="121" t="b">
        <v>0</v>
      </c>
      <c r="S210" s="121" t="b">
        <v>0</v>
      </c>
      <c r="T210" s="122" t="b">
        <v>0</v>
      </c>
    </row>
    <row r="211" hidden="1" outlineLevel="1">
      <c r="A211" s="116"/>
      <c r="B211" s="116"/>
      <c r="C211" s="129"/>
      <c r="D211" s="157"/>
      <c r="E211" s="157"/>
      <c r="F211" s="116"/>
      <c r="G211" s="116"/>
      <c r="H211" s="116"/>
      <c r="I211" s="116"/>
      <c r="J211" s="129"/>
      <c r="K211" s="177"/>
      <c r="L211" s="116"/>
      <c r="M211" s="178" t="str">
        <f>IFERROR(__xludf.DUMMYFUNCTION("IF(
  K211="""",
  """",
  ROUND(
    IF(
      L211="""",
      K211,
      IF(
        ISERROR(FIND(""-"",L211)),
        K211 - VALUE(REGEXEXTRACT(L211,""(\d+)"")),
        K211 * (1 - VALUE(REGEXEXTRACT(L211,""(\d+)""))/100)
      )
    ),
    2
  )
)"&amp;"
")," ")</f>
        <v/>
      </c>
      <c r="N211" s="116"/>
      <c r="O211" s="118" t="b">
        <v>0</v>
      </c>
      <c r="P211" s="179"/>
      <c r="Q211" s="120"/>
      <c r="R211" s="121" t="b">
        <v>0</v>
      </c>
      <c r="S211" s="121" t="b">
        <v>0</v>
      </c>
      <c r="T211" s="122" t="b">
        <v>0</v>
      </c>
    </row>
    <row r="212" hidden="1" outlineLevel="1">
      <c r="A212" s="131"/>
      <c r="B212" s="131"/>
      <c r="C212" s="182"/>
      <c r="D212" s="116"/>
      <c r="E212" s="116"/>
      <c r="F212" s="131"/>
      <c r="G212" s="131"/>
      <c r="H212" s="131"/>
      <c r="I212" s="131"/>
      <c r="J212" s="148"/>
      <c r="K212" s="180"/>
      <c r="L212" s="131"/>
      <c r="M212" s="178" t="str">
        <f>IFERROR(__xludf.DUMMYFUNCTION("IF(
  K212="""",
  """",
  ROUND(
    IF(
      L212="""",
      K212,
      IF(
        ISERROR(FIND(""-"",L212)),
        K212 - VALUE(REGEXEXTRACT(L212,""(\d+)"")),
        K212 * (1 - VALUE(REGEXEXTRACT(L212,""(\d+)""))/100)
      )
    ),
    2
  )
)"&amp;"
")," ")</f>
        <v/>
      </c>
      <c r="N212" s="131"/>
      <c r="O212" s="118" t="b">
        <v>0</v>
      </c>
      <c r="P212" s="179"/>
      <c r="Q212" s="149"/>
      <c r="R212" s="121" t="b">
        <v>0</v>
      </c>
      <c r="S212" s="121" t="b">
        <v>0</v>
      </c>
      <c r="T212" s="122" t="b">
        <v>0</v>
      </c>
    </row>
    <row r="213" hidden="1" outlineLevel="1">
      <c r="A213" s="131"/>
      <c r="B213" s="131"/>
      <c r="C213" s="182"/>
      <c r="D213" s="116"/>
      <c r="E213" s="116"/>
      <c r="F213" s="131"/>
      <c r="G213" s="116"/>
      <c r="H213" s="116"/>
      <c r="I213" s="116"/>
      <c r="J213" s="134"/>
      <c r="K213" s="177"/>
      <c r="L213" s="131"/>
      <c r="M213" s="178" t="str">
        <f>IFERROR(__xludf.DUMMYFUNCTION("IF(
  K213="""",
  """",
  ROUND(
    IF(
      L213="""",
      K213,
      IF(
        ISERROR(FIND(""-"",L213)),
        K213 - VALUE(REGEXEXTRACT(L213,""(\d+)"")),
        K213 * (1 - VALUE(REGEXEXTRACT(L213,""(\d+)""))/100)
      )
    ),
    2
  )
)"&amp;"
")," ")</f>
        <v/>
      </c>
      <c r="N213" s="116"/>
      <c r="O213" s="118" t="b">
        <v>0</v>
      </c>
      <c r="P213" s="179"/>
      <c r="Q213" s="120"/>
      <c r="R213" s="121" t="b">
        <v>0</v>
      </c>
      <c r="S213" s="121" t="b">
        <v>0</v>
      </c>
      <c r="T213" s="122" t="b">
        <v>0</v>
      </c>
    </row>
    <row r="214" hidden="1" outlineLevel="1">
      <c r="A214" s="131"/>
      <c r="B214" s="131"/>
      <c r="C214" s="153"/>
      <c r="D214" s="157"/>
      <c r="E214" s="157"/>
      <c r="F214" s="131"/>
      <c r="G214" s="131"/>
      <c r="H214" s="131"/>
      <c r="I214" s="183"/>
      <c r="J214" s="148"/>
      <c r="K214" s="180"/>
      <c r="L214" s="131"/>
      <c r="M214" s="178" t="str">
        <f>IFERROR(__xludf.DUMMYFUNCTION("IF(
  K214="""",
  """",
  ROUND(
    IF(
      L214="""",
      K214,
      IF(
        ISERROR(FIND(""-"",L214)),
        K214 - VALUE(REGEXEXTRACT(L214,""(\d+)"")),
        K214 * (1 - VALUE(REGEXEXTRACT(L214,""(\d+)""))/100)
      )
    ),
    2
  )
)"&amp;"
")," ")</f>
        <v/>
      </c>
      <c r="N214" s="131"/>
      <c r="O214" s="118" t="b">
        <v>0</v>
      </c>
      <c r="P214" s="179"/>
      <c r="Q214" s="149"/>
      <c r="R214" s="121" t="b">
        <v>0</v>
      </c>
      <c r="S214" s="121" t="b">
        <v>0</v>
      </c>
      <c r="T214" s="122" t="b">
        <v>0</v>
      </c>
    </row>
    <row r="215" hidden="1" outlineLevel="1">
      <c r="A215" s="116"/>
      <c r="B215" s="116"/>
      <c r="C215" s="133"/>
      <c r="D215" s="116"/>
      <c r="E215" s="116"/>
      <c r="F215" s="116"/>
      <c r="G215" s="116"/>
      <c r="H215" s="116"/>
      <c r="I215" s="116"/>
      <c r="J215" s="134"/>
      <c r="K215" s="177"/>
      <c r="L215" s="116"/>
      <c r="M215" s="178" t="str">
        <f>IFERROR(__xludf.DUMMYFUNCTION("IF(
  K215="""",
  """",
  ROUND(
    IF(
      L215="""",
      K215,
      IF(
        ISERROR(FIND(""-"",L215)),
        K215 - VALUE(REGEXEXTRACT(L215,""(\d+)"")),
        K215 * (1 - VALUE(REGEXEXTRACT(L215,""(\d+)""))/100)
      )
    ),
    2
  )
)"&amp;"
")," ")</f>
        <v/>
      </c>
      <c r="N215" s="116"/>
      <c r="O215" s="118" t="b">
        <v>0</v>
      </c>
      <c r="P215" s="179"/>
      <c r="Q215" s="120"/>
      <c r="R215" s="121" t="b">
        <v>0</v>
      </c>
      <c r="S215" s="121" t="b">
        <v>0</v>
      </c>
      <c r="T215" s="122" t="b">
        <v>0</v>
      </c>
    </row>
    <row r="216" hidden="1" outlineLevel="1">
      <c r="A216" s="116"/>
      <c r="B216" s="116"/>
      <c r="C216" s="129"/>
      <c r="D216" s="116"/>
      <c r="E216" s="116"/>
      <c r="F216" s="116"/>
      <c r="G216" s="184"/>
      <c r="H216" s="116"/>
      <c r="I216" s="116"/>
      <c r="J216" s="134"/>
      <c r="K216" s="177"/>
      <c r="L216" s="116"/>
      <c r="M216" s="178" t="str">
        <f>IFERROR(__xludf.DUMMYFUNCTION("IF(
  K216="""",
  """",
  ROUND(
    IF(
      L216="""",
      K216,
      IF(
        ISERROR(FIND(""-"",L216)),
        K216 - VALUE(REGEXEXTRACT(L216,""(\d+)"")),
        K216 * (1 - VALUE(REGEXEXTRACT(L216,""(\d+)""))/100)
      )
    ),
    2
  )
)"&amp;"
")," ")</f>
        <v/>
      </c>
      <c r="N216" s="116"/>
      <c r="O216" s="118" t="b">
        <v>0</v>
      </c>
      <c r="P216" s="179"/>
      <c r="Q216" s="120"/>
      <c r="R216" s="121" t="b">
        <v>0</v>
      </c>
      <c r="S216" s="121" t="b">
        <v>0</v>
      </c>
      <c r="T216" s="122" t="b">
        <v>0</v>
      </c>
    </row>
    <row r="217" hidden="1" outlineLevel="1">
      <c r="A217" s="116"/>
      <c r="B217" s="116"/>
      <c r="C217" s="129"/>
      <c r="D217" s="157"/>
      <c r="E217" s="157"/>
      <c r="F217" s="116"/>
      <c r="G217" s="116"/>
      <c r="H217" s="116"/>
      <c r="I217" s="116"/>
      <c r="J217" s="134"/>
      <c r="K217" s="177"/>
      <c r="L217" s="116"/>
      <c r="M217" s="178" t="str">
        <f>IFERROR(__xludf.DUMMYFUNCTION("IF(
  K217="""",
  """",
  ROUND(
    IF(
      L217="""",
      K217,
      IF(
        ISERROR(FIND(""-"",L217)),
        K217 - VALUE(REGEXEXTRACT(L217,""(\d+)"")),
        K217 * (1 - VALUE(REGEXEXTRACT(L217,""(\d+)""))/100)
      )
    ),
    2
  )
)"&amp;"
")," ")</f>
        <v/>
      </c>
      <c r="N217" s="116"/>
      <c r="O217" s="118" t="b">
        <v>0</v>
      </c>
      <c r="P217" s="179"/>
      <c r="Q217" s="120"/>
      <c r="R217" s="121" t="b">
        <v>0</v>
      </c>
      <c r="S217" s="121" t="b">
        <v>0</v>
      </c>
      <c r="T217" s="122" t="b">
        <v>0</v>
      </c>
    </row>
    <row r="218" hidden="1" outlineLevel="1">
      <c r="A218" s="116"/>
      <c r="B218" s="116"/>
      <c r="C218" s="129"/>
      <c r="D218" s="116"/>
      <c r="E218" s="116"/>
      <c r="F218" s="116"/>
      <c r="G218" s="116"/>
      <c r="H218" s="116"/>
      <c r="I218" s="116"/>
      <c r="J218" s="134"/>
      <c r="K218" s="177"/>
      <c r="L218" s="116"/>
      <c r="M218" s="178" t="str">
        <f>IFERROR(__xludf.DUMMYFUNCTION("IF(
  K218="""",
  """",
  ROUND(
    IF(
      L218="""",
      K218,
      IF(
        ISERROR(FIND(""-"",L218)),
        K218 - VALUE(REGEXEXTRACT(L218,""(\d+)"")),
        K218 * (1 - VALUE(REGEXEXTRACT(L218,""(\d+)""))/100)
      )
    ),
    2
  )
)"&amp;"
")," ")</f>
        <v/>
      </c>
      <c r="N218" s="116"/>
      <c r="O218" s="118" t="b">
        <v>0</v>
      </c>
      <c r="P218" s="179"/>
      <c r="Q218" s="120"/>
      <c r="R218" s="121" t="b">
        <v>0</v>
      </c>
      <c r="S218" s="121" t="b">
        <v>0</v>
      </c>
      <c r="T218" s="122" t="b">
        <v>0</v>
      </c>
    </row>
    <row r="219" hidden="1" outlineLevel="1">
      <c r="A219" s="131"/>
      <c r="B219" s="131"/>
      <c r="C219" s="130"/>
      <c r="D219" s="116"/>
      <c r="E219" s="116"/>
      <c r="F219" s="131"/>
      <c r="G219" s="131"/>
      <c r="H219" s="131"/>
      <c r="I219" s="131"/>
      <c r="J219" s="148"/>
      <c r="K219" s="180"/>
      <c r="L219" s="131"/>
      <c r="M219" s="178" t="str">
        <f>IFERROR(__xludf.DUMMYFUNCTION("IF(
  K219="""",
  """",
  ROUND(
    IF(
      L219="""",
      K219,
      IF(
        ISERROR(FIND(""-"",L219)),
        K219 - VALUE(REGEXEXTRACT(L219,""(\d+)"")),
        K219 * (1 - VALUE(REGEXEXTRACT(L219,""(\d+)""))/100)
      )
    ),
    2
  )
)"&amp;"
")," ")</f>
        <v/>
      </c>
      <c r="N219" s="116"/>
      <c r="O219" s="118" t="b">
        <v>0</v>
      </c>
      <c r="P219" s="179"/>
      <c r="Q219" s="120"/>
      <c r="R219" s="121" t="b">
        <v>0</v>
      </c>
      <c r="S219" s="121" t="b">
        <v>0</v>
      </c>
      <c r="T219" s="122" t="b">
        <v>0</v>
      </c>
    </row>
    <row r="220" hidden="1" outlineLevel="1">
      <c r="A220" s="116"/>
      <c r="B220" s="116"/>
      <c r="C220" s="129"/>
      <c r="D220" s="157"/>
      <c r="E220" s="157"/>
      <c r="F220" s="116"/>
      <c r="G220" s="116"/>
      <c r="H220" s="116"/>
      <c r="I220" s="116"/>
      <c r="J220" s="134"/>
      <c r="K220" s="177"/>
      <c r="L220" s="116"/>
      <c r="M220" s="178" t="str">
        <f>IFERROR(__xludf.DUMMYFUNCTION("IF(
  K220="""",
  """",
  ROUND(
    IF(
      L220="""",
      K220,
      IF(
        ISERROR(FIND(""-"",L220)),
        K220 - VALUE(REGEXEXTRACT(L220,""(\d+)"")),
        K220 * (1 - VALUE(REGEXEXTRACT(L220,""(\d+)""))/100)
      )
    ),
    2
  )
)"&amp;"
")," ")</f>
        <v/>
      </c>
      <c r="N220" s="116"/>
      <c r="O220" s="118" t="b">
        <v>0</v>
      </c>
      <c r="P220" s="179"/>
      <c r="Q220" s="120"/>
      <c r="R220" s="121" t="b">
        <v>0</v>
      </c>
      <c r="S220" s="121" t="b">
        <v>0</v>
      </c>
      <c r="T220" s="122" t="b">
        <v>0</v>
      </c>
    </row>
    <row r="221" hidden="1" outlineLevel="1">
      <c r="A221" s="116"/>
      <c r="B221" s="116"/>
      <c r="C221" s="130"/>
      <c r="D221" s="116"/>
      <c r="E221" s="116"/>
      <c r="F221" s="131"/>
      <c r="G221" s="131"/>
      <c r="H221" s="131"/>
      <c r="I221" s="131"/>
      <c r="J221" s="148"/>
      <c r="K221" s="180"/>
      <c r="L221" s="131"/>
      <c r="M221" s="178" t="str">
        <f>IFERROR(__xludf.DUMMYFUNCTION("IF(
  K221="""",
  """",
  ROUND(
    IF(
      L221="""",
      K221,
      IF(
        ISERROR(FIND(""-"",L221)),
        K221 - VALUE(REGEXEXTRACT(L221,""(\d+)"")),
        K221 * (1 - VALUE(REGEXEXTRACT(L221,""(\d+)""))/100)
      )
    ),
    2
  )
)"&amp;"
")," ")</f>
        <v/>
      </c>
      <c r="N221" s="131"/>
      <c r="O221" s="118" t="b">
        <v>0</v>
      </c>
      <c r="P221" s="179"/>
      <c r="Q221" s="149"/>
      <c r="R221" s="121" t="b">
        <v>0</v>
      </c>
      <c r="S221" s="121" t="b">
        <v>0</v>
      </c>
      <c r="T221" s="122" t="b">
        <v>0</v>
      </c>
    </row>
    <row r="222" hidden="1" outlineLevel="1">
      <c r="A222" s="131"/>
      <c r="B222" s="131"/>
      <c r="C222" s="130"/>
      <c r="D222" s="116"/>
      <c r="E222" s="116"/>
      <c r="F222" s="131"/>
      <c r="G222" s="131"/>
      <c r="H222" s="131"/>
      <c r="I222" s="131"/>
      <c r="J222" s="148"/>
      <c r="K222" s="180"/>
      <c r="L222" s="131"/>
      <c r="M222" s="178" t="str">
        <f>IFERROR(__xludf.DUMMYFUNCTION("IF(
  K222="""",
  """",
  ROUND(
    IF(
      L222="""",
      K222,
      IF(
        ISERROR(FIND(""-"",L222)),
        K222 - VALUE(REGEXEXTRACT(L222,""(\d+)"")),
        K222 * (1 - VALUE(REGEXEXTRACT(L222,""(\d+)""))/100)
      )
    ),
    2
  )
)"&amp;"
")," ")</f>
        <v/>
      </c>
      <c r="N222" s="116"/>
      <c r="O222" s="118" t="b">
        <v>0</v>
      </c>
      <c r="P222" s="179"/>
      <c r="Q222" s="149"/>
      <c r="R222" s="121" t="b">
        <v>0</v>
      </c>
      <c r="S222" s="121" t="b">
        <v>0</v>
      </c>
      <c r="T222" s="122" t="b">
        <v>0</v>
      </c>
    </row>
    <row r="223" hidden="1" outlineLevel="1">
      <c r="A223" s="116"/>
      <c r="B223" s="116"/>
      <c r="C223" s="129"/>
      <c r="D223" s="157"/>
      <c r="E223" s="157"/>
      <c r="F223" s="116"/>
      <c r="G223" s="116"/>
      <c r="H223" s="116"/>
      <c r="I223" s="116"/>
      <c r="J223" s="134"/>
      <c r="K223" s="177"/>
      <c r="L223" s="116"/>
      <c r="M223" s="178" t="str">
        <f>IFERROR(__xludf.DUMMYFUNCTION("IF(
  K223="""",
  """",
  ROUND(
    IF(
      L223="""",
      K223,
      IF(
        ISERROR(FIND(""-"",L223)),
        K223 - VALUE(REGEXEXTRACT(L223,""(\d+)"")),
        K223 * (1 - VALUE(REGEXEXTRACT(L223,""(\d+)""))/100)
      )
    ),
    2
  )
)"&amp;"
")," ")</f>
        <v/>
      </c>
      <c r="N223" s="116"/>
      <c r="O223" s="118" t="b">
        <v>0</v>
      </c>
      <c r="P223" s="179"/>
      <c r="Q223" s="120"/>
      <c r="R223" s="121" t="b">
        <v>0</v>
      </c>
      <c r="S223" s="121" t="b">
        <v>0</v>
      </c>
      <c r="T223" s="122" t="b">
        <v>0</v>
      </c>
    </row>
    <row r="224" hidden="1" outlineLevel="1">
      <c r="A224" s="116"/>
      <c r="B224" s="116"/>
      <c r="C224" s="129"/>
      <c r="D224" s="116"/>
      <c r="E224" s="116"/>
      <c r="F224" s="116"/>
      <c r="G224" s="116"/>
      <c r="H224" s="116"/>
      <c r="I224" s="116"/>
      <c r="J224" s="134"/>
      <c r="K224" s="177"/>
      <c r="L224" s="116"/>
      <c r="M224" s="178" t="str">
        <f>IFERROR(__xludf.DUMMYFUNCTION("IF(
  K224="""",
  """",
  ROUND(
    IF(
      L224="""",
      K224,
      IF(
        ISERROR(FIND(""-"",L224)),
        K224 - VALUE(REGEXEXTRACT(L224,""(\d+)"")),
        K224 * (1 - VALUE(REGEXEXTRACT(L224,""(\d+)""))/100)
      )
    ),
    2
  )
)"&amp;"
")," ")</f>
        <v/>
      </c>
      <c r="N224" s="116"/>
      <c r="O224" s="118" t="b">
        <v>0</v>
      </c>
      <c r="P224" s="179"/>
      <c r="Q224" s="120"/>
      <c r="R224" s="121" t="b">
        <v>0</v>
      </c>
      <c r="S224" s="121" t="b">
        <v>0</v>
      </c>
      <c r="T224" s="122" t="b">
        <v>0</v>
      </c>
    </row>
    <row r="225" hidden="1" outlineLevel="1">
      <c r="A225" s="116"/>
      <c r="B225" s="116"/>
      <c r="C225" s="129"/>
      <c r="D225" s="116"/>
      <c r="E225" s="116"/>
      <c r="F225" s="116"/>
      <c r="G225" s="116"/>
      <c r="H225" s="116"/>
      <c r="I225" s="116"/>
      <c r="J225" s="134"/>
      <c r="K225" s="177"/>
      <c r="L225" s="116"/>
      <c r="M225" s="178" t="str">
        <f>IFERROR(__xludf.DUMMYFUNCTION("IF(
  K225="""",
  """",
  ROUND(
    IF(
      L225="""",
      K225,
      IF(
        ISERROR(FIND(""-"",L225)),
        K225 - VALUE(REGEXEXTRACT(L225,""(\d+)"")),
        K225 * (1 - VALUE(REGEXEXTRACT(L225,""(\d+)""))/100)
      )
    ),
    2
  )
)"&amp;"
")," ")</f>
        <v/>
      </c>
      <c r="N225" s="116"/>
      <c r="O225" s="118" t="b">
        <v>0</v>
      </c>
      <c r="P225" s="179"/>
      <c r="Q225" s="120"/>
      <c r="R225" s="121" t="b">
        <v>0</v>
      </c>
      <c r="S225" s="121" t="b">
        <v>0</v>
      </c>
      <c r="T225" s="122" t="b">
        <v>0</v>
      </c>
    </row>
    <row r="226" hidden="1" outlineLevel="1">
      <c r="A226" s="116"/>
      <c r="B226" s="116"/>
      <c r="C226" s="129"/>
      <c r="D226" s="157"/>
      <c r="E226" s="157"/>
      <c r="F226" s="116"/>
      <c r="G226" s="116"/>
      <c r="H226" s="116"/>
      <c r="I226" s="116"/>
      <c r="J226" s="134"/>
      <c r="K226" s="177"/>
      <c r="L226" s="116"/>
      <c r="M226" s="178" t="str">
        <f>IFERROR(__xludf.DUMMYFUNCTION("IF(
  K226="""",
  """",
  ROUND(
    IF(
      L226="""",
      K226,
      IF(
        ISERROR(FIND(""-"",L226)),
        K226 - VALUE(REGEXEXTRACT(L226,""(\d+)"")),
        K226 * (1 - VALUE(REGEXEXTRACT(L226,""(\d+)""))/100)
      )
    ),
    2
  )
)"&amp;"
")," ")</f>
        <v/>
      </c>
      <c r="N226" s="116"/>
      <c r="O226" s="118" t="b">
        <v>0</v>
      </c>
      <c r="P226" s="179"/>
      <c r="Q226" s="120"/>
      <c r="R226" s="121" t="b">
        <v>0</v>
      </c>
      <c r="S226" s="121" t="b">
        <v>0</v>
      </c>
      <c r="T226" s="122" t="b">
        <v>0</v>
      </c>
    </row>
    <row r="227" hidden="1" outlineLevel="1">
      <c r="A227" s="116"/>
      <c r="B227" s="116"/>
      <c r="C227" s="129"/>
      <c r="D227" s="116"/>
      <c r="E227" s="116"/>
      <c r="F227" s="116"/>
      <c r="G227" s="116"/>
      <c r="H227" s="116"/>
      <c r="I227" s="116"/>
      <c r="J227" s="134"/>
      <c r="K227" s="177"/>
      <c r="L227" s="116"/>
      <c r="M227" s="178" t="str">
        <f>IFERROR(__xludf.DUMMYFUNCTION("IF(
  K227="""",
  """",
  ROUND(
    IF(
      L227="""",
      K227,
      IF(
        ISERROR(FIND(""-"",L227)),
        K227 - VALUE(REGEXEXTRACT(L227,""(\d+)"")),
        K227 * (1 - VALUE(REGEXEXTRACT(L227,""(\d+)""))/100)
      )
    ),
    2
  )
)"&amp;"
")," ")</f>
        <v/>
      </c>
      <c r="N227" s="116"/>
      <c r="O227" s="118" t="b">
        <v>0</v>
      </c>
      <c r="P227" s="179"/>
      <c r="Q227" s="120"/>
      <c r="R227" s="121" t="b">
        <v>0</v>
      </c>
      <c r="S227" s="121" t="b">
        <v>0</v>
      </c>
      <c r="T227" s="122" t="b">
        <v>0</v>
      </c>
    </row>
    <row r="228" hidden="1" outlineLevel="1">
      <c r="A228" s="116"/>
      <c r="B228" s="116"/>
      <c r="C228" s="129"/>
      <c r="D228" s="116"/>
      <c r="E228" s="116"/>
      <c r="F228" s="116"/>
      <c r="G228" s="116"/>
      <c r="H228" s="116"/>
      <c r="I228" s="116"/>
      <c r="J228" s="134"/>
      <c r="K228" s="177"/>
      <c r="L228" s="116"/>
      <c r="M228" s="178" t="str">
        <f>IFERROR(__xludf.DUMMYFUNCTION("IF(
  K228="""",
  """",
  ROUND(
    IF(
      L228="""",
      K228,
      IF(
        ISERROR(FIND(""-"",L228)),
        K228 - VALUE(REGEXEXTRACT(L228,""(\d+)"")),
        K228 * (1 - VALUE(REGEXEXTRACT(L228,""(\d+)""))/100)
      )
    ),
    2
  )
)"&amp;"
")," ")</f>
        <v/>
      </c>
      <c r="N228" s="116"/>
      <c r="O228" s="118" t="b">
        <v>0</v>
      </c>
      <c r="P228" s="179"/>
      <c r="Q228" s="120"/>
      <c r="R228" s="121" t="b">
        <v>0</v>
      </c>
      <c r="S228" s="121" t="b">
        <v>0</v>
      </c>
      <c r="T228" s="122" t="b">
        <v>0</v>
      </c>
    </row>
    <row r="229" hidden="1" outlineLevel="1">
      <c r="A229" s="116"/>
      <c r="B229" s="116"/>
      <c r="C229" s="129"/>
      <c r="D229" s="157"/>
      <c r="E229" s="157"/>
      <c r="F229" s="116"/>
      <c r="G229" s="116"/>
      <c r="H229" s="116"/>
      <c r="I229" s="116"/>
      <c r="J229" s="134"/>
      <c r="K229" s="177"/>
      <c r="L229" s="116"/>
      <c r="M229" s="178" t="str">
        <f>IFERROR(__xludf.DUMMYFUNCTION("IF(
  K229="""",
  """",
  ROUND(
    IF(
      L229="""",
      K229,
      IF(
        ISERROR(FIND(""-"",L229)),
        K229 - VALUE(REGEXEXTRACT(L229,""(\d+)"")),
        K229 * (1 - VALUE(REGEXEXTRACT(L229,""(\d+)""))/100)
      )
    ),
    2
  )
)"&amp;"
")," ")</f>
        <v/>
      </c>
      <c r="N229" s="116"/>
      <c r="O229" s="118" t="b">
        <v>0</v>
      </c>
      <c r="P229" s="179"/>
      <c r="Q229" s="120"/>
      <c r="R229" s="121" t="b">
        <v>0</v>
      </c>
      <c r="S229" s="121" t="b">
        <v>0</v>
      </c>
      <c r="T229" s="122" t="b">
        <v>0</v>
      </c>
    </row>
    <row r="230" hidden="1" outlineLevel="1">
      <c r="A230" s="116"/>
      <c r="B230" s="116"/>
      <c r="C230" s="129"/>
      <c r="D230" s="116"/>
      <c r="E230" s="116"/>
      <c r="F230" s="116"/>
      <c r="G230" s="116"/>
      <c r="H230" s="116"/>
      <c r="I230" s="116"/>
      <c r="J230" s="134"/>
      <c r="K230" s="180"/>
      <c r="L230" s="116"/>
      <c r="M230" s="178" t="str">
        <f>IFERROR(__xludf.DUMMYFUNCTION("IF(
  K230="""",
  """",
  ROUND(
    IF(
      L230="""",
      K230,
      IF(
        ISERROR(FIND(""-"",L230)),
        K230 - VALUE(REGEXEXTRACT(L230,""(\d+)"")),
        K230 * (1 - VALUE(REGEXEXTRACT(L230,""(\d+)""))/100)
      )
    ),
    2
  )
)"&amp;"
")," ")</f>
        <v/>
      </c>
      <c r="N230" s="116"/>
      <c r="O230" s="118" t="b">
        <v>0</v>
      </c>
      <c r="P230" s="179"/>
      <c r="Q230" s="120"/>
      <c r="R230" s="121" t="b">
        <v>0</v>
      </c>
      <c r="S230" s="121" t="b">
        <v>0</v>
      </c>
      <c r="T230" s="122" t="b">
        <v>0</v>
      </c>
    </row>
    <row r="231" hidden="1" outlineLevel="1">
      <c r="A231" s="116"/>
      <c r="B231" s="116"/>
      <c r="C231" s="129"/>
      <c r="D231" s="116"/>
      <c r="E231" s="116"/>
      <c r="F231" s="116"/>
      <c r="G231" s="116"/>
      <c r="H231" s="116"/>
      <c r="I231" s="116"/>
      <c r="J231" s="134"/>
      <c r="K231" s="177"/>
      <c r="L231" s="116"/>
      <c r="M231" s="178" t="str">
        <f>IFERROR(__xludf.DUMMYFUNCTION("IF(
  K231="""",
  """",
  ROUND(
    IF(
      L231="""",
      K231,
      IF(
        ISERROR(FIND(""-"",L231)),
        K231 - VALUE(REGEXEXTRACT(L231,""(\d+)"")),
        K231 * (1 - VALUE(REGEXEXTRACT(L231,""(\d+)""))/100)
      )
    ),
    2
  )
)"&amp;"
")," ")</f>
        <v/>
      </c>
      <c r="N231" s="116"/>
      <c r="O231" s="118" t="b">
        <v>0</v>
      </c>
      <c r="P231" s="179"/>
      <c r="Q231" s="120"/>
      <c r="R231" s="121" t="b">
        <v>0</v>
      </c>
      <c r="S231" s="121" t="b">
        <v>0</v>
      </c>
      <c r="T231" s="122" t="b">
        <v>0</v>
      </c>
    </row>
    <row r="232" hidden="1" outlineLevel="1">
      <c r="A232" s="116"/>
      <c r="B232" s="116"/>
      <c r="C232" s="129"/>
      <c r="D232" s="157"/>
      <c r="E232" s="157"/>
      <c r="F232" s="116"/>
      <c r="G232" s="116"/>
      <c r="H232" s="116"/>
      <c r="I232" s="116"/>
      <c r="J232" s="134"/>
      <c r="K232" s="177"/>
      <c r="L232" s="116"/>
      <c r="M232" s="178" t="str">
        <f>IFERROR(__xludf.DUMMYFUNCTION("IF(
  K232="""",
  """",
  ROUND(
    IF(
      L232="""",
      K232,
      IF(
        ISERROR(FIND(""-"",L232)),
        K232 - VALUE(REGEXEXTRACT(L232,""(\d+)"")),
        K232 * (1 - VALUE(REGEXEXTRACT(L232,""(\d+)""))/100)
      )
    ),
    2
  )
)"&amp;"
")," ")</f>
        <v/>
      </c>
      <c r="N232" s="116"/>
      <c r="O232" s="118" t="b">
        <v>0</v>
      </c>
      <c r="P232" s="179"/>
      <c r="Q232" s="120"/>
      <c r="R232" s="121" t="b">
        <v>0</v>
      </c>
      <c r="S232" s="121" t="b">
        <v>0</v>
      </c>
      <c r="T232" s="122" t="b">
        <v>0</v>
      </c>
    </row>
    <row r="233" hidden="1" outlineLevel="1">
      <c r="A233" s="116"/>
      <c r="B233" s="116"/>
      <c r="C233" s="185"/>
      <c r="D233" s="116"/>
      <c r="E233" s="116"/>
      <c r="F233" s="116"/>
      <c r="G233" s="116"/>
      <c r="H233" s="116"/>
      <c r="I233" s="116"/>
      <c r="J233" s="134"/>
      <c r="K233" s="177"/>
      <c r="L233" s="116"/>
      <c r="M233" s="178" t="str">
        <f>IFERROR(__xludf.DUMMYFUNCTION("IF(
  K233="""",
  """",
  ROUND(
    IF(
      L233="""",
      K233,
      IF(
        ISERROR(FIND(""-"",L233)),
        K233 - VALUE(REGEXEXTRACT(L233,""(\d+)"")),
        K233 * (1 - VALUE(REGEXEXTRACT(L233,""(\d+)""))/100)
      )
    ),
    2
  )
)"&amp;"
")," ")</f>
        <v/>
      </c>
      <c r="N233" s="116"/>
      <c r="O233" s="118" t="b">
        <v>0</v>
      </c>
      <c r="P233" s="179"/>
      <c r="Q233" s="120"/>
      <c r="R233" s="121" t="b">
        <v>0</v>
      </c>
      <c r="S233" s="121" t="b">
        <v>0</v>
      </c>
      <c r="T233" s="122" t="b">
        <v>0</v>
      </c>
    </row>
    <row r="234" hidden="1" outlineLevel="1">
      <c r="A234" s="116"/>
      <c r="B234" s="116"/>
      <c r="C234" s="185"/>
      <c r="D234" s="116"/>
      <c r="E234" s="116"/>
      <c r="F234" s="116"/>
      <c r="G234" s="116"/>
      <c r="H234" s="116"/>
      <c r="I234" s="116"/>
      <c r="J234" s="134"/>
      <c r="K234" s="177"/>
      <c r="L234" s="116"/>
      <c r="M234" s="178" t="str">
        <f>IFERROR(__xludf.DUMMYFUNCTION("IF(
  K234="""",
  """",
  ROUND(
    IF(
      L234="""",
      K234,
      IF(
        ISERROR(FIND(""-"",L234)),
        K234 - VALUE(REGEXEXTRACT(L234,""(\d+)"")),
        K234 * (1 - VALUE(REGEXEXTRACT(L234,""(\d+)""))/100)
      )
    ),
    2
  )
)"&amp;"
")," ")</f>
        <v/>
      </c>
      <c r="N234" s="116"/>
      <c r="O234" s="118" t="b">
        <v>0</v>
      </c>
      <c r="P234" s="179"/>
      <c r="Q234" s="120"/>
      <c r="R234" s="121" t="b">
        <v>0</v>
      </c>
      <c r="S234" s="121" t="b">
        <v>0</v>
      </c>
      <c r="T234" s="122" t="b">
        <v>0</v>
      </c>
    </row>
    <row r="235" hidden="1" outlineLevel="1">
      <c r="A235" s="116"/>
      <c r="B235" s="116"/>
      <c r="C235" s="185"/>
      <c r="D235" s="157"/>
      <c r="E235" s="157"/>
      <c r="F235" s="116"/>
      <c r="G235" s="116"/>
      <c r="H235" s="116"/>
      <c r="I235" s="116"/>
      <c r="J235" s="134"/>
      <c r="K235" s="177"/>
      <c r="L235" s="116"/>
      <c r="M235" s="178" t="str">
        <f>IFERROR(__xludf.DUMMYFUNCTION("IF(
  K235="""",
  """",
  ROUND(
    IF(
      L235="""",
      K235,
      IF(
        ISERROR(FIND(""-"",L235)),
        K235 - VALUE(REGEXEXTRACT(L235,""(\d+)"")),
        K235 * (1 - VALUE(REGEXEXTRACT(L235,""(\d+)""))/100)
      )
    ),
    2
  )
)"&amp;"
")," ")</f>
        <v/>
      </c>
      <c r="N235" s="116"/>
      <c r="O235" s="118" t="b">
        <v>0</v>
      </c>
      <c r="P235" s="179"/>
      <c r="Q235" s="120"/>
      <c r="R235" s="121" t="b">
        <v>0</v>
      </c>
      <c r="S235" s="121" t="b">
        <v>0</v>
      </c>
      <c r="T235" s="122" t="b">
        <v>0</v>
      </c>
    </row>
    <row r="236" hidden="1" outlineLevel="1">
      <c r="A236" s="116"/>
      <c r="B236" s="116"/>
      <c r="C236" s="185"/>
      <c r="D236" s="116"/>
      <c r="E236" s="116"/>
      <c r="F236" s="116"/>
      <c r="G236" s="116"/>
      <c r="H236" s="116"/>
      <c r="I236" s="116"/>
      <c r="J236" s="134"/>
      <c r="K236" s="177"/>
      <c r="L236" s="116"/>
      <c r="M236" s="178" t="str">
        <f>IFERROR(__xludf.DUMMYFUNCTION("IF(
  K236="""",
  """",
  ROUND(
    IF(
      L236="""",
      K236,
      IF(
        ISERROR(FIND(""-"",L236)),
        K236 - VALUE(REGEXEXTRACT(L236,""(\d+)"")),
        K236 * (1 - VALUE(REGEXEXTRACT(L236,""(\d+)""))/100)
      )
    ),
    2
  )
)"&amp;"
")," ")</f>
        <v/>
      </c>
      <c r="N236" s="116"/>
      <c r="O236" s="118" t="b">
        <v>0</v>
      </c>
      <c r="P236" s="179"/>
      <c r="Q236" s="120"/>
      <c r="R236" s="121" t="b">
        <v>0</v>
      </c>
      <c r="S236" s="121" t="b">
        <v>0</v>
      </c>
      <c r="T236" s="122" t="b">
        <v>0</v>
      </c>
    </row>
    <row r="237" hidden="1" outlineLevel="1">
      <c r="A237" s="116"/>
      <c r="B237" s="116"/>
      <c r="C237" s="185"/>
      <c r="D237" s="116"/>
      <c r="E237" s="116"/>
      <c r="F237" s="116"/>
      <c r="G237" s="116"/>
      <c r="H237" s="116"/>
      <c r="I237" s="116"/>
      <c r="J237" s="134"/>
      <c r="K237" s="177"/>
      <c r="L237" s="116"/>
      <c r="M237" s="178" t="str">
        <f>IFERROR(__xludf.DUMMYFUNCTION("IF(
  K237="""",
  """",
  ROUND(
    IF(
      L237="""",
      K237,
      IF(
        ISERROR(FIND(""-"",L237)),
        K237 - VALUE(REGEXEXTRACT(L237,""(\d+)"")),
        K237 * (1 - VALUE(REGEXEXTRACT(L237,""(\d+)""))/100)
      )
    ),
    2
  )
)"&amp;"
")," ")</f>
        <v/>
      </c>
      <c r="N237" s="116"/>
      <c r="O237" s="118" t="b">
        <v>0</v>
      </c>
      <c r="P237" s="179"/>
      <c r="Q237" s="120"/>
      <c r="R237" s="121" t="b">
        <v>0</v>
      </c>
      <c r="S237" s="121" t="b">
        <v>0</v>
      </c>
      <c r="T237" s="122" t="b">
        <v>0</v>
      </c>
    </row>
    <row r="238" hidden="1" outlineLevel="1">
      <c r="A238" s="116"/>
      <c r="B238" s="116"/>
      <c r="C238" s="185"/>
      <c r="D238" s="157"/>
      <c r="E238" s="157"/>
      <c r="F238" s="116"/>
      <c r="G238" s="116"/>
      <c r="H238" s="116"/>
      <c r="I238" s="116"/>
      <c r="J238" s="134"/>
      <c r="K238" s="177"/>
      <c r="L238" s="116"/>
      <c r="M238" s="178" t="str">
        <f>IFERROR(__xludf.DUMMYFUNCTION("IF(
  K238="""",
  """",
  ROUND(
    IF(
      L238="""",
      K238,
      IF(
        ISERROR(FIND(""-"",L238)),
        K238 - VALUE(REGEXEXTRACT(L238,""(\d+)"")),
        K238 * (1 - VALUE(REGEXEXTRACT(L238,""(\d+)""))/100)
      )
    ),
    2
  )
)"&amp;"
")," ")</f>
        <v/>
      </c>
      <c r="N238" s="116"/>
      <c r="O238" s="118" t="b">
        <v>0</v>
      </c>
      <c r="P238" s="179"/>
      <c r="Q238" s="120"/>
      <c r="R238" s="121" t="b">
        <v>0</v>
      </c>
      <c r="S238" s="121" t="b">
        <v>0</v>
      </c>
      <c r="T238" s="122" t="b">
        <v>0</v>
      </c>
    </row>
    <row r="239" hidden="1" outlineLevel="1">
      <c r="A239" s="116"/>
      <c r="B239" s="116"/>
      <c r="C239" s="185"/>
      <c r="D239" s="116"/>
      <c r="E239" s="116"/>
      <c r="F239" s="116"/>
      <c r="G239" s="116"/>
      <c r="H239" s="116"/>
      <c r="I239" s="116"/>
      <c r="J239" s="134"/>
      <c r="K239" s="180"/>
      <c r="L239" s="116"/>
      <c r="M239" s="178" t="str">
        <f>IFERROR(__xludf.DUMMYFUNCTION("IF(
  K239="""",
  """",
  ROUND(
    IF(
      L239="""",
      K239,
      IF(
        ISERROR(FIND(""-"",L239)),
        K239 - VALUE(REGEXEXTRACT(L239,""(\d+)"")),
        K239 * (1 - VALUE(REGEXEXTRACT(L239,""(\d+)""))/100)
      )
    ),
    2
  )
)"&amp;"
")," ")</f>
        <v/>
      </c>
      <c r="N239" s="116"/>
      <c r="O239" s="118" t="b">
        <v>0</v>
      </c>
      <c r="P239" s="179"/>
      <c r="Q239" s="120"/>
      <c r="R239" s="121" t="b">
        <v>0</v>
      </c>
      <c r="S239" s="121" t="b">
        <v>0</v>
      </c>
      <c r="T239" s="122" t="b">
        <v>0</v>
      </c>
    </row>
    <row r="240" hidden="1" outlineLevel="1">
      <c r="A240" s="116"/>
      <c r="B240" s="116"/>
      <c r="C240" s="185"/>
      <c r="D240" s="116"/>
      <c r="E240" s="116"/>
      <c r="F240" s="116"/>
      <c r="G240" s="116"/>
      <c r="H240" s="116"/>
      <c r="I240" s="116"/>
      <c r="J240" s="134"/>
      <c r="K240" s="180"/>
      <c r="L240" s="116"/>
      <c r="M240" s="178" t="str">
        <f>IFERROR(__xludf.DUMMYFUNCTION("IF(
  K240="""",
  """",
  ROUND(
    IF(
      L240="""",
      K240,
      IF(
        ISERROR(FIND(""-"",L240)),
        K240 - VALUE(REGEXEXTRACT(L240,""(\d+)"")),
        K240 * (1 - VALUE(REGEXEXTRACT(L240,""(\d+)""))/100)
      )
    ),
    2
  )
)"&amp;"
")," ")</f>
        <v/>
      </c>
      <c r="N240" s="116"/>
      <c r="O240" s="118" t="b">
        <v>0</v>
      </c>
      <c r="P240" s="179"/>
      <c r="Q240" s="120"/>
      <c r="R240" s="121" t="b">
        <v>0</v>
      </c>
      <c r="S240" s="121" t="b">
        <v>0</v>
      </c>
      <c r="T240" s="122" t="b">
        <v>0</v>
      </c>
    </row>
    <row r="241" hidden="1" outlineLevel="1">
      <c r="A241" s="116"/>
      <c r="B241" s="116"/>
      <c r="C241" s="185"/>
      <c r="D241" s="157"/>
      <c r="E241" s="157"/>
      <c r="F241" s="116"/>
      <c r="G241" s="116"/>
      <c r="H241" s="116"/>
      <c r="I241" s="116"/>
      <c r="J241" s="134"/>
      <c r="K241" s="177"/>
      <c r="L241" s="116"/>
      <c r="M241" s="178" t="str">
        <f>IFERROR(__xludf.DUMMYFUNCTION("IF(
  K241="""",
  """",
  ROUND(
    IF(
      L241="""",
      K241,
      IF(
        ISERROR(FIND(""-"",L241)),
        K241 - VALUE(REGEXEXTRACT(L241,""(\d+)"")),
        K241 * (1 - VALUE(REGEXEXTRACT(L241,""(\d+)""))/100)
      )
    ),
    2
  )
)"&amp;"
")," ")</f>
        <v/>
      </c>
      <c r="N241" s="116"/>
      <c r="O241" s="118" t="b">
        <v>0</v>
      </c>
      <c r="P241" s="179"/>
      <c r="Q241" s="120"/>
      <c r="R241" s="121" t="b">
        <v>0</v>
      </c>
      <c r="S241" s="121" t="b">
        <v>0</v>
      </c>
      <c r="T241" s="122" t="b">
        <v>0</v>
      </c>
    </row>
    <row r="242" hidden="1" outlineLevel="1">
      <c r="A242" s="116"/>
      <c r="B242" s="116"/>
      <c r="C242" s="185"/>
      <c r="D242" s="116"/>
      <c r="E242" s="116"/>
      <c r="F242" s="116"/>
      <c r="G242" s="116"/>
      <c r="H242" s="116"/>
      <c r="I242" s="116"/>
      <c r="J242" s="134"/>
      <c r="K242" s="177"/>
      <c r="L242" s="116"/>
      <c r="M242" s="178" t="str">
        <f>IFERROR(__xludf.DUMMYFUNCTION("IF(
  K242="""",
  """",
  ROUND(
    IF(
      L242="""",
      K242,
      IF(
        ISERROR(FIND(""-"",L242)),
        K242 - VALUE(REGEXEXTRACT(L242,""(\d+)"")),
        K242 * (1 - VALUE(REGEXEXTRACT(L242,""(\d+)""))/100)
      )
    ),
    2
  )
)"&amp;"
")," ")</f>
        <v/>
      </c>
      <c r="N242" s="116"/>
      <c r="O242" s="118" t="b">
        <v>0</v>
      </c>
      <c r="P242" s="179"/>
      <c r="Q242" s="120"/>
      <c r="R242" s="121" t="b">
        <v>0</v>
      </c>
      <c r="S242" s="121" t="b">
        <v>0</v>
      </c>
      <c r="T242" s="122" t="b">
        <v>0</v>
      </c>
    </row>
    <row r="243" hidden="1" outlineLevel="1">
      <c r="A243" s="116"/>
      <c r="B243" s="116"/>
      <c r="C243" s="186"/>
      <c r="D243" s="116"/>
      <c r="E243" s="116"/>
      <c r="F243" s="156"/>
      <c r="G243" s="157"/>
      <c r="H243" s="116"/>
      <c r="I243" s="116"/>
      <c r="J243" s="134"/>
      <c r="K243" s="177"/>
      <c r="L243" s="116"/>
      <c r="M243" s="178" t="str">
        <f>IFERROR(__xludf.DUMMYFUNCTION("IF(
  K243="""",
  """",
  ROUND(
    IF(
      L243="""",
      K243,
      IF(
        ISERROR(FIND(""-"",L243)),
        K243 - VALUE(REGEXEXTRACT(L243,""(\d+)"")),
        K243 * (1 - VALUE(REGEXEXTRACT(L243,""(\d+)""))/100)
      )
    ),
    2
  )
)"&amp;"
")," ")</f>
        <v/>
      </c>
      <c r="N243" s="116"/>
      <c r="O243" s="118" t="b">
        <v>0</v>
      </c>
      <c r="P243" s="179"/>
      <c r="Q243" s="120"/>
      <c r="R243" s="121" t="b">
        <v>0</v>
      </c>
      <c r="S243" s="121" t="b">
        <v>0</v>
      </c>
      <c r="T243" s="122" t="b">
        <v>0</v>
      </c>
    </row>
    <row r="244" hidden="1" outlineLevel="1">
      <c r="A244" s="116"/>
      <c r="B244" s="116"/>
      <c r="C244" s="186"/>
      <c r="D244" s="157"/>
      <c r="E244" s="157"/>
      <c r="F244" s="187"/>
      <c r="G244" s="188"/>
      <c r="H244" s="116"/>
      <c r="I244" s="116"/>
      <c r="J244" s="134"/>
      <c r="K244" s="177"/>
      <c r="L244" s="116"/>
      <c r="M244" s="178" t="str">
        <f>IFERROR(__xludf.DUMMYFUNCTION("IF(
  K244="""",
  """",
  ROUND(
    IF(
      L244="""",
      K244,
      IF(
        ISERROR(FIND(""-"",L244)),
        K244 - VALUE(REGEXEXTRACT(L244,""(\d+)"")),
        K244 * (1 - VALUE(REGEXEXTRACT(L244,""(\d+)""))/100)
      )
    ),
    2
  )
)"&amp;"
")," ")</f>
        <v/>
      </c>
      <c r="N244" s="116"/>
      <c r="O244" s="118" t="b">
        <v>0</v>
      </c>
      <c r="P244" s="179"/>
      <c r="Q244" s="120"/>
      <c r="R244" s="121" t="b">
        <v>0</v>
      </c>
      <c r="S244" s="121" t="b">
        <v>0</v>
      </c>
      <c r="T244" s="122" t="b">
        <v>0</v>
      </c>
    </row>
    <row r="245" hidden="1" outlineLevel="1">
      <c r="A245" s="131"/>
      <c r="B245" s="131"/>
      <c r="C245" s="130"/>
      <c r="D245" s="116"/>
      <c r="E245" s="116"/>
      <c r="F245" s="131"/>
      <c r="G245" s="131"/>
      <c r="H245" s="131"/>
      <c r="I245" s="183"/>
      <c r="J245" s="148"/>
      <c r="K245" s="177"/>
      <c r="L245" s="116"/>
      <c r="M245" s="178" t="str">
        <f>IFERROR(__xludf.DUMMYFUNCTION("IF(
  K245="""",
  """",
  ROUND(
    IF(
      L245="""",
      K245,
      IF(
        ISERROR(FIND(""-"",L245)),
        K245 - VALUE(REGEXEXTRACT(L245,""(\d+)"")),
        K245 * (1 - VALUE(REGEXEXTRACT(L245,""(\d+)""))/100)
      )
    ),
    2
  )
)"&amp;"
")," ")</f>
        <v/>
      </c>
      <c r="N245" s="131"/>
      <c r="O245" s="118" t="b">
        <v>0</v>
      </c>
      <c r="P245" s="179"/>
      <c r="Q245" s="120"/>
      <c r="R245" s="121" t="b">
        <v>0</v>
      </c>
      <c r="S245" s="121" t="b">
        <v>0</v>
      </c>
      <c r="T245" s="122" t="b">
        <v>0</v>
      </c>
    </row>
    <row r="246" hidden="1" outlineLevel="1">
      <c r="A246" s="131"/>
      <c r="B246" s="131"/>
      <c r="C246" s="130"/>
      <c r="D246" s="116"/>
      <c r="E246" s="116"/>
      <c r="F246" s="131"/>
      <c r="G246" s="131"/>
      <c r="H246" s="131"/>
      <c r="I246" s="183"/>
      <c r="J246" s="148"/>
      <c r="K246" s="177"/>
      <c r="L246" s="116"/>
      <c r="M246" s="178" t="str">
        <f>IFERROR(__xludf.DUMMYFUNCTION("IF(
  K246="""",
  """",
  ROUND(
    IF(
      L246="""",
      K246,
      IF(
        ISERROR(FIND(""-"",L246)),
        K246 - VALUE(REGEXEXTRACT(L246,""(\d+)"")),
        K246 * (1 - VALUE(REGEXEXTRACT(L246,""(\d+)""))/100)
      )
    ),
    2
  )
)"&amp;"
")," ")</f>
        <v/>
      </c>
      <c r="N246" s="131"/>
      <c r="O246" s="118" t="b">
        <v>0</v>
      </c>
      <c r="P246" s="179"/>
      <c r="Q246" s="120"/>
      <c r="R246" s="121" t="b">
        <v>0</v>
      </c>
      <c r="S246" s="121" t="b">
        <v>0</v>
      </c>
      <c r="T246" s="122" t="b">
        <v>0</v>
      </c>
    </row>
    <row r="247" hidden="1" outlineLevel="1">
      <c r="A247" s="131"/>
      <c r="B247" s="116"/>
      <c r="C247" s="130"/>
      <c r="D247" s="157"/>
      <c r="E247" s="157"/>
      <c r="F247" s="131"/>
      <c r="G247" s="131"/>
      <c r="H247" s="131"/>
      <c r="I247" s="183"/>
      <c r="J247" s="148"/>
      <c r="K247" s="177"/>
      <c r="L247" s="116"/>
      <c r="M247" s="178" t="str">
        <f>IFERROR(__xludf.DUMMYFUNCTION("IF(
  K247="""",
  """",
  ROUND(
    IF(
      L247="""",
      K247,
      IF(
        ISERROR(FIND(""-"",L247)),
        K247 - VALUE(REGEXEXTRACT(L247,""(\d+)"")),
        K247 * (1 - VALUE(REGEXEXTRACT(L247,""(\d+)""))/100)
      )
    ),
    2
  )
)"&amp;"
")," ")</f>
        <v/>
      </c>
      <c r="N247" s="131"/>
      <c r="O247" s="118" t="b">
        <v>0</v>
      </c>
      <c r="P247" s="179"/>
      <c r="Q247" s="120"/>
      <c r="R247" s="121" t="b">
        <v>0</v>
      </c>
      <c r="S247" s="121" t="b">
        <v>0</v>
      </c>
      <c r="T247" s="122" t="b">
        <v>0</v>
      </c>
    </row>
    <row r="248" hidden="1" outlineLevel="1">
      <c r="A248" s="131"/>
      <c r="B248" s="116"/>
      <c r="C248" s="130"/>
      <c r="D248" s="116"/>
      <c r="E248" s="116"/>
      <c r="F248" s="131"/>
      <c r="G248" s="131"/>
      <c r="H248" s="131"/>
      <c r="I248" s="183"/>
      <c r="J248" s="148"/>
      <c r="K248" s="177"/>
      <c r="L248" s="116"/>
      <c r="M248" s="178" t="str">
        <f>IFERROR(__xludf.DUMMYFUNCTION("IF(
  K248="""",
  """",
  ROUND(
    IF(
      L248="""",
      K248,
      IF(
        ISERROR(FIND(""-"",L248)),
        K248 - VALUE(REGEXEXTRACT(L248,""(\d+)"")),
        K248 * (1 - VALUE(REGEXEXTRACT(L248,""(\d+)""))/100)
      )
    ),
    2
  )
)"&amp;"
")," ")</f>
        <v/>
      </c>
      <c r="N248" s="131"/>
      <c r="O248" s="118" t="b">
        <v>0</v>
      </c>
      <c r="P248" s="179"/>
      <c r="Q248" s="120"/>
      <c r="R248" s="121" t="b">
        <v>0</v>
      </c>
      <c r="S248" s="121" t="b">
        <v>0</v>
      </c>
      <c r="T248" s="122" t="b">
        <v>0</v>
      </c>
    </row>
    <row r="249" hidden="1" outlineLevel="1">
      <c r="A249" s="131"/>
      <c r="B249" s="116"/>
      <c r="C249" s="130"/>
      <c r="D249" s="116"/>
      <c r="E249" s="116"/>
      <c r="F249" s="131"/>
      <c r="G249" s="131"/>
      <c r="H249" s="131"/>
      <c r="I249" s="183"/>
      <c r="J249" s="148"/>
      <c r="K249" s="177"/>
      <c r="L249" s="116"/>
      <c r="M249" s="178" t="str">
        <f>IFERROR(__xludf.DUMMYFUNCTION("IF(
  K249="""",
  """",
  ROUND(
    IF(
      L249="""",
      K249,
      IF(
        ISERROR(FIND(""-"",L249)),
        K249 - VALUE(REGEXEXTRACT(L249,""(\d+)"")),
        K249 * (1 - VALUE(REGEXEXTRACT(L249,""(\d+)""))/100)
      )
    ),
    2
  )
)"&amp;"
")," ")</f>
        <v/>
      </c>
      <c r="N249" s="131"/>
      <c r="O249" s="118" t="b">
        <v>0</v>
      </c>
      <c r="P249" s="179"/>
      <c r="Q249" s="120"/>
      <c r="R249" s="121" t="b">
        <v>0</v>
      </c>
      <c r="S249" s="121" t="b">
        <v>0</v>
      </c>
      <c r="T249" s="122" t="b">
        <v>0</v>
      </c>
    </row>
    <row r="250" hidden="1" outlineLevel="1">
      <c r="A250" s="131"/>
      <c r="B250" s="116"/>
      <c r="C250" s="130"/>
      <c r="D250" s="157"/>
      <c r="E250" s="157"/>
      <c r="F250" s="131"/>
      <c r="G250" s="131"/>
      <c r="H250" s="131"/>
      <c r="I250" s="183"/>
      <c r="J250" s="148"/>
      <c r="K250" s="177"/>
      <c r="L250" s="116"/>
      <c r="M250" s="178" t="str">
        <f>IFERROR(__xludf.DUMMYFUNCTION("IF(
  K250="""",
  """",
  ROUND(
    IF(
      L250="""",
      K250,
      IF(
        ISERROR(FIND(""-"",L250)),
        K250 - VALUE(REGEXEXTRACT(L250,""(\d+)"")),
        K250 * (1 - VALUE(REGEXEXTRACT(L250,""(\d+)""))/100)
      )
    ),
    2
  )
)"&amp;"
")," ")</f>
        <v/>
      </c>
      <c r="N250" s="131"/>
      <c r="O250" s="118" t="b">
        <v>0</v>
      </c>
      <c r="P250" s="179"/>
      <c r="Q250" s="120"/>
      <c r="R250" s="121" t="b">
        <v>0</v>
      </c>
      <c r="S250" s="121" t="b">
        <v>0</v>
      </c>
      <c r="T250" s="122" t="b">
        <v>0</v>
      </c>
    </row>
    <row r="251" hidden="1" outlineLevel="1">
      <c r="A251" s="131"/>
      <c r="B251" s="116"/>
      <c r="C251" s="130"/>
      <c r="D251" s="116"/>
      <c r="E251" s="116"/>
      <c r="F251" s="131"/>
      <c r="G251" s="131"/>
      <c r="H251" s="131"/>
      <c r="I251" s="183"/>
      <c r="J251" s="148"/>
      <c r="K251" s="177"/>
      <c r="L251" s="116"/>
      <c r="M251" s="178" t="str">
        <f>IFERROR(__xludf.DUMMYFUNCTION("IF(
  K251="""",
  """",
  ROUND(
    IF(
      L251="""",
      K251,
      IF(
        ISERROR(FIND(""-"",L251)),
        K251 - VALUE(REGEXEXTRACT(L251,""(\d+)"")),
        K251 * (1 - VALUE(REGEXEXTRACT(L251,""(\d+)""))/100)
      )
    ),
    2
  )
)"&amp;"
")," ")</f>
        <v/>
      </c>
      <c r="N251" s="131"/>
      <c r="O251" s="118" t="b">
        <v>0</v>
      </c>
      <c r="P251" s="179"/>
      <c r="Q251" s="120"/>
      <c r="R251" s="121" t="b">
        <v>0</v>
      </c>
      <c r="S251" s="121" t="b">
        <v>0</v>
      </c>
      <c r="T251" s="122" t="b">
        <v>0</v>
      </c>
    </row>
    <row r="252" hidden="1" outlineLevel="1">
      <c r="A252" s="131"/>
      <c r="B252" s="116"/>
      <c r="C252" s="130"/>
      <c r="D252" s="116"/>
      <c r="E252" s="116"/>
      <c r="F252" s="131"/>
      <c r="G252" s="131"/>
      <c r="H252" s="131"/>
      <c r="I252" s="183"/>
      <c r="J252" s="148"/>
      <c r="K252" s="177"/>
      <c r="L252" s="116"/>
      <c r="M252" s="178" t="str">
        <f>IFERROR(__xludf.DUMMYFUNCTION("IF(
  K252="""",
  """",
  ROUND(
    IF(
      L252="""",
      K252,
      IF(
        ISERROR(FIND(""-"",L252)),
        K252 - VALUE(REGEXEXTRACT(L252,""(\d+)"")),
        K252 * (1 - VALUE(REGEXEXTRACT(L252,""(\d+)""))/100)
      )
    ),
    2
  )
)"&amp;"
")," ")</f>
        <v/>
      </c>
      <c r="N252" s="131"/>
      <c r="O252" s="118" t="b">
        <v>0</v>
      </c>
      <c r="P252" s="179"/>
      <c r="Q252" s="120"/>
      <c r="R252" s="121" t="b">
        <v>0</v>
      </c>
      <c r="S252" s="121" t="b">
        <v>0</v>
      </c>
      <c r="T252" s="122" t="b">
        <v>0</v>
      </c>
    </row>
    <row r="253" hidden="1" outlineLevel="1">
      <c r="A253" s="131"/>
      <c r="B253" s="116"/>
      <c r="C253" s="130"/>
      <c r="D253" s="157"/>
      <c r="E253" s="157"/>
      <c r="F253" s="131"/>
      <c r="G253" s="131"/>
      <c r="H253" s="131"/>
      <c r="I253" s="183"/>
      <c r="J253" s="148"/>
      <c r="K253" s="177"/>
      <c r="L253" s="116"/>
      <c r="M253" s="178" t="str">
        <f>IFERROR(__xludf.DUMMYFUNCTION("IF(
  K253="""",
  """",
  ROUND(
    IF(
      L253="""",
      K253,
      IF(
        ISERROR(FIND(""-"",L253)),
        K253 - VALUE(REGEXEXTRACT(L253,""(\d+)"")),
        K253 * (1 - VALUE(REGEXEXTRACT(L253,""(\d+)""))/100)
      )
    ),
    2
  )
)"&amp;"
")," ")</f>
        <v/>
      </c>
      <c r="N253" s="131"/>
      <c r="O253" s="118" t="b">
        <v>0</v>
      </c>
      <c r="P253" s="179"/>
      <c r="Q253" s="120"/>
      <c r="R253" s="121" t="b">
        <v>0</v>
      </c>
      <c r="S253" s="121" t="b">
        <v>0</v>
      </c>
      <c r="T253" s="122" t="b">
        <v>0</v>
      </c>
    </row>
    <row r="254" hidden="1" outlineLevel="1">
      <c r="A254" s="131"/>
      <c r="B254" s="116"/>
      <c r="C254" s="130"/>
      <c r="D254" s="116"/>
      <c r="E254" s="116"/>
      <c r="F254" s="131"/>
      <c r="G254" s="131"/>
      <c r="H254" s="131"/>
      <c r="I254" s="183"/>
      <c r="J254" s="148"/>
      <c r="K254" s="177"/>
      <c r="L254" s="116"/>
      <c r="M254" s="178" t="str">
        <f>IFERROR(__xludf.DUMMYFUNCTION("IF(
  K254="""",
  """",
  ROUND(
    IF(
      L254="""",
      K254,
      IF(
        ISERROR(FIND(""-"",L254)),
        K254 - VALUE(REGEXEXTRACT(L254,""(\d+)"")),
        K254 * (1 - VALUE(REGEXEXTRACT(L254,""(\d+)""))/100)
      )
    ),
    2
  )
)"&amp;"
")," ")</f>
        <v/>
      </c>
      <c r="N254" s="131"/>
      <c r="O254" s="118" t="b">
        <v>0</v>
      </c>
      <c r="P254" s="179"/>
      <c r="Q254" s="120"/>
      <c r="R254" s="121" t="b">
        <v>0</v>
      </c>
      <c r="S254" s="121" t="b">
        <v>0</v>
      </c>
      <c r="T254" s="122" t="b">
        <v>0</v>
      </c>
    </row>
    <row r="255" hidden="1" outlineLevel="1">
      <c r="A255" s="116"/>
      <c r="B255" s="116"/>
      <c r="C255" s="129"/>
      <c r="D255" s="116"/>
      <c r="E255" s="116"/>
      <c r="F255" s="116"/>
      <c r="G255" s="116"/>
      <c r="H255" s="116"/>
      <c r="I255" s="116"/>
      <c r="J255" s="134"/>
      <c r="K255" s="177"/>
      <c r="L255" s="116"/>
      <c r="M255" s="178" t="str">
        <f>IFERROR(__xludf.DUMMYFUNCTION("IF(
  K255="""",
  """",
  ROUND(
    IF(
      L255="""",
      K255,
      IF(
        ISERROR(FIND(""-"",L255)),
        K255 - VALUE(REGEXEXTRACT(L255,""(\d+)"")),
        K255 * (1 - VALUE(REGEXEXTRACT(L255,""(\d+)""))/100)
      )
    ),
    2
  )
)"&amp;"
")," ")</f>
        <v/>
      </c>
      <c r="N255" s="116"/>
      <c r="O255" s="118" t="b">
        <v>0</v>
      </c>
      <c r="P255" s="179"/>
      <c r="Q255" s="120"/>
      <c r="R255" s="121" t="b">
        <v>0</v>
      </c>
      <c r="S255" s="121" t="b">
        <v>0</v>
      </c>
      <c r="T255" s="122" t="b">
        <v>0</v>
      </c>
    </row>
    <row r="256" hidden="1" outlineLevel="1">
      <c r="A256" s="116"/>
      <c r="B256" s="116"/>
      <c r="C256" s="185"/>
      <c r="D256" s="157"/>
      <c r="E256" s="157"/>
      <c r="F256" s="116"/>
      <c r="G256" s="116"/>
      <c r="H256" s="116"/>
      <c r="I256" s="116"/>
      <c r="J256" s="134"/>
      <c r="K256" s="177"/>
      <c r="L256" s="116"/>
      <c r="M256" s="178" t="str">
        <f>IFERROR(__xludf.DUMMYFUNCTION("IF(
  K256="""",
  """",
  ROUND(
    IF(
      L256="""",
      K256,
      IF(
        ISERROR(FIND(""-"",L256)),
        K256 - VALUE(REGEXEXTRACT(L256,""(\d+)"")),
        K256 * (1 - VALUE(REGEXEXTRACT(L256,""(\d+)""))/100)
      )
    ),
    2
  )
)"&amp;"
")," ")</f>
        <v/>
      </c>
      <c r="N256" s="116"/>
      <c r="O256" s="118" t="b">
        <v>0</v>
      </c>
      <c r="P256" s="179"/>
      <c r="Q256" s="120"/>
      <c r="R256" s="121" t="b">
        <v>0</v>
      </c>
      <c r="S256" s="121" t="b">
        <v>0</v>
      </c>
      <c r="T256" s="122" t="b">
        <v>0</v>
      </c>
    </row>
    <row r="257" hidden="1" outlineLevel="1">
      <c r="A257" s="116"/>
      <c r="B257" s="116"/>
      <c r="C257" s="129"/>
      <c r="D257" s="116"/>
      <c r="E257" s="116"/>
      <c r="F257" s="116"/>
      <c r="G257" s="189"/>
      <c r="H257" s="116"/>
      <c r="I257" s="116"/>
      <c r="J257" s="134"/>
      <c r="K257" s="177"/>
      <c r="L257" s="116"/>
      <c r="M257" s="178" t="str">
        <f>IFERROR(__xludf.DUMMYFUNCTION("IF(
  K257="""",
  """",
  ROUND(
    IF(
      L257="""",
      K257,
      IF(
        ISERROR(FIND(""-"",L257)),
        K257 - VALUE(REGEXEXTRACT(L257,""(\d+)"")),
        K257 * (1 - VALUE(REGEXEXTRACT(L257,""(\d+)""))/100)
      )
    ),
    2
  )
)"&amp;"
")," ")</f>
        <v/>
      </c>
      <c r="N257" s="116"/>
      <c r="O257" s="118" t="b">
        <v>0</v>
      </c>
      <c r="P257" s="179"/>
      <c r="Q257" s="159"/>
      <c r="R257" s="121" t="b">
        <v>0</v>
      </c>
      <c r="S257" s="121" t="b">
        <v>0</v>
      </c>
      <c r="T257" s="122" t="b">
        <v>0</v>
      </c>
    </row>
    <row r="258">
      <c r="A258" s="160" t="s">
        <v>116</v>
      </c>
      <c r="B258" s="161">
        <f>COUNTIF(B178:B257,"ONLINE")+COUNTIF(B178:B257,"SEDE*")</f>
        <v>0</v>
      </c>
      <c r="C258" s="160" t="s">
        <v>116</v>
      </c>
      <c r="D258" s="161">
        <f t="shared" ref="D258:F258" si="17">COUNTIF(D178:D257, "*")</f>
        <v>0</v>
      </c>
      <c r="E258" s="161">
        <f t="shared" si="17"/>
        <v>0</v>
      </c>
      <c r="F258" s="161">
        <f t="shared" si="17"/>
        <v>0</v>
      </c>
      <c r="G258" s="162">
        <f>COUNTA(G178:G257)</f>
        <v>0</v>
      </c>
      <c r="H258" s="161">
        <f t="shared" ref="H258:I258" si="18">COUNTIF(H178:H257, "*")</f>
        <v>0</v>
      </c>
      <c r="I258" s="161">
        <f t="shared" si="18"/>
        <v>0</v>
      </c>
      <c r="J258" s="160" t="s">
        <v>116</v>
      </c>
      <c r="K258" s="190">
        <f>SUM(K178:K257)</f>
        <v>0</v>
      </c>
      <c r="L258" s="161">
        <f>COUNTIF(L178:L257, "*")</f>
        <v>0</v>
      </c>
      <c r="M258" s="163">
        <f>SUM(M178:M257)</f>
        <v>0</v>
      </c>
      <c r="N258" s="161">
        <f>COUNTIF(N178:N257, "*")</f>
        <v>0</v>
      </c>
      <c r="O258" s="161">
        <f>SUMPRODUCT(--O178:O257)</f>
        <v>0</v>
      </c>
      <c r="P258" s="161">
        <f t="shared" ref="P258:Q258" si="19">COUNTIF(P178:P257, "*")</f>
        <v>0</v>
      </c>
      <c r="Q258" s="161">
        <f t="shared" si="19"/>
        <v>0</v>
      </c>
      <c r="R258" s="161">
        <f t="shared" ref="R258:T258" si="20">SUMPRODUCT(--R178:R257)</f>
        <v>0</v>
      </c>
      <c r="S258" s="161">
        <f t="shared" si="20"/>
        <v>0</v>
      </c>
      <c r="T258" s="161">
        <f t="shared" si="20"/>
        <v>0</v>
      </c>
    </row>
    <row r="259">
      <c r="A259" s="164" t="s">
        <v>117</v>
      </c>
      <c r="B259" s="165">
        <f>COUNTIF(B178:B257, "SEDE*")</f>
        <v>0</v>
      </c>
      <c r="C259" s="142"/>
      <c r="D259" s="166" t="s">
        <v>454</v>
      </c>
      <c r="E259" s="167" t="s">
        <v>119</v>
      </c>
      <c r="F259" s="168" t="str">
        <f>IFERROR(__xludf.DUMMYFUNCTION("IFERROR(TRANSPOSE(SORT(UNIQUE(FILTER($M$178:$M$257,$M$178:$M$257&lt;&gt;"""")))),"""")")," ")</f>
        <v/>
      </c>
      <c r="G259" s="150"/>
      <c r="H259" s="117"/>
      <c r="I259" s="168"/>
      <c r="J259" s="150"/>
      <c r="K259" s="117"/>
      <c r="L259" s="117"/>
      <c r="M259" s="191"/>
      <c r="N259" s="191"/>
      <c r="O259" s="191"/>
      <c r="P259" s="174" t="s">
        <v>40</v>
      </c>
      <c r="Q259" s="171" t="str">
        <f>IF(SUM(F261:O261)=0,"",SUM(F261:O261))
</f>
        <v/>
      </c>
      <c r="R259" s="164" t="s">
        <v>120</v>
      </c>
      <c r="S259" s="165" t="str">
        <f>IF(SUM(M258) = SUM(Q259:Q263), "OK", "ERRORE")</f>
        <v>OK</v>
      </c>
    </row>
    <row r="260">
      <c r="A260" s="164" t="s">
        <v>74</v>
      </c>
      <c r="B260" s="165">
        <f>COUNTIF(B178:B257, "ONLINE")</f>
        <v>0</v>
      </c>
      <c r="E260" s="172" t="s">
        <v>121</v>
      </c>
      <c r="F260" s="172" t="str">
        <f t="shared" ref="F260:O260" si="21">IF(
  F$259="",
  "",
  COUNTIFS($B$178:$B$257,"*SEDE*",$M$178:$M$257,F$259)
)
</f>
        <v/>
      </c>
      <c r="G260" s="172" t="str">
        <f t="shared" si="21"/>
        <v/>
      </c>
      <c r="H260" s="172" t="str">
        <f t="shared" si="21"/>
        <v/>
      </c>
      <c r="I260" s="172" t="str">
        <f t="shared" si="21"/>
        <v/>
      </c>
      <c r="J260" s="172" t="str">
        <f t="shared" si="21"/>
        <v/>
      </c>
      <c r="K260" s="172" t="str">
        <f t="shared" si="21"/>
        <v/>
      </c>
      <c r="L260" s="172" t="str">
        <f t="shared" si="21"/>
        <v/>
      </c>
      <c r="M260" s="172" t="str">
        <f t="shared" si="21"/>
        <v/>
      </c>
      <c r="N260" s="172" t="str">
        <f t="shared" si="21"/>
        <v/>
      </c>
      <c r="O260" s="172" t="str">
        <f t="shared" si="21"/>
        <v/>
      </c>
    </row>
    <row r="261">
      <c r="A261" s="142"/>
      <c r="E261" s="192" t="s">
        <v>122</v>
      </c>
      <c r="F261" s="193" t="str">
        <f t="shared" ref="F261:O261" si="22">IF(
  F$259="",
  "",
  SUMIFS($M$178:$M$257,$B$178:$B$257,"*SEDE*",$M$178:$M$257,F$259)
)
</f>
        <v/>
      </c>
      <c r="G261" s="193" t="str">
        <f t="shared" si="22"/>
        <v/>
      </c>
      <c r="H261" s="193" t="str">
        <f t="shared" si="22"/>
        <v/>
      </c>
      <c r="I261" s="193" t="str">
        <f t="shared" si="22"/>
        <v/>
      </c>
      <c r="J261" s="193" t="str">
        <f t="shared" si="22"/>
        <v/>
      </c>
      <c r="K261" s="193" t="str">
        <f t="shared" si="22"/>
        <v/>
      </c>
      <c r="L261" s="193" t="str">
        <f t="shared" si="22"/>
        <v/>
      </c>
      <c r="M261" s="193" t="str">
        <f t="shared" si="22"/>
        <v/>
      </c>
      <c r="N261" s="193" t="str">
        <f t="shared" si="22"/>
        <v/>
      </c>
      <c r="O261" s="193" t="str">
        <f t="shared" si="22"/>
        <v/>
      </c>
    </row>
    <row r="262">
      <c r="E262" s="172" t="s">
        <v>123</v>
      </c>
      <c r="F262" s="175" t="str">
        <f t="shared" ref="F262:O262" si="23">IF(
  F$259="",
  "",
  COUNTIFS($B$178:$B$257,"*ONLINE*",$M$178:$M$257,F$259)
)
</f>
        <v/>
      </c>
      <c r="G262" s="175" t="str">
        <f t="shared" si="23"/>
        <v/>
      </c>
      <c r="H262" s="175" t="str">
        <f t="shared" si="23"/>
        <v/>
      </c>
      <c r="I262" s="175" t="str">
        <f t="shared" si="23"/>
        <v/>
      </c>
      <c r="J262" s="175" t="str">
        <f t="shared" si="23"/>
        <v/>
      </c>
      <c r="K262" s="175" t="str">
        <f t="shared" si="23"/>
        <v/>
      </c>
      <c r="L262" s="175" t="str">
        <f t="shared" si="23"/>
        <v/>
      </c>
      <c r="M262" s="175" t="str">
        <f t="shared" si="23"/>
        <v/>
      </c>
      <c r="N262" s="175" t="str">
        <f t="shared" si="23"/>
        <v/>
      </c>
      <c r="O262" s="175" t="str">
        <f t="shared" si="23"/>
        <v/>
      </c>
      <c r="P262" s="170" t="s">
        <v>40</v>
      </c>
      <c r="Q262" s="171" t="str">
        <f>IF(SUM(F263:O263)=0,"",SUM(F263:O263))
</f>
        <v/>
      </c>
    </row>
    <row r="263">
      <c r="E263" s="194" t="s">
        <v>124</v>
      </c>
      <c r="F263" s="195" t="str">
        <f t="shared" ref="F263:O263" si="24">IF(
  F$259="",
  "",
  SUMIFS($M$178:$M$257,$B$178:$B$257,"*ONLINE*",$M$178:$M$257,F$259)
)
</f>
        <v/>
      </c>
      <c r="G263" s="195" t="str">
        <f t="shared" si="24"/>
        <v/>
      </c>
      <c r="H263" s="195" t="str">
        <f t="shared" si="24"/>
        <v/>
      </c>
      <c r="I263" s="195" t="str">
        <f t="shared" si="24"/>
        <v/>
      </c>
      <c r="J263" s="195" t="str">
        <f t="shared" si="24"/>
        <v/>
      </c>
      <c r="K263" s="195" t="str">
        <f t="shared" si="24"/>
        <v/>
      </c>
      <c r="L263" s="195" t="str">
        <f t="shared" si="24"/>
        <v/>
      </c>
      <c r="M263" s="195" t="str">
        <f t="shared" si="24"/>
        <v/>
      </c>
      <c r="N263" s="195" t="str">
        <f t="shared" si="24"/>
        <v/>
      </c>
      <c r="O263" s="195" t="str">
        <f t="shared" si="24"/>
        <v/>
      </c>
      <c r="P263" s="196"/>
    </row>
    <row r="264">
      <c r="A264" s="197" t="s">
        <v>127</v>
      </c>
      <c r="B264" s="198">
        <f t="shared" ref="B264:B265" si="25">SUM(B85,B259)</f>
        <v>0</v>
      </c>
      <c r="D264" s="199" t="s">
        <v>455</v>
      </c>
      <c r="E264" s="200" t="s">
        <v>129</v>
      </c>
      <c r="F264" s="201" t="str">
        <f>IFERROR(__xludf.DUMMYFUNCTION("IFERROR(
  TRANSPOSE(
    SORT(
      UNIQUE(
        FILTER(
          {$M$4:$M$83;$M$91:$M$170;$M$178:$M$257},
          {$M$4:$M$83;$M$91:$M$170;$M$178:$M$257}&lt;&gt;""""
        )
      )
    )
  ),
  """"
)
")," ")</f>
        <v/>
      </c>
      <c r="G264" s="201"/>
      <c r="H264" s="201"/>
      <c r="I264" s="201"/>
      <c r="J264" s="201"/>
      <c r="K264" s="201"/>
      <c r="L264" s="202"/>
      <c r="M264" s="201"/>
      <c r="N264" s="201"/>
      <c r="O264" s="201"/>
      <c r="P264" s="203" t="s">
        <v>127</v>
      </c>
      <c r="Q264" s="204" t="str">
        <f>IF(SUM(F266:O266)=0,"",SUM(F266:O266))
</f>
        <v/>
      </c>
      <c r="R264" s="205" t="s">
        <v>130</v>
      </c>
      <c r="S264" s="206" t="str">
        <f>IF(SUM(Q264,Q267)=0,"",SUM(Q264,Q267))
</f>
        <v/>
      </c>
      <c r="T264" s="207"/>
    </row>
    <row r="265">
      <c r="A265" s="208" t="s">
        <v>131</v>
      </c>
      <c r="B265" s="209">
        <f t="shared" si="25"/>
        <v>0</v>
      </c>
      <c r="D265" s="210"/>
      <c r="E265" s="211" t="s">
        <v>132</v>
      </c>
      <c r="F265" s="212" t="str">
        <f t="shared" ref="F265:O265" si="26">IF(
  F$264="",
  "",
  COUNTIFS($B$4:$B$257,"*SEDE*",$M$4:$M$257,F$264) &amp; " da €" &amp; F$264
)
</f>
        <v/>
      </c>
      <c r="G265" s="212" t="str">
        <f t="shared" si="26"/>
        <v/>
      </c>
      <c r="H265" s="212" t="str">
        <f t="shared" si="26"/>
        <v/>
      </c>
      <c r="I265" s="212" t="str">
        <f t="shared" si="26"/>
        <v/>
      </c>
      <c r="J265" s="212" t="str">
        <f t="shared" si="26"/>
        <v/>
      </c>
      <c r="K265" s="212" t="str">
        <f t="shared" si="26"/>
        <v/>
      </c>
      <c r="L265" s="212" t="str">
        <f t="shared" si="26"/>
        <v/>
      </c>
      <c r="M265" s="212" t="str">
        <f t="shared" si="26"/>
        <v/>
      </c>
      <c r="N265" s="212" t="str">
        <f t="shared" si="26"/>
        <v/>
      </c>
      <c r="O265" s="212" t="str">
        <f t="shared" si="26"/>
        <v/>
      </c>
    </row>
    <row r="266">
      <c r="A266" s="213" t="s">
        <v>133</v>
      </c>
      <c r="B266" s="214">
        <f>SUM(B264:B265)</f>
        <v>0</v>
      </c>
      <c r="D266" s="210"/>
      <c r="E266" s="215" t="s">
        <v>122</v>
      </c>
      <c r="F266" s="216" t="str">
        <f t="shared" ref="F266:O266" si="27">IF(
  F$264="",
  "",
  SUMIFS($M$4:$M$257,$B$4:$B$257,"*SEDE*",$M$4:$M$257,F$264)
)
</f>
        <v/>
      </c>
      <c r="G266" s="216" t="str">
        <f t="shared" si="27"/>
        <v/>
      </c>
      <c r="H266" s="216" t="str">
        <f t="shared" si="27"/>
        <v/>
      </c>
      <c r="I266" s="216" t="str">
        <f t="shared" si="27"/>
        <v/>
      </c>
      <c r="J266" s="216" t="str">
        <f t="shared" si="27"/>
        <v/>
      </c>
      <c r="K266" s="216" t="str">
        <f t="shared" si="27"/>
        <v/>
      </c>
      <c r="L266" s="216" t="str">
        <f t="shared" si="27"/>
        <v/>
      </c>
      <c r="M266" s="216" t="str">
        <f t="shared" si="27"/>
        <v/>
      </c>
      <c r="N266" s="216" t="str">
        <f t="shared" si="27"/>
        <v/>
      </c>
      <c r="O266" s="216" t="str">
        <f t="shared" si="27"/>
        <v/>
      </c>
    </row>
    <row r="267">
      <c r="A267" s="217" t="s">
        <v>134</v>
      </c>
      <c r="B267" s="209">
        <f>COUNTIF(N4:N257,"*NON TESSERATO*")</f>
        <v>0</v>
      </c>
      <c r="D267" s="210"/>
      <c r="E267" s="211" t="s">
        <v>135</v>
      </c>
      <c r="F267" s="211" t="str">
        <f t="shared" ref="F267:O267" si="28">IF(
  F$264="",
  "",
  COUNTIFS($B$4:$B$257,"*ONLINE*",$M$4:$M$257,F$264) &amp; " da €" &amp; F$264
)
</f>
        <v/>
      </c>
      <c r="G267" s="211" t="str">
        <f t="shared" si="28"/>
        <v/>
      </c>
      <c r="H267" s="211" t="str">
        <f t="shared" si="28"/>
        <v/>
      </c>
      <c r="I267" s="211" t="str">
        <f t="shared" si="28"/>
        <v/>
      </c>
      <c r="J267" s="211" t="str">
        <f t="shared" si="28"/>
        <v/>
      </c>
      <c r="K267" s="211" t="str">
        <f t="shared" si="28"/>
        <v/>
      </c>
      <c r="L267" s="211" t="str">
        <f t="shared" si="28"/>
        <v/>
      </c>
      <c r="M267" s="211" t="str">
        <f t="shared" si="28"/>
        <v/>
      </c>
      <c r="N267" s="211" t="str">
        <f t="shared" si="28"/>
        <v/>
      </c>
      <c r="O267" s="211" t="str">
        <f t="shared" si="28"/>
        <v/>
      </c>
      <c r="P267" s="203" t="s">
        <v>131</v>
      </c>
      <c r="Q267" s="218" t="str">
        <f>IF(SUM(F268:O268)=0,"",SUM(F268:O268))
</f>
        <v/>
      </c>
    </row>
    <row r="268">
      <c r="A268" s="219" t="s">
        <v>136</v>
      </c>
      <c r="B268" s="220">
        <f>COUNTIF(N4:N257,"*TESSERATO*")-COUNTIF(N4:N257,"*NON TESSERATO*")</f>
        <v>0</v>
      </c>
      <c r="D268" s="221"/>
      <c r="E268" s="222" t="s">
        <v>124</v>
      </c>
      <c r="F268" s="223" t="str">
        <f t="shared" ref="F268:O268" si="29">IF(
  F$264="",
  "",
  SUMIFS($M$4:$M$257,$B$4:$B$257,"*ONLINE*",$M$4:$M$257,F$264)
)
</f>
        <v/>
      </c>
      <c r="G268" s="223" t="str">
        <f t="shared" si="29"/>
        <v/>
      </c>
      <c r="H268" s="223" t="str">
        <f t="shared" si="29"/>
        <v/>
      </c>
      <c r="I268" s="223" t="str">
        <f t="shared" si="29"/>
        <v/>
      </c>
      <c r="J268" s="223" t="str">
        <f t="shared" si="29"/>
        <v/>
      </c>
      <c r="K268" s="223" t="str">
        <f t="shared" si="29"/>
        <v/>
      </c>
      <c r="L268" s="223" t="str">
        <f t="shared" si="29"/>
        <v/>
      </c>
      <c r="M268" s="223" t="str">
        <f t="shared" si="29"/>
        <v/>
      </c>
      <c r="N268" s="223" t="str">
        <f t="shared" si="29"/>
        <v/>
      </c>
      <c r="O268" s="223" t="str">
        <f t="shared" si="29"/>
        <v/>
      </c>
      <c r="P268" s="196"/>
      <c r="Q268" s="196"/>
      <c r="R268" s="196"/>
      <c r="S268" s="196"/>
      <c r="T268" s="196"/>
    </row>
  </sheetData>
  <mergeCells count="38">
    <mergeCell ref="C1:T1"/>
    <mergeCell ref="C3:T3"/>
    <mergeCell ref="D85:D89"/>
    <mergeCell ref="P85:P87"/>
    <mergeCell ref="Q85:Q87"/>
    <mergeCell ref="R85:R89"/>
    <mergeCell ref="S85:T89"/>
    <mergeCell ref="C90:T90"/>
    <mergeCell ref="Q175:Q176"/>
    <mergeCell ref="C177:T177"/>
    <mergeCell ref="P88:P89"/>
    <mergeCell ref="Q88:Q89"/>
    <mergeCell ref="P172:P174"/>
    <mergeCell ref="Q172:Q174"/>
    <mergeCell ref="R172:R176"/>
    <mergeCell ref="S172:T176"/>
    <mergeCell ref="P175:P176"/>
    <mergeCell ref="D259:D263"/>
    <mergeCell ref="D264:D268"/>
    <mergeCell ref="C85:C89"/>
    <mergeCell ref="A87:B89"/>
    <mergeCell ref="C172:C176"/>
    <mergeCell ref="D172:D176"/>
    <mergeCell ref="A174:B176"/>
    <mergeCell ref="C259:C268"/>
    <mergeCell ref="A261:B263"/>
    <mergeCell ref="R259:R263"/>
    <mergeCell ref="R264:R268"/>
    <mergeCell ref="P264:P266"/>
    <mergeCell ref="P267:P268"/>
    <mergeCell ref="P259:P261"/>
    <mergeCell ref="Q259:Q261"/>
    <mergeCell ref="S259:T263"/>
    <mergeCell ref="P262:P263"/>
    <mergeCell ref="Q262:Q263"/>
    <mergeCell ref="Q264:Q266"/>
    <mergeCell ref="S264:T268"/>
    <mergeCell ref="Q267:Q268"/>
  </mergeCells>
  <conditionalFormatting sqref="A4:P83 T4:T83 A91:P170 T91:T170 A178:P257 T178:T257">
    <cfRule type="expression" dxfId="0" priority="1">
      <formula>$T4</formula>
    </cfRule>
  </conditionalFormatting>
  <conditionalFormatting sqref="S4:S83 S91:S170 S178:S257">
    <cfRule type="expression" dxfId="1" priority="2">
      <formula>$S4</formula>
    </cfRule>
  </conditionalFormatting>
  <conditionalFormatting sqref="S4:S83 S91:S170 S178:S257">
    <cfRule type="expression" dxfId="2" priority="3">
      <formula>$N4="DIGIT - TESSERATO"</formula>
    </cfRule>
  </conditionalFormatting>
  <conditionalFormatting sqref="R4:R83 R91:R170 R178:R257">
    <cfRule type="expression" dxfId="3" priority="4">
      <formula>$R4</formula>
    </cfRule>
  </conditionalFormatting>
  <conditionalFormatting sqref="R4:R83 R91:R170 R178:R257">
    <cfRule type="expression" dxfId="4" priority="5">
      <formula>$N4="CASH - TESSERATO"</formula>
    </cfRule>
  </conditionalFormatting>
  <conditionalFormatting sqref="R4:R83 R91:R170 R178:R257">
    <cfRule type="expression" dxfId="4" priority="6">
      <formula>$N4="CASH - NON TESSERATO"</formula>
    </cfRule>
  </conditionalFormatting>
  <conditionalFormatting sqref="S4:S83 S91:S170 S178:S257">
    <cfRule type="expression" dxfId="2" priority="7">
      <formula>$N4="DIGIT - NON TESSERATO"</formula>
    </cfRule>
  </conditionalFormatting>
  <conditionalFormatting sqref="Q4:Q83 Q91:Q170 Q178:Q257">
    <cfRule type="expression" dxfId="0" priority="8">
      <formula>ISBLANK($Q4)=FALSE</formula>
    </cfRule>
  </conditionalFormatting>
  <conditionalFormatting sqref="A4:P83 A91:P170 A178:P257">
    <cfRule type="expression" dxfId="5" priority="9">
      <formula>$O4</formula>
    </cfRule>
  </conditionalFormatting>
  <conditionalFormatting sqref="S85:T89 S91:T176 S259:T263">
    <cfRule type="containsText" dxfId="2" priority="10" operator="containsText" text="ERRORE">
      <formula>NOT(ISERROR(SEARCH(("ERRORE"),(S85))))</formula>
    </cfRule>
  </conditionalFormatting>
  <conditionalFormatting sqref="S85:T89 S91:T176 S259:T263">
    <cfRule type="containsText" dxfId="0" priority="11" operator="containsText" text="OK">
      <formula>NOT(ISERROR(SEARCH(("OK"),(S85))))</formula>
    </cfRule>
  </conditionalFormatting>
  <dataValidations>
    <dataValidation type="list" allowBlank="1" showInputMessage="1" prompt="Fai clic e immetti un valore dall'elenco di elementi" sqref="N4:N83 N91:N170 N178:N257">
      <formula1>"CASH - TESSERATO,CASH - NON TESSERATO,DIGIT - TESSERATO,DIGIT - NON TESSERATO"</formula1>
    </dataValidation>
    <dataValidation type="list" allowBlank="1" showErrorMessage="1" sqref="L4:L83 L91:L170 L178:L257">
      <formula1>"NURA02WS,GIUDITTA02WS,ALEXANDRA02WS,ESTEFANY02WS,JOEL02WS,MASSI02WS,SANTO02WS,SARA02WS,OMAGGIO-100WS"</formula1>
    </dataValidation>
    <dataValidation type="list" allowBlank="1" showErrorMessage="1" sqref="B4:B83 B91:B170 B178:B257">
      <formula1>"ONLINE,SEDE Estefany,SEDE Giuditta,SEDE Alexandra,SEDE Nura,SEDE Joel"</formula1>
    </dataValidation>
    <dataValidation type="list" allowBlank="1" showInputMessage="1" showErrorMessage="1" prompt="Fai clic e immetti un valore dall'intervallo" sqref="A4:A83 A91:A170 A178:A257">
      <formula1>elenchi!$M$2:$M$100</formula1>
    </dataValidation>
    <dataValidation type="list" allowBlank="1" sqref="Q4:Q83 Q91:Q170 Q178:Q257">
      <formula1>"INSERITO,CELL,EMAIL,COD FISCALE,INDIRIZZO"</formula1>
    </dataValidation>
    <dataValidation type="custom" allowBlank="1" showDropDown="1" showInputMessage="1" prompt="Immetti una data valida" sqref="J4:J5 C4:C83 J7:J83 J91:J92 C91:C170 J94:J170 C178:C257 J178:J257">
      <formula1>OR(NOT(ISERROR(DATEVALUE(C4))), AND(ISNUMBER(C4), LEFT(CELL("format", C4))="D"))</formula1>
    </dataValidation>
    <dataValidation type="list" allowBlank="1" showErrorMessage="1" sqref="D4 D91">
      <formula1>"Opzione 1,Opzione 2"</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13"/>
    <col customWidth="1" min="2" max="2" width="18.5"/>
    <col customWidth="1" min="3" max="3" width="14.38"/>
    <col customWidth="1" min="4" max="4" width="15.88"/>
    <col customWidth="1" min="5" max="9" width="19.38"/>
    <col customWidth="1" min="10" max="10" width="15.25"/>
    <col customWidth="1" min="11" max="11" width="14.0"/>
    <col customWidth="1" min="12" max="12" width="21.13"/>
    <col customWidth="1" min="13" max="13" width="13.38"/>
    <col customWidth="1" min="14" max="14" width="19.38"/>
    <col customWidth="1" min="15" max="15" width="12.13"/>
    <col customWidth="1" min="16" max="16" width="23.75"/>
    <col customWidth="1" min="17" max="17" width="16.13"/>
    <col customWidth="1" min="18" max="18" width="11.13"/>
    <col customWidth="1" min="19" max="19" width="10.38"/>
    <col customWidth="1" min="20" max="20" width="10.13"/>
  </cols>
  <sheetData>
    <row r="1">
      <c r="A1" s="229"/>
      <c r="B1" s="229"/>
      <c r="C1" s="593" t="s">
        <v>2930</v>
      </c>
    </row>
    <row r="2">
      <c r="A2" s="231" t="s">
        <v>52</v>
      </c>
      <c r="B2" s="232" t="s">
        <v>53</v>
      </c>
      <c r="C2" s="232" t="s">
        <v>54</v>
      </c>
      <c r="D2" s="232" t="s">
        <v>55</v>
      </c>
      <c r="E2" s="231" t="s">
        <v>56</v>
      </c>
      <c r="F2" s="231" t="s">
        <v>57</v>
      </c>
      <c r="G2" s="231" t="s">
        <v>58</v>
      </c>
      <c r="H2" s="232" t="s">
        <v>59</v>
      </c>
      <c r="I2" s="232" t="s">
        <v>60</v>
      </c>
      <c r="J2" s="232" t="s">
        <v>61</v>
      </c>
      <c r="K2" s="104" t="s">
        <v>62</v>
      </c>
      <c r="L2" s="232" t="s">
        <v>63</v>
      </c>
      <c r="M2" s="105" t="s">
        <v>64</v>
      </c>
      <c r="N2" s="232" t="s">
        <v>65</v>
      </c>
      <c r="O2" s="232" t="s">
        <v>66</v>
      </c>
      <c r="P2" s="232" t="s">
        <v>67</v>
      </c>
      <c r="Q2" s="233" t="s">
        <v>68</v>
      </c>
      <c r="R2" s="107" t="s">
        <v>69</v>
      </c>
      <c r="S2" s="108" t="s">
        <v>70</v>
      </c>
      <c r="T2" s="109" t="s">
        <v>71</v>
      </c>
    </row>
    <row r="3" collapsed="1">
      <c r="A3" s="234"/>
      <c r="B3" s="234"/>
      <c r="C3" s="235" t="s">
        <v>2932</v>
      </c>
      <c r="N3" s="236" t="s">
        <v>214</v>
      </c>
      <c r="O3" s="237">
        <f>SUMPRODUCT(--$O$4:$O$43)</f>
        <v>0</v>
      </c>
      <c r="P3" s="236"/>
    </row>
    <row r="4" hidden="1" outlineLevel="1">
      <c r="A4" s="111"/>
      <c r="B4" s="111"/>
      <c r="C4" s="112"/>
      <c r="D4" s="111"/>
      <c r="E4" s="111"/>
      <c r="F4" s="111"/>
      <c r="G4" s="111"/>
      <c r="H4" s="111"/>
      <c r="I4" s="111"/>
      <c r="J4" s="126"/>
      <c r="K4" s="115"/>
      <c r="L4" s="116"/>
      <c r="M4" s="117" t="str">
        <f>IFERROR(__xludf.DUMMYFUNCTION("IF(
  K4="""",
  """",
  ROUND(
    IF(
      L4="""",
      K4,
      IF(
        ISERROR(FIND(""-"",L4)),
        K4 - VALUE(REGEXEXTRACT(L4,""(\d+)"")),
        K4 * (1 - VALUE(REGEXEXTRACT(L4,""(\d+)""))/100)
      )
    ),
    2
  )
)
")," ")</f>
        <v/>
      </c>
      <c r="N4" s="111"/>
      <c r="O4" s="118" t="b">
        <v>0</v>
      </c>
      <c r="P4" s="119"/>
      <c r="Q4" s="238"/>
      <c r="R4" s="121" t="b">
        <v>0</v>
      </c>
      <c r="S4" s="121" t="b">
        <v>0</v>
      </c>
      <c r="T4" s="122" t="b">
        <v>0</v>
      </c>
    </row>
    <row r="5" hidden="1" outlineLevel="1">
      <c r="A5" s="111"/>
      <c r="B5" s="111"/>
      <c r="C5" s="112"/>
      <c r="D5" s="111"/>
      <c r="E5" s="111"/>
      <c r="F5" s="111"/>
      <c r="G5" s="111"/>
      <c r="H5" s="111"/>
      <c r="I5" s="111"/>
      <c r="J5" s="126"/>
      <c r="K5" s="115"/>
      <c r="L5" s="116"/>
      <c r="M5" s="117" t="str">
        <f>IFERROR(__xludf.DUMMYFUNCTION("IF(
  K5="""",
  """",
  ROUND(
    IF(
      L5="""",
      K5,
      IF(
        ISERROR(FIND(""-"",L5)),
        K5 - VALUE(REGEXEXTRACT(L5,""(\d+)"")),
        K5 * (1 - VALUE(REGEXEXTRACT(L5,""(\d+)""))/100)
      )
    ),
    2
  )
)
")," ")</f>
        <v/>
      </c>
      <c r="N5" s="111"/>
      <c r="O5" s="118" t="b">
        <v>0</v>
      </c>
      <c r="P5" s="119"/>
      <c r="Q5" s="120"/>
      <c r="R5" s="121" t="b">
        <v>0</v>
      </c>
      <c r="S5" s="121" t="b">
        <v>0</v>
      </c>
      <c r="T5" s="122" t="b">
        <v>0</v>
      </c>
    </row>
    <row r="6" hidden="1" outlineLevel="1">
      <c r="A6" s="111"/>
      <c r="B6" s="111"/>
      <c r="C6" s="112"/>
      <c r="D6" s="111"/>
      <c r="E6" s="111"/>
      <c r="F6" s="111"/>
      <c r="G6" s="111"/>
      <c r="H6" s="111"/>
      <c r="I6" s="111"/>
      <c r="J6" s="239"/>
      <c r="K6" s="115"/>
      <c r="L6" s="116"/>
      <c r="M6" s="117" t="str">
        <f>IFERROR(__xludf.DUMMYFUNCTION("IF(
  K6="""",
  """",
  ROUND(
    IF(
      L6="""",
      K6,
      IF(
        ISERROR(FIND(""-"",L6)),
        K6 - VALUE(REGEXEXTRACT(L6,""(\d+)"")),
        K6 * (1 - VALUE(REGEXEXTRACT(L6,""(\d+)""))/100)
      )
    ),
    2
  )
)
")," ")</f>
        <v/>
      </c>
      <c r="N6" s="111"/>
      <c r="O6" s="118" t="b">
        <v>0</v>
      </c>
      <c r="P6" s="119"/>
      <c r="Q6" s="120"/>
      <c r="R6" s="121" t="b">
        <v>0</v>
      </c>
      <c r="S6" s="121" t="b">
        <v>0</v>
      </c>
      <c r="T6" s="122" t="b">
        <v>0</v>
      </c>
    </row>
    <row r="7" hidden="1" outlineLevel="1">
      <c r="A7" s="111"/>
      <c r="B7" s="111"/>
      <c r="C7" s="112"/>
      <c r="D7" s="111"/>
      <c r="E7" s="111"/>
      <c r="F7" s="111"/>
      <c r="G7" s="111"/>
      <c r="H7" s="111"/>
      <c r="I7" s="111"/>
      <c r="J7" s="126"/>
      <c r="K7" s="115"/>
      <c r="L7" s="116"/>
      <c r="M7" s="117" t="str">
        <f>IFERROR(__xludf.DUMMYFUNCTION("IF(
  K7="""",
  """",
  ROUND(
    IF(
      L7="""",
      K7,
      IF(
        ISERROR(FIND(""-"",L7)),
        K7 - VALUE(REGEXEXTRACT(L7,""(\d+)"")),
        K7 * (1 - VALUE(REGEXEXTRACT(L7,""(\d+)""))/100)
      )
    ),
    2
  )
)
")," ")</f>
        <v/>
      </c>
      <c r="N7" s="111"/>
      <c r="O7" s="118" t="b">
        <v>0</v>
      </c>
      <c r="P7" s="119"/>
      <c r="Q7" s="120"/>
      <c r="R7" s="121" t="b">
        <v>0</v>
      </c>
      <c r="S7" s="121" t="b">
        <v>0</v>
      </c>
      <c r="T7" s="122" t="b">
        <v>0</v>
      </c>
    </row>
    <row r="8" hidden="1" outlineLevel="1">
      <c r="A8" s="111"/>
      <c r="B8" s="111"/>
      <c r="C8" s="112"/>
      <c r="D8" s="111"/>
      <c r="E8" s="111"/>
      <c r="F8" s="111"/>
      <c r="G8" s="111"/>
      <c r="H8" s="111"/>
      <c r="I8" s="111"/>
      <c r="J8" s="126"/>
      <c r="K8" s="115"/>
      <c r="L8" s="131"/>
      <c r="M8" s="117" t="str">
        <f>IFERROR(__xludf.DUMMYFUNCTION("IF(
  K8="""",
  """",
  ROUND(
    IF(
      L8="""",
      K8,
      IF(
        ISERROR(FIND(""-"",L8)),
        K8 - VALUE(REGEXEXTRACT(L8,""(\d+)"")),
        K8 * (1 - VALUE(REGEXEXTRACT(L8,""(\d+)""))/100)
      )
    ),
    2
  )
)
")," ")</f>
        <v/>
      </c>
      <c r="N8" s="111"/>
      <c r="O8" s="118" t="b">
        <v>0</v>
      </c>
      <c r="P8" s="119"/>
      <c r="Q8" s="120"/>
      <c r="R8" s="121" t="b">
        <v>0</v>
      </c>
      <c r="S8" s="121" t="b">
        <v>0</v>
      </c>
      <c r="T8" s="122" t="b">
        <v>0</v>
      </c>
    </row>
    <row r="9" hidden="1" outlineLevel="1">
      <c r="A9" s="111"/>
      <c r="B9" s="111"/>
      <c r="C9" s="112"/>
      <c r="D9" s="111"/>
      <c r="E9" s="111"/>
      <c r="F9" s="111"/>
      <c r="G9" s="111"/>
      <c r="H9" s="111"/>
      <c r="I9" s="111"/>
      <c r="J9" s="112"/>
      <c r="K9" s="115"/>
      <c r="L9" s="116"/>
      <c r="M9" s="117" t="str">
        <f>IFERROR(__xludf.DUMMYFUNCTION("IF(
  K9="""",
  """",
  ROUND(
    IF(
      L9="""",
      K9,
      IF(
        ISERROR(FIND(""-"",L9)),
        K9 - VALUE(REGEXEXTRACT(L9,""(\d+)"")),
        K9 * (1 - VALUE(REGEXEXTRACT(L9,""(\d+)""))/100)
      )
    ),
    2
  )
)
")," ")</f>
        <v/>
      </c>
      <c r="N9" s="111"/>
      <c r="O9" s="118" t="b">
        <v>0</v>
      </c>
      <c r="P9" s="119"/>
      <c r="Q9" s="120"/>
      <c r="R9" s="121" t="b">
        <v>0</v>
      </c>
      <c r="S9" s="121" t="b">
        <v>0</v>
      </c>
      <c r="T9" s="122" t="b">
        <v>0</v>
      </c>
    </row>
    <row r="10" hidden="1" outlineLevel="1">
      <c r="A10" s="111"/>
      <c r="B10" s="111"/>
      <c r="C10" s="112"/>
      <c r="D10" s="111"/>
      <c r="E10" s="111"/>
      <c r="F10" s="111"/>
      <c r="G10" s="111"/>
      <c r="H10" s="128"/>
      <c r="I10" s="111"/>
      <c r="J10" s="126"/>
      <c r="K10" s="115"/>
      <c r="L10" s="116"/>
      <c r="M10" s="117" t="str">
        <f>IFERROR(__xludf.DUMMYFUNCTION("IF(
  K10="""",
  """",
  ROUND(
    IF(
      L10="""",
      K10,
      IF(
        ISERROR(FIND(""-"",L10)),
        K10 - VALUE(REGEXEXTRACT(L10,""(\d+)"")),
        K10 * (1 - VALUE(REGEXEXTRACT(L10,""(\d+)""))/100)
      )
    ),
    2
  )
)
")," ")</f>
        <v/>
      </c>
      <c r="N10" s="111"/>
      <c r="O10" s="118" t="b">
        <v>0</v>
      </c>
      <c r="P10" s="119"/>
      <c r="Q10" s="120"/>
      <c r="R10" s="121" t="b">
        <v>0</v>
      </c>
      <c r="S10" s="121" t="b">
        <v>0</v>
      </c>
      <c r="T10" s="122" t="b">
        <v>0</v>
      </c>
    </row>
    <row r="11" hidden="1" outlineLevel="1">
      <c r="A11" s="111"/>
      <c r="B11" s="111"/>
      <c r="C11" s="112"/>
      <c r="D11" s="111"/>
      <c r="E11" s="111"/>
      <c r="F11" s="111"/>
      <c r="G11" s="111"/>
      <c r="H11" s="111"/>
      <c r="I11" s="111"/>
      <c r="J11" s="126"/>
      <c r="K11" s="115"/>
      <c r="L11" s="116"/>
      <c r="M11" s="117" t="str">
        <f>IFERROR(__xludf.DUMMYFUNCTION("IF(
  K11="""",
  """",
  ROUND(
    IF(
      L11="""",
      K11,
      IF(
        ISERROR(FIND(""-"",L11)),
        K11 - VALUE(REGEXEXTRACT(L11,""(\d+)"")),
        K11 * (1 - VALUE(REGEXEXTRACT(L11,""(\d+)""))/100)
      )
    ),
    2
  )
)
")," ")</f>
        <v/>
      </c>
      <c r="N11" s="111"/>
      <c r="O11" s="118" t="b">
        <v>0</v>
      </c>
      <c r="P11" s="119"/>
      <c r="Q11" s="120"/>
      <c r="R11" s="121" t="b">
        <v>0</v>
      </c>
      <c r="S11" s="121" t="b">
        <v>0</v>
      </c>
      <c r="T11" s="122" t="b">
        <v>0</v>
      </c>
    </row>
    <row r="12" hidden="1" outlineLevel="1">
      <c r="A12" s="111"/>
      <c r="B12" s="111"/>
      <c r="C12" s="112"/>
      <c r="D12" s="111"/>
      <c r="E12" s="111"/>
      <c r="F12" s="111"/>
      <c r="G12" s="111"/>
      <c r="H12" s="111"/>
      <c r="I12" s="111"/>
      <c r="J12" s="126"/>
      <c r="K12" s="115"/>
      <c r="L12" s="116"/>
      <c r="M12" s="117" t="str">
        <f>IFERROR(__xludf.DUMMYFUNCTION("IF(
  K12="""",
  """",
  ROUND(
    IF(
      L12="""",
      K12,
      IF(
        ISERROR(FIND(""-"",L12)),
        K12 - VALUE(REGEXEXTRACT(L12,""(\d+)"")),
        K12 * (1 - VALUE(REGEXEXTRACT(L12,""(\d+)""))/100)
      )
    ),
    2
  )
)
")," ")</f>
        <v/>
      </c>
      <c r="N12" s="111"/>
      <c r="O12" s="118" t="b">
        <v>0</v>
      </c>
      <c r="P12" s="119"/>
      <c r="Q12" s="120"/>
      <c r="R12" s="121" t="b">
        <v>0</v>
      </c>
      <c r="S12" s="121" t="b">
        <v>0</v>
      </c>
      <c r="T12" s="122" t="b">
        <v>0</v>
      </c>
    </row>
    <row r="13" hidden="1" outlineLevel="1">
      <c r="A13" s="111"/>
      <c r="B13" s="111"/>
      <c r="C13" s="112"/>
      <c r="D13" s="111"/>
      <c r="E13" s="111"/>
      <c r="F13" s="111"/>
      <c r="G13" s="189"/>
      <c r="H13" s="111"/>
      <c r="I13" s="111"/>
      <c r="J13" s="126"/>
      <c r="K13" s="115"/>
      <c r="L13" s="116"/>
      <c r="M13" s="117" t="str">
        <f>IFERROR(__xludf.DUMMYFUNCTION("IF(
  K13="""",
  """",
  ROUND(
    IF(
      L13="""",
      K13,
      IF(
        ISERROR(FIND(""-"",L13)),
        K13 - VALUE(REGEXEXTRACT(L13,""(\d+)"")),
        K13 * (1 - VALUE(REGEXEXTRACT(L13,""(\d+)""))/100)
      )
    ),
    2
  )
)
")," ")</f>
        <v/>
      </c>
      <c r="N13" s="111"/>
      <c r="O13" s="118" t="b">
        <v>0</v>
      </c>
      <c r="P13" s="119"/>
      <c r="Q13" s="120"/>
      <c r="R13" s="121" t="b">
        <v>0</v>
      </c>
      <c r="S13" s="121" t="b">
        <v>0</v>
      </c>
      <c r="T13" s="122" t="b">
        <v>0</v>
      </c>
    </row>
    <row r="14" hidden="1" outlineLevel="1">
      <c r="A14" s="116"/>
      <c r="B14" s="116"/>
      <c r="C14" s="129"/>
      <c r="D14" s="111"/>
      <c r="E14" s="111"/>
      <c r="F14" s="116"/>
      <c r="G14" s="116"/>
      <c r="H14" s="116"/>
      <c r="I14" s="116"/>
      <c r="J14" s="135"/>
      <c r="K14" s="115"/>
      <c r="L14" s="116"/>
      <c r="M14" s="117" t="str">
        <f>IFERROR(__xludf.DUMMYFUNCTION("IF(
  K14="""",
  """",
  ROUND(
    IF(
      L14="""",
      K14,
      IF(
        ISERROR(FIND(""-"",L14)),
        K14 - VALUE(REGEXEXTRACT(L14,""(\d+)"")),
        K14 * (1 - VALUE(REGEXEXTRACT(L14,""(\d+)""))/100)
      )
    ),
    2
  )
)
")," ")</f>
        <v/>
      </c>
      <c r="N14" s="111"/>
      <c r="O14" s="118" t="b">
        <v>0</v>
      </c>
      <c r="P14" s="119"/>
      <c r="Q14" s="120"/>
      <c r="R14" s="121" t="b">
        <v>0</v>
      </c>
      <c r="S14" s="121" t="b">
        <v>0</v>
      </c>
      <c r="T14" s="122" t="b">
        <v>0</v>
      </c>
    </row>
    <row r="15" hidden="1" outlineLevel="1">
      <c r="A15" s="116"/>
      <c r="B15" s="116"/>
      <c r="C15" s="129"/>
      <c r="D15" s="111"/>
      <c r="E15" s="111"/>
      <c r="F15" s="116"/>
      <c r="G15" s="116"/>
      <c r="H15" s="116"/>
      <c r="I15" s="116"/>
      <c r="J15" s="132"/>
      <c r="K15" s="115"/>
      <c r="L15" s="116"/>
      <c r="M15" s="117" t="str">
        <f>IFERROR(__xludf.DUMMYFUNCTION("IF(
  K15="""",
  """",
  ROUND(
    IF(
      L15="""",
      K15,
      IF(
        ISERROR(FIND(""-"",L15)),
        K15 - VALUE(REGEXEXTRACT(L15,""(\d+)"")),
        K15 * (1 - VALUE(REGEXEXTRACT(L15,""(\d+)""))/100)
      )
    ),
    2
  )
)
")," ")</f>
        <v/>
      </c>
      <c r="N15" s="111"/>
      <c r="O15" s="118" t="b">
        <v>0</v>
      </c>
      <c r="P15" s="119"/>
      <c r="Q15" s="120"/>
      <c r="R15" s="121" t="b">
        <v>0</v>
      </c>
      <c r="S15" s="121" t="b">
        <v>0</v>
      </c>
      <c r="T15" s="122" t="b">
        <v>0</v>
      </c>
    </row>
    <row r="16" hidden="1" outlineLevel="1">
      <c r="A16" s="111"/>
      <c r="B16" s="111"/>
      <c r="C16" s="129"/>
      <c r="D16" s="111"/>
      <c r="E16" s="111"/>
      <c r="F16" s="111"/>
      <c r="G16" s="111"/>
      <c r="H16" s="111"/>
      <c r="I16" s="111"/>
      <c r="J16" s="132"/>
      <c r="K16" s="115"/>
      <c r="L16" s="116"/>
      <c r="M16" s="117" t="str">
        <f>IFERROR(__xludf.DUMMYFUNCTION("IF(
  K16="""",
  """",
  ROUND(
    IF(
      L16="""",
      K16,
      IF(
        ISERROR(FIND(""-"",L16)),
        K16 - VALUE(REGEXEXTRACT(L16,""(\d+)"")),
        K16 * (1 - VALUE(REGEXEXTRACT(L16,""(\d+)""))/100)
      )
    ),
    2
  )
)
")," ")</f>
        <v/>
      </c>
      <c r="N16" s="111"/>
      <c r="O16" s="118" t="b">
        <v>0</v>
      </c>
      <c r="P16" s="119"/>
      <c r="Q16" s="120"/>
      <c r="R16" s="121" t="b">
        <v>0</v>
      </c>
      <c r="S16" s="121" t="b">
        <v>0</v>
      </c>
      <c r="T16" s="122" t="b">
        <v>0</v>
      </c>
    </row>
    <row r="17" hidden="1" outlineLevel="1">
      <c r="A17" s="111"/>
      <c r="B17" s="111"/>
      <c r="C17" s="129"/>
      <c r="D17" s="111"/>
      <c r="E17" s="111"/>
      <c r="F17" s="111"/>
      <c r="G17" s="111"/>
      <c r="H17" s="111"/>
      <c r="I17" s="111"/>
      <c r="J17" s="132"/>
      <c r="K17" s="115"/>
      <c r="L17" s="116"/>
      <c r="M17" s="117" t="str">
        <f>IFERROR(__xludf.DUMMYFUNCTION("IF(
  K17="""",
  """",
  ROUND(
    IF(
      L17="""",
      K17,
      IF(
        ISERROR(FIND(""-"",L17)),
        K17 - VALUE(REGEXEXTRACT(L17,""(\d+)"")),
        K17 * (1 - VALUE(REGEXEXTRACT(L17,""(\d+)""))/100)
      )
    ),
    2
  )
)
")," ")</f>
        <v/>
      </c>
      <c r="N17" s="111"/>
      <c r="O17" s="118" t="b">
        <v>0</v>
      </c>
      <c r="P17" s="119"/>
      <c r="Q17" s="120"/>
      <c r="R17" s="121" t="b">
        <v>0</v>
      </c>
      <c r="S17" s="121" t="b">
        <v>0</v>
      </c>
      <c r="T17" s="122" t="b">
        <v>0</v>
      </c>
    </row>
    <row r="18" hidden="1" outlineLevel="1">
      <c r="A18" s="116"/>
      <c r="B18" s="116"/>
      <c r="C18" s="129"/>
      <c r="D18" s="111"/>
      <c r="E18" s="111"/>
      <c r="F18" s="116"/>
      <c r="G18" s="116"/>
      <c r="H18" s="116"/>
      <c r="I18" s="116"/>
      <c r="J18" s="135"/>
      <c r="K18" s="115"/>
      <c r="L18" s="116"/>
      <c r="M18" s="117" t="str">
        <f>IFERROR(__xludf.DUMMYFUNCTION("IF(
  K18="""",
  """",
  ROUND(
    IF(
      L18="""",
      K18,
      IF(
        ISERROR(FIND(""-"",L18)),
        K18 - VALUE(REGEXEXTRACT(L18,""(\d+)"")),
        K18 * (1 - VALUE(REGEXEXTRACT(L18,""(\d+)""))/100)
      )
    ),
    2
  )
)
")," ")</f>
        <v/>
      </c>
      <c r="N18" s="111"/>
      <c r="O18" s="118" t="b">
        <v>0</v>
      </c>
      <c r="P18" s="119"/>
      <c r="Q18" s="120"/>
      <c r="R18" s="121" t="b">
        <v>0</v>
      </c>
      <c r="S18" s="121" t="b">
        <v>0</v>
      </c>
      <c r="T18" s="122" t="b">
        <v>0</v>
      </c>
    </row>
    <row r="19" hidden="1" outlineLevel="1">
      <c r="A19" s="116"/>
      <c r="B19" s="116"/>
      <c r="C19" s="129"/>
      <c r="D19" s="111"/>
      <c r="E19" s="111"/>
      <c r="F19" s="116"/>
      <c r="G19" s="116"/>
      <c r="H19" s="116"/>
      <c r="I19" s="116"/>
      <c r="J19" s="132"/>
      <c r="K19" s="115"/>
      <c r="L19" s="116"/>
      <c r="M19" s="117" t="str">
        <f>IFERROR(__xludf.DUMMYFUNCTION("IF(
  K19="""",
  """",
  ROUND(
    IF(
      L19="""",
      K19,
      IF(
        ISERROR(FIND(""-"",L19)),
        K19 - VALUE(REGEXEXTRACT(L19,""(\d+)"")),
        K19 * (1 - VALUE(REGEXEXTRACT(L19,""(\d+)""))/100)
      )
    ),
    2
  )
)
")," ")</f>
        <v/>
      </c>
      <c r="N19" s="111"/>
      <c r="O19" s="118" t="b">
        <v>0</v>
      </c>
      <c r="P19" s="119"/>
      <c r="Q19" s="120"/>
      <c r="R19" s="121" t="b">
        <v>0</v>
      </c>
      <c r="S19" s="121" t="b">
        <v>0</v>
      </c>
      <c r="T19" s="122" t="b">
        <v>0</v>
      </c>
    </row>
    <row r="20" hidden="1" outlineLevel="1">
      <c r="A20" s="116"/>
      <c r="B20" s="116"/>
      <c r="C20" s="129"/>
      <c r="D20" s="111"/>
      <c r="E20" s="111"/>
      <c r="F20" s="116"/>
      <c r="G20" s="116"/>
      <c r="H20" s="116"/>
      <c r="I20" s="116"/>
      <c r="J20" s="132"/>
      <c r="K20" s="115"/>
      <c r="L20" s="116"/>
      <c r="M20" s="117" t="str">
        <f>IFERROR(__xludf.DUMMYFUNCTION("IF(
  K20="""",
  """",
  ROUND(
    IF(
      L20="""",
      K20,
      IF(
        ISERROR(FIND(""-"",L20)),
        K20 - VALUE(REGEXEXTRACT(L20,""(\d+)"")),
        K20 * (1 - VALUE(REGEXEXTRACT(L20,""(\d+)""))/100)
      )
    ),
    2
  )
)
")," ")</f>
        <v/>
      </c>
      <c r="N20" s="116"/>
      <c r="O20" s="118" t="b">
        <v>0</v>
      </c>
      <c r="P20" s="119"/>
      <c r="Q20" s="120"/>
      <c r="R20" s="121" t="b">
        <v>0</v>
      </c>
      <c r="S20" s="121" t="b">
        <v>0</v>
      </c>
      <c r="T20" s="122" t="b">
        <v>0</v>
      </c>
    </row>
    <row r="21" hidden="1" outlineLevel="1">
      <c r="A21" s="116"/>
      <c r="B21" s="116"/>
      <c r="C21" s="129"/>
      <c r="D21" s="111"/>
      <c r="E21" s="111"/>
      <c r="F21" s="116"/>
      <c r="G21" s="116"/>
      <c r="H21" s="116"/>
      <c r="I21" s="116"/>
      <c r="J21" s="135"/>
      <c r="K21" s="115"/>
      <c r="L21" s="116"/>
      <c r="M21" s="117" t="str">
        <f>IFERROR(__xludf.DUMMYFUNCTION("IF(
  K21="""",
  """",
  ROUND(
    IF(
      L21="""",
      K21,
      IF(
        ISERROR(FIND(""-"",L21)),
        K21 - VALUE(REGEXEXTRACT(L21,""(\d+)"")),
        K21 * (1 - VALUE(REGEXEXTRACT(L21,""(\d+)""))/100)
      )
    ),
    2
  )
)
")," ")</f>
        <v/>
      </c>
      <c r="N21" s="111"/>
      <c r="O21" s="118" t="b">
        <v>0</v>
      </c>
      <c r="P21" s="119"/>
      <c r="Q21" s="120"/>
      <c r="R21" s="121" t="b">
        <v>0</v>
      </c>
      <c r="S21" s="121" t="b">
        <v>0</v>
      </c>
      <c r="T21" s="122" t="b">
        <v>0</v>
      </c>
    </row>
    <row r="22" hidden="1" outlineLevel="1">
      <c r="A22" s="111"/>
      <c r="B22" s="111"/>
      <c r="C22" s="129"/>
      <c r="D22" s="111"/>
      <c r="E22" s="111"/>
      <c r="F22" s="111"/>
      <c r="G22" s="111"/>
      <c r="H22" s="240"/>
      <c r="I22" s="240"/>
      <c r="J22" s="126"/>
      <c r="K22" s="115"/>
      <c r="L22" s="116"/>
      <c r="M22" s="117" t="str">
        <f>IFERROR(__xludf.DUMMYFUNCTION("IF(
  K22="""",
  """",
  ROUND(
    IF(
      L22="""",
      K22,
      IF(
        ISERROR(FIND(""-"",L22)),
        K22 - VALUE(REGEXEXTRACT(L22,""(\d+)"")),
        K22 * (1 - VALUE(REGEXEXTRACT(L22,""(\d+)""))/100)
      )
    ),
    2
  )
)
")," ")</f>
        <v/>
      </c>
      <c r="N22" s="111"/>
      <c r="O22" s="118" t="b">
        <v>0</v>
      </c>
      <c r="P22" s="119"/>
      <c r="Q22" s="120"/>
      <c r="R22" s="121" t="b">
        <v>0</v>
      </c>
      <c r="S22" s="121" t="b">
        <v>0</v>
      </c>
      <c r="T22" s="122" t="b">
        <v>0</v>
      </c>
    </row>
    <row r="23" hidden="1" outlineLevel="1">
      <c r="A23" s="116"/>
      <c r="B23" s="116"/>
      <c r="C23" s="129"/>
      <c r="D23" s="111"/>
      <c r="E23" s="111"/>
      <c r="F23" s="116"/>
      <c r="G23" s="116"/>
      <c r="H23" s="116"/>
      <c r="I23" s="116"/>
      <c r="J23" s="132"/>
      <c r="K23" s="115"/>
      <c r="L23" s="116"/>
      <c r="M23" s="117" t="str">
        <f>IFERROR(__xludf.DUMMYFUNCTION("IF(
  K23="""",
  """",
  ROUND(
    IF(
      L23="""",
      K23,
      IF(
        ISERROR(FIND(""-"",L23)),
        K23 - VALUE(REGEXEXTRACT(L23,""(\d+)"")),
        K23 * (1 - VALUE(REGEXEXTRACT(L23,""(\d+)""))/100)
      )
    ),
    2
  )
)
")," ")</f>
        <v/>
      </c>
      <c r="N23" s="111"/>
      <c r="O23" s="118" t="b">
        <v>0</v>
      </c>
      <c r="P23" s="119"/>
      <c r="Q23" s="120"/>
      <c r="R23" s="121" t="b">
        <v>0</v>
      </c>
      <c r="S23" s="121" t="b">
        <v>0</v>
      </c>
      <c r="T23" s="122" t="b">
        <v>0</v>
      </c>
    </row>
    <row r="24" hidden="1" outlineLevel="1">
      <c r="A24" s="116"/>
      <c r="B24" s="116"/>
      <c r="C24" s="129"/>
      <c r="D24" s="111"/>
      <c r="E24" s="111"/>
      <c r="F24" s="116"/>
      <c r="G24" s="116"/>
      <c r="H24" s="116"/>
      <c r="I24" s="116"/>
      <c r="J24" s="134"/>
      <c r="K24" s="115"/>
      <c r="L24" s="116"/>
      <c r="M24" s="117" t="str">
        <f>IFERROR(__xludf.DUMMYFUNCTION("IF(
  K24="""",
  """",
  ROUND(
    IF(
      L24="""",
      K24,
      IF(
        ISERROR(FIND(""-"",L24)),
        K24 - VALUE(REGEXEXTRACT(L24,""(\d+)"")),
        K24 * (1 - VALUE(REGEXEXTRACT(L24,""(\d+)""))/100)
      )
    ),
    2
  )
)
")," ")</f>
        <v/>
      </c>
      <c r="N24" s="111"/>
      <c r="O24" s="118" t="b">
        <v>0</v>
      </c>
      <c r="P24" s="119"/>
      <c r="Q24" s="120"/>
      <c r="R24" s="121" t="b">
        <v>0</v>
      </c>
      <c r="S24" s="121" t="b">
        <v>0</v>
      </c>
      <c r="T24" s="122" t="b">
        <v>0</v>
      </c>
    </row>
    <row r="25" hidden="1" outlineLevel="1">
      <c r="A25" s="116"/>
      <c r="B25" s="116"/>
      <c r="C25" s="129"/>
      <c r="D25" s="111"/>
      <c r="E25" s="111"/>
      <c r="F25" s="116"/>
      <c r="G25" s="116"/>
      <c r="H25" s="116"/>
      <c r="I25" s="116"/>
      <c r="J25" s="134"/>
      <c r="K25" s="115"/>
      <c r="L25" s="116"/>
      <c r="M25" s="117" t="str">
        <f>IFERROR(__xludf.DUMMYFUNCTION("IF(
  K25="""",
  """",
  ROUND(
    IF(
      L25="""",
      K25,
      IF(
        ISERROR(FIND(""-"",L25)),
        K25 - VALUE(REGEXEXTRACT(L25,""(\d+)"")),
        K25 * (1 - VALUE(REGEXEXTRACT(L25,""(\d+)""))/100)
      )
    ),
    2
  )
)
")," ")</f>
        <v/>
      </c>
      <c r="N25" s="111"/>
      <c r="O25" s="118" t="b">
        <v>0</v>
      </c>
      <c r="P25" s="119"/>
      <c r="Q25" s="120"/>
      <c r="R25" s="121" t="b">
        <v>0</v>
      </c>
      <c r="S25" s="121" t="b">
        <v>0</v>
      </c>
      <c r="T25" s="122" t="b">
        <v>0</v>
      </c>
    </row>
    <row r="26" hidden="1" outlineLevel="1">
      <c r="A26" s="116"/>
      <c r="B26" s="116"/>
      <c r="C26" s="129"/>
      <c r="D26" s="111"/>
      <c r="E26" s="111"/>
      <c r="F26" s="116"/>
      <c r="G26" s="116"/>
      <c r="H26" s="116"/>
      <c r="I26" s="116"/>
      <c r="J26" s="134"/>
      <c r="K26" s="115"/>
      <c r="L26" s="116"/>
      <c r="M26" s="117" t="str">
        <f>IFERROR(__xludf.DUMMYFUNCTION("IF(
  K26="""",
  """",
  ROUND(
    IF(
      L26="""",
      K26,
      IF(
        ISERROR(FIND(""-"",L26)),
        K26 - VALUE(REGEXEXTRACT(L26,""(\d+)"")),
        K26 * (1 - VALUE(REGEXEXTRACT(L26,""(\d+)""))/100)
      )
    ),
    2
  )
)
")," ")</f>
        <v/>
      </c>
      <c r="N26" s="111"/>
      <c r="O26" s="118" t="b">
        <v>0</v>
      </c>
      <c r="P26" s="119"/>
      <c r="Q26" s="120"/>
      <c r="R26" s="121" t="b">
        <v>0</v>
      </c>
      <c r="S26" s="121" t="b">
        <v>0</v>
      </c>
      <c r="T26" s="122" t="b">
        <v>0</v>
      </c>
    </row>
    <row r="27" hidden="1" outlineLevel="1">
      <c r="A27" s="116"/>
      <c r="B27" s="116"/>
      <c r="C27" s="129"/>
      <c r="D27" s="111"/>
      <c r="E27" s="111"/>
      <c r="F27" s="116"/>
      <c r="G27" s="116"/>
      <c r="H27" s="116"/>
      <c r="I27" s="116"/>
      <c r="J27" s="134"/>
      <c r="K27" s="115"/>
      <c r="L27" s="116"/>
      <c r="M27" s="117" t="str">
        <f>IFERROR(__xludf.DUMMYFUNCTION("IF(
  K27="""",
  """",
  ROUND(
    IF(
      L27="""",
      K27,
      IF(
        ISERROR(FIND(""-"",L27)),
        K27 - VALUE(REGEXEXTRACT(L27,""(\d+)"")),
        K27 * (1 - VALUE(REGEXEXTRACT(L27,""(\d+)""))/100)
      )
    ),
    2
  )
)
")," ")</f>
        <v/>
      </c>
      <c r="N27" s="111"/>
      <c r="O27" s="118" t="b">
        <v>0</v>
      </c>
      <c r="P27" s="119"/>
      <c r="Q27" s="120"/>
      <c r="R27" s="121" t="b">
        <v>0</v>
      </c>
      <c r="S27" s="121" t="b">
        <v>0</v>
      </c>
      <c r="T27" s="122" t="b">
        <v>0</v>
      </c>
    </row>
    <row r="28" hidden="1" outlineLevel="1">
      <c r="A28" s="116"/>
      <c r="B28" s="116"/>
      <c r="C28" s="129"/>
      <c r="D28" s="111"/>
      <c r="E28" s="111"/>
      <c r="F28" s="116"/>
      <c r="G28" s="116"/>
      <c r="H28" s="113"/>
      <c r="I28" s="113"/>
      <c r="J28" s="134"/>
      <c r="K28" s="115"/>
      <c r="L28" s="131"/>
      <c r="M28" s="117" t="str">
        <f>IFERROR(__xludf.DUMMYFUNCTION("IF(
  K28="""",
  """",
  ROUND(
    IF(
      L28="""",
      K28,
      IF(
        ISERROR(FIND(""-"",L28)),
        K28 - VALUE(REGEXEXTRACT(L28,""(\d+)"")),
        K28 * (1 - VALUE(REGEXEXTRACT(L28,""(\d+)""))/100)
      )
    ),
    2
  )
)
")," ")</f>
        <v/>
      </c>
      <c r="N28" s="111"/>
      <c r="O28" s="118" t="b">
        <v>0</v>
      </c>
      <c r="P28" s="119"/>
      <c r="Q28" s="120"/>
      <c r="R28" s="121" t="b">
        <v>0</v>
      </c>
      <c r="S28" s="121" t="b">
        <v>0</v>
      </c>
      <c r="T28" s="122" t="b">
        <v>0</v>
      </c>
    </row>
    <row r="29" hidden="1" outlineLevel="1">
      <c r="A29" s="116"/>
      <c r="B29" s="116"/>
      <c r="C29" s="129"/>
      <c r="D29" s="111"/>
      <c r="E29" s="111"/>
      <c r="F29" s="116"/>
      <c r="G29" s="116"/>
      <c r="H29" s="116"/>
      <c r="I29" s="116"/>
      <c r="J29" s="134"/>
      <c r="K29" s="115"/>
      <c r="L29" s="116"/>
      <c r="M29" s="117" t="str">
        <f>IFERROR(__xludf.DUMMYFUNCTION("IF(
  K29="""",
  """",
  ROUND(
    IF(
      L29="""",
      K29,
      IF(
        ISERROR(FIND(""-"",L29)),
        K29 - VALUE(REGEXEXTRACT(L29,""(\d+)"")),
        K29 * (1 - VALUE(REGEXEXTRACT(L29,""(\d+)""))/100)
      )
    ),
    2
  )
)
")," ")</f>
        <v/>
      </c>
      <c r="N29" s="111"/>
      <c r="O29" s="118" t="b">
        <v>0</v>
      </c>
      <c r="P29" s="119"/>
      <c r="Q29" s="120"/>
      <c r="R29" s="121" t="b">
        <v>0</v>
      </c>
      <c r="S29" s="121" t="b">
        <v>0</v>
      </c>
      <c r="T29" s="122" t="b">
        <v>0</v>
      </c>
    </row>
    <row r="30" hidden="1" outlineLevel="1">
      <c r="A30" s="116"/>
      <c r="B30" s="116"/>
      <c r="C30" s="129"/>
      <c r="D30" s="111"/>
      <c r="E30" s="111"/>
      <c r="F30" s="116"/>
      <c r="G30" s="116"/>
      <c r="H30" s="116"/>
      <c r="I30" s="116"/>
      <c r="J30" s="134"/>
      <c r="K30" s="115"/>
      <c r="L30" s="116"/>
      <c r="M30" s="117" t="str">
        <f>IFERROR(__xludf.DUMMYFUNCTION("IF(
  K30="""",
  """",
  ROUND(
    IF(
      L30="""",
      K30,
      IF(
        ISERROR(FIND(""-"",L30)),
        K30 - VALUE(REGEXEXTRACT(L30,""(\d+)"")),
        K30 * (1 - VALUE(REGEXEXTRACT(L30,""(\d+)""))/100)
      )
    ),
    2
  )
)
")," ")</f>
        <v/>
      </c>
      <c r="N30" s="111"/>
      <c r="O30" s="118" t="b">
        <v>0</v>
      </c>
      <c r="P30" s="119"/>
      <c r="Q30" s="120"/>
      <c r="R30" s="121" t="b">
        <v>0</v>
      </c>
      <c r="S30" s="121" t="b">
        <v>0</v>
      </c>
      <c r="T30" s="122" t="b">
        <v>0</v>
      </c>
    </row>
    <row r="31" hidden="1" outlineLevel="1">
      <c r="A31" s="111"/>
      <c r="B31" s="111"/>
      <c r="C31" s="112"/>
      <c r="D31" s="111"/>
      <c r="E31" s="111"/>
      <c r="F31" s="111"/>
      <c r="G31" s="111"/>
      <c r="H31" s="111"/>
      <c r="I31" s="111"/>
      <c r="J31" s="126"/>
      <c r="K31" s="115"/>
      <c r="L31" s="116"/>
      <c r="M31" s="117" t="str">
        <f>IFERROR(__xludf.DUMMYFUNCTION("IF(
  K31="""",
  """",
  ROUND(
    IF(
      L31="""",
      K31,
      IF(
        ISERROR(FIND(""-"",L31)),
        K31 - VALUE(REGEXEXTRACT(L31,""(\d+)"")),
        K31 * (1 - VALUE(REGEXEXTRACT(L31,""(\d+)""))/100)
      )
    ),
    2
  )
)
")," ")</f>
        <v/>
      </c>
      <c r="N31" s="111"/>
      <c r="O31" s="118" t="b">
        <v>0</v>
      </c>
      <c r="P31" s="119"/>
      <c r="Q31" s="120"/>
      <c r="R31" s="121" t="b">
        <v>0</v>
      </c>
      <c r="S31" s="121" t="b">
        <v>0</v>
      </c>
      <c r="T31" s="122" t="b">
        <v>0</v>
      </c>
    </row>
    <row r="32" hidden="1" outlineLevel="1">
      <c r="A32" s="116"/>
      <c r="B32" s="116"/>
      <c r="C32" s="129"/>
      <c r="D32" s="111"/>
      <c r="E32" s="111"/>
      <c r="F32" s="116"/>
      <c r="G32" s="116"/>
      <c r="H32" s="116"/>
      <c r="I32" s="116"/>
      <c r="J32" s="134"/>
      <c r="K32" s="115"/>
      <c r="L32" s="116"/>
      <c r="M32" s="117" t="str">
        <f>IFERROR(__xludf.DUMMYFUNCTION("IF(
  K32="""",
  """",
  ROUND(
    IF(
      L32="""",
      K32,
      IF(
        ISERROR(FIND(""-"",L32)),
        K32 - VALUE(REGEXEXTRACT(L32,""(\d+)"")),
        K32 * (1 - VALUE(REGEXEXTRACT(L32,""(\d+)""))/100)
      )
    ),
    2
  )
)
")," ")</f>
        <v/>
      </c>
      <c r="N32" s="111"/>
      <c r="O32" s="118" t="b">
        <v>0</v>
      </c>
      <c r="P32" s="119"/>
      <c r="Q32" s="120"/>
      <c r="R32" s="121" t="b">
        <v>0</v>
      </c>
      <c r="S32" s="121" t="b">
        <v>0</v>
      </c>
      <c r="T32" s="122" t="b">
        <v>0</v>
      </c>
    </row>
    <row r="33" hidden="1" outlineLevel="1">
      <c r="A33" s="116"/>
      <c r="B33" s="116"/>
      <c r="C33" s="129"/>
      <c r="D33" s="111"/>
      <c r="E33" s="111"/>
      <c r="F33" s="116"/>
      <c r="G33" s="116"/>
      <c r="H33" s="116"/>
      <c r="I33" s="116"/>
      <c r="J33" s="134"/>
      <c r="K33" s="115"/>
      <c r="L33" s="116"/>
      <c r="M33" s="117" t="str">
        <f>IFERROR(__xludf.DUMMYFUNCTION("IF(
  K33="""",
  """",
  ROUND(
    IF(
      L33="""",
      K33,
      IF(
        ISERROR(FIND(""-"",L33)),
        K33 - VALUE(REGEXEXTRACT(L33,""(\d+)"")),
        K33 * (1 - VALUE(REGEXEXTRACT(L33,""(\d+)""))/100)
      )
    ),
    2
  )
)
")," ")</f>
        <v/>
      </c>
      <c r="N33" s="111"/>
      <c r="O33" s="118" t="b">
        <v>0</v>
      </c>
      <c r="P33" s="119"/>
      <c r="Q33" s="120"/>
      <c r="R33" s="121" t="b">
        <v>0</v>
      </c>
      <c r="S33" s="121" t="b">
        <v>0</v>
      </c>
      <c r="T33" s="122" t="b">
        <v>0</v>
      </c>
    </row>
    <row r="34" hidden="1" outlineLevel="1">
      <c r="A34" s="116"/>
      <c r="B34" s="116"/>
      <c r="C34" s="129"/>
      <c r="D34" s="111"/>
      <c r="E34" s="111"/>
      <c r="F34" s="116"/>
      <c r="G34" s="116"/>
      <c r="H34" s="116"/>
      <c r="I34" s="116"/>
      <c r="J34" s="132"/>
      <c r="K34" s="115"/>
      <c r="L34" s="116"/>
      <c r="M34" s="117" t="str">
        <f>IFERROR(__xludf.DUMMYFUNCTION("IF(
  K34="""",
  """",
  ROUND(
    IF(
      L34="""",
      K34,
      IF(
        ISERROR(FIND(""-"",L34)),
        K34 - VALUE(REGEXEXTRACT(L34,""(\d+)"")),
        K34 * (1 - VALUE(REGEXEXTRACT(L34,""(\d+)""))/100)
      )
    ),
    2
  )
)
")," ")</f>
        <v/>
      </c>
      <c r="N34" s="111"/>
      <c r="O34" s="118" t="b">
        <v>0</v>
      </c>
      <c r="P34" s="119"/>
      <c r="Q34" s="120"/>
      <c r="R34" s="121" t="b">
        <v>0</v>
      </c>
      <c r="S34" s="121" t="b">
        <v>0</v>
      </c>
      <c r="T34" s="122" t="b">
        <v>0</v>
      </c>
    </row>
    <row r="35" hidden="1" outlineLevel="1">
      <c r="A35" s="116"/>
      <c r="B35" s="116"/>
      <c r="C35" s="129"/>
      <c r="D35" s="111"/>
      <c r="E35" s="111"/>
      <c r="F35" s="116"/>
      <c r="G35" s="116"/>
      <c r="H35" s="116"/>
      <c r="I35" s="116"/>
      <c r="J35" s="132"/>
      <c r="K35" s="115"/>
      <c r="L35" s="116"/>
      <c r="M35" s="117" t="str">
        <f>IFERROR(__xludf.DUMMYFUNCTION("IF(
  K35="""",
  """",
  ROUND(
    IF(
      L35="""",
      K35,
      IF(
        ISERROR(FIND(""-"",L35)),
        K35 - VALUE(REGEXEXTRACT(L35,""(\d+)"")),
        K35 * (1 - VALUE(REGEXEXTRACT(L35,""(\d+)""))/100)
      )
    ),
    2
  )
)
")," ")</f>
        <v/>
      </c>
      <c r="N35" s="111"/>
      <c r="O35" s="118" t="b">
        <v>0</v>
      </c>
      <c r="P35" s="119"/>
      <c r="Q35" s="120"/>
      <c r="R35" s="121" t="b">
        <v>0</v>
      </c>
      <c r="S35" s="121" t="b">
        <v>0</v>
      </c>
      <c r="T35" s="122" t="b">
        <v>0</v>
      </c>
    </row>
    <row r="36" hidden="1" outlineLevel="1">
      <c r="A36" s="116"/>
      <c r="B36" s="116"/>
      <c r="C36" s="129"/>
      <c r="D36" s="111"/>
      <c r="E36" s="111"/>
      <c r="F36" s="116"/>
      <c r="G36" s="116"/>
      <c r="H36" s="116"/>
      <c r="I36" s="116"/>
      <c r="J36" s="132"/>
      <c r="K36" s="115"/>
      <c r="L36" s="116"/>
      <c r="M36" s="117" t="str">
        <f>IFERROR(__xludf.DUMMYFUNCTION("IF(
  K36="""",
  """",
  ROUND(
    IF(
      L36="""",
      K36,
      IF(
        ISERROR(FIND(""-"",L36)),
        K36 - VALUE(REGEXEXTRACT(L36,""(\d+)"")),
        K36 * (1 - VALUE(REGEXEXTRACT(L36,""(\d+)""))/100)
      )
    ),
    2
  )
)
")," ")</f>
        <v/>
      </c>
      <c r="N36" s="111"/>
      <c r="O36" s="118" t="b">
        <v>0</v>
      </c>
      <c r="P36" s="119"/>
      <c r="Q36" s="120"/>
      <c r="R36" s="121" t="b">
        <v>0</v>
      </c>
      <c r="S36" s="121" t="b">
        <v>0</v>
      </c>
      <c r="T36" s="122" t="b">
        <v>0</v>
      </c>
    </row>
    <row r="37" hidden="1" outlineLevel="1">
      <c r="A37" s="116"/>
      <c r="B37" s="116"/>
      <c r="C37" s="129"/>
      <c r="D37" s="111"/>
      <c r="E37" s="111"/>
      <c r="F37" s="116"/>
      <c r="G37" s="116"/>
      <c r="H37" s="116"/>
      <c r="I37" s="116"/>
      <c r="J37" s="134"/>
      <c r="K37" s="115"/>
      <c r="L37" s="116"/>
      <c r="M37" s="117" t="str">
        <f>IFERROR(__xludf.DUMMYFUNCTION("IF(
  K37="""",
  """",
  ROUND(
    IF(
      L37="""",
      K37,
      IF(
        ISERROR(FIND(""-"",L37)),
        K37 - VALUE(REGEXEXTRACT(L37,""(\d+)"")),
        K37 * (1 - VALUE(REGEXEXTRACT(L37,""(\d+)""))/100)
      )
    ),
    2
  )
)
")," ")</f>
        <v/>
      </c>
      <c r="N37" s="111"/>
      <c r="O37" s="118" t="b">
        <v>0</v>
      </c>
      <c r="P37" s="119"/>
      <c r="Q37" s="120"/>
      <c r="R37" s="121" t="b">
        <v>0</v>
      </c>
      <c r="S37" s="121" t="b">
        <v>0</v>
      </c>
      <c r="T37" s="122" t="b">
        <v>0</v>
      </c>
    </row>
    <row r="38" hidden="1" outlineLevel="1">
      <c r="A38" s="116"/>
      <c r="B38" s="116"/>
      <c r="C38" s="129"/>
      <c r="D38" s="111"/>
      <c r="E38" s="111"/>
      <c r="F38" s="116"/>
      <c r="G38" s="116"/>
      <c r="H38" s="116"/>
      <c r="I38" s="116"/>
      <c r="J38" s="132"/>
      <c r="K38" s="115"/>
      <c r="L38" s="116"/>
      <c r="M38" s="117" t="str">
        <f>IFERROR(__xludf.DUMMYFUNCTION("IF(
  K38="""",
  """",
  ROUND(
    IF(
      L38="""",
      K38,
      IF(
        ISERROR(FIND(""-"",L38)),
        K38 - VALUE(REGEXEXTRACT(L38,""(\d+)"")),
        K38 * (1 - VALUE(REGEXEXTRACT(L38,""(\d+)""))/100)
      )
    ),
    2
  )
)
")," ")</f>
        <v/>
      </c>
      <c r="N38" s="111"/>
      <c r="O38" s="118" t="b">
        <v>0</v>
      </c>
      <c r="P38" s="119"/>
      <c r="Q38" s="120"/>
      <c r="R38" s="121" t="b">
        <v>0</v>
      </c>
      <c r="S38" s="121" t="b">
        <v>0</v>
      </c>
      <c r="T38" s="122" t="b">
        <v>0</v>
      </c>
    </row>
    <row r="39" hidden="1" outlineLevel="1">
      <c r="A39" s="116"/>
      <c r="B39" s="116"/>
      <c r="C39" s="129"/>
      <c r="D39" s="111"/>
      <c r="E39" s="111"/>
      <c r="F39" s="116"/>
      <c r="G39" s="142"/>
      <c r="H39" s="116"/>
      <c r="I39" s="116"/>
      <c r="J39" s="134"/>
      <c r="K39" s="115"/>
      <c r="L39" s="116"/>
      <c r="M39" s="117" t="str">
        <f>IFERROR(__xludf.DUMMYFUNCTION("IF(
  K39="""",
  """",
  ROUND(
    IF(
      L39="""",
      K39,
      IF(
        ISERROR(FIND(""-"",L39)),
        K39 - VALUE(REGEXEXTRACT(L39,""(\d+)"")),
        K39 * (1 - VALUE(REGEXEXTRACT(L39,""(\d+)""))/100)
      )
    ),
    2
  )
)
")," ")</f>
        <v/>
      </c>
      <c r="N39" s="111"/>
      <c r="O39" s="118" t="b">
        <v>0</v>
      </c>
      <c r="P39" s="119"/>
      <c r="Q39" s="120"/>
      <c r="R39" s="121" t="b">
        <v>0</v>
      </c>
      <c r="S39" s="121" t="b">
        <v>0</v>
      </c>
      <c r="T39" s="122" t="b">
        <v>0</v>
      </c>
    </row>
    <row r="40" hidden="1" outlineLevel="1">
      <c r="A40" s="116"/>
      <c r="B40" s="116"/>
      <c r="C40" s="129"/>
      <c r="D40" s="111"/>
      <c r="E40" s="111"/>
      <c r="F40" s="116"/>
      <c r="G40" s="116"/>
      <c r="H40" s="116"/>
      <c r="I40" s="116"/>
      <c r="J40" s="134"/>
      <c r="K40" s="115"/>
      <c r="L40" s="116"/>
      <c r="M40" s="117" t="str">
        <f>IFERROR(__xludf.DUMMYFUNCTION("IF(
  K40="""",
  """",
  ROUND(
    IF(
      L40="""",
      K40,
      IF(
        ISERROR(FIND(""-"",L40)),
        K40 - VALUE(REGEXEXTRACT(L40,""(\d+)"")),
        K40 * (1 - VALUE(REGEXEXTRACT(L40,""(\d+)""))/100)
      )
    ),
    2
  )
)
")," ")</f>
        <v/>
      </c>
      <c r="N40" s="111"/>
      <c r="O40" s="118" t="b">
        <v>0</v>
      </c>
      <c r="P40" s="119"/>
      <c r="Q40" s="120"/>
      <c r="R40" s="121" t="b">
        <v>0</v>
      </c>
      <c r="S40" s="121" t="b">
        <v>0</v>
      </c>
      <c r="T40" s="122" t="b">
        <v>0</v>
      </c>
    </row>
    <row r="41" hidden="1" outlineLevel="1">
      <c r="A41" s="116"/>
      <c r="B41" s="116"/>
      <c r="C41" s="129"/>
      <c r="D41" s="111"/>
      <c r="E41" s="111"/>
      <c r="F41" s="116"/>
      <c r="G41" s="116"/>
      <c r="H41" s="116"/>
      <c r="I41" s="116"/>
      <c r="J41" s="134"/>
      <c r="K41" s="115"/>
      <c r="L41" s="116"/>
      <c r="M41" s="117" t="str">
        <f>IFERROR(__xludf.DUMMYFUNCTION("IF(
  K41="""",
  """",
  ROUND(
    IF(
      L41="""",
      K41,
      IF(
        ISERROR(FIND(""-"",L41)),
        K41 - VALUE(REGEXEXTRACT(L41,""(\d+)"")),
        K41 * (1 - VALUE(REGEXEXTRACT(L41,""(\d+)""))/100)
      )
    ),
    2
  )
)
")," ")</f>
        <v/>
      </c>
      <c r="N41" s="116"/>
      <c r="O41" s="118" t="b">
        <v>0</v>
      </c>
      <c r="P41" s="119"/>
      <c r="Q41" s="120"/>
      <c r="R41" s="121" t="b">
        <v>0</v>
      </c>
      <c r="S41" s="121" t="b">
        <v>0</v>
      </c>
      <c r="T41" s="122" t="b">
        <v>0</v>
      </c>
    </row>
    <row r="42" hidden="1" outlineLevel="1">
      <c r="A42" s="116"/>
      <c r="B42" s="116"/>
      <c r="C42" s="129"/>
      <c r="D42" s="111"/>
      <c r="E42" s="111"/>
      <c r="F42" s="116"/>
      <c r="G42" s="116"/>
      <c r="H42" s="116"/>
      <c r="I42" s="116"/>
      <c r="J42" s="134"/>
      <c r="K42" s="115"/>
      <c r="L42" s="116"/>
      <c r="M42" s="117" t="str">
        <f>IFERROR(__xludf.DUMMYFUNCTION("IF(
  K42="""",
  """",
  ROUND(
    IF(
      L42="""",
      K42,
      IF(
        ISERROR(FIND(""-"",L42)),
        K42 - VALUE(REGEXEXTRACT(L42,""(\d+)"")),
        K42 * (1 - VALUE(REGEXEXTRACT(L42,""(\d+)""))/100)
      )
    ),
    2
  )
)
")," ")</f>
        <v/>
      </c>
      <c r="N42" s="116"/>
      <c r="O42" s="118" t="b">
        <v>0</v>
      </c>
      <c r="P42" s="119"/>
      <c r="Q42" s="120"/>
      <c r="R42" s="121" t="b">
        <v>0</v>
      </c>
      <c r="S42" s="121" t="b">
        <v>0</v>
      </c>
      <c r="T42" s="122" t="b">
        <v>0</v>
      </c>
    </row>
    <row r="43" hidden="1" outlineLevel="1">
      <c r="A43" s="116"/>
      <c r="B43" s="116"/>
      <c r="C43" s="129"/>
      <c r="D43" s="111"/>
      <c r="E43" s="111"/>
      <c r="F43" s="116"/>
      <c r="G43" s="116"/>
      <c r="H43" s="116"/>
      <c r="I43" s="116"/>
      <c r="J43" s="134"/>
      <c r="K43" s="115"/>
      <c r="L43" s="116"/>
      <c r="M43" s="117" t="str">
        <f>IFERROR(__xludf.DUMMYFUNCTION("IF(
  K43="""",
  """",
  ROUND(
    IF(
      L43="""",
      K43,
      IF(
        ISERROR(FIND(""-"",L43)),
        K43 - VALUE(REGEXEXTRACT(L43,""(\d+)"")),
        K43 * (1 - VALUE(REGEXEXTRACT(L43,""(\d+)""))/100)
      )
    ),
    2
  )
)
")," ")</f>
        <v/>
      </c>
      <c r="N43" s="111"/>
      <c r="O43" s="118" t="b">
        <v>0</v>
      </c>
      <c r="P43" s="119"/>
      <c r="Q43" s="159"/>
      <c r="R43" s="121" t="b">
        <v>0</v>
      </c>
      <c r="S43" s="121" t="b">
        <v>0</v>
      </c>
      <c r="T43" s="122" t="b">
        <v>0</v>
      </c>
    </row>
    <row r="44" collapsed="1">
      <c r="A44" s="241"/>
      <c r="C44" s="242" t="s">
        <v>2933</v>
      </c>
      <c r="N44" s="243" t="s">
        <v>355</v>
      </c>
      <c r="O44" s="244">
        <f>SUMPRODUCT(--$O$45:$O$84)</f>
        <v>0</v>
      </c>
      <c r="P44" s="243"/>
    </row>
    <row r="45" hidden="1" outlineLevel="1">
      <c r="A45" s="116"/>
      <c r="B45" s="116"/>
      <c r="C45" s="129"/>
      <c r="D45" s="111"/>
      <c r="E45" s="111"/>
      <c r="F45" s="116"/>
      <c r="G45" s="116"/>
      <c r="H45" s="143"/>
      <c r="I45" s="116"/>
      <c r="J45" s="134"/>
      <c r="K45" s="115"/>
      <c r="L45" s="131"/>
      <c r="M45" s="117" t="str">
        <f>IFERROR(__xludf.DUMMYFUNCTION("IF(
  K45="""",
  """",
  ROUND(
    IF(
      L45="""",
      K45,
      IF(
        ISERROR(FIND(""-"",L45)),
        K45 - VALUE(REGEXEXTRACT(L45,""(\d+)"")),
        K45 * (1 - VALUE(REGEXEXTRACT(L45,""(\d+)""))/100)
      )
    ),
    2
  )
)
")," ")</f>
        <v/>
      </c>
      <c r="N45" s="131"/>
      <c r="O45" s="118" t="b">
        <v>0</v>
      </c>
      <c r="P45" s="119"/>
      <c r="Q45" s="238"/>
      <c r="R45" s="121" t="b">
        <v>0</v>
      </c>
      <c r="S45" s="121" t="b">
        <v>0</v>
      </c>
      <c r="T45" s="122" t="b">
        <v>0</v>
      </c>
    </row>
    <row r="46" hidden="1" outlineLevel="1">
      <c r="A46" s="116"/>
      <c r="B46" s="116"/>
      <c r="C46" s="129"/>
      <c r="D46" s="111"/>
      <c r="E46" s="111"/>
      <c r="F46" s="116"/>
      <c r="G46" s="116"/>
      <c r="H46" s="116"/>
      <c r="I46" s="116"/>
      <c r="J46" s="134"/>
      <c r="K46" s="115"/>
      <c r="L46" s="116"/>
      <c r="M46" s="117" t="str">
        <f>IFERROR(__xludf.DUMMYFUNCTION("IF(
  K46="""",
  """",
  ROUND(
    IF(
      L46="""",
      K46,
      IF(
        ISERROR(FIND(""-"",L46)),
        K46 - VALUE(REGEXEXTRACT(L46,""(\d+)"")),
        K46 * (1 - VALUE(REGEXEXTRACT(L46,""(\d+)""))/100)
      )
    ),
    2
  )
)
")," ")</f>
        <v/>
      </c>
      <c r="N46" s="111"/>
      <c r="O46" s="118" t="b">
        <v>0</v>
      </c>
      <c r="P46" s="119"/>
      <c r="Q46" s="120"/>
      <c r="R46" s="121" t="b">
        <v>0</v>
      </c>
      <c r="S46" s="121" t="b">
        <v>0</v>
      </c>
      <c r="T46" s="122" t="b">
        <v>0</v>
      </c>
    </row>
    <row r="47" hidden="1" outlineLevel="1">
      <c r="A47" s="116"/>
      <c r="B47" s="116"/>
      <c r="C47" s="129"/>
      <c r="D47" s="111"/>
      <c r="E47" s="111"/>
      <c r="F47" s="116"/>
      <c r="G47" s="116"/>
      <c r="H47" s="144"/>
      <c r="I47" s="116"/>
      <c r="J47" s="132"/>
      <c r="K47" s="115"/>
      <c r="L47" s="116"/>
      <c r="M47" s="117" t="str">
        <f>IFERROR(__xludf.DUMMYFUNCTION("IF(
  K47="""",
  """",
  ROUND(
    IF(
      L47="""",
      K47,
      IF(
        ISERROR(FIND(""-"",L47)),
        K47 - VALUE(REGEXEXTRACT(L47,""(\d+)"")),
        K47 * (1 - VALUE(REGEXEXTRACT(L47,""(\d+)""))/100)
      )
    ),
    2
  )
)
")," ")</f>
        <v/>
      </c>
      <c r="N47" s="116"/>
      <c r="O47" s="118" t="b">
        <v>0</v>
      </c>
      <c r="P47" s="119"/>
      <c r="Q47" s="120"/>
      <c r="R47" s="121" t="b">
        <v>0</v>
      </c>
      <c r="S47" s="121" t="b">
        <v>0</v>
      </c>
      <c r="T47" s="122" t="b">
        <v>0</v>
      </c>
    </row>
    <row r="48" hidden="1" outlineLevel="1">
      <c r="A48" s="116"/>
      <c r="B48" s="116"/>
      <c r="C48" s="129"/>
      <c r="D48" s="111"/>
      <c r="E48" s="111"/>
      <c r="F48" s="116"/>
      <c r="G48" s="116"/>
      <c r="H48" s="116"/>
      <c r="I48" s="116"/>
      <c r="J48" s="132"/>
      <c r="K48" s="115"/>
      <c r="L48" s="116"/>
      <c r="M48" s="117" t="str">
        <f>IFERROR(__xludf.DUMMYFUNCTION("IF(
  K48="""",
  """",
  ROUND(
    IF(
      L48="""",
      K48,
      IF(
        ISERROR(FIND(""-"",L48)),
        K48 - VALUE(REGEXEXTRACT(L48,""(\d+)"")),
        K48 * (1 - VALUE(REGEXEXTRACT(L48,""(\d+)""))/100)
      )
    ),
    2
  )
)
")," ")</f>
        <v/>
      </c>
      <c r="N48" s="116"/>
      <c r="O48" s="118" t="b">
        <v>0</v>
      </c>
      <c r="P48" s="119"/>
      <c r="Q48" s="120"/>
      <c r="R48" s="121" t="b">
        <v>0</v>
      </c>
      <c r="S48" s="121" t="b">
        <v>0</v>
      </c>
      <c r="T48" s="122" t="b">
        <v>0</v>
      </c>
    </row>
    <row r="49" hidden="1" outlineLevel="1">
      <c r="A49" s="116"/>
      <c r="B49" s="116"/>
      <c r="C49" s="129"/>
      <c r="D49" s="111"/>
      <c r="E49" s="111"/>
      <c r="F49" s="116"/>
      <c r="G49" s="116"/>
      <c r="H49" s="116"/>
      <c r="I49" s="116"/>
      <c r="J49" s="132"/>
      <c r="K49" s="115"/>
      <c r="L49" s="116"/>
      <c r="M49" s="117" t="str">
        <f>IFERROR(__xludf.DUMMYFUNCTION("IF(
  K49="""",
  """",
  ROUND(
    IF(
      L49="""",
      K49,
      IF(
        ISERROR(FIND(""-"",L49)),
        K49 - VALUE(REGEXEXTRACT(L49,""(\d+)"")),
        K49 * (1 - VALUE(REGEXEXTRACT(L49,""(\d+)""))/100)
      )
    ),
    2
  )
)
")," ")</f>
        <v/>
      </c>
      <c r="N49" s="116"/>
      <c r="O49" s="118" t="b">
        <v>0</v>
      </c>
      <c r="P49" s="119"/>
      <c r="Q49" s="120"/>
      <c r="R49" s="121" t="b">
        <v>0</v>
      </c>
      <c r="S49" s="121" t="b">
        <v>0</v>
      </c>
      <c r="T49" s="122" t="b">
        <v>0</v>
      </c>
    </row>
    <row r="50" hidden="1" outlineLevel="1">
      <c r="A50" s="116"/>
      <c r="B50" s="116"/>
      <c r="C50" s="129"/>
      <c r="D50" s="111"/>
      <c r="E50" s="111"/>
      <c r="F50" s="116"/>
      <c r="G50" s="116"/>
      <c r="H50" s="116"/>
      <c r="I50" s="116"/>
      <c r="J50" s="132"/>
      <c r="K50" s="115"/>
      <c r="L50" s="116"/>
      <c r="M50" s="117" t="str">
        <f>IFERROR(__xludf.DUMMYFUNCTION("IF(
  K50="""",
  """",
  ROUND(
    IF(
      L50="""",
      K50,
      IF(
        ISERROR(FIND(""-"",L50)),
        K50 - VALUE(REGEXEXTRACT(L50,""(\d+)"")),
        K50 * (1 - VALUE(REGEXEXTRACT(L50,""(\d+)""))/100)
      )
    ),
    2
  )
)
")," ")</f>
        <v/>
      </c>
      <c r="N50" s="116"/>
      <c r="O50" s="118" t="b">
        <v>0</v>
      </c>
      <c r="P50" s="119"/>
      <c r="Q50" s="120"/>
      <c r="R50" s="121" t="b">
        <v>0</v>
      </c>
      <c r="S50" s="121" t="b">
        <v>0</v>
      </c>
      <c r="T50" s="122" t="b">
        <v>0</v>
      </c>
    </row>
    <row r="51" hidden="1" outlineLevel="1">
      <c r="A51" s="116"/>
      <c r="B51" s="116"/>
      <c r="C51" s="145"/>
      <c r="D51" s="111"/>
      <c r="E51" s="111"/>
      <c r="F51" s="116"/>
      <c r="G51" s="116"/>
      <c r="H51" s="116"/>
      <c r="I51" s="116"/>
      <c r="J51" s="126"/>
      <c r="K51" s="115"/>
      <c r="L51" s="116"/>
      <c r="M51" s="117" t="str">
        <f>IFERROR(__xludf.DUMMYFUNCTION("IF(
  K51="""",
  """",
  ROUND(
    IF(
      L51="""",
      K51,
      IF(
        ISERROR(FIND(""-"",L51)),
        K51 - VALUE(REGEXEXTRACT(L51,""(\d+)"")),
        K51 * (1 - VALUE(REGEXEXTRACT(L51,""(\d+)""))/100)
      )
    ),
    2
  )
)
")," ")</f>
        <v/>
      </c>
      <c r="N51" s="111"/>
      <c r="O51" s="118" t="b">
        <v>0</v>
      </c>
      <c r="P51" s="119"/>
      <c r="Q51" s="120"/>
      <c r="R51" s="121" t="b">
        <v>0</v>
      </c>
      <c r="S51" s="121" t="b">
        <v>0</v>
      </c>
      <c r="T51" s="122" t="b">
        <v>0</v>
      </c>
    </row>
    <row r="52" hidden="1" outlineLevel="1">
      <c r="A52" s="116"/>
      <c r="B52" s="116"/>
      <c r="C52" s="145"/>
      <c r="D52" s="111"/>
      <c r="E52" s="111"/>
      <c r="F52" s="116"/>
      <c r="G52" s="116"/>
      <c r="H52" s="116"/>
      <c r="I52" s="116"/>
      <c r="J52" s="126"/>
      <c r="K52" s="115"/>
      <c r="L52" s="116"/>
      <c r="M52" s="117" t="str">
        <f>IFERROR(__xludf.DUMMYFUNCTION("IF(
  K52="""",
  """",
  ROUND(
    IF(
      L52="""",
      K52,
      IF(
        ISERROR(FIND(""-"",L52)),
        K52 - VALUE(REGEXEXTRACT(L52,""(\d+)"")),
        K52 * (1 - VALUE(REGEXEXTRACT(L52,""(\d+)""))/100)
      )
    ),
    2
  )
)
")," ")</f>
        <v/>
      </c>
      <c r="N52" s="111"/>
      <c r="O52" s="118" t="b">
        <v>0</v>
      </c>
      <c r="P52" s="119"/>
      <c r="Q52" s="120"/>
      <c r="R52" s="121" t="b">
        <v>0</v>
      </c>
      <c r="S52" s="121" t="b">
        <v>0</v>
      </c>
      <c r="T52" s="122" t="b">
        <v>0</v>
      </c>
    </row>
    <row r="53" hidden="1" outlineLevel="1">
      <c r="A53" s="116"/>
      <c r="B53" s="116"/>
      <c r="C53" s="145"/>
      <c r="D53" s="111"/>
      <c r="E53" s="111"/>
      <c r="F53" s="116"/>
      <c r="G53" s="116"/>
      <c r="H53" s="116"/>
      <c r="I53" s="116"/>
      <c r="J53" s="126"/>
      <c r="K53" s="115"/>
      <c r="L53" s="116"/>
      <c r="M53" s="117" t="str">
        <f>IFERROR(__xludf.DUMMYFUNCTION("IF(
  K53="""",
  """",
  ROUND(
    IF(
      L53="""",
      K53,
      IF(
        ISERROR(FIND(""-"",L53)),
        K53 - VALUE(REGEXEXTRACT(L53,""(\d+)"")),
        K53 * (1 - VALUE(REGEXEXTRACT(L53,""(\d+)""))/100)
      )
    ),
    2
  )
)
")," ")</f>
        <v/>
      </c>
      <c r="N53" s="111"/>
      <c r="O53" s="118" t="b">
        <v>0</v>
      </c>
      <c r="P53" s="119"/>
      <c r="Q53" s="120"/>
      <c r="R53" s="121" t="b">
        <v>0</v>
      </c>
      <c r="S53" s="121" t="b">
        <v>0</v>
      </c>
      <c r="T53" s="122" t="b">
        <v>0</v>
      </c>
    </row>
    <row r="54" hidden="1" outlineLevel="1">
      <c r="A54" s="116"/>
      <c r="B54" s="116"/>
      <c r="C54" s="146"/>
      <c r="D54" s="111"/>
      <c r="E54" s="111"/>
      <c r="F54" s="111"/>
      <c r="G54" s="111"/>
      <c r="H54" s="111"/>
      <c r="I54" s="111"/>
      <c r="J54" s="126"/>
      <c r="K54" s="115"/>
      <c r="L54" s="116"/>
      <c r="M54" s="117" t="str">
        <f>IFERROR(__xludf.DUMMYFUNCTION("IF(
  K54="""",
  """",
  ROUND(
    IF(
      L54="""",
      K54,
      IF(
        ISERROR(FIND(""-"",L54)),
        K54 - VALUE(REGEXEXTRACT(L54,""(\d+)"")),
        K54 * (1 - VALUE(REGEXEXTRACT(L54,""(\d+)""))/100)
      )
    ),
    2
  )
)
")," ")</f>
        <v/>
      </c>
      <c r="N54" s="111"/>
      <c r="O54" s="118" t="b">
        <v>0</v>
      </c>
      <c r="P54" s="119"/>
      <c r="Q54" s="120"/>
      <c r="R54" s="121" t="b">
        <v>0</v>
      </c>
      <c r="S54" s="121" t="b">
        <v>0</v>
      </c>
      <c r="T54" s="122" t="b">
        <v>0</v>
      </c>
    </row>
    <row r="55" hidden="1" outlineLevel="1">
      <c r="A55" s="131"/>
      <c r="B55" s="131"/>
      <c r="C55" s="147"/>
      <c r="D55" s="111"/>
      <c r="E55" s="111"/>
      <c r="F55" s="131"/>
      <c r="G55" s="131"/>
      <c r="H55" s="131"/>
      <c r="I55" s="131"/>
      <c r="J55" s="148"/>
      <c r="K55" s="115"/>
      <c r="L55" s="131"/>
      <c r="M55" s="117" t="str">
        <f>IFERROR(__xludf.DUMMYFUNCTION("IF(
  K55="""",
  """",
  ROUND(
    IF(
      L55="""",
      K55,
      IF(
        ISERROR(FIND(""-"",L55)),
        K55 - VALUE(REGEXEXTRACT(L55,""(\d+)"")),
        K55 * (1 - VALUE(REGEXEXTRACT(L55,""(\d+)""))/100)
      )
    ),
    2
  )
)
")," ")</f>
        <v/>
      </c>
      <c r="N55" s="131"/>
      <c r="O55" s="118" t="b">
        <v>0</v>
      </c>
      <c r="P55" s="119"/>
      <c r="Q55" s="149"/>
      <c r="R55" s="121" t="b">
        <v>0</v>
      </c>
      <c r="S55" s="121" t="b">
        <v>0</v>
      </c>
      <c r="T55" s="122" t="b">
        <v>0</v>
      </c>
    </row>
    <row r="56" hidden="1" outlineLevel="1">
      <c r="A56" s="116"/>
      <c r="B56" s="116"/>
      <c r="C56" s="146"/>
      <c r="D56" s="111"/>
      <c r="E56" s="111"/>
      <c r="F56" s="116"/>
      <c r="G56" s="116"/>
      <c r="H56" s="116"/>
      <c r="I56" s="116"/>
      <c r="J56" s="126"/>
      <c r="K56" s="115"/>
      <c r="L56" s="116"/>
      <c r="M56" s="117" t="str">
        <f>IFERROR(__xludf.DUMMYFUNCTION("IF(
  K56="""",
  """",
  ROUND(
    IF(
      L56="""",
      K56,
      IF(
        ISERROR(FIND(""-"",L56)),
        K56 - VALUE(REGEXEXTRACT(L56,""(\d+)"")),
        K56 * (1 - VALUE(REGEXEXTRACT(L56,""(\d+)""))/100)
      )
    ),
    2
  )
)
")," ")</f>
        <v/>
      </c>
      <c r="N56" s="111"/>
      <c r="O56" s="118" t="b">
        <v>0</v>
      </c>
      <c r="P56" s="119"/>
      <c r="Q56" s="120"/>
      <c r="R56" s="121" t="b">
        <v>0</v>
      </c>
      <c r="S56" s="121" t="b">
        <v>0</v>
      </c>
      <c r="T56" s="122" t="b">
        <v>0</v>
      </c>
    </row>
    <row r="57" hidden="1" outlineLevel="1">
      <c r="A57" s="116"/>
      <c r="B57" s="116"/>
      <c r="C57" s="145"/>
      <c r="D57" s="111"/>
      <c r="E57" s="111"/>
      <c r="F57" s="116"/>
      <c r="G57" s="116"/>
      <c r="H57" s="116"/>
      <c r="I57" s="116"/>
      <c r="J57" s="126"/>
      <c r="K57" s="115"/>
      <c r="L57" s="116"/>
      <c r="M57" s="150" t="str">
        <f>IFERROR(__xludf.DUMMYFUNCTION("IF(
  K57="""",
  """",
  ROUND(
    IF(
      L57="""",
      K57,
      IF(
        ISERROR(FIND(""-"",L57)),
        K57 - VALUE(REGEXEXTRACT(L57,""(\d+)"")),
        K57 * (1 - VALUE(REGEXEXTRACT(L57,""(\d+)""))/100)
      )
    ),
    2
  )
)
")," ")</f>
        <v/>
      </c>
      <c r="N57" s="111"/>
      <c r="O57" s="118" t="b">
        <v>0</v>
      </c>
      <c r="P57" s="119"/>
      <c r="Q57" s="120"/>
      <c r="R57" s="121" t="b">
        <v>0</v>
      </c>
      <c r="S57" s="121" t="b">
        <v>0</v>
      </c>
      <c r="T57" s="122" t="b">
        <v>0</v>
      </c>
    </row>
    <row r="58" hidden="1" outlineLevel="1">
      <c r="A58" s="116"/>
      <c r="B58" s="116"/>
      <c r="C58" s="145"/>
      <c r="D58" s="111"/>
      <c r="E58" s="111"/>
      <c r="F58" s="116"/>
      <c r="G58" s="116"/>
      <c r="H58" s="151"/>
      <c r="I58" s="116"/>
      <c r="J58" s="126"/>
      <c r="K58" s="115"/>
      <c r="L58" s="116"/>
      <c r="M58" s="150" t="str">
        <f>IFERROR(__xludf.DUMMYFUNCTION("IF(
  K58="""",
  """",
  ROUND(
    IF(
      L58="""",
      K58,
      IF(
        ISERROR(FIND(""-"",L58)),
        K58 - VALUE(REGEXEXTRACT(L58,""(\d+)"")),
        K58 * (1 - VALUE(REGEXEXTRACT(L58,""(\d+)""))/100)
      )
    ),
    2
  )
)
")," ")</f>
        <v/>
      </c>
      <c r="N58" s="116"/>
      <c r="O58" s="118" t="b">
        <v>0</v>
      </c>
      <c r="P58" s="119"/>
      <c r="Q58" s="120"/>
      <c r="R58" s="121" t="b">
        <v>0</v>
      </c>
      <c r="S58" s="121" t="b">
        <v>0</v>
      </c>
      <c r="T58" s="122" t="b">
        <v>0</v>
      </c>
    </row>
    <row r="59" hidden="1" outlineLevel="1">
      <c r="A59" s="131"/>
      <c r="B59" s="131"/>
      <c r="C59" s="130"/>
      <c r="D59" s="111"/>
      <c r="E59" s="111"/>
      <c r="F59" s="131"/>
      <c r="G59" s="131"/>
      <c r="H59" s="152"/>
      <c r="I59" s="131"/>
      <c r="J59" s="153"/>
      <c r="K59" s="115"/>
      <c r="L59" s="116"/>
      <c r="M59" s="150" t="str">
        <f>IFERROR(__xludf.DUMMYFUNCTION("IF(
  K59="""",
  """",
  ROUND(
    IF(
      L59="""",
      K59,
      IF(
        ISERROR(FIND(""-"",L59)),
        K59 - VALUE(REGEXEXTRACT(L59,""(\d+)"")),
        K59 * (1 - VALUE(REGEXEXTRACT(L59,""(\d+)""))/100)
      )
    ),
    2
  )
)
")," ")</f>
        <v/>
      </c>
      <c r="N59" s="131"/>
      <c r="O59" s="118" t="b">
        <v>0</v>
      </c>
      <c r="P59" s="119"/>
      <c r="Q59" s="120"/>
      <c r="R59" s="121" t="b">
        <v>0</v>
      </c>
      <c r="S59" s="121" t="b">
        <v>0</v>
      </c>
      <c r="T59" s="122" t="b">
        <v>0</v>
      </c>
    </row>
    <row r="60" hidden="1" outlineLevel="1">
      <c r="A60" s="131"/>
      <c r="B60" s="131"/>
      <c r="C60" s="130"/>
      <c r="D60" s="111"/>
      <c r="E60" s="111"/>
      <c r="F60" s="131"/>
      <c r="G60" s="131"/>
      <c r="H60" s="152"/>
      <c r="I60" s="131"/>
      <c r="J60" s="153"/>
      <c r="K60" s="115"/>
      <c r="L60" s="116"/>
      <c r="M60" s="150" t="str">
        <f>IFERROR(__xludf.DUMMYFUNCTION("IF(
  K60="""",
  """",
  ROUND(
    IF(
      L60="""",
      K60,
      IF(
        ISERROR(FIND(""-"",L60)),
        K60 - VALUE(REGEXEXTRACT(L60,""(\d+)"")),
        K60 * (1 - VALUE(REGEXEXTRACT(L60,""(\d+)""))/100)
      )
    ),
    2
  )
)
")," ")</f>
        <v/>
      </c>
      <c r="N60" s="131"/>
      <c r="O60" s="118" t="b">
        <v>0</v>
      </c>
      <c r="P60" s="119"/>
      <c r="Q60" s="120"/>
      <c r="R60" s="121" t="b">
        <v>0</v>
      </c>
      <c r="S60" s="121" t="b">
        <v>0</v>
      </c>
      <c r="T60" s="122" t="b">
        <v>0</v>
      </c>
    </row>
    <row r="61" hidden="1" outlineLevel="1">
      <c r="A61" s="131"/>
      <c r="B61" s="131"/>
      <c r="C61" s="130"/>
      <c r="D61" s="111"/>
      <c r="E61" s="111"/>
      <c r="F61" s="131"/>
      <c r="G61" s="131"/>
      <c r="H61" s="152"/>
      <c r="I61" s="131"/>
      <c r="J61" s="153"/>
      <c r="K61" s="115"/>
      <c r="L61" s="116"/>
      <c r="M61" s="150" t="str">
        <f>IFERROR(__xludf.DUMMYFUNCTION("IF(
  K61="""",
  """",
  ROUND(
    IF(
      L61="""",
      K61,
      IF(
        ISERROR(FIND(""-"",L61)),
        K61 - VALUE(REGEXEXTRACT(L61,""(\d+)"")),
        K61 * (1 - VALUE(REGEXEXTRACT(L61,""(\d+)""))/100)
      )
    ),
    2
  )
)
")," ")</f>
        <v/>
      </c>
      <c r="N61" s="131"/>
      <c r="O61" s="118" t="b">
        <v>0</v>
      </c>
      <c r="P61" s="119"/>
      <c r="Q61" s="120"/>
      <c r="R61" s="121" t="b">
        <v>0</v>
      </c>
      <c r="S61" s="121" t="b">
        <v>0</v>
      </c>
      <c r="T61" s="122" t="b">
        <v>0</v>
      </c>
    </row>
    <row r="62" hidden="1" outlineLevel="1">
      <c r="A62" s="131"/>
      <c r="B62" s="131"/>
      <c r="C62" s="130"/>
      <c r="D62" s="111"/>
      <c r="E62" s="111"/>
      <c r="F62" s="131"/>
      <c r="G62" s="131"/>
      <c r="H62" s="152"/>
      <c r="I62" s="131"/>
      <c r="J62" s="153"/>
      <c r="K62" s="115"/>
      <c r="L62" s="116"/>
      <c r="M62" s="150" t="str">
        <f>IFERROR(__xludf.DUMMYFUNCTION("IF(
  K62="""",
  """",
  ROUND(
    IF(
      L62="""",
      K62,
      IF(
        ISERROR(FIND(""-"",L62)),
        K62 - VALUE(REGEXEXTRACT(L62,""(\d+)"")),
        K62 * (1 - VALUE(REGEXEXTRACT(L62,""(\d+)""))/100)
      )
    ),
    2
  )
)
")," ")</f>
        <v/>
      </c>
      <c r="N62" s="131"/>
      <c r="O62" s="118" t="b">
        <v>0</v>
      </c>
      <c r="P62" s="119"/>
      <c r="Q62" s="120"/>
      <c r="R62" s="121" t="b">
        <v>0</v>
      </c>
      <c r="S62" s="121" t="b">
        <v>0</v>
      </c>
      <c r="T62" s="122" t="b">
        <v>0</v>
      </c>
    </row>
    <row r="63" hidden="1" outlineLevel="1">
      <c r="A63" s="116"/>
      <c r="B63" s="116"/>
      <c r="C63" s="129"/>
      <c r="D63" s="111"/>
      <c r="E63" s="111"/>
      <c r="F63" s="116"/>
      <c r="G63" s="116"/>
      <c r="H63" s="151"/>
      <c r="I63" s="116"/>
      <c r="J63" s="134"/>
      <c r="K63" s="115"/>
      <c r="L63" s="116"/>
      <c r="M63" s="150" t="str">
        <f>IFERROR(__xludf.DUMMYFUNCTION("IF(
  K63="""",
  """",
  ROUND(
    IF(
      L63="""",
      K63,
      IF(
        ISERROR(FIND(""-"",L63)),
        K63 - VALUE(REGEXEXTRACT(L63,""(\d+)"")),
        K63 * (1 - VALUE(REGEXEXTRACT(L63,""(\d+)""))/100)
      )
    ),
    2
  )
)
")," ")</f>
        <v/>
      </c>
      <c r="N63" s="116"/>
      <c r="O63" s="118" t="b">
        <v>0</v>
      </c>
      <c r="P63" s="119"/>
      <c r="Q63" s="120"/>
      <c r="R63" s="121" t="b">
        <v>0</v>
      </c>
      <c r="S63" s="121" t="b">
        <v>0</v>
      </c>
      <c r="T63" s="122" t="b">
        <v>0</v>
      </c>
    </row>
    <row r="64" hidden="1" outlineLevel="1">
      <c r="A64" s="116"/>
      <c r="B64" s="116"/>
      <c r="C64" s="129"/>
      <c r="D64" s="111"/>
      <c r="E64" s="111"/>
      <c r="F64" s="116"/>
      <c r="G64" s="116"/>
      <c r="H64" s="151"/>
      <c r="I64" s="116"/>
      <c r="J64" s="134"/>
      <c r="K64" s="115"/>
      <c r="L64" s="116"/>
      <c r="M64" s="150" t="str">
        <f>IFERROR(__xludf.DUMMYFUNCTION("IF(
  K64="""",
  """",
  ROUND(
    IF(
      L64="""",
      K64,
      IF(
        ISERROR(FIND(""-"",L64)),
        K64 - VALUE(REGEXEXTRACT(L64,""(\d+)"")),
        K64 * (1 - VALUE(REGEXEXTRACT(L64,""(\d+)""))/100)
      )
    ),
    2
  )
)
")," ")</f>
        <v/>
      </c>
      <c r="N64" s="116"/>
      <c r="O64" s="118" t="b">
        <v>0</v>
      </c>
      <c r="P64" s="119"/>
      <c r="Q64" s="120"/>
      <c r="R64" s="121" t="b">
        <v>0</v>
      </c>
      <c r="S64" s="121" t="b">
        <v>0</v>
      </c>
      <c r="T64" s="122" t="b">
        <v>0</v>
      </c>
    </row>
    <row r="65" hidden="1" outlineLevel="1">
      <c r="A65" s="116"/>
      <c r="B65" s="116"/>
      <c r="C65" s="129"/>
      <c r="D65" s="111"/>
      <c r="E65" s="111"/>
      <c r="F65" s="116"/>
      <c r="G65" s="116"/>
      <c r="H65" s="151"/>
      <c r="I65" s="116"/>
      <c r="J65" s="134"/>
      <c r="K65" s="115"/>
      <c r="L65" s="116"/>
      <c r="M65" s="150" t="str">
        <f>IFERROR(__xludf.DUMMYFUNCTION("IF(
  K65="""",
  """",
  ROUND(
    IF(
      L65="""",
      K65,
      IF(
        ISERROR(FIND(""-"",L65)),
        K65 - VALUE(REGEXEXTRACT(L65,""(\d+)"")),
        K65 * (1 - VALUE(REGEXEXTRACT(L65,""(\d+)""))/100)
      )
    ),
    2
  )
)
")," ")</f>
        <v/>
      </c>
      <c r="N65" s="116"/>
      <c r="O65" s="118" t="b">
        <v>0</v>
      </c>
      <c r="P65" s="119"/>
      <c r="Q65" s="120"/>
      <c r="R65" s="121" t="b">
        <v>0</v>
      </c>
      <c r="S65" s="121" t="b">
        <v>0</v>
      </c>
      <c r="T65" s="122" t="b">
        <v>0</v>
      </c>
    </row>
    <row r="66" hidden="1" outlineLevel="1">
      <c r="A66" s="111"/>
      <c r="B66" s="116"/>
      <c r="C66" s="112"/>
      <c r="D66" s="111"/>
      <c r="E66" s="111"/>
      <c r="F66" s="111"/>
      <c r="G66" s="111"/>
      <c r="H66" s="144"/>
      <c r="I66" s="111"/>
      <c r="J66" s="114"/>
      <c r="K66" s="115"/>
      <c r="L66" s="116"/>
      <c r="M66" s="117" t="str">
        <f>IFERROR(__xludf.DUMMYFUNCTION("IF(
  K66="""",
  """",
  ROUND(
    IF(
      L66="""",
      K66,
      IF(
        ISERROR(FIND(""-"",L66)),
        K66 - VALUE(REGEXEXTRACT(L66,""(\d+)"")),
        K66 * (1 - VALUE(REGEXEXTRACT(L66,""(\d+)""))/100)
      )
    ),
    2
  )
)
")," ")</f>
        <v/>
      </c>
      <c r="N66" s="111"/>
      <c r="O66" s="154" t="b">
        <v>0</v>
      </c>
      <c r="P66" s="119"/>
      <c r="Q66" s="120"/>
      <c r="R66" s="121" t="b">
        <v>0</v>
      </c>
      <c r="S66" s="121" t="b">
        <v>0</v>
      </c>
      <c r="T66" s="122" t="b">
        <v>0</v>
      </c>
    </row>
    <row r="67" hidden="1" outlineLevel="1">
      <c r="A67" s="111"/>
      <c r="B67" s="116"/>
      <c r="C67" s="112"/>
      <c r="D67" s="111"/>
      <c r="E67" s="111"/>
      <c r="F67" s="111"/>
      <c r="G67" s="111"/>
      <c r="H67" s="144"/>
      <c r="I67" s="111"/>
      <c r="J67" s="114"/>
      <c r="K67" s="115"/>
      <c r="L67" s="116"/>
      <c r="M67" s="117" t="str">
        <f>IFERROR(__xludf.DUMMYFUNCTION("IF(
  K67="""",
  """",
  ROUND(
    IF(
      L67="""",
      K67,
      IF(
        ISERROR(FIND(""-"",L67)),
        K67 - VALUE(REGEXEXTRACT(L67,""(\d+)"")),
        K67 * (1 - VALUE(REGEXEXTRACT(L67,""(\d+)""))/100)
      )
    ),
    2
  )
)
")," ")</f>
        <v/>
      </c>
      <c r="N67" s="111"/>
      <c r="O67" s="154" t="b">
        <v>0</v>
      </c>
      <c r="P67" s="119"/>
      <c r="Q67" s="120"/>
      <c r="R67" s="121" t="b">
        <v>0</v>
      </c>
      <c r="S67" s="121" t="b">
        <v>0</v>
      </c>
      <c r="T67" s="122" t="b">
        <v>0</v>
      </c>
    </row>
    <row r="68" hidden="1" outlineLevel="1">
      <c r="A68" s="111"/>
      <c r="B68" s="116"/>
      <c r="C68" s="112"/>
      <c r="D68" s="111"/>
      <c r="E68" s="111"/>
      <c r="F68" s="111"/>
      <c r="G68" s="111"/>
      <c r="H68" s="144"/>
      <c r="I68" s="111"/>
      <c r="J68" s="114"/>
      <c r="K68" s="115"/>
      <c r="L68" s="116"/>
      <c r="M68" s="117" t="str">
        <f>IFERROR(__xludf.DUMMYFUNCTION("IF(
  K68="""",
  """",
  ROUND(
    IF(
      L68="""",
      K68,
      IF(
        ISERROR(FIND(""-"",L68)),
        K68 - VALUE(REGEXEXTRACT(L68,""(\d+)"")),
        K68 * (1 - VALUE(REGEXEXTRACT(L68,""(\d+)""))/100)
      )
    ),
    2
  )
)
")," ")</f>
        <v/>
      </c>
      <c r="N68" s="111"/>
      <c r="O68" s="154" t="b">
        <v>0</v>
      </c>
      <c r="P68" s="119"/>
      <c r="Q68" s="120"/>
      <c r="R68" s="121" t="b">
        <v>0</v>
      </c>
      <c r="S68" s="121" t="b">
        <v>0</v>
      </c>
      <c r="T68" s="122" t="b">
        <v>0</v>
      </c>
    </row>
    <row r="69" hidden="1" outlineLevel="1">
      <c r="A69" s="111"/>
      <c r="B69" s="116"/>
      <c r="C69" s="112"/>
      <c r="D69" s="111"/>
      <c r="E69" s="111"/>
      <c r="F69" s="111"/>
      <c r="G69" s="111"/>
      <c r="H69" s="144"/>
      <c r="I69" s="111"/>
      <c r="J69" s="114"/>
      <c r="K69" s="115"/>
      <c r="L69" s="116"/>
      <c r="M69" s="117" t="str">
        <f>IFERROR(__xludf.DUMMYFUNCTION("IF(
  K69="""",
  """",
  ROUND(
    IF(
      L69="""",
      K69,
      IF(
        ISERROR(FIND(""-"",L69)),
        K69 - VALUE(REGEXEXTRACT(L69,""(\d+)"")),
        K69 * (1 - VALUE(REGEXEXTRACT(L69,""(\d+)""))/100)
      )
    ),
    2
  )
)
")," ")</f>
        <v/>
      </c>
      <c r="N69" s="111"/>
      <c r="O69" s="154" t="b">
        <v>0</v>
      </c>
      <c r="P69" s="119"/>
      <c r="Q69" s="120"/>
      <c r="R69" s="121" t="b">
        <v>0</v>
      </c>
      <c r="S69" s="121" t="b">
        <v>0</v>
      </c>
      <c r="T69" s="122" t="b">
        <v>0</v>
      </c>
    </row>
    <row r="70" hidden="1" outlineLevel="1">
      <c r="A70" s="111"/>
      <c r="B70" s="116"/>
      <c r="C70" s="112"/>
      <c r="D70" s="111"/>
      <c r="E70" s="111"/>
      <c r="F70" s="111"/>
      <c r="G70" s="111"/>
      <c r="H70" s="144"/>
      <c r="I70" s="111"/>
      <c r="J70" s="114"/>
      <c r="K70" s="115"/>
      <c r="L70" s="116"/>
      <c r="M70" s="117" t="str">
        <f>IFERROR(__xludf.DUMMYFUNCTION("IF(
  K70="""",
  """",
  ROUND(
    IF(
      L70="""",
      K70,
      IF(
        ISERROR(FIND(""-"",L70)),
        K70 - VALUE(REGEXEXTRACT(L70,""(\d+)"")),
        K70 * (1 - VALUE(REGEXEXTRACT(L70,""(\d+)""))/100)
      )
    ),
    2
  )
)
")," ")</f>
        <v/>
      </c>
      <c r="N70" s="111"/>
      <c r="O70" s="154" t="b">
        <v>0</v>
      </c>
      <c r="P70" s="119"/>
      <c r="Q70" s="120"/>
      <c r="R70" s="121" t="b">
        <v>0</v>
      </c>
      <c r="S70" s="121" t="b">
        <v>0</v>
      </c>
      <c r="T70" s="122" t="b">
        <v>0</v>
      </c>
    </row>
    <row r="71" hidden="1" outlineLevel="1">
      <c r="A71" s="111"/>
      <c r="B71" s="116"/>
      <c r="C71" s="112"/>
      <c r="D71" s="111"/>
      <c r="E71" s="111"/>
      <c r="F71" s="111"/>
      <c r="G71" s="111"/>
      <c r="H71" s="144"/>
      <c r="I71" s="111"/>
      <c r="J71" s="114"/>
      <c r="K71" s="115"/>
      <c r="L71" s="116"/>
      <c r="M71" s="117" t="str">
        <f>IFERROR(__xludf.DUMMYFUNCTION("IF(
  K71="""",
  """",
  ROUND(
    IF(
      L71="""",
      K71,
      IF(
        ISERROR(FIND(""-"",L71)),
        K71 - VALUE(REGEXEXTRACT(L71,""(\d+)"")),
        K71 * (1 - VALUE(REGEXEXTRACT(L71,""(\d+)""))/100)
      )
    ),
    2
  )
)
")," ")</f>
        <v/>
      </c>
      <c r="N71" s="111"/>
      <c r="O71" s="154" t="b">
        <v>0</v>
      </c>
      <c r="P71" s="119"/>
      <c r="Q71" s="120"/>
      <c r="R71" s="121" t="b">
        <v>0</v>
      </c>
      <c r="S71" s="121" t="b">
        <v>0</v>
      </c>
      <c r="T71" s="122" t="b">
        <v>0</v>
      </c>
    </row>
    <row r="72" hidden="1" outlineLevel="1">
      <c r="A72" s="111"/>
      <c r="B72" s="116"/>
      <c r="C72" s="112"/>
      <c r="D72" s="111"/>
      <c r="E72" s="111"/>
      <c r="F72" s="111"/>
      <c r="G72" s="111"/>
      <c r="H72" s="144"/>
      <c r="I72" s="111"/>
      <c r="J72" s="114"/>
      <c r="K72" s="115"/>
      <c r="L72" s="116"/>
      <c r="M72" s="117" t="str">
        <f>IFERROR(__xludf.DUMMYFUNCTION("IF(
  K72="""",
  """",
  ROUND(
    IF(
      L72="""",
      K72,
      IF(
        ISERROR(FIND(""-"",L72)),
        K72 - VALUE(REGEXEXTRACT(L72,""(\d+)"")),
        K72 * (1 - VALUE(REGEXEXTRACT(L72,""(\d+)""))/100)
      )
    ),
    2
  )
)
")," ")</f>
        <v/>
      </c>
      <c r="N72" s="111"/>
      <c r="O72" s="154" t="b">
        <v>0</v>
      </c>
      <c r="P72" s="119"/>
      <c r="Q72" s="120"/>
      <c r="R72" s="121" t="b">
        <v>0</v>
      </c>
      <c r="S72" s="121" t="b">
        <v>0</v>
      </c>
      <c r="T72" s="122" t="b">
        <v>0</v>
      </c>
    </row>
    <row r="73" hidden="1" outlineLevel="1">
      <c r="A73" s="111"/>
      <c r="B73" s="116"/>
      <c r="C73" s="112"/>
      <c r="D73" s="111"/>
      <c r="E73" s="111"/>
      <c r="F73" s="111"/>
      <c r="G73" s="111"/>
      <c r="H73" s="144"/>
      <c r="I73" s="111"/>
      <c r="J73" s="114"/>
      <c r="K73" s="115"/>
      <c r="L73" s="116"/>
      <c r="M73" s="117" t="str">
        <f>IFERROR(__xludf.DUMMYFUNCTION("IF(
  K73="""",
  """",
  ROUND(
    IF(
      L73="""",
      K73,
      IF(
        ISERROR(FIND(""-"",L73)),
        K73 - VALUE(REGEXEXTRACT(L73,""(\d+)"")),
        K73 * (1 - VALUE(REGEXEXTRACT(L73,""(\d+)""))/100)
      )
    ),
    2
  )
)
")," ")</f>
        <v/>
      </c>
      <c r="N73" s="111"/>
      <c r="O73" s="154" t="b">
        <v>0</v>
      </c>
      <c r="P73" s="119"/>
      <c r="Q73" s="120"/>
      <c r="R73" s="121" t="b">
        <v>0</v>
      </c>
      <c r="S73" s="121" t="b">
        <v>0</v>
      </c>
      <c r="T73" s="122" t="b">
        <v>0</v>
      </c>
    </row>
    <row r="74" hidden="1" outlineLevel="1">
      <c r="A74" s="111"/>
      <c r="B74" s="116"/>
      <c r="C74" s="112"/>
      <c r="D74" s="111"/>
      <c r="E74" s="111"/>
      <c r="F74" s="111"/>
      <c r="G74" s="111"/>
      <c r="H74" s="144"/>
      <c r="I74" s="111"/>
      <c r="J74" s="114"/>
      <c r="K74" s="115"/>
      <c r="L74" s="116"/>
      <c r="M74" s="117" t="str">
        <f>IFERROR(__xludf.DUMMYFUNCTION("IF(
  K74="""",
  """",
  ROUND(
    IF(
      L74="""",
      K74,
      IF(
        ISERROR(FIND(""-"",L74)),
        K74 - VALUE(REGEXEXTRACT(L74,""(\d+)"")),
        K74 * (1 - VALUE(REGEXEXTRACT(L74,""(\d+)""))/100)
      )
    ),
    2
  )
)
")," ")</f>
        <v/>
      </c>
      <c r="N74" s="111"/>
      <c r="O74" s="154" t="b">
        <v>0</v>
      </c>
      <c r="P74" s="119"/>
      <c r="Q74" s="120"/>
      <c r="R74" s="121" t="b">
        <v>0</v>
      </c>
      <c r="S74" s="121" t="b">
        <v>0</v>
      </c>
      <c r="T74" s="122" t="b">
        <v>0</v>
      </c>
    </row>
    <row r="75" hidden="1" outlineLevel="1">
      <c r="A75" s="111"/>
      <c r="B75" s="116"/>
      <c r="C75" s="112"/>
      <c r="D75" s="111"/>
      <c r="E75" s="111"/>
      <c r="F75" s="111"/>
      <c r="G75" s="111"/>
      <c r="H75" s="144"/>
      <c r="I75" s="111"/>
      <c r="J75" s="114"/>
      <c r="K75" s="115"/>
      <c r="L75" s="116"/>
      <c r="M75" s="117" t="str">
        <f>IFERROR(__xludf.DUMMYFUNCTION("IF(
  K75="""",
  """",
  ROUND(
    IF(
      L75="""",
      K75,
      IF(
        ISERROR(FIND(""-"",L75)),
        K75 - VALUE(REGEXEXTRACT(L75,""(\d+)"")),
        K75 * (1 - VALUE(REGEXEXTRACT(L75,""(\d+)""))/100)
      )
    ),
    2
  )
)
")," ")</f>
        <v/>
      </c>
      <c r="N75" s="111"/>
      <c r="O75" s="154" t="b">
        <v>0</v>
      </c>
      <c r="P75" s="119"/>
      <c r="Q75" s="120"/>
      <c r="R75" s="121" t="b">
        <v>0</v>
      </c>
      <c r="S75" s="121" t="b">
        <v>0</v>
      </c>
      <c r="T75" s="122" t="b">
        <v>0</v>
      </c>
    </row>
    <row r="76" hidden="1" outlineLevel="1">
      <c r="A76" s="111"/>
      <c r="B76" s="116"/>
      <c r="C76" s="112"/>
      <c r="D76" s="111"/>
      <c r="E76" s="111"/>
      <c r="F76" s="111"/>
      <c r="G76" s="111"/>
      <c r="H76" s="144"/>
      <c r="I76" s="111"/>
      <c r="J76" s="114"/>
      <c r="K76" s="115"/>
      <c r="L76" s="116"/>
      <c r="M76" s="117" t="str">
        <f>IFERROR(__xludf.DUMMYFUNCTION("IF(
  K76="""",
  """",
  ROUND(
    IF(
      L76="""",
      K76,
      IF(
        ISERROR(FIND(""-"",L76)),
        K76 - VALUE(REGEXEXTRACT(L76,""(\d+)"")),
        K76 * (1 - VALUE(REGEXEXTRACT(L76,""(\d+)""))/100)
      )
    ),
    2
  )
)
")," ")</f>
        <v/>
      </c>
      <c r="N76" s="111"/>
      <c r="O76" s="154" t="b">
        <v>0</v>
      </c>
      <c r="P76" s="119"/>
      <c r="Q76" s="120"/>
      <c r="R76" s="121" t="b">
        <v>0</v>
      </c>
      <c r="S76" s="121" t="b">
        <v>0</v>
      </c>
      <c r="T76" s="122" t="b">
        <v>0</v>
      </c>
    </row>
    <row r="77" hidden="1" outlineLevel="1">
      <c r="A77" s="111"/>
      <c r="B77" s="116"/>
      <c r="C77" s="112"/>
      <c r="D77" s="111"/>
      <c r="E77" s="111"/>
      <c r="F77" s="111"/>
      <c r="G77" s="111"/>
      <c r="H77" s="144"/>
      <c r="I77" s="111"/>
      <c r="J77" s="114"/>
      <c r="K77" s="115"/>
      <c r="L77" s="116"/>
      <c r="M77" s="117" t="str">
        <f>IFERROR(__xludf.DUMMYFUNCTION("IF(
  K77="""",
  """",
  ROUND(
    IF(
      L77="""",
      K77,
      IF(
        ISERROR(FIND(""-"",L77)),
        K77 - VALUE(REGEXEXTRACT(L77,""(\d+)"")),
        K77 * (1 - VALUE(REGEXEXTRACT(L77,""(\d+)""))/100)
      )
    ),
    2
  )
)
")," ")</f>
        <v/>
      </c>
      <c r="N77" s="111"/>
      <c r="O77" s="154" t="b">
        <v>0</v>
      </c>
      <c r="P77" s="119"/>
      <c r="Q77" s="120"/>
      <c r="R77" s="121" t="b">
        <v>0</v>
      </c>
      <c r="S77" s="121" t="b">
        <v>0</v>
      </c>
      <c r="T77" s="122" t="b">
        <v>0</v>
      </c>
    </row>
    <row r="78" hidden="1" outlineLevel="1">
      <c r="A78" s="111"/>
      <c r="B78" s="116"/>
      <c r="C78" s="112"/>
      <c r="D78" s="111"/>
      <c r="E78" s="111"/>
      <c r="F78" s="111"/>
      <c r="G78" s="111"/>
      <c r="H78" s="144"/>
      <c r="I78" s="111"/>
      <c r="J78" s="114"/>
      <c r="K78" s="115"/>
      <c r="L78" s="116"/>
      <c r="M78" s="117" t="str">
        <f>IFERROR(__xludf.DUMMYFUNCTION("IF(
  K78="""",
  """",
  ROUND(
    IF(
      L78="""",
      K78,
      IF(
        ISERROR(FIND(""-"",L78)),
        K78 - VALUE(REGEXEXTRACT(L78,""(\d+)"")),
        K78 * (1 - VALUE(REGEXEXTRACT(L78,""(\d+)""))/100)
      )
    ),
    2
  )
)
")," ")</f>
        <v/>
      </c>
      <c r="N78" s="111"/>
      <c r="O78" s="154" t="b">
        <v>0</v>
      </c>
      <c r="P78" s="119"/>
      <c r="Q78" s="120"/>
      <c r="R78" s="121" t="b">
        <v>0</v>
      </c>
      <c r="S78" s="121" t="b">
        <v>0</v>
      </c>
      <c r="T78" s="122" t="b">
        <v>0</v>
      </c>
    </row>
    <row r="79" hidden="1" outlineLevel="1">
      <c r="A79" s="111"/>
      <c r="B79" s="116"/>
      <c r="C79" s="112"/>
      <c r="D79" s="111"/>
      <c r="E79" s="111"/>
      <c r="F79" s="111"/>
      <c r="G79" s="111"/>
      <c r="H79" s="144"/>
      <c r="I79" s="111"/>
      <c r="J79" s="114"/>
      <c r="K79" s="115"/>
      <c r="L79" s="116"/>
      <c r="M79" s="117" t="str">
        <f>IFERROR(__xludf.DUMMYFUNCTION("IF(
  K79="""",
  """",
  ROUND(
    IF(
      L79="""",
      K79,
      IF(
        ISERROR(FIND(""-"",L79)),
        K79 - VALUE(REGEXEXTRACT(L79,""(\d+)"")),
        K79 * (1 - VALUE(REGEXEXTRACT(L79,""(\d+)""))/100)
      )
    ),
    2
  )
)
")," ")</f>
        <v/>
      </c>
      <c r="N79" s="111"/>
      <c r="O79" s="154" t="b">
        <v>0</v>
      </c>
      <c r="P79" s="119"/>
      <c r="Q79" s="120"/>
      <c r="R79" s="121" t="b">
        <v>0</v>
      </c>
      <c r="S79" s="121" t="b">
        <v>0</v>
      </c>
      <c r="T79" s="122" t="b">
        <v>0</v>
      </c>
    </row>
    <row r="80" hidden="1" outlineLevel="1">
      <c r="A80" s="116"/>
      <c r="B80" s="116"/>
      <c r="C80" s="129"/>
      <c r="D80" s="111"/>
      <c r="E80" s="111"/>
      <c r="F80" s="116"/>
      <c r="G80" s="116"/>
      <c r="H80" s="151"/>
      <c r="I80" s="116"/>
      <c r="J80" s="132"/>
      <c r="K80" s="115"/>
      <c r="L80" s="116"/>
      <c r="M80" s="150" t="str">
        <f>IFERROR(__xludf.DUMMYFUNCTION("IF(
  K80="""",
  """",
  ROUND(
    IF(
      L80="""",
      K80,
      IF(
        ISERROR(FIND(""-"",L80)),
        K80 - VALUE(REGEXEXTRACT(L80,""(\d+)"")),
        K80 * (1 - VALUE(REGEXEXTRACT(L80,""(\d+)""))/100)
      )
    ),
    2
  )
)
")," ")</f>
        <v/>
      </c>
      <c r="N80" s="116"/>
      <c r="O80" s="118" t="b">
        <v>0</v>
      </c>
      <c r="P80" s="119"/>
      <c r="Q80" s="120"/>
      <c r="R80" s="121" t="b">
        <v>0</v>
      </c>
      <c r="S80" s="121" t="b">
        <v>0</v>
      </c>
      <c r="T80" s="122" t="b">
        <v>0</v>
      </c>
    </row>
    <row r="81" hidden="1" outlineLevel="1">
      <c r="A81" s="116"/>
      <c r="B81" s="116"/>
      <c r="C81" s="129"/>
      <c r="D81" s="111"/>
      <c r="E81" s="111"/>
      <c r="F81" s="116"/>
      <c r="G81" s="116"/>
      <c r="H81" s="151"/>
      <c r="I81" s="116"/>
      <c r="J81" s="132"/>
      <c r="K81" s="115"/>
      <c r="L81" s="116"/>
      <c r="M81" s="117" t="str">
        <f>IFERROR(__xludf.DUMMYFUNCTION("IF(
  K81="""",
  """",
  ROUND(
    IF(
      L81="""",
      K81,
      IF(
        ISERROR(FIND(""-"",L81)),
        K81 - VALUE(REGEXEXTRACT(L81,""(\d+)"")),
        K81 * (1 - VALUE(REGEXEXTRACT(L81,""(\d+)""))/100)
      )
    ),
    2
  )
)
")," ")</f>
        <v/>
      </c>
      <c r="N81" s="116"/>
      <c r="O81" s="118" t="b">
        <v>0</v>
      </c>
      <c r="P81" s="119"/>
      <c r="Q81" s="120"/>
      <c r="R81" s="121" t="b">
        <v>0</v>
      </c>
      <c r="S81" s="121" t="b">
        <v>0</v>
      </c>
      <c r="T81" s="122" t="b">
        <v>0</v>
      </c>
    </row>
    <row r="82" hidden="1" outlineLevel="1">
      <c r="A82" s="116"/>
      <c r="B82" s="116"/>
      <c r="C82" s="129"/>
      <c r="D82" s="111"/>
      <c r="E82" s="111"/>
      <c r="F82" s="116"/>
      <c r="G82" s="116"/>
      <c r="H82" s="151"/>
      <c r="I82" s="116"/>
      <c r="J82" s="129"/>
      <c r="K82" s="115"/>
      <c r="L82" s="116"/>
      <c r="M82" s="117" t="str">
        <f>IFERROR(__xludf.DUMMYFUNCTION("IF(
  K82="""",
  """",
  ROUND(
    IF(
      L82="""",
      K82,
      IF(
        ISERROR(FIND(""-"",L82)),
        K82 - VALUE(REGEXEXTRACT(L82,""(\d+)"")),
        K82 * (1 - VALUE(REGEXEXTRACT(L82,""(\d+)""))/100)
      )
    ),
    2
  )
)
")," ")</f>
        <v/>
      </c>
      <c r="N82" s="116"/>
      <c r="O82" s="118" t="b">
        <v>0</v>
      </c>
      <c r="P82" s="119"/>
      <c r="Q82" s="120"/>
      <c r="R82" s="121" t="b">
        <v>0</v>
      </c>
      <c r="S82" s="121" t="b">
        <v>0</v>
      </c>
      <c r="T82" s="122" t="b">
        <v>0</v>
      </c>
    </row>
    <row r="83" hidden="1" outlineLevel="1">
      <c r="A83" s="116"/>
      <c r="B83" s="116"/>
      <c r="C83" s="129"/>
      <c r="D83" s="111"/>
      <c r="E83" s="111"/>
      <c r="F83" s="116"/>
      <c r="G83" s="116"/>
      <c r="H83" s="151"/>
      <c r="I83" s="116"/>
      <c r="J83" s="129"/>
      <c r="K83" s="115"/>
      <c r="L83" s="116"/>
      <c r="M83" s="117" t="str">
        <f>IFERROR(__xludf.DUMMYFUNCTION("IF(
  K83="""",
  """",
  ROUND(
    IF(
      L83="""",
      K83,
      IF(
        ISERROR(FIND(""-"",L83)),
        K83 - VALUE(REGEXEXTRACT(L83,""(\d+)"")),
        K83 * (1 - VALUE(REGEXEXTRACT(L83,""(\d+)""))/100)
      )
    ),
    2
  )
)
")," ")</f>
        <v/>
      </c>
      <c r="N83" s="116"/>
      <c r="O83" s="118" t="b">
        <v>0</v>
      </c>
      <c r="P83" s="119"/>
      <c r="Q83" s="120"/>
      <c r="R83" s="121" t="b">
        <v>0</v>
      </c>
      <c r="S83" s="121" t="b">
        <v>0</v>
      </c>
      <c r="T83" s="122" t="b">
        <v>0</v>
      </c>
    </row>
    <row r="84" hidden="1" outlineLevel="1">
      <c r="A84" s="116"/>
      <c r="B84" s="116"/>
      <c r="C84" s="155"/>
      <c r="D84" s="111"/>
      <c r="E84" s="111"/>
      <c r="F84" s="156"/>
      <c r="G84" s="157"/>
      <c r="H84" s="156"/>
      <c r="I84" s="156"/>
      <c r="J84" s="158"/>
      <c r="K84" s="115"/>
      <c r="L84" s="116"/>
      <c r="M84" s="117" t="str">
        <f>IFERROR(__xludf.DUMMYFUNCTION("IF(
  K84="""",
  """",
  ROUND(
    IF(
      L84="""",
      K84,
      IF(
        ISERROR(FIND(""-"",L84)),
        K84 - VALUE(REGEXEXTRACT(L84,""(\d+)"")),
        K84 * (1 - VALUE(REGEXEXTRACT(L84,""(\d+)""))/100)
      )
    ),
    2
  )
)
")," ")</f>
        <v/>
      </c>
      <c r="N84" s="116"/>
      <c r="O84" s="118" t="b">
        <v>0</v>
      </c>
      <c r="P84" s="119"/>
      <c r="Q84" s="159"/>
      <c r="R84" s="121" t="b">
        <v>0</v>
      </c>
      <c r="S84" s="121" t="b">
        <v>0</v>
      </c>
      <c r="T84" s="122" t="b">
        <v>0</v>
      </c>
    </row>
    <row r="85">
      <c r="A85" s="160" t="s">
        <v>116</v>
      </c>
      <c r="B85" s="161">
        <f>COUNTIF(B4:B84,"ONLINE")+COUNTIF(B4:B84,"SEDE*")</f>
        <v>0</v>
      </c>
      <c r="C85" s="160" t="s">
        <v>116</v>
      </c>
      <c r="D85" s="161">
        <f t="shared" ref="D85:F85" si="1">COUNTIF(D4:D84, "*")</f>
        <v>0</v>
      </c>
      <c r="E85" s="161">
        <f t="shared" si="1"/>
        <v>0</v>
      </c>
      <c r="F85" s="161">
        <f t="shared" si="1"/>
        <v>0</v>
      </c>
      <c r="G85" s="162">
        <f>COUNTA(G4:G84)</f>
        <v>0</v>
      </c>
      <c r="H85" s="161">
        <f t="shared" ref="H85:I85" si="2">COUNTIF(H4:H84, "*")</f>
        <v>0</v>
      </c>
      <c r="I85" s="161">
        <f t="shared" si="2"/>
        <v>0</v>
      </c>
      <c r="J85" s="160" t="s">
        <v>116</v>
      </c>
      <c r="K85" s="163">
        <f>SUM(K4:K84)</f>
        <v>0</v>
      </c>
      <c r="L85" s="161">
        <f>COUNTIF(L4:L84, "*")</f>
        <v>0</v>
      </c>
      <c r="M85" s="163">
        <f>SUM(M4:M84)</f>
        <v>0</v>
      </c>
      <c r="N85" s="161">
        <f>COUNTIF(N4:N43, "*")+COUNTIF(N45:N84, "*")</f>
        <v>0</v>
      </c>
      <c r="O85" s="161">
        <f>SUMPRODUCT(--O4:O84)</f>
        <v>0</v>
      </c>
      <c r="P85" s="161">
        <f t="shared" ref="P85:Q85" si="3">COUNTIF(P4:P84, "*")</f>
        <v>0</v>
      </c>
      <c r="Q85" s="161">
        <f t="shared" si="3"/>
        <v>0</v>
      </c>
      <c r="R85" s="161">
        <f t="shared" ref="R85:T85" si="4">SUMPRODUCT(--R4:R84)</f>
        <v>0</v>
      </c>
      <c r="S85" s="161">
        <f t="shared" si="4"/>
        <v>0</v>
      </c>
      <c r="T85" s="161">
        <f t="shared" si="4"/>
        <v>0</v>
      </c>
    </row>
    <row r="86">
      <c r="A86" s="164" t="s">
        <v>117</v>
      </c>
      <c r="B86" s="165">
        <f>COUNTIF(B4:B84, "SEDE*")</f>
        <v>0</v>
      </c>
      <c r="C86" s="142"/>
      <c r="D86" s="166" t="s">
        <v>118</v>
      </c>
      <c r="E86" s="167" t="s">
        <v>119</v>
      </c>
      <c r="F86" s="168" t="str">
        <f>IFERROR(__xludf.DUMMYFUNCTION("IFERROR(TRANSPOSE(SORT(UNIQUE(FILTER($M$4:$M$84,$M$4:$M$84&lt;&gt;"""")))),"""")")," ")</f>
        <v/>
      </c>
      <c r="G86" s="168"/>
      <c r="H86" s="168"/>
      <c r="I86" s="168"/>
      <c r="J86" s="168"/>
      <c r="K86" s="169"/>
      <c r="L86" s="169"/>
      <c r="M86" s="169"/>
      <c r="N86" s="169"/>
      <c r="O86" s="168"/>
      <c r="P86" s="170" t="s">
        <v>40</v>
      </c>
      <c r="Q86" s="171" t="str">
        <f>IF(SUM(F88:O88)=0,"",SUM(F88:O88))
</f>
        <v/>
      </c>
      <c r="R86" s="164" t="s">
        <v>120</v>
      </c>
      <c r="S86" s="165" t="str">
        <f>IF(SUM(M85) = SUM(Q86:Q90), "OK", "ERRORE")</f>
        <v>OK</v>
      </c>
    </row>
    <row r="87">
      <c r="A87" s="164" t="s">
        <v>74</v>
      </c>
      <c r="B87" s="165">
        <f>COUNTIF(B4:B84, "ONLINE")</f>
        <v>0</v>
      </c>
      <c r="E87" s="172" t="s">
        <v>121</v>
      </c>
      <c r="F87" s="172" t="str">
        <f t="shared" ref="F87:O87" si="5">IF(
  F$86="",
  "",
  COUNTIFS($B$4:$B$84,"*SEDE*",$M$4:$M$84,F$86)
)
</f>
        <v/>
      </c>
      <c r="G87" s="172" t="str">
        <f t="shared" si="5"/>
        <v/>
      </c>
      <c r="H87" s="172" t="str">
        <f t="shared" si="5"/>
        <v/>
      </c>
      <c r="I87" s="172" t="str">
        <f t="shared" si="5"/>
        <v/>
      </c>
      <c r="J87" s="172" t="str">
        <f t="shared" si="5"/>
        <v/>
      </c>
      <c r="K87" s="172" t="str">
        <f t="shared" si="5"/>
        <v/>
      </c>
      <c r="L87" s="172" t="str">
        <f t="shared" si="5"/>
        <v/>
      </c>
      <c r="M87" s="172" t="str">
        <f t="shared" si="5"/>
        <v/>
      </c>
      <c r="N87" s="172" t="str">
        <f t="shared" si="5"/>
        <v/>
      </c>
      <c r="O87" s="172" t="str">
        <f t="shared" si="5"/>
        <v/>
      </c>
    </row>
    <row r="88">
      <c r="A88" s="245" t="s">
        <v>356</v>
      </c>
      <c r="B88" s="246">
        <f>COUNTIF($E4:$E43, "*")</f>
        <v>0</v>
      </c>
      <c r="E88" s="173" t="s">
        <v>122</v>
      </c>
      <c r="F88" s="174" t="str">
        <f t="shared" ref="F88:O88" si="6">IF(
  F$86="",
  "",
  SUMIFS($M$4:$M$84,$B$4:$B$84,"*SEDE*",$M$4:$M$84,F$86)
)
</f>
        <v/>
      </c>
      <c r="G88" s="174" t="str">
        <f t="shared" si="6"/>
        <v/>
      </c>
      <c r="H88" s="174" t="str">
        <f t="shared" si="6"/>
        <v/>
      </c>
      <c r="I88" s="174" t="str">
        <f t="shared" si="6"/>
        <v/>
      </c>
      <c r="J88" s="174" t="str">
        <f t="shared" si="6"/>
        <v/>
      </c>
      <c r="K88" s="174" t="str">
        <f t="shared" si="6"/>
        <v/>
      </c>
      <c r="L88" s="174" t="str">
        <f t="shared" si="6"/>
        <v/>
      </c>
      <c r="M88" s="174" t="str">
        <f t="shared" si="6"/>
        <v/>
      </c>
      <c r="N88" s="174" t="str">
        <f t="shared" si="6"/>
        <v/>
      </c>
      <c r="O88" s="174" t="str">
        <f t="shared" si="6"/>
        <v/>
      </c>
    </row>
    <row r="89">
      <c r="A89" s="245" t="s">
        <v>357</v>
      </c>
      <c r="B89" s="246">
        <f>COUNTIF(E45:E84, "*")</f>
        <v>0</v>
      </c>
      <c r="E89" s="172" t="s">
        <v>123</v>
      </c>
      <c r="F89" s="175" t="str">
        <f t="shared" ref="F89:O89" si="7">IF(
  F$86="",
  "",
  COUNTIFS($B$4:$B$84,"*ONLINE*",$M$4:$M$84,F$86)
)
</f>
        <v/>
      </c>
      <c r="G89" s="175" t="str">
        <f t="shared" si="7"/>
        <v/>
      </c>
      <c r="H89" s="175" t="str">
        <f t="shared" si="7"/>
        <v/>
      </c>
      <c r="I89" s="175" t="str">
        <f t="shared" si="7"/>
        <v/>
      </c>
      <c r="J89" s="175" t="str">
        <f t="shared" si="7"/>
        <v/>
      </c>
      <c r="K89" s="175" t="str">
        <f t="shared" si="7"/>
        <v/>
      </c>
      <c r="L89" s="175" t="str">
        <f t="shared" si="7"/>
        <v/>
      </c>
      <c r="M89" s="175" t="str">
        <f t="shared" si="7"/>
        <v/>
      </c>
      <c r="N89" s="175" t="str">
        <f t="shared" si="7"/>
        <v/>
      </c>
      <c r="O89" s="175" t="str">
        <f t="shared" si="7"/>
        <v/>
      </c>
      <c r="P89" s="170" t="s">
        <v>40</v>
      </c>
      <c r="Q89" s="171" t="str">
        <f>IF(SUM(F90:O90)=0,"",SUM(F90:O90))
</f>
        <v/>
      </c>
    </row>
    <row r="90">
      <c r="E90" s="173" t="s">
        <v>124</v>
      </c>
      <c r="F90" s="174" t="str">
        <f t="shared" ref="F90:O90" si="8">IF(
  F$86="",
  "",
  SUMIFS($M$4:$M$84,$B$4:$B$84,"*ONLINE*",$M$4:$M$84,F$86)
)
</f>
        <v/>
      </c>
      <c r="G90" s="174" t="str">
        <f t="shared" si="8"/>
        <v/>
      </c>
      <c r="H90" s="174" t="str">
        <f t="shared" si="8"/>
        <v/>
      </c>
      <c r="I90" s="174" t="str">
        <f t="shared" si="8"/>
        <v/>
      </c>
      <c r="J90" s="174" t="str">
        <f t="shared" si="8"/>
        <v/>
      </c>
      <c r="K90" s="174" t="str">
        <f t="shared" si="8"/>
        <v/>
      </c>
      <c r="L90" s="174" t="str">
        <f t="shared" si="8"/>
        <v/>
      </c>
      <c r="M90" s="174" t="str">
        <f t="shared" si="8"/>
        <v/>
      </c>
      <c r="N90" s="174" t="str">
        <f t="shared" si="8"/>
        <v/>
      </c>
      <c r="O90" s="174" t="str">
        <f t="shared" si="8"/>
        <v/>
      </c>
    </row>
    <row r="91" collapsed="1">
      <c r="A91" s="234"/>
      <c r="B91" s="234"/>
      <c r="C91" s="235" t="s">
        <v>2934</v>
      </c>
      <c r="N91" s="236" t="s">
        <v>214</v>
      </c>
      <c r="O91" s="237">
        <f>SUMPRODUCT(--$O$92:$O$130)</f>
        <v>0</v>
      </c>
      <c r="P91" s="235"/>
      <c r="Q91" s="235"/>
      <c r="R91" s="235"/>
      <c r="S91" s="235"/>
      <c r="T91" s="235"/>
    </row>
    <row r="92" hidden="1" outlineLevel="1">
      <c r="A92" s="111"/>
      <c r="B92" s="111"/>
      <c r="C92" s="112"/>
      <c r="D92" s="111"/>
      <c r="E92" s="111"/>
      <c r="F92" s="111"/>
      <c r="G92" s="111"/>
      <c r="H92" s="111"/>
      <c r="I92" s="111"/>
      <c r="J92" s="126"/>
      <c r="K92" s="115"/>
      <c r="L92" s="116"/>
      <c r="M92" s="117" t="str">
        <f>IFERROR(__xludf.DUMMYFUNCTION("IF(
  K92="""",
  """",
  ROUND(
    IF(
      L92="""",
      K92,
      IF(
        ISERROR(FIND(""-"",L92)),
        K92 - VALUE(REGEXEXTRACT(L92,""(\d+)"")),
        K92 * (1 - VALUE(REGEXEXTRACT(L92,""(\d+)""))/100)
      )
    ),
    2
  )
)
")," ")</f>
        <v/>
      </c>
      <c r="N92" s="111"/>
      <c r="O92" s="118" t="b">
        <v>0</v>
      </c>
      <c r="P92" s="119"/>
      <c r="Q92" s="120"/>
      <c r="R92" s="121" t="b">
        <v>0</v>
      </c>
      <c r="S92" s="121" t="b">
        <v>0</v>
      </c>
      <c r="T92" s="122" t="b">
        <v>0</v>
      </c>
    </row>
    <row r="93" hidden="1" outlineLevel="1">
      <c r="A93" s="111"/>
      <c r="B93" s="111"/>
      <c r="C93" s="112"/>
      <c r="D93" s="111"/>
      <c r="E93" s="111"/>
      <c r="F93" s="111"/>
      <c r="G93" s="111"/>
      <c r="H93" s="111"/>
      <c r="I93" s="111"/>
      <c r="J93" s="126"/>
      <c r="K93" s="115"/>
      <c r="L93" s="116"/>
      <c r="M93" s="117" t="str">
        <f>IFERROR(__xludf.DUMMYFUNCTION("IF(
  K93="""",
  """",
  ROUND(
    IF(
      L93="""",
      K93,
      IF(
        ISERROR(FIND(""-"",L93)),
        K93 - VALUE(REGEXEXTRACT(L93,""(\d+)"")),
        K93 * (1 - VALUE(REGEXEXTRACT(L93,""(\d+)""))/100)
      )
    ),
    2
  )
)
")," ")</f>
        <v/>
      </c>
      <c r="N93" s="111"/>
      <c r="O93" s="118" t="b">
        <v>0</v>
      </c>
      <c r="P93" s="119"/>
      <c r="Q93" s="120"/>
      <c r="R93" s="121" t="b">
        <v>0</v>
      </c>
      <c r="S93" s="121" t="b">
        <v>0</v>
      </c>
      <c r="T93" s="122" t="b">
        <v>0</v>
      </c>
    </row>
    <row r="94" hidden="1" outlineLevel="1">
      <c r="A94" s="111"/>
      <c r="B94" s="111"/>
      <c r="C94" s="112"/>
      <c r="D94" s="111"/>
      <c r="E94" s="111"/>
      <c r="F94" s="111"/>
      <c r="G94" s="111"/>
      <c r="H94" s="111"/>
      <c r="I94" s="111"/>
      <c r="J94" s="239"/>
      <c r="K94" s="115"/>
      <c r="L94" s="116"/>
      <c r="M94" s="117" t="str">
        <f>IFERROR(__xludf.DUMMYFUNCTION("IF(
  K94="""",
  """",
  ROUND(
    IF(
      L94="""",
      K94,
      IF(
        ISERROR(FIND(""-"",L94)),
        K94 - VALUE(REGEXEXTRACT(L94,""(\d+)"")),
        K94 * (1 - VALUE(REGEXEXTRACT(L94,""(\d+)""))/100)
      )
    ),
    2
  )
)
")," ")</f>
        <v/>
      </c>
      <c r="N94" s="111"/>
      <c r="O94" s="118" t="b">
        <v>0</v>
      </c>
      <c r="P94" s="119"/>
      <c r="Q94" s="120"/>
      <c r="R94" s="121" t="b">
        <v>0</v>
      </c>
      <c r="S94" s="121" t="b">
        <v>0</v>
      </c>
      <c r="T94" s="122" t="b">
        <v>0</v>
      </c>
    </row>
    <row r="95" hidden="1" outlineLevel="1">
      <c r="A95" s="111"/>
      <c r="B95" s="111"/>
      <c r="C95" s="112"/>
      <c r="D95" s="111"/>
      <c r="E95" s="111"/>
      <c r="F95" s="111"/>
      <c r="G95" s="111"/>
      <c r="H95" s="111"/>
      <c r="I95" s="111"/>
      <c r="J95" s="126"/>
      <c r="K95" s="115"/>
      <c r="L95" s="116"/>
      <c r="M95" s="117" t="str">
        <f>IFERROR(__xludf.DUMMYFUNCTION("IF(
  K95="""",
  """",
  ROUND(
    IF(
      L95="""",
      K95,
      IF(
        ISERROR(FIND(""-"",L95)),
        K95 - VALUE(REGEXEXTRACT(L95,""(\d+)"")),
        K95 * (1 - VALUE(REGEXEXTRACT(L95,""(\d+)""))/100)
      )
    ),
    2
  )
)
")," ")</f>
        <v/>
      </c>
      <c r="N95" s="111"/>
      <c r="O95" s="118" t="b">
        <v>0</v>
      </c>
      <c r="P95" s="119"/>
      <c r="Q95" s="120"/>
      <c r="R95" s="121" t="b">
        <v>0</v>
      </c>
      <c r="S95" s="121" t="b">
        <v>0</v>
      </c>
      <c r="T95" s="122" t="b">
        <v>0</v>
      </c>
    </row>
    <row r="96" hidden="1" outlineLevel="1">
      <c r="A96" s="111"/>
      <c r="B96" s="111"/>
      <c r="C96" s="112"/>
      <c r="D96" s="111"/>
      <c r="E96" s="111"/>
      <c r="F96" s="111"/>
      <c r="G96" s="111"/>
      <c r="H96" s="111"/>
      <c r="I96" s="111"/>
      <c r="J96" s="126"/>
      <c r="K96" s="115"/>
      <c r="L96" s="131"/>
      <c r="M96" s="117" t="str">
        <f>IFERROR(__xludf.DUMMYFUNCTION("IF(
  K96="""",
  """",
  ROUND(
    IF(
      L96="""",
      K96,
      IF(
        ISERROR(FIND(""-"",L96)),
        K96 - VALUE(REGEXEXTRACT(L96,""(\d+)"")),
        K96 * (1 - VALUE(REGEXEXTRACT(L96,""(\d+)""))/100)
      )
    ),
    2
  )
)
")," ")</f>
        <v/>
      </c>
      <c r="N96" s="111"/>
      <c r="O96" s="118" t="b">
        <v>0</v>
      </c>
      <c r="P96" s="119"/>
      <c r="Q96" s="120"/>
      <c r="R96" s="121" t="b">
        <v>0</v>
      </c>
      <c r="S96" s="121" t="b">
        <v>0</v>
      </c>
      <c r="T96" s="122" t="b">
        <v>0</v>
      </c>
    </row>
    <row r="97" hidden="1" outlineLevel="1">
      <c r="A97" s="111"/>
      <c r="B97" s="111"/>
      <c r="C97" s="112"/>
      <c r="D97" s="111"/>
      <c r="E97" s="111"/>
      <c r="F97" s="111"/>
      <c r="G97" s="111"/>
      <c r="H97" s="111"/>
      <c r="I97" s="111"/>
      <c r="J97" s="112"/>
      <c r="K97" s="115"/>
      <c r="L97" s="116"/>
      <c r="M97" s="117" t="str">
        <f>IFERROR(__xludf.DUMMYFUNCTION("IF(
  K97="""",
  """",
  ROUND(
    IF(
      L97="""",
      K97,
      IF(
        ISERROR(FIND(""-"",L97)),
        K97 - VALUE(REGEXEXTRACT(L97,""(\d+)"")),
        K97 * (1 - VALUE(REGEXEXTRACT(L97,""(\d+)""))/100)
      )
    ),
    2
  )
)
")," ")</f>
        <v/>
      </c>
      <c r="N97" s="111"/>
      <c r="O97" s="118" t="b">
        <v>0</v>
      </c>
      <c r="P97" s="119"/>
      <c r="Q97" s="120"/>
      <c r="R97" s="121" t="b">
        <v>0</v>
      </c>
      <c r="S97" s="121" t="b">
        <v>0</v>
      </c>
      <c r="T97" s="122" t="b">
        <v>0</v>
      </c>
    </row>
    <row r="98" hidden="1" outlineLevel="1">
      <c r="A98" s="111"/>
      <c r="B98" s="111"/>
      <c r="C98" s="112"/>
      <c r="D98" s="111"/>
      <c r="E98" s="111"/>
      <c r="F98" s="111"/>
      <c r="G98" s="111"/>
      <c r="H98" s="128"/>
      <c r="I98" s="111"/>
      <c r="J98" s="126"/>
      <c r="K98" s="115"/>
      <c r="L98" s="116"/>
      <c r="M98" s="117" t="str">
        <f>IFERROR(__xludf.DUMMYFUNCTION("IF(
  K98="""",
  """",
  ROUND(
    IF(
      L98="""",
      K98,
      IF(
        ISERROR(FIND(""-"",L98)),
        K98 - VALUE(REGEXEXTRACT(L98,""(\d+)"")),
        K98 * (1 - VALUE(REGEXEXTRACT(L98,""(\d+)""))/100)
      )
    ),
    2
  )
)
")," ")</f>
        <v/>
      </c>
      <c r="N98" s="111"/>
      <c r="O98" s="118" t="b">
        <v>0</v>
      </c>
      <c r="P98" s="119"/>
      <c r="Q98" s="120"/>
      <c r="R98" s="121" t="b">
        <v>0</v>
      </c>
      <c r="S98" s="121" t="b">
        <v>0</v>
      </c>
      <c r="T98" s="122" t="b">
        <v>0</v>
      </c>
    </row>
    <row r="99" hidden="1" outlineLevel="1">
      <c r="A99" s="111"/>
      <c r="B99" s="111"/>
      <c r="C99" s="112"/>
      <c r="D99" s="111"/>
      <c r="E99" s="111"/>
      <c r="F99" s="111"/>
      <c r="G99" s="111"/>
      <c r="H99" s="111"/>
      <c r="I99" s="111"/>
      <c r="J99" s="126"/>
      <c r="K99" s="115"/>
      <c r="L99" s="116"/>
      <c r="M99" s="117" t="str">
        <f>IFERROR(__xludf.DUMMYFUNCTION("IF(
  K99="""",
  """",
  ROUND(
    IF(
      L99="""",
      K99,
      IF(
        ISERROR(FIND(""-"",L99)),
        K99 - VALUE(REGEXEXTRACT(L99,""(\d+)"")),
        K99 * (1 - VALUE(REGEXEXTRACT(L99,""(\d+)""))/100)
      )
    ),
    2
  )
)
")," ")</f>
        <v/>
      </c>
      <c r="N99" s="111"/>
      <c r="O99" s="118" t="b">
        <v>0</v>
      </c>
      <c r="P99" s="119"/>
      <c r="Q99" s="120"/>
      <c r="R99" s="121" t="b">
        <v>0</v>
      </c>
      <c r="S99" s="121" t="b">
        <v>0</v>
      </c>
      <c r="T99" s="122" t="b">
        <v>0</v>
      </c>
    </row>
    <row r="100" hidden="1" outlineLevel="1">
      <c r="A100" s="111"/>
      <c r="B100" s="111"/>
      <c r="C100" s="112"/>
      <c r="D100" s="111"/>
      <c r="E100" s="111"/>
      <c r="F100" s="111"/>
      <c r="G100" s="111"/>
      <c r="H100" s="111"/>
      <c r="I100" s="111"/>
      <c r="J100" s="126"/>
      <c r="K100" s="115"/>
      <c r="L100" s="116"/>
      <c r="M100" s="117" t="str">
        <f>IFERROR(__xludf.DUMMYFUNCTION("IF(
  K100="""",
  """",
  ROUND(
    IF(
      L100="""",
      K100,
      IF(
        ISERROR(FIND(""-"",L100)),
        K100 - VALUE(REGEXEXTRACT(L100,""(\d+)"")),
        K100 * (1 - VALUE(REGEXEXTRACT(L100,""(\d+)""))/100)
      )
    ),
    2
  )
)"&amp;"
")," ")</f>
        <v/>
      </c>
      <c r="N100" s="111"/>
      <c r="O100" s="118" t="b">
        <v>0</v>
      </c>
      <c r="P100" s="119"/>
      <c r="Q100" s="120"/>
      <c r="R100" s="121" t="b">
        <v>0</v>
      </c>
      <c r="S100" s="121" t="b">
        <v>0</v>
      </c>
      <c r="T100" s="122" t="b">
        <v>0</v>
      </c>
    </row>
    <row r="101" hidden="1" outlineLevel="1">
      <c r="A101" s="111"/>
      <c r="B101" s="111"/>
      <c r="C101" s="112"/>
      <c r="D101" s="111"/>
      <c r="E101" s="111"/>
      <c r="F101" s="111"/>
      <c r="G101" s="189"/>
      <c r="H101" s="111"/>
      <c r="I101" s="111"/>
      <c r="J101" s="126"/>
      <c r="K101" s="115"/>
      <c r="L101" s="116"/>
      <c r="M101" s="117" t="str">
        <f>IFERROR(__xludf.DUMMYFUNCTION("IF(
  K101="""",
  """",
  ROUND(
    IF(
      L101="""",
      K101,
      IF(
        ISERROR(FIND(""-"",L101)),
        K101 - VALUE(REGEXEXTRACT(L101,""(\d+)"")),
        K101 * (1 - VALUE(REGEXEXTRACT(L101,""(\d+)""))/100)
      )
    ),
    2
  )
)"&amp;"
")," ")</f>
        <v/>
      </c>
      <c r="N101" s="111"/>
      <c r="O101" s="118" t="b">
        <v>0</v>
      </c>
      <c r="P101" s="119"/>
      <c r="Q101" s="120"/>
      <c r="R101" s="121" t="b">
        <v>0</v>
      </c>
      <c r="S101" s="121" t="b">
        <v>0</v>
      </c>
      <c r="T101" s="122" t="b">
        <v>0</v>
      </c>
    </row>
    <row r="102" hidden="1" outlineLevel="1">
      <c r="A102" s="116"/>
      <c r="B102" s="116"/>
      <c r="C102" s="129"/>
      <c r="D102" s="111"/>
      <c r="E102" s="111"/>
      <c r="F102" s="116"/>
      <c r="G102" s="116"/>
      <c r="H102" s="116"/>
      <c r="I102" s="116"/>
      <c r="J102" s="135"/>
      <c r="K102" s="115"/>
      <c r="L102" s="116"/>
      <c r="M102" s="117" t="str">
        <f>IFERROR(__xludf.DUMMYFUNCTION("IF(
  K102="""",
  """",
  ROUND(
    IF(
      L102="""",
      K102,
      IF(
        ISERROR(FIND(""-"",L102)),
        K102 - VALUE(REGEXEXTRACT(L102,""(\d+)"")),
        K102 * (1 - VALUE(REGEXEXTRACT(L102,""(\d+)""))/100)
      )
    ),
    2
  )
)"&amp;"
")," ")</f>
        <v/>
      </c>
      <c r="N102" s="111"/>
      <c r="O102" s="118" t="b">
        <v>0</v>
      </c>
      <c r="P102" s="119"/>
      <c r="Q102" s="120"/>
      <c r="R102" s="121" t="b">
        <v>0</v>
      </c>
      <c r="S102" s="121" t="b">
        <v>0</v>
      </c>
      <c r="T102" s="122" t="b">
        <v>0</v>
      </c>
    </row>
    <row r="103" hidden="1" outlineLevel="1">
      <c r="A103" s="116"/>
      <c r="B103" s="116"/>
      <c r="C103" s="129"/>
      <c r="D103" s="111"/>
      <c r="E103" s="111"/>
      <c r="F103" s="116"/>
      <c r="G103" s="116"/>
      <c r="H103" s="116"/>
      <c r="I103" s="116"/>
      <c r="J103" s="132"/>
      <c r="K103" s="115"/>
      <c r="L103" s="116"/>
      <c r="M103" s="117" t="str">
        <f>IFERROR(__xludf.DUMMYFUNCTION("IF(
  K103="""",
  """",
  ROUND(
    IF(
      L103="""",
      K103,
      IF(
        ISERROR(FIND(""-"",L103)),
        K103 - VALUE(REGEXEXTRACT(L103,""(\d+)"")),
        K103 * (1 - VALUE(REGEXEXTRACT(L103,""(\d+)""))/100)
      )
    ),
    2
  )
)"&amp;"
")," ")</f>
        <v/>
      </c>
      <c r="N103" s="111"/>
      <c r="O103" s="118" t="b">
        <v>0</v>
      </c>
      <c r="P103" s="119"/>
      <c r="Q103" s="120"/>
      <c r="R103" s="121" t="b">
        <v>0</v>
      </c>
      <c r="S103" s="121" t="b">
        <v>0</v>
      </c>
      <c r="T103" s="122" t="b">
        <v>0</v>
      </c>
    </row>
    <row r="104" hidden="1" outlineLevel="1">
      <c r="A104" s="111"/>
      <c r="B104" s="111"/>
      <c r="C104" s="129"/>
      <c r="D104" s="111"/>
      <c r="E104" s="111"/>
      <c r="F104" s="111"/>
      <c r="G104" s="111"/>
      <c r="H104" s="111"/>
      <c r="I104" s="111"/>
      <c r="J104" s="132"/>
      <c r="K104" s="115"/>
      <c r="L104" s="116"/>
      <c r="M104" s="117" t="str">
        <f>IFERROR(__xludf.DUMMYFUNCTION("IF(
  K104="""",
  """",
  ROUND(
    IF(
      L104="""",
      K104,
      IF(
        ISERROR(FIND(""-"",L104)),
        K104 - VALUE(REGEXEXTRACT(L104,""(\d+)"")),
        K104 * (1 - VALUE(REGEXEXTRACT(L104,""(\d+)""))/100)
      )
    ),
    2
  )
)"&amp;"
")," ")</f>
        <v/>
      </c>
      <c r="N104" s="111"/>
      <c r="O104" s="118" t="b">
        <v>0</v>
      </c>
      <c r="P104" s="119"/>
      <c r="Q104" s="120"/>
      <c r="R104" s="121" t="b">
        <v>0</v>
      </c>
      <c r="S104" s="121" t="b">
        <v>0</v>
      </c>
      <c r="T104" s="122" t="b">
        <v>0</v>
      </c>
    </row>
    <row r="105" hidden="1" outlineLevel="1">
      <c r="A105" s="111"/>
      <c r="B105" s="111"/>
      <c r="C105" s="129"/>
      <c r="D105" s="111"/>
      <c r="E105" s="111"/>
      <c r="F105" s="111"/>
      <c r="G105" s="111"/>
      <c r="H105" s="111"/>
      <c r="I105" s="111"/>
      <c r="J105" s="132"/>
      <c r="K105" s="115"/>
      <c r="L105" s="116"/>
      <c r="M105" s="117" t="str">
        <f>IFERROR(__xludf.DUMMYFUNCTION("IF(
  K105="""",
  """",
  ROUND(
    IF(
      L105="""",
      K105,
      IF(
        ISERROR(FIND(""-"",L105)),
        K105 - VALUE(REGEXEXTRACT(L105,""(\d+)"")),
        K105 * (1 - VALUE(REGEXEXTRACT(L105,""(\d+)""))/100)
      )
    ),
    2
  )
)"&amp;"
")," ")</f>
        <v/>
      </c>
      <c r="N105" s="111"/>
      <c r="O105" s="118" t="b">
        <v>0</v>
      </c>
      <c r="P105" s="119"/>
      <c r="Q105" s="120"/>
      <c r="R105" s="121" t="b">
        <v>0</v>
      </c>
      <c r="S105" s="121" t="b">
        <v>0</v>
      </c>
      <c r="T105" s="122" t="b">
        <v>0</v>
      </c>
    </row>
    <row r="106" hidden="1" outlineLevel="1">
      <c r="A106" s="116"/>
      <c r="B106" s="116"/>
      <c r="C106" s="129"/>
      <c r="D106" s="111"/>
      <c r="E106" s="111"/>
      <c r="F106" s="116"/>
      <c r="G106" s="116"/>
      <c r="H106" s="116"/>
      <c r="I106" s="116"/>
      <c r="J106" s="135"/>
      <c r="K106" s="115"/>
      <c r="L106" s="116"/>
      <c r="M106" s="117" t="str">
        <f>IFERROR(__xludf.DUMMYFUNCTION("IF(
  K106="""",
  """",
  ROUND(
    IF(
      L106="""",
      K106,
      IF(
        ISERROR(FIND(""-"",L106)),
        K106 - VALUE(REGEXEXTRACT(L106,""(\d+)"")),
        K106 * (1 - VALUE(REGEXEXTRACT(L106,""(\d+)""))/100)
      )
    ),
    2
  )
)"&amp;"
")," ")</f>
        <v/>
      </c>
      <c r="N106" s="111"/>
      <c r="O106" s="118" t="b">
        <v>0</v>
      </c>
      <c r="P106" s="119"/>
      <c r="Q106" s="120"/>
      <c r="R106" s="121" t="b">
        <v>0</v>
      </c>
      <c r="S106" s="121" t="b">
        <v>0</v>
      </c>
      <c r="T106" s="122" t="b">
        <v>0</v>
      </c>
    </row>
    <row r="107" hidden="1" outlineLevel="1">
      <c r="A107" s="116"/>
      <c r="B107" s="116"/>
      <c r="C107" s="129"/>
      <c r="D107" s="111"/>
      <c r="E107" s="111"/>
      <c r="F107" s="116"/>
      <c r="G107" s="116"/>
      <c r="H107" s="116"/>
      <c r="I107" s="116"/>
      <c r="J107" s="132"/>
      <c r="K107" s="115"/>
      <c r="L107" s="116"/>
      <c r="M107" s="117" t="str">
        <f>IFERROR(__xludf.DUMMYFUNCTION("IF(
  K107="""",
  """",
  ROUND(
    IF(
      L107="""",
      K107,
      IF(
        ISERROR(FIND(""-"",L107)),
        K107 - VALUE(REGEXEXTRACT(L107,""(\d+)"")),
        K107 * (1 - VALUE(REGEXEXTRACT(L107,""(\d+)""))/100)
      )
    ),
    2
  )
)"&amp;"
")," ")</f>
        <v/>
      </c>
      <c r="N107" s="111"/>
      <c r="O107" s="118" t="b">
        <v>0</v>
      </c>
      <c r="P107" s="119"/>
      <c r="Q107" s="120"/>
      <c r="R107" s="121" t="b">
        <v>0</v>
      </c>
      <c r="S107" s="121" t="b">
        <v>0</v>
      </c>
      <c r="T107" s="122" t="b">
        <v>0</v>
      </c>
    </row>
    <row r="108" hidden="1" outlineLevel="1">
      <c r="A108" s="116"/>
      <c r="B108" s="116"/>
      <c r="C108" s="129"/>
      <c r="D108" s="111"/>
      <c r="E108" s="111"/>
      <c r="F108" s="116"/>
      <c r="G108" s="116"/>
      <c r="H108" s="116"/>
      <c r="I108" s="116"/>
      <c r="J108" s="132"/>
      <c r="K108" s="115"/>
      <c r="L108" s="116"/>
      <c r="M108" s="117" t="str">
        <f>IFERROR(__xludf.DUMMYFUNCTION("IF(
  K108="""",
  """",
  ROUND(
    IF(
      L108="""",
      K108,
      IF(
        ISERROR(FIND(""-"",L108)),
        K108 - VALUE(REGEXEXTRACT(L108,""(\d+)"")),
        K108 * (1 - VALUE(REGEXEXTRACT(L108,""(\d+)""))/100)
      )
    ),
    2
  )
)"&amp;"
")," ")</f>
        <v/>
      </c>
      <c r="N108" s="116"/>
      <c r="O108" s="118" t="b">
        <v>0</v>
      </c>
      <c r="P108" s="119"/>
      <c r="Q108" s="120"/>
      <c r="R108" s="121" t="b">
        <v>0</v>
      </c>
      <c r="S108" s="121" t="b">
        <v>0</v>
      </c>
      <c r="T108" s="122" t="b">
        <v>0</v>
      </c>
    </row>
    <row r="109" hidden="1" outlineLevel="1">
      <c r="A109" s="116"/>
      <c r="B109" s="116"/>
      <c r="C109" s="129"/>
      <c r="D109" s="111"/>
      <c r="E109" s="111"/>
      <c r="F109" s="116"/>
      <c r="G109" s="116"/>
      <c r="H109" s="116"/>
      <c r="I109" s="116"/>
      <c r="J109" s="135"/>
      <c r="K109" s="115"/>
      <c r="L109" s="116"/>
      <c r="M109" s="117" t="str">
        <f>IFERROR(__xludf.DUMMYFUNCTION("IF(
  K109="""",
  """",
  ROUND(
    IF(
      L109="""",
      K109,
      IF(
        ISERROR(FIND(""-"",L109)),
        K109 - VALUE(REGEXEXTRACT(L109,""(\d+)"")),
        K109 * (1 - VALUE(REGEXEXTRACT(L109,""(\d+)""))/100)
      )
    ),
    2
  )
)"&amp;"
")," ")</f>
        <v/>
      </c>
      <c r="N109" s="111"/>
      <c r="O109" s="118" t="b">
        <v>0</v>
      </c>
      <c r="P109" s="119"/>
      <c r="Q109" s="120"/>
      <c r="R109" s="121" t="b">
        <v>0</v>
      </c>
      <c r="S109" s="121" t="b">
        <v>0</v>
      </c>
      <c r="T109" s="122" t="b">
        <v>0</v>
      </c>
    </row>
    <row r="110" hidden="1" outlineLevel="1">
      <c r="A110" s="111"/>
      <c r="B110" s="111"/>
      <c r="C110" s="129"/>
      <c r="D110" s="111"/>
      <c r="E110" s="111"/>
      <c r="F110" s="111"/>
      <c r="G110" s="111"/>
      <c r="H110" s="240"/>
      <c r="I110" s="240"/>
      <c r="J110" s="126"/>
      <c r="K110" s="115"/>
      <c r="L110" s="116"/>
      <c r="M110" s="117" t="str">
        <f>IFERROR(__xludf.DUMMYFUNCTION("IF(
  K110="""",
  """",
  ROUND(
    IF(
      L110="""",
      K110,
      IF(
        ISERROR(FIND(""-"",L110)),
        K110 - VALUE(REGEXEXTRACT(L110,""(\d+)"")),
        K110 * (1 - VALUE(REGEXEXTRACT(L110,""(\d+)""))/100)
      )
    ),
    2
  )
)"&amp;"
")," ")</f>
        <v/>
      </c>
      <c r="N110" s="111"/>
      <c r="O110" s="118" t="b">
        <v>0</v>
      </c>
      <c r="P110" s="119"/>
      <c r="Q110" s="120"/>
      <c r="R110" s="121" t="b">
        <v>0</v>
      </c>
      <c r="S110" s="121" t="b">
        <v>0</v>
      </c>
      <c r="T110" s="122" t="b">
        <v>0</v>
      </c>
    </row>
    <row r="111" hidden="1" outlineLevel="1">
      <c r="A111" s="116"/>
      <c r="B111" s="116"/>
      <c r="C111" s="129"/>
      <c r="D111" s="111"/>
      <c r="E111" s="111"/>
      <c r="F111" s="116"/>
      <c r="G111" s="116"/>
      <c r="H111" s="116"/>
      <c r="I111" s="116"/>
      <c r="J111" s="132"/>
      <c r="K111" s="115"/>
      <c r="L111" s="116"/>
      <c r="M111" s="117" t="str">
        <f>IFERROR(__xludf.DUMMYFUNCTION("IF(
  K111="""",
  """",
  ROUND(
    IF(
      L111="""",
      K111,
      IF(
        ISERROR(FIND(""-"",L111)),
        K111 - VALUE(REGEXEXTRACT(L111,""(\d+)"")),
        K111 * (1 - VALUE(REGEXEXTRACT(L111,""(\d+)""))/100)
      )
    ),
    2
  )
)"&amp;"
")," ")</f>
        <v/>
      </c>
      <c r="N111" s="111"/>
      <c r="O111" s="118" t="b">
        <v>0</v>
      </c>
      <c r="P111" s="119"/>
      <c r="Q111" s="120"/>
      <c r="R111" s="121" t="b">
        <v>0</v>
      </c>
      <c r="S111" s="121" t="b">
        <v>0</v>
      </c>
      <c r="T111" s="122" t="b">
        <v>0</v>
      </c>
    </row>
    <row r="112" hidden="1" outlineLevel="1">
      <c r="A112" s="116"/>
      <c r="B112" s="116"/>
      <c r="C112" s="129"/>
      <c r="D112" s="111"/>
      <c r="E112" s="111"/>
      <c r="F112" s="116"/>
      <c r="G112" s="116"/>
      <c r="H112" s="116"/>
      <c r="I112" s="116"/>
      <c r="J112" s="134"/>
      <c r="K112" s="115"/>
      <c r="L112" s="116"/>
      <c r="M112" s="117" t="str">
        <f>IFERROR(__xludf.DUMMYFUNCTION("IF(
  K112="""",
  """",
  ROUND(
    IF(
      L112="""",
      K112,
      IF(
        ISERROR(FIND(""-"",L112)),
        K112 - VALUE(REGEXEXTRACT(L112,""(\d+)"")),
        K112 * (1 - VALUE(REGEXEXTRACT(L112,""(\d+)""))/100)
      )
    ),
    2
  )
)"&amp;"
")," ")</f>
        <v/>
      </c>
      <c r="N112" s="111"/>
      <c r="O112" s="118" t="b">
        <v>0</v>
      </c>
      <c r="P112" s="119"/>
      <c r="Q112" s="120"/>
      <c r="R112" s="121" t="b">
        <v>0</v>
      </c>
      <c r="S112" s="121" t="b">
        <v>0</v>
      </c>
      <c r="T112" s="122" t="b">
        <v>0</v>
      </c>
    </row>
    <row r="113" hidden="1" outlineLevel="1">
      <c r="A113" s="116"/>
      <c r="B113" s="116"/>
      <c r="C113" s="129"/>
      <c r="D113" s="111"/>
      <c r="E113" s="111"/>
      <c r="F113" s="116"/>
      <c r="G113" s="116"/>
      <c r="H113" s="116"/>
      <c r="I113" s="116"/>
      <c r="J113" s="134"/>
      <c r="K113" s="115"/>
      <c r="L113" s="116"/>
      <c r="M113" s="117" t="str">
        <f>IFERROR(__xludf.DUMMYFUNCTION("IF(
  K113="""",
  """",
  ROUND(
    IF(
      L113="""",
      K113,
      IF(
        ISERROR(FIND(""-"",L113)),
        K113 - VALUE(REGEXEXTRACT(L113,""(\d+)"")),
        K113 * (1 - VALUE(REGEXEXTRACT(L113,""(\d+)""))/100)
      )
    ),
    2
  )
)"&amp;"
")," ")</f>
        <v/>
      </c>
      <c r="N113" s="111"/>
      <c r="O113" s="118" t="b">
        <v>0</v>
      </c>
      <c r="P113" s="119"/>
      <c r="Q113" s="120"/>
      <c r="R113" s="121" t="b">
        <v>0</v>
      </c>
      <c r="S113" s="121" t="b">
        <v>0</v>
      </c>
      <c r="T113" s="122" t="b">
        <v>0</v>
      </c>
    </row>
    <row r="114" hidden="1" outlineLevel="1">
      <c r="A114" s="116"/>
      <c r="B114" s="116"/>
      <c r="C114" s="129"/>
      <c r="D114" s="111"/>
      <c r="E114" s="111"/>
      <c r="F114" s="116"/>
      <c r="G114" s="116"/>
      <c r="H114" s="116"/>
      <c r="I114" s="116"/>
      <c r="J114" s="134"/>
      <c r="K114" s="115"/>
      <c r="L114" s="116"/>
      <c r="M114" s="117" t="str">
        <f>IFERROR(__xludf.DUMMYFUNCTION("IF(
  K114="""",
  """",
  ROUND(
    IF(
      L114="""",
      K114,
      IF(
        ISERROR(FIND(""-"",L114)),
        K114 - VALUE(REGEXEXTRACT(L114,""(\d+)"")),
        K114 * (1 - VALUE(REGEXEXTRACT(L114,""(\d+)""))/100)
      )
    ),
    2
  )
)"&amp;"
")," ")</f>
        <v/>
      </c>
      <c r="N114" s="111"/>
      <c r="O114" s="118" t="b">
        <v>0</v>
      </c>
      <c r="P114" s="119"/>
      <c r="Q114" s="120"/>
      <c r="R114" s="121" t="b">
        <v>0</v>
      </c>
      <c r="S114" s="121" t="b">
        <v>0</v>
      </c>
      <c r="T114" s="122" t="b">
        <v>0</v>
      </c>
    </row>
    <row r="115" hidden="1" outlineLevel="1">
      <c r="A115" s="116"/>
      <c r="B115" s="116"/>
      <c r="C115" s="129"/>
      <c r="D115" s="111"/>
      <c r="E115" s="111"/>
      <c r="F115" s="116"/>
      <c r="G115" s="116"/>
      <c r="H115" s="116"/>
      <c r="I115" s="116"/>
      <c r="J115" s="134"/>
      <c r="K115" s="115"/>
      <c r="L115" s="116"/>
      <c r="M115" s="117" t="str">
        <f>IFERROR(__xludf.DUMMYFUNCTION("IF(
  K115="""",
  """",
  ROUND(
    IF(
      L115="""",
      K115,
      IF(
        ISERROR(FIND(""-"",L115)),
        K115 - VALUE(REGEXEXTRACT(L115,""(\d+)"")),
        K115 * (1 - VALUE(REGEXEXTRACT(L115,""(\d+)""))/100)
      )
    ),
    2
  )
)"&amp;"
")," ")</f>
        <v/>
      </c>
      <c r="N115" s="111"/>
      <c r="O115" s="118" t="b">
        <v>0</v>
      </c>
      <c r="P115" s="119"/>
      <c r="Q115" s="120"/>
      <c r="R115" s="121" t="b">
        <v>0</v>
      </c>
      <c r="S115" s="121" t="b">
        <v>0</v>
      </c>
      <c r="T115" s="122" t="b">
        <v>0</v>
      </c>
    </row>
    <row r="116" hidden="1" outlineLevel="1">
      <c r="A116" s="116"/>
      <c r="B116" s="116"/>
      <c r="C116" s="129"/>
      <c r="D116" s="111"/>
      <c r="E116" s="111"/>
      <c r="F116" s="116"/>
      <c r="G116" s="116"/>
      <c r="H116" s="113"/>
      <c r="I116" s="113"/>
      <c r="J116" s="134"/>
      <c r="K116" s="115"/>
      <c r="L116" s="131"/>
      <c r="M116" s="117" t="str">
        <f>IFERROR(__xludf.DUMMYFUNCTION("IF(
  K116="""",
  """",
  ROUND(
    IF(
      L116="""",
      K116,
      IF(
        ISERROR(FIND(""-"",L116)),
        K116 - VALUE(REGEXEXTRACT(L116,""(\d+)"")),
        K116 * (1 - VALUE(REGEXEXTRACT(L116,""(\d+)""))/100)
      )
    ),
    2
  )
)"&amp;"
")," ")</f>
        <v/>
      </c>
      <c r="N116" s="111"/>
      <c r="O116" s="118" t="b">
        <v>0</v>
      </c>
      <c r="P116" s="119"/>
      <c r="Q116" s="120"/>
      <c r="R116" s="121" t="b">
        <v>0</v>
      </c>
      <c r="S116" s="121" t="b">
        <v>0</v>
      </c>
      <c r="T116" s="122" t="b">
        <v>0</v>
      </c>
    </row>
    <row r="117" hidden="1" outlineLevel="1">
      <c r="A117" s="116"/>
      <c r="B117" s="116"/>
      <c r="C117" s="129"/>
      <c r="D117" s="111"/>
      <c r="E117" s="111"/>
      <c r="F117" s="116"/>
      <c r="G117" s="116"/>
      <c r="H117" s="116"/>
      <c r="I117" s="116"/>
      <c r="J117" s="134"/>
      <c r="K117" s="115"/>
      <c r="L117" s="116"/>
      <c r="M117" s="117" t="str">
        <f>IFERROR(__xludf.DUMMYFUNCTION("IF(
  K117="""",
  """",
  ROUND(
    IF(
      L117="""",
      K117,
      IF(
        ISERROR(FIND(""-"",L117)),
        K117 - VALUE(REGEXEXTRACT(L117,""(\d+)"")),
        K117 * (1 - VALUE(REGEXEXTRACT(L117,""(\d+)""))/100)
      )
    ),
    2
  )
)"&amp;"
")," ")</f>
        <v/>
      </c>
      <c r="N117" s="111"/>
      <c r="O117" s="118" t="b">
        <v>0</v>
      </c>
      <c r="P117" s="119"/>
      <c r="Q117" s="120"/>
      <c r="R117" s="121" t="b">
        <v>0</v>
      </c>
      <c r="S117" s="121" t="b">
        <v>0</v>
      </c>
      <c r="T117" s="122" t="b">
        <v>0</v>
      </c>
    </row>
    <row r="118" hidden="1" outlineLevel="1">
      <c r="A118" s="116"/>
      <c r="B118" s="116"/>
      <c r="C118" s="129"/>
      <c r="D118" s="111"/>
      <c r="E118" s="111"/>
      <c r="F118" s="116"/>
      <c r="G118" s="116"/>
      <c r="H118" s="116"/>
      <c r="I118" s="116"/>
      <c r="J118" s="134"/>
      <c r="K118" s="115"/>
      <c r="L118" s="116"/>
      <c r="M118" s="117" t="str">
        <f>IFERROR(__xludf.DUMMYFUNCTION("IF(
  K118="""",
  """",
  ROUND(
    IF(
      L118="""",
      K118,
      IF(
        ISERROR(FIND(""-"",L118)),
        K118 - VALUE(REGEXEXTRACT(L118,""(\d+)"")),
        K118 * (1 - VALUE(REGEXEXTRACT(L118,""(\d+)""))/100)
      )
    ),
    2
  )
)"&amp;"
")," ")</f>
        <v/>
      </c>
      <c r="N118" s="111"/>
      <c r="O118" s="118" t="b">
        <v>0</v>
      </c>
      <c r="P118" s="119"/>
      <c r="Q118" s="120"/>
      <c r="R118" s="121" t="b">
        <v>0</v>
      </c>
      <c r="S118" s="121" t="b">
        <v>0</v>
      </c>
      <c r="T118" s="122" t="b">
        <v>0</v>
      </c>
    </row>
    <row r="119" hidden="1" outlineLevel="1">
      <c r="A119" s="111"/>
      <c r="B119" s="111"/>
      <c r="C119" s="112"/>
      <c r="D119" s="111"/>
      <c r="E119" s="111"/>
      <c r="F119" s="111"/>
      <c r="G119" s="111"/>
      <c r="H119" s="111"/>
      <c r="I119" s="111"/>
      <c r="J119" s="126"/>
      <c r="K119" s="115"/>
      <c r="L119" s="116"/>
      <c r="M119" s="117" t="str">
        <f>IFERROR(__xludf.DUMMYFUNCTION("IF(
  K119="""",
  """",
  ROUND(
    IF(
      L119="""",
      K119,
      IF(
        ISERROR(FIND(""-"",L119)),
        K119 - VALUE(REGEXEXTRACT(L119,""(\d+)"")),
        K119 * (1 - VALUE(REGEXEXTRACT(L119,""(\d+)""))/100)
      )
    ),
    2
  )
)"&amp;"
")," ")</f>
        <v/>
      </c>
      <c r="N119" s="111"/>
      <c r="O119" s="118" t="b">
        <v>0</v>
      </c>
      <c r="P119" s="119"/>
      <c r="Q119" s="120"/>
      <c r="R119" s="121" t="b">
        <v>0</v>
      </c>
      <c r="S119" s="121" t="b">
        <v>0</v>
      </c>
      <c r="T119" s="122" t="b">
        <v>0</v>
      </c>
    </row>
    <row r="120" hidden="1" outlineLevel="1">
      <c r="A120" s="116"/>
      <c r="B120" s="116"/>
      <c r="C120" s="129"/>
      <c r="D120" s="111"/>
      <c r="E120" s="111"/>
      <c r="F120" s="116"/>
      <c r="G120" s="116"/>
      <c r="H120" s="116"/>
      <c r="I120" s="116"/>
      <c r="J120" s="134"/>
      <c r="K120" s="115"/>
      <c r="L120" s="116"/>
      <c r="M120" s="117" t="str">
        <f>IFERROR(__xludf.DUMMYFUNCTION("IF(
  K120="""",
  """",
  ROUND(
    IF(
      L120="""",
      K120,
      IF(
        ISERROR(FIND(""-"",L120)),
        K120 - VALUE(REGEXEXTRACT(L120,""(\d+)"")),
        K120 * (1 - VALUE(REGEXEXTRACT(L120,""(\d+)""))/100)
      )
    ),
    2
  )
)"&amp;"
")," ")</f>
        <v/>
      </c>
      <c r="N120" s="111"/>
      <c r="O120" s="118" t="b">
        <v>0</v>
      </c>
      <c r="P120" s="119"/>
      <c r="Q120" s="120"/>
      <c r="R120" s="121" t="b">
        <v>0</v>
      </c>
      <c r="S120" s="121" t="b">
        <v>0</v>
      </c>
      <c r="T120" s="122" t="b">
        <v>0</v>
      </c>
    </row>
    <row r="121" hidden="1" outlineLevel="1">
      <c r="A121" s="116"/>
      <c r="B121" s="116"/>
      <c r="C121" s="129"/>
      <c r="D121" s="111"/>
      <c r="E121" s="111"/>
      <c r="F121" s="116"/>
      <c r="G121" s="116"/>
      <c r="H121" s="116"/>
      <c r="I121" s="116"/>
      <c r="J121" s="134"/>
      <c r="K121" s="115"/>
      <c r="L121" s="116"/>
      <c r="M121" s="117" t="str">
        <f>IFERROR(__xludf.DUMMYFUNCTION("IF(
  K121="""",
  """",
  ROUND(
    IF(
      L121="""",
      K121,
      IF(
        ISERROR(FIND(""-"",L121)),
        K121 - VALUE(REGEXEXTRACT(L121,""(\d+)"")),
        K121 * (1 - VALUE(REGEXEXTRACT(L121,""(\d+)""))/100)
      )
    ),
    2
  )
)"&amp;"
")," ")</f>
        <v/>
      </c>
      <c r="N121" s="111"/>
      <c r="O121" s="118" t="b">
        <v>0</v>
      </c>
      <c r="P121" s="119"/>
      <c r="Q121" s="120"/>
      <c r="R121" s="121" t="b">
        <v>0</v>
      </c>
      <c r="S121" s="121" t="b">
        <v>0</v>
      </c>
      <c r="T121" s="122" t="b">
        <v>0</v>
      </c>
    </row>
    <row r="122" hidden="1" outlineLevel="1">
      <c r="A122" s="116"/>
      <c r="B122" s="116"/>
      <c r="C122" s="129"/>
      <c r="D122" s="111"/>
      <c r="E122" s="111"/>
      <c r="F122" s="116"/>
      <c r="G122" s="116"/>
      <c r="H122" s="116"/>
      <c r="I122" s="116"/>
      <c r="J122" s="132"/>
      <c r="K122" s="115"/>
      <c r="L122" s="116"/>
      <c r="M122" s="117" t="str">
        <f>IFERROR(__xludf.DUMMYFUNCTION("IF(
  K122="""",
  """",
  ROUND(
    IF(
      L122="""",
      K122,
      IF(
        ISERROR(FIND(""-"",L122)),
        K122 - VALUE(REGEXEXTRACT(L122,""(\d+)"")),
        K122 * (1 - VALUE(REGEXEXTRACT(L122,""(\d+)""))/100)
      )
    ),
    2
  )
)"&amp;"
")," ")</f>
        <v/>
      </c>
      <c r="N122" s="111"/>
      <c r="O122" s="118" t="b">
        <v>0</v>
      </c>
      <c r="P122" s="119"/>
      <c r="Q122" s="120"/>
      <c r="R122" s="121" t="b">
        <v>0</v>
      </c>
      <c r="S122" s="121" t="b">
        <v>0</v>
      </c>
      <c r="T122" s="122" t="b">
        <v>0</v>
      </c>
    </row>
    <row r="123" hidden="1" outlineLevel="1">
      <c r="A123" s="116"/>
      <c r="B123" s="116"/>
      <c r="C123" s="129"/>
      <c r="D123" s="111"/>
      <c r="E123" s="111"/>
      <c r="F123" s="116"/>
      <c r="G123" s="116"/>
      <c r="H123" s="116"/>
      <c r="I123" s="116"/>
      <c r="J123" s="132"/>
      <c r="K123" s="115"/>
      <c r="L123" s="116"/>
      <c r="M123" s="117" t="str">
        <f>IFERROR(__xludf.DUMMYFUNCTION("IF(
  K123="""",
  """",
  ROUND(
    IF(
      L123="""",
      K123,
      IF(
        ISERROR(FIND(""-"",L123)),
        K123 - VALUE(REGEXEXTRACT(L123,""(\d+)"")),
        K123 * (1 - VALUE(REGEXEXTRACT(L123,""(\d+)""))/100)
      )
    ),
    2
  )
)"&amp;"
")," ")</f>
        <v/>
      </c>
      <c r="N123" s="111"/>
      <c r="O123" s="118" t="b">
        <v>0</v>
      </c>
      <c r="P123" s="119"/>
      <c r="Q123" s="120"/>
      <c r="R123" s="121" t="b">
        <v>0</v>
      </c>
      <c r="S123" s="121" t="b">
        <v>0</v>
      </c>
      <c r="T123" s="122" t="b">
        <v>0</v>
      </c>
    </row>
    <row r="124" hidden="1" outlineLevel="1">
      <c r="A124" s="116"/>
      <c r="B124" s="116"/>
      <c r="C124" s="129"/>
      <c r="D124" s="111"/>
      <c r="E124" s="111"/>
      <c r="F124" s="116"/>
      <c r="G124" s="116"/>
      <c r="H124" s="116"/>
      <c r="I124" s="116"/>
      <c r="J124" s="132"/>
      <c r="K124" s="115"/>
      <c r="L124" s="116"/>
      <c r="M124" s="117" t="str">
        <f>IFERROR(__xludf.DUMMYFUNCTION("IF(
  K124="""",
  """",
  ROUND(
    IF(
      L124="""",
      K124,
      IF(
        ISERROR(FIND(""-"",L124)),
        K124 - VALUE(REGEXEXTRACT(L124,""(\d+)"")),
        K124 * (1 - VALUE(REGEXEXTRACT(L124,""(\d+)""))/100)
      )
    ),
    2
  )
)"&amp;"
")," ")</f>
        <v/>
      </c>
      <c r="N124" s="111"/>
      <c r="O124" s="118" t="b">
        <v>0</v>
      </c>
      <c r="P124" s="119"/>
      <c r="Q124" s="120"/>
      <c r="R124" s="121" t="b">
        <v>0</v>
      </c>
      <c r="S124" s="121" t="b">
        <v>0</v>
      </c>
      <c r="T124" s="122" t="b">
        <v>0</v>
      </c>
    </row>
    <row r="125" hidden="1" outlineLevel="1">
      <c r="A125" s="116"/>
      <c r="B125" s="116"/>
      <c r="C125" s="129"/>
      <c r="D125" s="111"/>
      <c r="E125" s="111"/>
      <c r="F125" s="116"/>
      <c r="G125" s="116"/>
      <c r="H125" s="116"/>
      <c r="I125" s="116"/>
      <c r="J125" s="134"/>
      <c r="K125" s="115"/>
      <c r="L125" s="116"/>
      <c r="M125" s="117" t="str">
        <f>IFERROR(__xludf.DUMMYFUNCTION("IF(
  K125="""",
  """",
  ROUND(
    IF(
      L125="""",
      K125,
      IF(
        ISERROR(FIND(""-"",L125)),
        K125 - VALUE(REGEXEXTRACT(L125,""(\d+)"")),
        K125 * (1 - VALUE(REGEXEXTRACT(L125,""(\d+)""))/100)
      )
    ),
    2
  )
)"&amp;"
")," ")</f>
        <v/>
      </c>
      <c r="N125" s="111"/>
      <c r="O125" s="118" t="b">
        <v>0</v>
      </c>
      <c r="P125" s="119"/>
      <c r="Q125" s="120"/>
      <c r="R125" s="121" t="b">
        <v>0</v>
      </c>
      <c r="S125" s="121" t="b">
        <v>0</v>
      </c>
      <c r="T125" s="122" t="b">
        <v>0</v>
      </c>
    </row>
    <row r="126" hidden="1" outlineLevel="1">
      <c r="A126" s="116"/>
      <c r="B126" s="116"/>
      <c r="C126" s="129"/>
      <c r="D126" s="111"/>
      <c r="E126" s="111"/>
      <c r="F126" s="116"/>
      <c r="G126" s="116"/>
      <c r="H126" s="116"/>
      <c r="I126" s="116"/>
      <c r="J126" s="132"/>
      <c r="K126" s="115"/>
      <c r="L126" s="116"/>
      <c r="M126" s="117" t="str">
        <f>IFERROR(__xludf.DUMMYFUNCTION("IF(
  K126="""",
  """",
  ROUND(
    IF(
      L126="""",
      K126,
      IF(
        ISERROR(FIND(""-"",L126)),
        K126 - VALUE(REGEXEXTRACT(L126,""(\d+)"")),
        K126 * (1 - VALUE(REGEXEXTRACT(L126,""(\d+)""))/100)
      )
    ),
    2
  )
)"&amp;"
")," ")</f>
        <v/>
      </c>
      <c r="N126" s="111"/>
      <c r="O126" s="118" t="b">
        <v>0</v>
      </c>
      <c r="P126" s="119"/>
      <c r="Q126" s="120"/>
      <c r="R126" s="121" t="b">
        <v>0</v>
      </c>
      <c r="S126" s="121" t="b">
        <v>0</v>
      </c>
      <c r="T126" s="122" t="b">
        <v>0</v>
      </c>
    </row>
    <row r="127" hidden="1" outlineLevel="1">
      <c r="A127" s="116"/>
      <c r="B127" s="116"/>
      <c r="C127" s="129"/>
      <c r="D127" s="111"/>
      <c r="E127" s="111"/>
      <c r="F127" s="116"/>
      <c r="G127" s="142"/>
      <c r="H127" s="116"/>
      <c r="I127" s="116"/>
      <c r="J127" s="134"/>
      <c r="K127" s="115"/>
      <c r="L127" s="116"/>
      <c r="M127" s="117" t="str">
        <f>IFERROR(__xludf.DUMMYFUNCTION("IF(
  K127="""",
  """",
  ROUND(
    IF(
      L127="""",
      K127,
      IF(
        ISERROR(FIND(""-"",L127)),
        K127 - VALUE(REGEXEXTRACT(L127,""(\d+)"")),
        K127 * (1 - VALUE(REGEXEXTRACT(L127,""(\d+)""))/100)
      )
    ),
    2
  )
)"&amp;"
")," ")</f>
        <v/>
      </c>
      <c r="N127" s="111"/>
      <c r="O127" s="118" t="b">
        <v>0</v>
      </c>
      <c r="P127" s="119"/>
      <c r="Q127" s="120"/>
      <c r="R127" s="121" t="b">
        <v>0</v>
      </c>
      <c r="S127" s="121" t="b">
        <v>0</v>
      </c>
      <c r="T127" s="122" t="b">
        <v>0</v>
      </c>
    </row>
    <row r="128" hidden="1" outlineLevel="1">
      <c r="A128" s="116"/>
      <c r="B128" s="116"/>
      <c r="C128" s="129"/>
      <c r="D128" s="111"/>
      <c r="E128" s="111"/>
      <c r="F128" s="116"/>
      <c r="G128" s="116"/>
      <c r="H128" s="116"/>
      <c r="I128" s="116"/>
      <c r="J128" s="134"/>
      <c r="K128" s="115"/>
      <c r="L128" s="116"/>
      <c r="M128" s="117" t="str">
        <f>IFERROR(__xludf.DUMMYFUNCTION("IF(
  K128="""",
  """",
  ROUND(
    IF(
      L128="""",
      K128,
      IF(
        ISERROR(FIND(""-"",L128)),
        K128 - VALUE(REGEXEXTRACT(L128,""(\d+)"")),
        K128 * (1 - VALUE(REGEXEXTRACT(L128,""(\d+)""))/100)
      )
    ),
    2
  )
)"&amp;"
")," ")</f>
        <v/>
      </c>
      <c r="N128" s="111"/>
      <c r="O128" s="118" t="b">
        <v>0</v>
      </c>
      <c r="P128" s="119"/>
      <c r="Q128" s="120"/>
      <c r="R128" s="121" t="b">
        <v>0</v>
      </c>
      <c r="S128" s="121" t="b">
        <v>0</v>
      </c>
      <c r="T128" s="122" t="b">
        <v>0</v>
      </c>
    </row>
    <row r="129" hidden="1" outlineLevel="1">
      <c r="A129" s="116"/>
      <c r="B129" s="116"/>
      <c r="C129" s="129"/>
      <c r="D129" s="111"/>
      <c r="E129" s="111"/>
      <c r="F129" s="116"/>
      <c r="G129" s="116"/>
      <c r="H129" s="116"/>
      <c r="I129" s="116"/>
      <c r="J129" s="134"/>
      <c r="K129" s="115"/>
      <c r="L129" s="116"/>
      <c r="M129" s="117" t="str">
        <f>IFERROR(__xludf.DUMMYFUNCTION("IF(
  K129="""",
  """",
  ROUND(
    IF(
      L129="""",
      K129,
      IF(
        ISERROR(FIND(""-"",L129)),
        K129 - VALUE(REGEXEXTRACT(L129,""(\d+)"")),
        K129 * (1 - VALUE(REGEXEXTRACT(L129,""(\d+)""))/100)
      )
    ),
    2
  )
)"&amp;"
")," ")</f>
        <v/>
      </c>
      <c r="N129" s="116"/>
      <c r="O129" s="118" t="b">
        <v>0</v>
      </c>
      <c r="P129" s="119"/>
      <c r="Q129" s="120"/>
      <c r="R129" s="121" t="b">
        <v>0</v>
      </c>
      <c r="S129" s="121" t="b">
        <v>0</v>
      </c>
      <c r="T129" s="122" t="b">
        <v>0</v>
      </c>
    </row>
    <row r="130" hidden="1" outlineLevel="1">
      <c r="A130" s="116"/>
      <c r="B130" s="116"/>
      <c r="C130" s="129"/>
      <c r="D130" s="111"/>
      <c r="E130" s="111"/>
      <c r="F130" s="116"/>
      <c r="G130" s="116"/>
      <c r="H130" s="116"/>
      <c r="I130" s="116"/>
      <c r="J130" s="134"/>
      <c r="K130" s="115"/>
      <c r="L130" s="116"/>
      <c r="M130" s="117" t="str">
        <f>IFERROR(__xludf.DUMMYFUNCTION("IF(
  K130="""",
  """",
  ROUND(
    IF(
      L130="""",
      K130,
      IF(
        ISERROR(FIND(""-"",L130)),
        K130 - VALUE(REGEXEXTRACT(L130,""(\d+)"")),
        K130 * (1 - VALUE(REGEXEXTRACT(L130,""(\d+)""))/100)
      )
    ),
    2
  )
)"&amp;"
")," ")</f>
        <v/>
      </c>
      <c r="N130" s="116"/>
      <c r="O130" s="118" t="b">
        <v>0</v>
      </c>
      <c r="P130" s="119"/>
      <c r="Q130" s="120"/>
      <c r="R130" s="121" t="b">
        <v>0</v>
      </c>
      <c r="S130" s="121" t="b">
        <v>0</v>
      </c>
      <c r="T130" s="122" t="b">
        <v>0</v>
      </c>
    </row>
    <row r="131" collapsed="1">
      <c r="A131" s="241"/>
      <c r="C131" s="242" t="s">
        <v>2935</v>
      </c>
      <c r="N131" s="243" t="s">
        <v>355</v>
      </c>
      <c r="O131" s="244">
        <f>SUMPRODUCT(--$O$132:$O$172)</f>
        <v>0</v>
      </c>
      <c r="P131" s="242"/>
      <c r="Q131" s="242"/>
      <c r="R131" s="242"/>
      <c r="S131" s="242"/>
      <c r="T131" s="242"/>
    </row>
    <row r="132" hidden="1" outlineLevel="1">
      <c r="A132" s="116"/>
      <c r="B132" s="116"/>
      <c r="C132" s="129"/>
      <c r="D132" s="111"/>
      <c r="E132" s="111"/>
      <c r="F132" s="116"/>
      <c r="G132" s="116"/>
      <c r="H132" s="116"/>
      <c r="I132" s="116"/>
      <c r="J132" s="134"/>
      <c r="K132" s="115"/>
      <c r="L132" s="116"/>
      <c r="M132" s="117" t="str">
        <f>IFERROR(__xludf.DUMMYFUNCTION("IF(
  K132="""",
  """",
  ROUND(
    IF(
      L132="""",
      K132,
      IF(
        ISERROR(FIND(""-"",L132)),
        K132 - VALUE(REGEXEXTRACT(L132,""(\d+)"")),
        K132 * (1 - VALUE(REGEXEXTRACT(L132,""(\d+)""))/100)
      )
    ),
    2
  )
)"&amp;"
")," ")</f>
        <v/>
      </c>
      <c r="N132" s="111"/>
      <c r="O132" s="118" t="b">
        <v>0</v>
      </c>
      <c r="P132" s="119"/>
      <c r="Q132" s="120"/>
      <c r="R132" s="121" t="b">
        <v>0</v>
      </c>
      <c r="S132" s="121" t="b">
        <v>0</v>
      </c>
      <c r="T132" s="122" t="b">
        <v>0</v>
      </c>
    </row>
    <row r="133" hidden="1" outlineLevel="1">
      <c r="A133" s="116"/>
      <c r="B133" s="116"/>
      <c r="C133" s="129"/>
      <c r="D133" s="111"/>
      <c r="E133" s="111"/>
      <c r="F133" s="116"/>
      <c r="G133" s="116"/>
      <c r="H133" s="143"/>
      <c r="I133" s="116"/>
      <c r="J133" s="134"/>
      <c r="K133" s="115"/>
      <c r="L133" s="131"/>
      <c r="M133" s="117" t="str">
        <f>IFERROR(__xludf.DUMMYFUNCTION("IF(
  K133="""",
  """",
  ROUND(
    IF(
      L133="""",
      K133,
      IF(
        ISERROR(FIND(""-"",L133)),
        K133 - VALUE(REGEXEXTRACT(L133,""(\d+)"")),
        K133 * (1 - VALUE(REGEXEXTRACT(L133,""(\d+)""))/100)
      )
    ),
    2
  )
)"&amp;"
")," ")</f>
        <v/>
      </c>
      <c r="N133" s="131"/>
      <c r="O133" s="118" t="b">
        <v>0</v>
      </c>
      <c r="P133" s="119"/>
      <c r="Q133" s="120"/>
      <c r="R133" s="121" t="b">
        <v>0</v>
      </c>
      <c r="S133" s="121" t="b">
        <v>0</v>
      </c>
      <c r="T133" s="122" t="b">
        <v>0</v>
      </c>
    </row>
    <row r="134" hidden="1" outlineLevel="1">
      <c r="A134" s="116"/>
      <c r="B134" s="116"/>
      <c r="C134" s="129"/>
      <c r="D134" s="111"/>
      <c r="E134" s="111"/>
      <c r="F134" s="116"/>
      <c r="G134" s="116"/>
      <c r="H134" s="116"/>
      <c r="I134" s="116"/>
      <c r="J134" s="134"/>
      <c r="K134" s="115"/>
      <c r="L134" s="116"/>
      <c r="M134" s="117" t="str">
        <f>IFERROR(__xludf.DUMMYFUNCTION("IF(
  K134="""",
  """",
  ROUND(
    IF(
      L134="""",
      K134,
      IF(
        ISERROR(FIND(""-"",L134)),
        K134 - VALUE(REGEXEXTRACT(L134,""(\d+)"")),
        K134 * (1 - VALUE(REGEXEXTRACT(L134,""(\d+)""))/100)
      )
    ),
    2
  )
)"&amp;"
")," ")</f>
        <v/>
      </c>
      <c r="N134" s="111"/>
      <c r="O134" s="118" t="b">
        <v>0</v>
      </c>
      <c r="P134" s="119"/>
      <c r="Q134" s="120"/>
      <c r="R134" s="121" t="b">
        <v>0</v>
      </c>
      <c r="S134" s="121" t="b">
        <v>0</v>
      </c>
      <c r="T134" s="122" t="b">
        <v>0</v>
      </c>
    </row>
    <row r="135" hidden="1" outlineLevel="1">
      <c r="A135" s="116"/>
      <c r="B135" s="116"/>
      <c r="C135" s="129"/>
      <c r="D135" s="111"/>
      <c r="E135" s="111"/>
      <c r="F135" s="116"/>
      <c r="G135" s="116"/>
      <c r="H135" s="144"/>
      <c r="I135" s="116"/>
      <c r="J135" s="132"/>
      <c r="K135" s="115"/>
      <c r="L135" s="116"/>
      <c r="M135" s="117" t="str">
        <f>IFERROR(__xludf.DUMMYFUNCTION("IF(
  K135="""",
  """",
  ROUND(
    IF(
      L135="""",
      K135,
      IF(
        ISERROR(FIND(""-"",L135)),
        K135 - VALUE(REGEXEXTRACT(L135,""(\d+)"")),
        K135 * (1 - VALUE(REGEXEXTRACT(L135,""(\d+)""))/100)
      )
    ),
    2
  )
)"&amp;"
")," ")</f>
        <v/>
      </c>
      <c r="N135" s="116"/>
      <c r="O135" s="118" t="b">
        <v>0</v>
      </c>
      <c r="P135" s="119"/>
      <c r="Q135" s="120"/>
      <c r="R135" s="121" t="b">
        <v>0</v>
      </c>
      <c r="S135" s="121" t="b">
        <v>0</v>
      </c>
      <c r="T135" s="122" t="b">
        <v>0</v>
      </c>
    </row>
    <row r="136" hidden="1" outlineLevel="1">
      <c r="A136" s="116"/>
      <c r="B136" s="116"/>
      <c r="C136" s="129"/>
      <c r="D136" s="111"/>
      <c r="E136" s="111"/>
      <c r="F136" s="116"/>
      <c r="G136" s="116"/>
      <c r="H136" s="116"/>
      <c r="I136" s="116"/>
      <c r="J136" s="132"/>
      <c r="K136" s="115"/>
      <c r="L136" s="116"/>
      <c r="M136" s="117" t="str">
        <f>IFERROR(__xludf.DUMMYFUNCTION("IF(
  K136="""",
  """",
  ROUND(
    IF(
      L136="""",
      K136,
      IF(
        ISERROR(FIND(""-"",L136)),
        K136 - VALUE(REGEXEXTRACT(L136,""(\d+)"")),
        K136 * (1 - VALUE(REGEXEXTRACT(L136,""(\d+)""))/100)
      )
    ),
    2
  )
)"&amp;"
")," ")</f>
        <v/>
      </c>
      <c r="N136" s="116"/>
      <c r="O136" s="118" t="b">
        <v>0</v>
      </c>
      <c r="P136" s="119"/>
      <c r="Q136" s="120"/>
      <c r="R136" s="121" t="b">
        <v>0</v>
      </c>
      <c r="S136" s="121" t="b">
        <v>0</v>
      </c>
      <c r="T136" s="122" t="b">
        <v>0</v>
      </c>
    </row>
    <row r="137" hidden="1" outlineLevel="1">
      <c r="A137" s="116"/>
      <c r="B137" s="116"/>
      <c r="C137" s="129"/>
      <c r="D137" s="111"/>
      <c r="E137" s="111"/>
      <c r="F137" s="116"/>
      <c r="G137" s="116"/>
      <c r="H137" s="116"/>
      <c r="I137" s="116"/>
      <c r="J137" s="132"/>
      <c r="K137" s="115"/>
      <c r="L137" s="116"/>
      <c r="M137" s="117" t="str">
        <f>IFERROR(__xludf.DUMMYFUNCTION("IF(
  K137="""",
  """",
  ROUND(
    IF(
      L137="""",
      K137,
      IF(
        ISERROR(FIND(""-"",L137)),
        K137 - VALUE(REGEXEXTRACT(L137,""(\d+)"")),
        K137 * (1 - VALUE(REGEXEXTRACT(L137,""(\d+)""))/100)
      )
    ),
    2
  )
)"&amp;"
")," ")</f>
        <v/>
      </c>
      <c r="N137" s="116"/>
      <c r="O137" s="118" t="b">
        <v>0</v>
      </c>
      <c r="P137" s="119"/>
      <c r="Q137" s="120"/>
      <c r="R137" s="121" t="b">
        <v>0</v>
      </c>
      <c r="S137" s="121" t="b">
        <v>0</v>
      </c>
      <c r="T137" s="122" t="b">
        <v>0</v>
      </c>
    </row>
    <row r="138" hidden="1" outlineLevel="1">
      <c r="A138" s="116"/>
      <c r="B138" s="116"/>
      <c r="C138" s="129"/>
      <c r="D138" s="111"/>
      <c r="E138" s="111"/>
      <c r="F138" s="116"/>
      <c r="G138" s="116"/>
      <c r="H138" s="116"/>
      <c r="I138" s="116"/>
      <c r="J138" s="132"/>
      <c r="K138" s="115"/>
      <c r="L138" s="116"/>
      <c r="M138" s="117" t="str">
        <f>IFERROR(__xludf.DUMMYFUNCTION("IF(
  K138="""",
  """",
  ROUND(
    IF(
      L138="""",
      K138,
      IF(
        ISERROR(FIND(""-"",L138)),
        K138 - VALUE(REGEXEXTRACT(L138,""(\d+)"")),
        K138 * (1 - VALUE(REGEXEXTRACT(L138,""(\d+)""))/100)
      )
    ),
    2
  )
)"&amp;"
")," ")</f>
        <v/>
      </c>
      <c r="N138" s="116"/>
      <c r="O138" s="118" t="b">
        <v>0</v>
      </c>
      <c r="P138" s="119"/>
      <c r="Q138" s="120"/>
      <c r="R138" s="121" t="b">
        <v>0</v>
      </c>
      <c r="S138" s="121" t="b">
        <v>0</v>
      </c>
      <c r="T138" s="122" t="b">
        <v>0</v>
      </c>
    </row>
    <row r="139" hidden="1" outlineLevel="1">
      <c r="A139" s="116"/>
      <c r="B139" s="116"/>
      <c r="C139" s="145"/>
      <c r="D139" s="111"/>
      <c r="E139" s="111"/>
      <c r="F139" s="116"/>
      <c r="G139" s="116"/>
      <c r="H139" s="116"/>
      <c r="I139" s="116"/>
      <c r="J139" s="126"/>
      <c r="K139" s="115"/>
      <c r="L139" s="116"/>
      <c r="M139" s="117" t="str">
        <f>IFERROR(__xludf.DUMMYFUNCTION("IF(
  K139="""",
  """",
  ROUND(
    IF(
      L139="""",
      K139,
      IF(
        ISERROR(FIND(""-"",L139)),
        K139 - VALUE(REGEXEXTRACT(L139,""(\d+)"")),
        K139 * (1 - VALUE(REGEXEXTRACT(L139,""(\d+)""))/100)
      )
    ),
    2
  )
)"&amp;"
")," ")</f>
        <v/>
      </c>
      <c r="N139" s="111"/>
      <c r="O139" s="118" t="b">
        <v>0</v>
      </c>
      <c r="P139" s="119"/>
      <c r="Q139" s="120"/>
      <c r="R139" s="121" t="b">
        <v>0</v>
      </c>
      <c r="S139" s="121" t="b">
        <v>0</v>
      </c>
      <c r="T139" s="122" t="b">
        <v>0</v>
      </c>
    </row>
    <row r="140" hidden="1" outlineLevel="1">
      <c r="A140" s="116"/>
      <c r="B140" s="116"/>
      <c r="C140" s="145"/>
      <c r="D140" s="111"/>
      <c r="E140" s="111"/>
      <c r="F140" s="116"/>
      <c r="G140" s="116"/>
      <c r="H140" s="116"/>
      <c r="I140" s="116"/>
      <c r="J140" s="126"/>
      <c r="K140" s="115"/>
      <c r="L140" s="116"/>
      <c r="M140" s="117" t="str">
        <f>IFERROR(__xludf.DUMMYFUNCTION("IF(
  K140="""",
  """",
  ROUND(
    IF(
      L140="""",
      K140,
      IF(
        ISERROR(FIND(""-"",L140)),
        K140 - VALUE(REGEXEXTRACT(L140,""(\d+)"")),
        K140 * (1 - VALUE(REGEXEXTRACT(L140,""(\d+)""))/100)
      )
    ),
    2
  )
)"&amp;"
")," ")</f>
        <v/>
      </c>
      <c r="N140" s="111"/>
      <c r="O140" s="118" t="b">
        <v>0</v>
      </c>
      <c r="P140" s="119"/>
      <c r="Q140" s="120"/>
      <c r="R140" s="121" t="b">
        <v>0</v>
      </c>
      <c r="S140" s="121" t="b">
        <v>0</v>
      </c>
      <c r="T140" s="122" t="b">
        <v>0</v>
      </c>
    </row>
    <row r="141" hidden="1" outlineLevel="1">
      <c r="A141" s="116"/>
      <c r="B141" s="116"/>
      <c r="C141" s="145"/>
      <c r="D141" s="111"/>
      <c r="E141" s="111"/>
      <c r="F141" s="116"/>
      <c r="G141" s="116"/>
      <c r="H141" s="116"/>
      <c r="I141" s="116"/>
      <c r="J141" s="126"/>
      <c r="K141" s="115"/>
      <c r="L141" s="116"/>
      <c r="M141" s="117" t="str">
        <f>IFERROR(__xludf.DUMMYFUNCTION("IF(
  K141="""",
  """",
  ROUND(
    IF(
      L141="""",
      K141,
      IF(
        ISERROR(FIND(""-"",L141)),
        K141 - VALUE(REGEXEXTRACT(L141,""(\d+)"")),
        K141 * (1 - VALUE(REGEXEXTRACT(L141,""(\d+)""))/100)
      )
    ),
    2
  )
)"&amp;"
")," ")</f>
        <v/>
      </c>
      <c r="N141" s="111"/>
      <c r="O141" s="118" t="b">
        <v>0</v>
      </c>
      <c r="P141" s="119"/>
      <c r="Q141" s="120"/>
      <c r="R141" s="121" t="b">
        <v>0</v>
      </c>
      <c r="S141" s="121" t="b">
        <v>0</v>
      </c>
      <c r="T141" s="122" t="b">
        <v>0</v>
      </c>
    </row>
    <row r="142" hidden="1" outlineLevel="1">
      <c r="A142" s="116"/>
      <c r="B142" s="116"/>
      <c r="C142" s="146"/>
      <c r="D142" s="111"/>
      <c r="E142" s="111"/>
      <c r="F142" s="111"/>
      <c r="G142" s="111"/>
      <c r="H142" s="111"/>
      <c r="I142" s="111"/>
      <c r="J142" s="126"/>
      <c r="K142" s="115"/>
      <c r="L142" s="116"/>
      <c r="M142" s="117" t="str">
        <f>IFERROR(__xludf.DUMMYFUNCTION("IF(
  K142="""",
  """",
  ROUND(
    IF(
      L142="""",
      K142,
      IF(
        ISERROR(FIND(""-"",L142)),
        K142 - VALUE(REGEXEXTRACT(L142,""(\d+)"")),
        K142 * (1 - VALUE(REGEXEXTRACT(L142,""(\d+)""))/100)
      )
    ),
    2
  )
)"&amp;"
")," ")</f>
        <v/>
      </c>
      <c r="N142" s="111"/>
      <c r="O142" s="118" t="b">
        <v>0</v>
      </c>
      <c r="P142" s="119"/>
      <c r="Q142" s="120"/>
      <c r="R142" s="121" t="b">
        <v>0</v>
      </c>
      <c r="S142" s="121" t="b">
        <v>0</v>
      </c>
      <c r="T142" s="122" t="b">
        <v>0</v>
      </c>
    </row>
    <row r="143" hidden="1" outlineLevel="1">
      <c r="A143" s="131"/>
      <c r="B143" s="131"/>
      <c r="C143" s="147"/>
      <c r="D143" s="111"/>
      <c r="E143" s="111"/>
      <c r="F143" s="131"/>
      <c r="G143" s="131"/>
      <c r="H143" s="131"/>
      <c r="I143" s="131"/>
      <c r="J143" s="148"/>
      <c r="K143" s="115"/>
      <c r="L143" s="131"/>
      <c r="M143" s="117" t="str">
        <f>IFERROR(__xludf.DUMMYFUNCTION("IF(
  K143="""",
  """",
  ROUND(
    IF(
      L143="""",
      K143,
      IF(
        ISERROR(FIND(""-"",L143)),
        K143 - VALUE(REGEXEXTRACT(L143,""(\d+)"")),
        K143 * (1 - VALUE(REGEXEXTRACT(L143,""(\d+)""))/100)
      )
    ),
    2
  )
)"&amp;"
")," ")</f>
        <v/>
      </c>
      <c r="N143" s="131"/>
      <c r="O143" s="118" t="b">
        <v>0</v>
      </c>
      <c r="P143" s="119"/>
      <c r="Q143" s="149"/>
      <c r="R143" s="121" t="b">
        <v>0</v>
      </c>
      <c r="S143" s="121" t="b">
        <v>0</v>
      </c>
      <c r="T143" s="122" t="b">
        <v>0</v>
      </c>
    </row>
    <row r="144" hidden="1" outlineLevel="1">
      <c r="A144" s="116"/>
      <c r="B144" s="116"/>
      <c r="C144" s="146"/>
      <c r="D144" s="111"/>
      <c r="E144" s="111"/>
      <c r="F144" s="116"/>
      <c r="G144" s="116"/>
      <c r="H144" s="116"/>
      <c r="I144" s="116"/>
      <c r="J144" s="126"/>
      <c r="K144" s="115"/>
      <c r="L144" s="116"/>
      <c r="M144" s="117" t="str">
        <f>IFERROR(__xludf.DUMMYFUNCTION("IF(
  K144="""",
  """",
  ROUND(
    IF(
      L144="""",
      K144,
      IF(
        ISERROR(FIND(""-"",L144)),
        K144 - VALUE(REGEXEXTRACT(L144,""(\d+)"")),
        K144 * (1 - VALUE(REGEXEXTRACT(L144,""(\d+)""))/100)
      )
    ),
    2
  )
)"&amp;"
")," ")</f>
        <v/>
      </c>
      <c r="N144" s="111"/>
      <c r="O144" s="118" t="b">
        <v>0</v>
      </c>
      <c r="P144" s="119"/>
      <c r="Q144" s="120"/>
      <c r="R144" s="121" t="b">
        <v>0</v>
      </c>
      <c r="S144" s="121" t="b">
        <v>0</v>
      </c>
      <c r="T144" s="122" t="b">
        <v>0</v>
      </c>
    </row>
    <row r="145" hidden="1" outlineLevel="1">
      <c r="A145" s="116"/>
      <c r="B145" s="116"/>
      <c r="C145" s="145"/>
      <c r="D145" s="111"/>
      <c r="E145" s="111"/>
      <c r="F145" s="116"/>
      <c r="G145" s="116"/>
      <c r="H145" s="116"/>
      <c r="I145" s="116"/>
      <c r="J145" s="126"/>
      <c r="K145" s="115"/>
      <c r="L145" s="116"/>
      <c r="M145" s="150" t="str">
        <f>IFERROR(__xludf.DUMMYFUNCTION("IF(
  K145="""",
  """",
  ROUND(
    IF(
      L145="""",
      K145,
      IF(
        ISERROR(FIND(""-"",L145)),
        K145 - VALUE(REGEXEXTRACT(L145,""(\d+)"")),
        K145 * (1 - VALUE(REGEXEXTRACT(L145,""(\d+)""))/100)
      )
    ),
    2
  )
)"&amp;"
")," ")</f>
        <v/>
      </c>
      <c r="N145" s="111"/>
      <c r="O145" s="118" t="b">
        <v>0</v>
      </c>
      <c r="P145" s="119"/>
      <c r="Q145" s="120"/>
      <c r="R145" s="121" t="b">
        <v>0</v>
      </c>
      <c r="S145" s="121" t="b">
        <v>0</v>
      </c>
      <c r="T145" s="122" t="b">
        <v>0</v>
      </c>
    </row>
    <row r="146" hidden="1" outlineLevel="1">
      <c r="A146" s="116"/>
      <c r="B146" s="116"/>
      <c r="C146" s="145"/>
      <c r="D146" s="111"/>
      <c r="E146" s="111"/>
      <c r="F146" s="116"/>
      <c r="G146" s="116"/>
      <c r="H146" s="151"/>
      <c r="I146" s="116"/>
      <c r="J146" s="126"/>
      <c r="K146" s="115"/>
      <c r="L146" s="116"/>
      <c r="M146" s="150" t="str">
        <f>IFERROR(__xludf.DUMMYFUNCTION("IF(
  K146="""",
  """",
  ROUND(
    IF(
      L146="""",
      K146,
      IF(
        ISERROR(FIND(""-"",L146)),
        K146 - VALUE(REGEXEXTRACT(L146,""(\d+)"")),
        K146 * (1 - VALUE(REGEXEXTRACT(L146,""(\d+)""))/100)
      )
    ),
    2
  )
)"&amp;"
")," ")</f>
        <v/>
      </c>
      <c r="N146" s="116"/>
      <c r="O146" s="118" t="b">
        <v>0</v>
      </c>
      <c r="P146" s="119"/>
      <c r="Q146" s="120"/>
      <c r="R146" s="121" t="b">
        <v>0</v>
      </c>
      <c r="S146" s="121" t="b">
        <v>0</v>
      </c>
      <c r="T146" s="122" t="b">
        <v>0</v>
      </c>
    </row>
    <row r="147" hidden="1" outlineLevel="1">
      <c r="A147" s="131"/>
      <c r="B147" s="131"/>
      <c r="C147" s="130"/>
      <c r="D147" s="111"/>
      <c r="E147" s="111"/>
      <c r="F147" s="131"/>
      <c r="G147" s="131"/>
      <c r="H147" s="152"/>
      <c r="I147" s="131"/>
      <c r="J147" s="153"/>
      <c r="K147" s="115"/>
      <c r="L147" s="116"/>
      <c r="M147" s="150" t="str">
        <f>IFERROR(__xludf.DUMMYFUNCTION("IF(
  K147="""",
  """",
  ROUND(
    IF(
      L147="""",
      K147,
      IF(
        ISERROR(FIND(""-"",L147)),
        K147 - VALUE(REGEXEXTRACT(L147,""(\d+)"")),
        K147 * (1 - VALUE(REGEXEXTRACT(L147,""(\d+)""))/100)
      )
    ),
    2
  )
)"&amp;"
")," ")</f>
        <v/>
      </c>
      <c r="N147" s="131"/>
      <c r="O147" s="118" t="b">
        <v>0</v>
      </c>
      <c r="P147" s="119"/>
      <c r="Q147" s="120"/>
      <c r="R147" s="121" t="b">
        <v>0</v>
      </c>
      <c r="S147" s="121" t="b">
        <v>0</v>
      </c>
      <c r="T147" s="122" t="b">
        <v>0</v>
      </c>
    </row>
    <row r="148" hidden="1" outlineLevel="1">
      <c r="A148" s="131"/>
      <c r="B148" s="131"/>
      <c r="C148" s="130"/>
      <c r="D148" s="111"/>
      <c r="E148" s="111"/>
      <c r="F148" s="131"/>
      <c r="G148" s="131"/>
      <c r="H148" s="152"/>
      <c r="I148" s="131"/>
      <c r="J148" s="153"/>
      <c r="K148" s="115"/>
      <c r="L148" s="116"/>
      <c r="M148" s="150" t="str">
        <f>IFERROR(__xludf.DUMMYFUNCTION("IF(
  K148="""",
  """",
  ROUND(
    IF(
      L148="""",
      K148,
      IF(
        ISERROR(FIND(""-"",L148)),
        K148 - VALUE(REGEXEXTRACT(L148,""(\d+)"")),
        K148 * (1 - VALUE(REGEXEXTRACT(L148,""(\d+)""))/100)
      )
    ),
    2
  )
)"&amp;"
")," ")</f>
        <v/>
      </c>
      <c r="N148" s="131"/>
      <c r="O148" s="118" t="b">
        <v>0</v>
      </c>
      <c r="P148" s="119"/>
      <c r="Q148" s="120"/>
      <c r="R148" s="121" t="b">
        <v>0</v>
      </c>
      <c r="S148" s="121" t="b">
        <v>0</v>
      </c>
      <c r="T148" s="122" t="b">
        <v>0</v>
      </c>
    </row>
    <row r="149" hidden="1" outlineLevel="1">
      <c r="A149" s="131"/>
      <c r="B149" s="131"/>
      <c r="C149" s="130"/>
      <c r="D149" s="111"/>
      <c r="E149" s="111"/>
      <c r="F149" s="131"/>
      <c r="G149" s="131"/>
      <c r="H149" s="152"/>
      <c r="I149" s="131"/>
      <c r="J149" s="153"/>
      <c r="K149" s="115"/>
      <c r="L149" s="116"/>
      <c r="M149" s="150" t="str">
        <f>IFERROR(__xludf.DUMMYFUNCTION("IF(
  K149="""",
  """",
  ROUND(
    IF(
      L149="""",
      K149,
      IF(
        ISERROR(FIND(""-"",L149)),
        K149 - VALUE(REGEXEXTRACT(L149,""(\d+)"")),
        K149 * (1 - VALUE(REGEXEXTRACT(L149,""(\d+)""))/100)
      )
    ),
    2
  )
)"&amp;"
")," ")</f>
        <v/>
      </c>
      <c r="N149" s="131"/>
      <c r="O149" s="118" t="b">
        <v>0</v>
      </c>
      <c r="P149" s="119"/>
      <c r="Q149" s="120"/>
      <c r="R149" s="121" t="b">
        <v>0</v>
      </c>
      <c r="S149" s="121" t="b">
        <v>0</v>
      </c>
      <c r="T149" s="122" t="b">
        <v>0</v>
      </c>
    </row>
    <row r="150" hidden="1" outlineLevel="1">
      <c r="A150" s="131"/>
      <c r="B150" s="131"/>
      <c r="C150" s="130"/>
      <c r="D150" s="111"/>
      <c r="E150" s="111"/>
      <c r="F150" s="131"/>
      <c r="G150" s="131"/>
      <c r="H150" s="152"/>
      <c r="I150" s="131"/>
      <c r="J150" s="153"/>
      <c r="K150" s="115"/>
      <c r="L150" s="116"/>
      <c r="M150" s="150" t="str">
        <f>IFERROR(__xludf.DUMMYFUNCTION("IF(
  K150="""",
  """",
  ROUND(
    IF(
      L150="""",
      K150,
      IF(
        ISERROR(FIND(""-"",L150)),
        K150 - VALUE(REGEXEXTRACT(L150,""(\d+)"")),
        K150 * (1 - VALUE(REGEXEXTRACT(L150,""(\d+)""))/100)
      )
    ),
    2
  )
)"&amp;"
")," ")</f>
        <v/>
      </c>
      <c r="N150" s="131"/>
      <c r="O150" s="118" t="b">
        <v>0</v>
      </c>
      <c r="P150" s="119"/>
      <c r="Q150" s="120"/>
      <c r="R150" s="121" t="b">
        <v>0</v>
      </c>
      <c r="S150" s="121" t="b">
        <v>0</v>
      </c>
      <c r="T150" s="122" t="b">
        <v>0</v>
      </c>
    </row>
    <row r="151" hidden="1" outlineLevel="1">
      <c r="A151" s="116"/>
      <c r="B151" s="116"/>
      <c r="C151" s="129"/>
      <c r="D151" s="111"/>
      <c r="E151" s="111"/>
      <c r="F151" s="116"/>
      <c r="G151" s="116"/>
      <c r="H151" s="151"/>
      <c r="I151" s="116"/>
      <c r="J151" s="134"/>
      <c r="K151" s="115"/>
      <c r="L151" s="116"/>
      <c r="M151" s="150" t="str">
        <f>IFERROR(__xludf.DUMMYFUNCTION("IF(
  K151="""",
  """",
  ROUND(
    IF(
      L151="""",
      K151,
      IF(
        ISERROR(FIND(""-"",L151)),
        K151 - VALUE(REGEXEXTRACT(L151,""(\d+)"")),
        K151 * (1 - VALUE(REGEXEXTRACT(L151,""(\d+)""))/100)
      )
    ),
    2
  )
)"&amp;"
")," ")</f>
        <v/>
      </c>
      <c r="N151" s="116"/>
      <c r="O151" s="118" t="b">
        <v>0</v>
      </c>
      <c r="P151" s="119"/>
      <c r="Q151" s="120"/>
      <c r="R151" s="121" t="b">
        <v>0</v>
      </c>
      <c r="S151" s="121" t="b">
        <v>0</v>
      </c>
      <c r="T151" s="122" t="b">
        <v>0</v>
      </c>
    </row>
    <row r="152" hidden="1" outlineLevel="1">
      <c r="A152" s="116"/>
      <c r="B152" s="116"/>
      <c r="C152" s="129"/>
      <c r="D152" s="111"/>
      <c r="E152" s="111"/>
      <c r="F152" s="116"/>
      <c r="G152" s="116"/>
      <c r="H152" s="151"/>
      <c r="I152" s="116"/>
      <c r="J152" s="134"/>
      <c r="K152" s="115"/>
      <c r="L152" s="116"/>
      <c r="M152" s="150" t="str">
        <f>IFERROR(__xludf.DUMMYFUNCTION("IF(
  K152="""",
  """",
  ROUND(
    IF(
      L152="""",
      K152,
      IF(
        ISERROR(FIND(""-"",L152)),
        K152 - VALUE(REGEXEXTRACT(L152,""(\d+)"")),
        K152 * (1 - VALUE(REGEXEXTRACT(L152,""(\d+)""))/100)
      )
    ),
    2
  )
)"&amp;"
")," ")</f>
        <v/>
      </c>
      <c r="N152" s="116"/>
      <c r="O152" s="118" t="b">
        <v>0</v>
      </c>
      <c r="P152" s="119"/>
      <c r="Q152" s="120"/>
      <c r="R152" s="121" t="b">
        <v>0</v>
      </c>
      <c r="S152" s="121" t="b">
        <v>0</v>
      </c>
      <c r="T152" s="122" t="b">
        <v>0</v>
      </c>
    </row>
    <row r="153" hidden="1" outlineLevel="1">
      <c r="A153" s="116"/>
      <c r="B153" s="116"/>
      <c r="C153" s="129"/>
      <c r="D153" s="111"/>
      <c r="E153" s="111"/>
      <c r="F153" s="116"/>
      <c r="G153" s="116"/>
      <c r="H153" s="151"/>
      <c r="I153" s="116"/>
      <c r="J153" s="134"/>
      <c r="K153" s="115"/>
      <c r="L153" s="116"/>
      <c r="M153" s="150" t="str">
        <f>IFERROR(__xludf.DUMMYFUNCTION("IF(
  K153="""",
  """",
  ROUND(
    IF(
      L153="""",
      K153,
      IF(
        ISERROR(FIND(""-"",L153)),
        K153 - VALUE(REGEXEXTRACT(L153,""(\d+)"")),
        K153 * (1 - VALUE(REGEXEXTRACT(L153,""(\d+)""))/100)
      )
    ),
    2
  )
)"&amp;"
")," ")</f>
        <v/>
      </c>
      <c r="N153" s="116"/>
      <c r="O153" s="118" t="b">
        <v>0</v>
      </c>
      <c r="P153" s="119"/>
      <c r="Q153" s="120"/>
      <c r="R153" s="121" t="b">
        <v>0</v>
      </c>
      <c r="S153" s="121" t="b">
        <v>0</v>
      </c>
      <c r="T153" s="122" t="b">
        <v>0</v>
      </c>
    </row>
    <row r="154" hidden="1" outlineLevel="1">
      <c r="A154" s="111"/>
      <c r="B154" s="116"/>
      <c r="C154" s="112"/>
      <c r="D154" s="111"/>
      <c r="E154" s="111"/>
      <c r="F154" s="111"/>
      <c r="G154" s="111"/>
      <c r="H154" s="144"/>
      <c r="I154" s="111"/>
      <c r="J154" s="114"/>
      <c r="K154" s="115"/>
      <c r="L154" s="116"/>
      <c r="M154" s="117" t="str">
        <f>IFERROR(__xludf.DUMMYFUNCTION("IF(
  K154="""",
  """",
  ROUND(
    IF(
      L154="""",
      K154,
      IF(
        ISERROR(FIND(""-"",L154)),
        K154 - VALUE(REGEXEXTRACT(L154,""(\d+)"")),
        K154 * (1 - VALUE(REGEXEXTRACT(L154,""(\d+)""))/100)
      )
    ),
    2
  )
)"&amp;"
")," ")</f>
        <v/>
      </c>
      <c r="N154" s="111"/>
      <c r="O154" s="154" t="b">
        <v>0</v>
      </c>
      <c r="P154" s="119"/>
      <c r="Q154" s="120"/>
      <c r="R154" s="121" t="b">
        <v>0</v>
      </c>
      <c r="S154" s="121" t="b">
        <v>0</v>
      </c>
      <c r="T154" s="122" t="b">
        <v>0</v>
      </c>
    </row>
    <row r="155" hidden="1" outlineLevel="1">
      <c r="A155" s="111"/>
      <c r="B155" s="116"/>
      <c r="C155" s="112"/>
      <c r="D155" s="111"/>
      <c r="E155" s="111"/>
      <c r="F155" s="111"/>
      <c r="G155" s="111"/>
      <c r="H155" s="144"/>
      <c r="I155" s="111"/>
      <c r="J155" s="114"/>
      <c r="K155" s="115"/>
      <c r="L155" s="116"/>
      <c r="M155" s="117" t="str">
        <f>IFERROR(__xludf.DUMMYFUNCTION("IF(
  K155="""",
  """",
  ROUND(
    IF(
      L155="""",
      K155,
      IF(
        ISERROR(FIND(""-"",L155)),
        K155 - VALUE(REGEXEXTRACT(L155,""(\d+)"")),
        K155 * (1 - VALUE(REGEXEXTRACT(L155,""(\d+)""))/100)
      )
    ),
    2
  )
)"&amp;"
")," ")</f>
        <v/>
      </c>
      <c r="N155" s="111"/>
      <c r="O155" s="154" t="b">
        <v>0</v>
      </c>
      <c r="P155" s="119"/>
      <c r="Q155" s="120"/>
      <c r="R155" s="121" t="b">
        <v>0</v>
      </c>
      <c r="S155" s="121" t="b">
        <v>0</v>
      </c>
      <c r="T155" s="122" t="b">
        <v>0</v>
      </c>
    </row>
    <row r="156" hidden="1" outlineLevel="1">
      <c r="A156" s="111"/>
      <c r="B156" s="116"/>
      <c r="C156" s="112"/>
      <c r="D156" s="111"/>
      <c r="E156" s="111"/>
      <c r="F156" s="111"/>
      <c r="G156" s="111"/>
      <c r="H156" s="144"/>
      <c r="I156" s="111"/>
      <c r="J156" s="114"/>
      <c r="K156" s="115"/>
      <c r="L156" s="116"/>
      <c r="M156" s="117" t="str">
        <f>IFERROR(__xludf.DUMMYFUNCTION("IF(
  K156="""",
  """",
  ROUND(
    IF(
      L156="""",
      K156,
      IF(
        ISERROR(FIND(""-"",L156)),
        K156 - VALUE(REGEXEXTRACT(L156,""(\d+)"")),
        K156 * (1 - VALUE(REGEXEXTRACT(L156,""(\d+)""))/100)
      )
    ),
    2
  )
)"&amp;"
")," ")</f>
        <v/>
      </c>
      <c r="N156" s="111"/>
      <c r="O156" s="154" t="b">
        <v>0</v>
      </c>
      <c r="P156" s="119"/>
      <c r="Q156" s="120"/>
      <c r="R156" s="121" t="b">
        <v>0</v>
      </c>
      <c r="S156" s="121" t="b">
        <v>0</v>
      </c>
      <c r="T156" s="122" t="b">
        <v>0</v>
      </c>
    </row>
    <row r="157" hidden="1" outlineLevel="1">
      <c r="A157" s="111"/>
      <c r="B157" s="116"/>
      <c r="C157" s="112"/>
      <c r="D157" s="111"/>
      <c r="E157" s="111"/>
      <c r="F157" s="111"/>
      <c r="G157" s="111"/>
      <c r="H157" s="144"/>
      <c r="I157" s="111"/>
      <c r="J157" s="114"/>
      <c r="K157" s="115"/>
      <c r="L157" s="116"/>
      <c r="M157" s="117" t="str">
        <f>IFERROR(__xludf.DUMMYFUNCTION("IF(
  K157="""",
  """",
  ROUND(
    IF(
      L157="""",
      K157,
      IF(
        ISERROR(FIND(""-"",L157)),
        K157 - VALUE(REGEXEXTRACT(L157,""(\d+)"")),
        K157 * (1 - VALUE(REGEXEXTRACT(L157,""(\d+)""))/100)
      )
    ),
    2
  )
)"&amp;"
")," ")</f>
        <v/>
      </c>
      <c r="N157" s="111"/>
      <c r="O157" s="154" t="b">
        <v>0</v>
      </c>
      <c r="P157" s="119"/>
      <c r="Q157" s="120"/>
      <c r="R157" s="121" t="b">
        <v>0</v>
      </c>
      <c r="S157" s="121" t="b">
        <v>0</v>
      </c>
      <c r="T157" s="122" t="b">
        <v>0</v>
      </c>
    </row>
    <row r="158" hidden="1" outlineLevel="1">
      <c r="A158" s="111"/>
      <c r="B158" s="116"/>
      <c r="C158" s="112"/>
      <c r="D158" s="111"/>
      <c r="E158" s="111"/>
      <c r="F158" s="111"/>
      <c r="G158" s="111"/>
      <c r="H158" s="144"/>
      <c r="I158" s="111"/>
      <c r="J158" s="114"/>
      <c r="K158" s="115"/>
      <c r="L158" s="116"/>
      <c r="M158" s="117" t="str">
        <f>IFERROR(__xludf.DUMMYFUNCTION("IF(
  K158="""",
  """",
  ROUND(
    IF(
      L158="""",
      K158,
      IF(
        ISERROR(FIND(""-"",L158)),
        K158 - VALUE(REGEXEXTRACT(L158,""(\d+)"")),
        K158 * (1 - VALUE(REGEXEXTRACT(L158,""(\d+)""))/100)
      )
    ),
    2
  )
)"&amp;"
")," ")</f>
        <v/>
      </c>
      <c r="N158" s="111"/>
      <c r="O158" s="154" t="b">
        <v>0</v>
      </c>
      <c r="P158" s="119"/>
      <c r="Q158" s="120"/>
      <c r="R158" s="121" t="b">
        <v>0</v>
      </c>
      <c r="S158" s="121" t="b">
        <v>0</v>
      </c>
      <c r="T158" s="122" t="b">
        <v>0</v>
      </c>
    </row>
    <row r="159" hidden="1" outlineLevel="1">
      <c r="A159" s="111"/>
      <c r="B159" s="116"/>
      <c r="C159" s="112"/>
      <c r="D159" s="111"/>
      <c r="E159" s="111"/>
      <c r="F159" s="111"/>
      <c r="G159" s="111"/>
      <c r="H159" s="144"/>
      <c r="I159" s="111"/>
      <c r="J159" s="114"/>
      <c r="K159" s="115"/>
      <c r="L159" s="116"/>
      <c r="M159" s="117" t="str">
        <f>IFERROR(__xludf.DUMMYFUNCTION("IF(
  K159="""",
  """",
  ROUND(
    IF(
      L159="""",
      K159,
      IF(
        ISERROR(FIND(""-"",L159)),
        K159 - VALUE(REGEXEXTRACT(L159,""(\d+)"")),
        K159 * (1 - VALUE(REGEXEXTRACT(L159,""(\d+)""))/100)
      )
    ),
    2
  )
)"&amp;"
")," ")</f>
        <v/>
      </c>
      <c r="N159" s="111"/>
      <c r="O159" s="154" t="b">
        <v>0</v>
      </c>
      <c r="P159" s="119"/>
      <c r="Q159" s="120"/>
      <c r="R159" s="121" t="b">
        <v>0</v>
      </c>
      <c r="S159" s="121" t="b">
        <v>0</v>
      </c>
      <c r="T159" s="122" t="b">
        <v>0</v>
      </c>
    </row>
    <row r="160" hidden="1" outlineLevel="1">
      <c r="A160" s="111"/>
      <c r="B160" s="116"/>
      <c r="C160" s="112"/>
      <c r="D160" s="111"/>
      <c r="E160" s="111"/>
      <c r="F160" s="111"/>
      <c r="G160" s="111"/>
      <c r="H160" s="144"/>
      <c r="I160" s="111"/>
      <c r="J160" s="114"/>
      <c r="K160" s="115"/>
      <c r="L160" s="116"/>
      <c r="M160" s="117" t="str">
        <f>IFERROR(__xludf.DUMMYFUNCTION("IF(
  K160="""",
  """",
  ROUND(
    IF(
      L160="""",
      K160,
      IF(
        ISERROR(FIND(""-"",L160)),
        K160 - VALUE(REGEXEXTRACT(L160,""(\d+)"")),
        K160 * (1 - VALUE(REGEXEXTRACT(L160,""(\d+)""))/100)
      )
    ),
    2
  )
)"&amp;"
")," ")</f>
        <v/>
      </c>
      <c r="N160" s="111"/>
      <c r="O160" s="154" t="b">
        <v>0</v>
      </c>
      <c r="P160" s="119"/>
      <c r="Q160" s="120"/>
      <c r="R160" s="121" t="b">
        <v>0</v>
      </c>
      <c r="S160" s="121" t="b">
        <v>0</v>
      </c>
      <c r="T160" s="122" t="b">
        <v>0</v>
      </c>
    </row>
    <row r="161" hidden="1" outlineLevel="1">
      <c r="A161" s="111"/>
      <c r="B161" s="116"/>
      <c r="C161" s="112"/>
      <c r="D161" s="111"/>
      <c r="E161" s="111"/>
      <c r="F161" s="111"/>
      <c r="G161" s="111"/>
      <c r="H161" s="144"/>
      <c r="I161" s="111"/>
      <c r="J161" s="114"/>
      <c r="K161" s="115"/>
      <c r="L161" s="116"/>
      <c r="M161" s="117" t="str">
        <f>IFERROR(__xludf.DUMMYFUNCTION("IF(
  K161="""",
  """",
  ROUND(
    IF(
      L161="""",
      K161,
      IF(
        ISERROR(FIND(""-"",L161)),
        K161 - VALUE(REGEXEXTRACT(L161,""(\d+)"")),
        K161 * (1 - VALUE(REGEXEXTRACT(L161,""(\d+)""))/100)
      )
    ),
    2
  )
)"&amp;"
")," ")</f>
        <v/>
      </c>
      <c r="N161" s="111"/>
      <c r="O161" s="154" t="b">
        <v>0</v>
      </c>
      <c r="P161" s="119"/>
      <c r="Q161" s="120"/>
      <c r="R161" s="121" t="b">
        <v>0</v>
      </c>
      <c r="S161" s="121" t="b">
        <v>0</v>
      </c>
      <c r="T161" s="122" t="b">
        <v>0</v>
      </c>
    </row>
    <row r="162" hidden="1" outlineLevel="1">
      <c r="A162" s="111"/>
      <c r="B162" s="116"/>
      <c r="C162" s="112"/>
      <c r="D162" s="111"/>
      <c r="E162" s="111"/>
      <c r="F162" s="111"/>
      <c r="G162" s="111"/>
      <c r="H162" s="144"/>
      <c r="I162" s="111"/>
      <c r="J162" s="114"/>
      <c r="K162" s="115"/>
      <c r="L162" s="116"/>
      <c r="M162" s="117" t="str">
        <f>IFERROR(__xludf.DUMMYFUNCTION("IF(
  K162="""",
  """",
  ROUND(
    IF(
      L162="""",
      K162,
      IF(
        ISERROR(FIND(""-"",L162)),
        K162 - VALUE(REGEXEXTRACT(L162,""(\d+)"")),
        K162 * (1 - VALUE(REGEXEXTRACT(L162,""(\d+)""))/100)
      )
    ),
    2
  )
)"&amp;"
")," ")</f>
        <v/>
      </c>
      <c r="N162" s="111"/>
      <c r="O162" s="154" t="b">
        <v>0</v>
      </c>
      <c r="P162" s="119"/>
      <c r="Q162" s="120"/>
      <c r="R162" s="121" t="b">
        <v>0</v>
      </c>
      <c r="S162" s="121" t="b">
        <v>0</v>
      </c>
      <c r="T162" s="122" t="b">
        <v>0</v>
      </c>
    </row>
    <row r="163" hidden="1" outlineLevel="1">
      <c r="A163" s="111"/>
      <c r="B163" s="116"/>
      <c r="C163" s="112"/>
      <c r="D163" s="111"/>
      <c r="E163" s="111"/>
      <c r="F163" s="111"/>
      <c r="G163" s="111"/>
      <c r="H163" s="144"/>
      <c r="I163" s="111"/>
      <c r="J163" s="114"/>
      <c r="K163" s="115"/>
      <c r="L163" s="116"/>
      <c r="M163" s="117" t="str">
        <f>IFERROR(__xludf.DUMMYFUNCTION("IF(
  K163="""",
  """",
  ROUND(
    IF(
      L163="""",
      K163,
      IF(
        ISERROR(FIND(""-"",L163)),
        K163 - VALUE(REGEXEXTRACT(L163,""(\d+)"")),
        K163 * (1 - VALUE(REGEXEXTRACT(L163,""(\d+)""))/100)
      )
    ),
    2
  )
)"&amp;"
")," ")</f>
        <v/>
      </c>
      <c r="N163" s="111"/>
      <c r="O163" s="154" t="b">
        <v>0</v>
      </c>
      <c r="P163" s="119"/>
      <c r="Q163" s="120"/>
      <c r="R163" s="121" t="b">
        <v>0</v>
      </c>
      <c r="S163" s="121" t="b">
        <v>0</v>
      </c>
      <c r="T163" s="122" t="b">
        <v>0</v>
      </c>
    </row>
    <row r="164" hidden="1" outlineLevel="1">
      <c r="A164" s="111"/>
      <c r="B164" s="116"/>
      <c r="C164" s="112"/>
      <c r="D164" s="111"/>
      <c r="E164" s="111"/>
      <c r="F164" s="111"/>
      <c r="G164" s="111"/>
      <c r="H164" s="144"/>
      <c r="I164" s="111"/>
      <c r="J164" s="114"/>
      <c r="K164" s="115"/>
      <c r="L164" s="116"/>
      <c r="M164" s="117" t="str">
        <f>IFERROR(__xludf.DUMMYFUNCTION("IF(
  K164="""",
  """",
  ROUND(
    IF(
      L164="""",
      K164,
      IF(
        ISERROR(FIND(""-"",L164)),
        K164 - VALUE(REGEXEXTRACT(L164,""(\d+)"")),
        K164 * (1 - VALUE(REGEXEXTRACT(L164,""(\d+)""))/100)
      )
    ),
    2
  )
)"&amp;"
")," ")</f>
        <v/>
      </c>
      <c r="N164" s="111"/>
      <c r="O164" s="154" t="b">
        <v>0</v>
      </c>
      <c r="P164" s="119"/>
      <c r="Q164" s="120"/>
      <c r="R164" s="121" t="b">
        <v>0</v>
      </c>
      <c r="S164" s="121" t="b">
        <v>0</v>
      </c>
      <c r="T164" s="122" t="b">
        <v>0</v>
      </c>
    </row>
    <row r="165" hidden="1" outlineLevel="1">
      <c r="A165" s="111"/>
      <c r="B165" s="116"/>
      <c r="C165" s="112"/>
      <c r="D165" s="111"/>
      <c r="E165" s="111"/>
      <c r="F165" s="111"/>
      <c r="G165" s="111"/>
      <c r="H165" s="144"/>
      <c r="I165" s="111"/>
      <c r="J165" s="114"/>
      <c r="K165" s="115"/>
      <c r="L165" s="116"/>
      <c r="M165" s="117" t="str">
        <f>IFERROR(__xludf.DUMMYFUNCTION("IF(
  K165="""",
  """",
  ROUND(
    IF(
      L165="""",
      K165,
      IF(
        ISERROR(FIND(""-"",L165)),
        K165 - VALUE(REGEXEXTRACT(L165,""(\d+)"")),
        K165 * (1 - VALUE(REGEXEXTRACT(L165,""(\d+)""))/100)
      )
    ),
    2
  )
)"&amp;"
")," ")</f>
        <v/>
      </c>
      <c r="N165" s="111"/>
      <c r="O165" s="154" t="b">
        <v>0</v>
      </c>
      <c r="P165" s="119"/>
      <c r="Q165" s="120"/>
      <c r="R165" s="121" t="b">
        <v>0</v>
      </c>
      <c r="S165" s="121" t="b">
        <v>0</v>
      </c>
      <c r="T165" s="122" t="b">
        <v>0</v>
      </c>
    </row>
    <row r="166" hidden="1" outlineLevel="1">
      <c r="A166" s="111"/>
      <c r="B166" s="116"/>
      <c r="C166" s="112"/>
      <c r="D166" s="111"/>
      <c r="E166" s="111"/>
      <c r="F166" s="111"/>
      <c r="G166" s="111"/>
      <c r="H166" s="144"/>
      <c r="I166" s="111"/>
      <c r="J166" s="114"/>
      <c r="K166" s="115"/>
      <c r="L166" s="116"/>
      <c r="M166" s="117" t="str">
        <f>IFERROR(__xludf.DUMMYFUNCTION("IF(
  K166="""",
  """",
  ROUND(
    IF(
      L166="""",
      K166,
      IF(
        ISERROR(FIND(""-"",L166)),
        K166 - VALUE(REGEXEXTRACT(L166,""(\d+)"")),
        K166 * (1 - VALUE(REGEXEXTRACT(L166,""(\d+)""))/100)
      )
    ),
    2
  )
)"&amp;"
")," ")</f>
        <v/>
      </c>
      <c r="N166" s="111"/>
      <c r="O166" s="154" t="b">
        <v>0</v>
      </c>
      <c r="P166" s="119"/>
      <c r="Q166" s="120"/>
      <c r="R166" s="121" t="b">
        <v>0</v>
      </c>
      <c r="S166" s="121" t="b">
        <v>0</v>
      </c>
      <c r="T166" s="122" t="b">
        <v>0</v>
      </c>
    </row>
    <row r="167" hidden="1" outlineLevel="1">
      <c r="A167" s="111"/>
      <c r="B167" s="116"/>
      <c r="C167" s="112"/>
      <c r="D167" s="111"/>
      <c r="E167" s="111"/>
      <c r="F167" s="111"/>
      <c r="G167" s="111"/>
      <c r="H167" s="144"/>
      <c r="I167" s="111"/>
      <c r="J167" s="114"/>
      <c r="K167" s="115"/>
      <c r="L167" s="116"/>
      <c r="M167" s="117" t="str">
        <f>IFERROR(__xludf.DUMMYFUNCTION("IF(
  K167="""",
  """",
  ROUND(
    IF(
      L167="""",
      K167,
      IF(
        ISERROR(FIND(""-"",L167)),
        K167 - VALUE(REGEXEXTRACT(L167,""(\d+)"")),
        K167 * (1 - VALUE(REGEXEXTRACT(L167,""(\d+)""))/100)
      )
    ),
    2
  )
)"&amp;"
")," ")</f>
        <v/>
      </c>
      <c r="N167" s="111"/>
      <c r="O167" s="154" t="b">
        <v>0</v>
      </c>
      <c r="P167" s="119"/>
      <c r="Q167" s="120"/>
      <c r="R167" s="121" t="b">
        <v>0</v>
      </c>
      <c r="S167" s="121" t="b">
        <v>0</v>
      </c>
      <c r="T167" s="122" t="b">
        <v>0</v>
      </c>
    </row>
    <row r="168" hidden="1" outlineLevel="1">
      <c r="A168" s="116"/>
      <c r="B168" s="116"/>
      <c r="C168" s="129"/>
      <c r="D168" s="111"/>
      <c r="E168" s="111"/>
      <c r="F168" s="116"/>
      <c r="G168" s="116"/>
      <c r="H168" s="151"/>
      <c r="I168" s="116"/>
      <c r="J168" s="132"/>
      <c r="K168" s="115"/>
      <c r="L168" s="116"/>
      <c r="M168" s="150" t="str">
        <f>IFERROR(__xludf.DUMMYFUNCTION("IF(
  K168="""",
  """",
  ROUND(
    IF(
      L168="""",
      K168,
      IF(
        ISERROR(FIND(""-"",L168)),
        K168 - VALUE(REGEXEXTRACT(L168,""(\d+)"")),
        K168 * (1 - VALUE(REGEXEXTRACT(L168,""(\d+)""))/100)
      )
    ),
    2
  )
)"&amp;"
")," ")</f>
        <v/>
      </c>
      <c r="N168" s="116"/>
      <c r="O168" s="118" t="b">
        <v>0</v>
      </c>
      <c r="P168" s="119"/>
      <c r="Q168" s="120"/>
      <c r="R168" s="121" t="b">
        <v>0</v>
      </c>
      <c r="S168" s="121" t="b">
        <v>0</v>
      </c>
      <c r="T168" s="122" t="b">
        <v>0</v>
      </c>
    </row>
    <row r="169" hidden="1" outlineLevel="1">
      <c r="A169" s="116"/>
      <c r="B169" s="116"/>
      <c r="C169" s="129"/>
      <c r="D169" s="111"/>
      <c r="E169" s="111"/>
      <c r="F169" s="116"/>
      <c r="G169" s="116"/>
      <c r="H169" s="151"/>
      <c r="I169" s="116"/>
      <c r="J169" s="132"/>
      <c r="K169" s="115"/>
      <c r="L169" s="116"/>
      <c r="M169" s="117" t="str">
        <f>IFERROR(__xludf.DUMMYFUNCTION("IF(
  K169="""",
  """",
  ROUND(
    IF(
      L169="""",
      K169,
      IF(
        ISERROR(FIND(""-"",L169)),
        K169 - VALUE(REGEXEXTRACT(L169,""(\d+)"")),
        K169 * (1 - VALUE(REGEXEXTRACT(L169,""(\d+)""))/100)
      )
    ),
    2
  )
)"&amp;"
")," ")</f>
        <v/>
      </c>
      <c r="N169" s="116"/>
      <c r="O169" s="118" t="b">
        <v>0</v>
      </c>
      <c r="P169" s="119"/>
      <c r="Q169" s="120"/>
      <c r="R169" s="121" t="b">
        <v>0</v>
      </c>
      <c r="S169" s="121" t="b">
        <v>0</v>
      </c>
      <c r="T169" s="122" t="b">
        <v>0</v>
      </c>
    </row>
    <row r="170" hidden="1" outlineLevel="1">
      <c r="A170" s="116"/>
      <c r="B170" s="116"/>
      <c r="C170" s="129"/>
      <c r="D170" s="111"/>
      <c r="E170" s="111"/>
      <c r="F170" s="116"/>
      <c r="G170" s="116"/>
      <c r="H170" s="151"/>
      <c r="I170" s="116"/>
      <c r="J170" s="129"/>
      <c r="K170" s="115"/>
      <c r="L170" s="116"/>
      <c r="M170" s="117" t="str">
        <f>IFERROR(__xludf.DUMMYFUNCTION("IF(
  K170="""",
  """",
  ROUND(
    IF(
      L170="""",
      K170,
      IF(
        ISERROR(FIND(""-"",L170)),
        K170 - VALUE(REGEXEXTRACT(L170,""(\d+)"")),
        K170 * (1 - VALUE(REGEXEXTRACT(L170,""(\d+)""))/100)
      )
    ),
    2
  )
)"&amp;"
")," ")</f>
        <v/>
      </c>
      <c r="N170" s="116"/>
      <c r="O170" s="118" t="b">
        <v>0</v>
      </c>
      <c r="P170" s="119"/>
      <c r="Q170" s="120"/>
      <c r="R170" s="121" t="b">
        <v>0</v>
      </c>
      <c r="S170" s="121" t="b">
        <v>0</v>
      </c>
      <c r="T170" s="122" t="b">
        <v>0</v>
      </c>
    </row>
    <row r="171" hidden="1" outlineLevel="1">
      <c r="A171" s="116"/>
      <c r="B171" s="116"/>
      <c r="C171" s="129"/>
      <c r="D171" s="111"/>
      <c r="E171" s="111"/>
      <c r="F171" s="116"/>
      <c r="G171" s="116"/>
      <c r="H171" s="151"/>
      <c r="I171" s="116"/>
      <c r="J171" s="129"/>
      <c r="K171" s="115"/>
      <c r="L171" s="116"/>
      <c r="M171" s="117" t="str">
        <f>IFERROR(__xludf.DUMMYFUNCTION("IF(
  K171="""",
  """",
  ROUND(
    IF(
      L171="""",
      K171,
      IF(
        ISERROR(FIND(""-"",L171)),
        K171 - VALUE(REGEXEXTRACT(L171,""(\d+)"")),
        K171 * (1 - VALUE(REGEXEXTRACT(L171,""(\d+)""))/100)
      )
    ),
    2
  )
)"&amp;"
")," ")</f>
        <v/>
      </c>
      <c r="N171" s="116"/>
      <c r="O171" s="118" t="b">
        <v>0</v>
      </c>
      <c r="P171" s="119"/>
      <c r="Q171" s="120"/>
      <c r="R171" s="121" t="b">
        <v>0</v>
      </c>
      <c r="S171" s="121" t="b">
        <v>0</v>
      </c>
      <c r="T171" s="122" t="b">
        <v>0</v>
      </c>
    </row>
    <row r="172" hidden="1" outlineLevel="1">
      <c r="A172" s="116"/>
      <c r="B172" s="116"/>
      <c r="C172" s="155"/>
      <c r="D172" s="111"/>
      <c r="E172" s="111"/>
      <c r="F172" s="156"/>
      <c r="G172" s="157"/>
      <c r="H172" s="156"/>
      <c r="I172" s="156"/>
      <c r="J172" s="158"/>
      <c r="K172" s="115"/>
      <c r="L172" s="116"/>
      <c r="M172" s="117" t="str">
        <f>IFERROR(__xludf.DUMMYFUNCTION("IF(
  K172="""",
  """",
  ROUND(
    IF(
      L172="""",
      K172,
      IF(
        ISERROR(FIND(""-"",L172)),
        K172 - VALUE(REGEXEXTRACT(L172,""(\d+)"")),
        K172 * (1 - VALUE(REGEXEXTRACT(L172,""(\d+)""))/100)
      )
    ),
    2
  )
)"&amp;"
")," ")</f>
        <v/>
      </c>
      <c r="N172" s="116"/>
      <c r="O172" s="118" t="b">
        <v>0</v>
      </c>
      <c r="P172" s="119"/>
      <c r="Q172" s="159"/>
      <c r="R172" s="121" t="b">
        <v>0</v>
      </c>
      <c r="S172" s="121" t="b">
        <v>0</v>
      </c>
      <c r="T172" s="122" t="b">
        <v>0</v>
      </c>
    </row>
    <row r="173">
      <c r="A173" s="160" t="s">
        <v>116</v>
      </c>
      <c r="B173" s="161">
        <f>COUNTIF(B92:B172,"ONLINE")+COUNTIF(B92:B172,"SEDE*")</f>
        <v>0</v>
      </c>
      <c r="C173" s="160" t="s">
        <v>116</v>
      </c>
      <c r="D173" s="161">
        <f t="shared" ref="D173:F173" si="9">COUNTIF(D92:D172, "*")</f>
        <v>0</v>
      </c>
      <c r="E173" s="161">
        <f t="shared" si="9"/>
        <v>0</v>
      </c>
      <c r="F173" s="161">
        <f t="shared" si="9"/>
        <v>0</v>
      </c>
      <c r="G173" s="162">
        <f>COUNTA(G92:G172)</f>
        <v>0</v>
      </c>
      <c r="H173" s="161">
        <f t="shared" ref="H173:I173" si="10">COUNTIF(H92:H172, "*")</f>
        <v>0</v>
      </c>
      <c r="I173" s="161">
        <f t="shared" si="10"/>
        <v>0</v>
      </c>
      <c r="J173" s="160" t="s">
        <v>116</v>
      </c>
      <c r="K173" s="163">
        <f>SUM(K92:K172)</f>
        <v>0</v>
      </c>
      <c r="L173" s="161">
        <f>COUNTIF(L92:L172, "*")</f>
        <v>0</v>
      </c>
      <c r="M173" s="163">
        <f>SUM(M92:M172)</f>
        <v>0</v>
      </c>
      <c r="N173" s="161">
        <f>COUNTIF(N92:N130, "*")+COUNTIF(N132:N172, "*")</f>
        <v>0</v>
      </c>
      <c r="O173" s="161">
        <f>SUMPRODUCT(--O92:O172)</f>
        <v>0</v>
      </c>
      <c r="P173" s="161">
        <f t="shared" ref="P173:Q173" si="11">COUNTIF(P92:P172, "*")</f>
        <v>0</v>
      </c>
      <c r="Q173" s="161">
        <f t="shared" si="11"/>
        <v>0</v>
      </c>
      <c r="R173" s="161">
        <f t="shared" ref="R173:T173" si="12">SUMPRODUCT(--R92:R172)</f>
        <v>0</v>
      </c>
      <c r="S173" s="161">
        <f t="shared" si="12"/>
        <v>0</v>
      </c>
      <c r="T173" s="161">
        <f t="shared" si="12"/>
        <v>0</v>
      </c>
    </row>
    <row r="174">
      <c r="A174" s="164" t="s">
        <v>117</v>
      </c>
      <c r="B174" s="165">
        <f>COUNTIF(B92:B172, "SEDE*")</f>
        <v>0</v>
      </c>
      <c r="C174" s="142"/>
      <c r="D174" s="166" t="s">
        <v>126</v>
      </c>
      <c r="E174" s="167" t="s">
        <v>119</v>
      </c>
      <c r="F174" s="168" t="str">
        <f>IFERROR(__xludf.DUMMYFUNCTION("IFERROR(TRANSPOSE(SORT(UNIQUE(FILTER($M$92:$M$172,$M$92:$M$172&lt;&gt;"""")))),"""")")," ")</f>
        <v/>
      </c>
      <c r="G174" s="168"/>
      <c r="H174" s="168"/>
      <c r="I174" s="168"/>
      <c r="J174" s="168"/>
      <c r="K174" s="169"/>
      <c r="L174" s="169"/>
      <c r="M174" s="169"/>
      <c r="N174" s="169"/>
      <c r="O174" s="168"/>
      <c r="P174" s="170" t="s">
        <v>40</v>
      </c>
      <c r="Q174" s="171" t="str">
        <f>IF(SUM(F176:O176)=0,"",SUM(F176:O176))
</f>
        <v/>
      </c>
      <c r="R174" s="164" t="s">
        <v>120</v>
      </c>
      <c r="S174" s="165" t="str">
        <f>IF(SUM(M173) = SUM(Q174:Q178), "OK", "ERRORE")</f>
        <v>OK</v>
      </c>
    </row>
    <row r="175">
      <c r="A175" s="164" t="s">
        <v>74</v>
      </c>
      <c r="B175" s="165">
        <f>COUNTIF(B92:B172, "ONLINE")</f>
        <v>0</v>
      </c>
      <c r="E175" s="172" t="s">
        <v>121</v>
      </c>
      <c r="F175" s="172" t="str">
        <f t="shared" ref="F175:O175" si="13">IF(
  F$174="",
  "",
  COUNTIFS($B$92:$B$172,"*SEDE*",$M$92:$M$172,F$174)
)
</f>
        <v/>
      </c>
      <c r="G175" s="172" t="str">
        <f t="shared" si="13"/>
        <v/>
      </c>
      <c r="H175" s="172" t="str">
        <f t="shared" si="13"/>
        <v/>
      </c>
      <c r="I175" s="172" t="str">
        <f t="shared" si="13"/>
        <v/>
      </c>
      <c r="J175" s="172" t="str">
        <f t="shared" si="13"/>
        <v/>
      </c>
      <c r="K175" s="172" t="str">
        <f t="shared" si="13"/>
        <v/>
      </c>
      <c r="L175" s="172" t="str">
        <f t="shared" si="13"/>
        <v/>
      </c>
      <c r="M175" s="172" t="str">
        <f t="shared" si="13"/>
        <v/>
      </c>
      <c r="N175" s="172" t="str">
        <f t="shared" si="13"/>
        <v/>
      </c>
      <c r="O175" s="172" t="str">
        <f t="shared" si="13"/>
        <v/>
      </c>
    </row>
    <row r="176">
      <c r="A176" s="245" t="s">
        <v>356</v>
      </c>
      <c r="B176" s="246">
        <f>COUNTIF($E92:$E130, "*")</f>
        <v>0</v>
      </c>
      <c r="E176" s="173" t="s">
        <v>122</v>
      </c>
      <c r="F176" s="174" t="str">
        <f t="shared" ref="F176:O176" si="14">IF(
  F$174="",
  "",
  SUMIFS($M$92:$M$172,$B$92:$B$172,"*SEDE*",$M$92:$M$172,F$174)
)
</f>
        <v/>
      </c>
      <c r="G176" s="174" t="str">
        <f t="shared" si="14"/>
        <v/>
      </c>
      <c r="H176" s="174" t="str">
        <f t="shared" si="14"/>
        <v/>
      </c>
      <c r="I176" s="174" t="str">
        <f t="shared" si="14"/>
        <v/>
      </c>
      <c r="J176" s="174" t="str">
        <f t="shared" si="14"/>
        <v/>
      </c>
      <c r="K176" s="174" t="str">
        <f t="shared" si="14"/>
        <v/>
      </c>
      <c r="L176" s="174" t="str">
        <f t="shared" si="14"/>
        <v/>
      </c>
      <c r="M176" s="174" t="str">
        <f t="shared" si="14"/>
        <v/>
      </c>
      <c r="N176" s="174" t="str">
        <f t="shared" si="14"/>
        <v/>
      </c>
      <c r="O176" s="174" t="str">
        <f t="shared" si="14"/>
        <v/>
      </c>
    </row>
    <row r="177">
      <c r="A177" s="245" t="s">
        <v>357</v>
      </c>
      <c r="B177" s="246">
        <f>COUNTIF(E132:E172, "*")</f>
        <v>0</v>
      </c>
      <c r="E177" s="172" t="s">
        <v>123</v>
      </c>
      <c r="F177" s="175" t="str">
        <f t="shared" ref="F177:O177" si="15">IF(
  F$174="",
  "",
  COUNTIFS($B$92:$B$172,"*ONLINE*",$M$92:$M$172,F$174)
)
</f>
        <v/>
      </c>
      <c r="G177" s="175" t="str">
        <f t="shared" si="15"/>
        <v/>
      </c>
      <c r="H177" s="175" t="str">
        <f t="shared" si="15"/>
        <v/>
      </c>
      <c r="I177" s="175" t="str">
        <f t="shared" si="15"/>
        <v/>
      </c>
      <c r="J177" s="175" t="str">
        <f t="shared" si="15"/>
        <v/>
      </c>
      <c r="K177" s="175" t="str">
        <f t="shared" si="15"/>
        <v/>
      </c>
      <c r="L177" s="175" t="str">
        <f t="shared" si="15"/>
        <v/>
      </c>
      <c r="M177" s="175" t="str">
        <f t="shared" si="15"/>
        <v/>
      </c>
      <c r="N177" s="175" t="str">
        <f t="shared" si="15"/>
        <v/>
      </c>
      <c r="O177" s="175" t="str">
        <f t="shared" si="15"/>
        <v/>
      </c>
      <c r="P177" s="170" t="s">
        <v>40</v>
      </c>
      <c r="Q177" s="171" t="str">
        <f>IF(SUM(F178:O178)=0,"",SUM(F178:O178))
</f>
        <v/>
      </c>
    </row>
    <row r="178">
      <c r="E178" s="173" t="s">
        <v>124</v>
      </c>
      <c r="F178" s="174" t="str">
        <f t="shared" ref="F178:O178" si="16">IF(
  F$174="",
  "",
  SUMIFS($M$92:$M$172,$B$92:$B$172,"*ONLINE*",$M$92:$M$172,F$174)
)
</f>
        <v/>
      </c>
      <c r="G178" s="174" t="str">
        <f t="shared" si="16"/>
        <v/>
      </c>
      <c r="H178" s="174" t="str">
        <f t="shared" si="16"/>
        <v/>
      </c>
      <c r="I178" s="174" t="str">
        <f t="shared" si="16"/>
        <v/>
      </c>
      <c r="J178" s="174" t="str">
        <f t="shared" si="16"/>
        <v/>
      </c>
      <c r="K178" s="174" t="str">
        <f t="shared" si="16"/>
        <v/>
      </c>
      <c r="L178" s="174" t="str">
        <f t="shared" si="16"/>
        <v/>
      </c>
      <c r="M178" s="174" t="str">
        <f t="shared" si="16"/>
        <v/>
      </c>
      <c r="N178" s="174" t="str">
        <f t="shared" si="16"/>
        <v/>
      </c>
      <c r="O178" s="174" t="str">
        <f t="shared" si="16"/>
        <v/>
      </c>
    </row>
    <row r="179" ht="26.25" customHeight="1" collapsed="1">
      <c r="A179" s="250"/>
      <c r="B179" s="250"/>
      <c r="C179" s="235" t="s">
        <v>2936</v>
      </c>
      <c r="N179" s="236" t="s">
        <v>214</v>
      </c>
      <c r="O179" s="237">
        <f>SUMPRODUCT(--$O$180:$O$216)</f>
        <v>0</v>
      </c>
      <c r="P179" s="235"/>
      <c r="Q179" s="235"/>
      <c r="R179" s="235"/>
      <c r="S179" s="235"/>
      <c r="T179" s="235"/>
    </row>
    <row r="180" hidden="1" outlineLevel="1">
      <c r="A180" s="116"/>
      <c r="B180" s="116"/>
      <c r="C180" s="129"/>
      <c r="D180" s="157"/>
      <c r="E180" s="157"/>
      <c r="F180" s="156"/>
      <c r="G180" s="157"/>
      <c r="H180" s="116"/>
      <c r="I180" s="116"/>
      <c r="J180" s="134"/>
      <c r="K180" s="177"/>
      <c r="L180" s="116"/>
      <c r="M180" s="178" t="str">
        <f>IFERROR(__xludf.DUMMYFUNCTION("IF(
  K180="""",
  """",
  ROUND(
    IF(
      L180="""",
      K180,
      IF(
        ISERROR(FIND(""-"",L180)),
        K180 - VALUE(REGEXEXTRACT(L180,""(\d+)"")),
        K180 * (1 - VALUE(REGEXEXTRACT(L180,""(\d+)""))/100)
      )
    ),
    2
  )
)"&amp;"
")," ")</f>
        <v/>
      </c>
      <c r="N180" s="116"/>
      <c r="O180" s="118" t="b">
        <v>0</v>
      </c>
      <c r="P180" s="179"/>
      <c r="Q180" s="120"/>
      <c r="R180" s="121" t="b">
        <v>0</v>
      </c>
      <c r="S180" s="121" t="b">
        <v>0</v>
      </c>
      <c r="T180" s="122" t="b">
        <v>0</v>
      </c>
    </row>
    <row r="181" hidden="1" outlineLevel="1">
      <c r="A181" s="116"/>
      <c r="B181" s="116"/>
      <c r="C181" s="129"/>
      <c r="D181" s="116"/>
      <c r="E181" s="116"/>
      <c r="F181" s="116"/>
      <c r="G181" s="116"/>
      <c r="H181" s="116"/>
      <c r="I181" s="116"/>
      <c r="J181" s="134"/>
      <c r="K181" s="177"/>
      <c r="L181" s="116"/>
      <c r="M181" s="178" t="str">
        <f>IFERROR(__xludf.DUMMYFUNCTION("IF(
  K181="""",
  """",
  ROUND(
    IF(
      L181="""",
      K181,
      IF(
        ISERROR(FIND(""-"",L181)),
        K181 - VALUE(REGEXEXTRACT(L181,""(\d+)"")),
        K181 * (1 - VALUE(REGEXEXTRACT(L181,""(\d+)""))/100)
      )
    ),
    2
  )
)"&amp;"
")," ")</f>
        <v/>
      </c>
      <c r="N181" s="116"/>
      <c r="O181" s="118" t="b">
        <v>0</v>
      </c>
      <c r="P181" s="179"/>
      <c r="Q181" s="120"/>
      <c r="R181" s="121" t="b">
        <v>0</v>
      </c>
      <c r="S181" s="121" t="b">
        <v>0</v>
      </c>
      <c r="T181" s="122" t="b">
        <v>0</v>
      </c>
    </row>
    <row r="182" hidden="1" outlineLevel="1">
      <c r="A182" s="116"/>
      <c r="B182" s="116"/>
      <c r="C182" s="129"/>
      <c r="D182" s="116"/>
      <c r="E182" s="116"/>
      <c r="F182" s="116"/>
      <c r="G182" s="116"/>
      <c r="H182" s="111"/>
      <c r="I182" s="111"/>
      <c r="J182" s="126"/>
      <c r="K182" s="180"/>
      <c r="L182" s="116"/>
      <c r="M182" s="178" t="str">
        <f>IFERROR(__xludf.DUMMYFUNCTION("IF(
  K182="""",
  """",
  ROUND(
    IF(
      L182="""",
      K182,
      IF(
        ISERROR(FIND(""-"",L182)),
        K182 - VALUE(REGEXEXTRACT(L182,""(\d+)"")),
        K182 * (1 - VALUE(REGEXEXTRACT(L182,""(\d+)""))/100)
      )
    ),
    2
  )
)"&amp;"
")," ")</f>
        <v/>
      </c>
      <c r="N182" s="116"/>
      <c r="O182" s="118" t="b">
        <v>0</v>
      </c>
      <c r="P182" s="179"/>
      <c r="Q182" s="120"/>
      <c r="R182" s="121" t="b">
        <v>0</v>
      </c>
      <c r="S182" s="121" t="b">
        <v>0</v>
      </c>
      <c r="T182" s="122" t="b">
        <v>0</v>
      </c>
    </row>
    <row r="183" hidden="1" outlineLevel="1">
      <c r="A183" s="116"/>
      <c r="B183" s="116"/>
      <c r="C183" s="129"/>
      <c r="D183" s="157"/>
      <c r="E183" s="157"/>
      <c r="F183" s="116"/>
      <c r="G183" s="116"/>
      <c r="H183" s="116"/>
      <c r="I183" s="116"/>
      <c r="J183" s="134"/>
      <c r="K183" s="177"/>
      <c r="L183" s="116"/>
      <c r="M183" s="178" t="str">
        <f>IFERROR(__xludf.DUMMYFUNCTION("IF(
  K183="""",
  """",
  ROUND(
    IF(
      L183="""",
      K183,
      IF(
        ISERROR(FIND(""-"",L183)),
        K183 - VALUE(REGEXEXTRACT(L183,""(\d+)"")),
        K183 * (1 - VALUE(REGEXEXTRACT(L183,""(\d+)""))/100)
      )
    ),
    2
  )
)"&amp;"
")," ")</f>
        <v/>
      </c>
      <c r="N183" s="116"/>
      <c r="O183" s="118" t="b">
        <v>0</v>
      </c>
      <c r="P183" s="179"/>
      <c r="Q183" s="120"/>
      <c r="R183" s="121" t="b">
        <v>0</v>
      </c>
      <c r="S183" s="121" t="b">
        <v>0</v>
      </c>
      <c r="T183" s="122" t="b">
        <v>0</v>
      </c>
    </row>
    <row r="184" hidden="1" outlineLevel="1">
      <c r="A184" s="116"/>
      <c r="B184" s="116"/>
      <c r="C184" s="129"/>
      <c r="D184" s="116"/>
      <c r="E184" s="116"/>
      <c r="F184" s="116"/>
      <c r="G184" s="116"/>
      <c r="H184" s="116"/>
      <c r="I184" s="116"/>
      <c r="J184" s="134"/>
      <c r="K184" s="177"/>
      <c r="L184" s="116"/>
      <c r="M184" s="178" t="str">
        <f>IFERROR(__xludf.DUMMYFUNCTION("IF(
  K184="""",
  """",
  ROUND(
    IF(
      L184="""",
      K184,
      IF(
        ISERROR(FIND(""-"",L184)),
        K184 - VALUE(REGEXEXTRACT(L184,""(\d+)"")),
        K184 * (1 - VALUE(REGEXEXTRACT(L184,""(\d+)""))/100)
      )
    ),
    2
  )
)"&amp;"
")," ")</f>
        <v/>
      </c>
      <c r="N184" s="116"/>
      <c r="O184" s="118" t="b">
        <v>0</v>
      </c>
      <c r="P184" s="179"/>
      <c r="Q184" s="120"/>
      <c r="R184" s="121" t="b">
        <v>0</v>
      </c>
      <c r="S184" s="121" t="b">
        <v>0</v>
      </c>
      <c r="T184" s="122" t="b">
        <v>0</v>
      </c>
    </row>
    <row r="185" hidden="1" outlineLevel="1">
      <c r="A185" s="116"/>
      <c r="B185" s="116"/>
      <c r="C185" s="112"/>
      <c r="D185" s="116"/>
      <c r="E185" s="116"/>
      <c r="F185" s="111"/>
      <c r="G185" s="111"/>
      <c r="H185" s="111"/>
      <c r="I185" s="111"/>
      <c r="J185" s="134"/>
      <c r="K185" s="177"/>
      <c r="L185" s="116"/>
      <c r="M185" s="178" t="str">
        <f>IFERROR(__xludf.DUMMYFUNCTION("IF(
  K185="""",
  """",
  ROUND(
    IF(
      L185="""",
      K185,
      IF(
        ISERROR(FIND(""-"",L185)),
        K185 - VALUE(REGEXEXTRACT(L185,""(\d+)"")),
        K185 * (1 - VALUE(REGEXEXTRACT(L185,""(\d+)""))/100)
      )
    ),
    2
  )
)"&amp;"
")," ")</f>
        <v/>
      </c>
      <c r="N185" s="116"/>
      <c r="O185" s="118" t="b">
        <v>0</v>
      </c>
      <c r="P185" s="179"/>
      <c r="Q185" s="120"/>
      <c r="R185" s="121" t="b">
        <v>0</v>
      </c>
      <c r="S185" s="121" t="b">
        <v>0</v>
      </c>
      <c r="T185" s="122" t="b">
        <v>0</v>
      </c>
    </row>
    <row r="186" hidden="1" outlineLevel="1">
      <c r="A186" s="116"/>
      <c r="B186" s="116"/>
      <c r="C186" s="112"/>
      <c r="D186" s="157"/>
      <c r="E186" s="157"/>
      <c r="F186" s="111"/>
      <c r="G186" s="111"/>
      <c r="H186" s="111"/>
      <c r="I186" s="111"/>
      <c r="J186" s="114"/>
      <c r="K186" s="177"/>
      <c r="L186" s="116"/>
      <c r="M186" s="178" t="str">
        <f>IFERROR(__xludf.DUMMYFUNCTION("IF(
  K186="""",
  """",
  ROUND(
    IF(
      L186="""",
      K186,
      IF(
        ISERROR(FIND(""-"",L186)),
        K186 - VALUE(REGEXEXTRACT(L186,""(\d+)"")),
        K186 * (1 - VALUE(REGEXEXTRACT(L186,""(\d+)""))/100)
      )
    ),
    2
  )
)"&amp;"
")," ")</f>
        <v/>
      </c>
      <c r="N186" s="116"/>
      <c r="O186" s="118" t="b">
        <v>0</v>
      </c>
      <c r="P186" s="179"/>
      <c r="Q186" s="120"/>
      <c r="R186" s="121" t="b">
        <v>0</v>
      </c>
      <c r="S186" s="121" t="b">
        <v>0</v>
      </c>
      <c r="T186" s="122" t="b">
        <v>0</v>
      </c>
    </row>
    <row r="187" hidden="1" outlineLevel="1">
      <c r="A187" s="116"/>
      <c r="B187" s="116"/>
      <c r="C187" s="112"/>
      <c r="D187" s="116"/>
      <c r="E187" s="116"/>
      <c r="F187" s="111"/>
      <c r="G187" s="111"/>
      <c r="H187" s="111"/>
      <c r="I187" s="111"/>
      <c r="J187" s="126"/>
      <c r="K187" s="180"/>
      <c r="L187" s="116"/>
      <c r="M187" s="178" t="str">
        <f>IFERROR(__xludf.DUMMYFUNCTION("IF(
  K187="""",
  """",
  ROUND(
    IF(
      L187="""",
      K187,
      IF(
        ISERROR(FIND(""-"",L187)),
        K187 - VALUE(REGEXEXTRACT(L187,""(\d+)"")),
        K187 * (1 - VALUE(REGEXEXTRACT(L187,""(\d+)""))/100)
      )
    ),
    2
  )
)"&amp;"
")," ")</f>
        <v/>
      </c>
      <c r="N187" s="116"/>
      <c r="O187" s="118" t="b">
        <v>0</v>
      </c>
      <c r="P187" s="179"/>
      <c r="Q187" s="120"/>
      <c r="R187" s="121" t="b">
        <v>0</v>
      </c>
      <c r="S187" s="121" t="b">
        <v>0</v>
      </c>
      <c r="T187" s="122" t="b">
        <v>0</v>
      </c>
    </row>
    <row r="188" hidden="1" outlineLevel="1">
      <c r="A188" s="116"/>
      <c r="B188" s="116"/>
      <c r="C188" s="112"/>
      <c r="D188" s="116"/>
      <c r="E188" s="116"/>
      <c r="F188" s="111"/>
      <c r="G188" s="111"/>
      <c r="H188" s="111"/>
      <c r="I188" s="111"/>
      <c r="J188" s="126"/>
      <c r="K188" s="177"/>
      <c r="L188" s="116"/>
      <c r="M188" s="178" t="str">
        <f>IFERROR(__xludf.DUMMYFUNCTION("IF(
  K188="""",
  """",
  ROUND(
    IF(
      L188="""",
      K188,
      IF(
        ISERROR(FIND(""-"",L188)),
        K188 - VALUE(REGEXEXTRACT(L188,""(\d+)"")),
        K188 * (1 - VALUE(REGEXEXTRACT(L188,""(\d+)""))/100)
      )
    ),
    2
  )
)"&amp;"
")," ")</f>
        <v/>
      </c>
      <c r="N188" s="116"/>
      <c r="O188" s="118" t="b">
        <v>0</v>
      </c>
      <c r="P188" s="179"/>
      <c r="Q188" s="120"/>
      <c r="R188" s="121" t="b">
        <v>0</v>
      </c>
      <c r="S188" s="121" t="b">
        <v>0</v>
      </c>
      <c r="T188" s="122" t="b">
        <v>0</v>
      </c>
    </row>
    <row r="189" hidden="1" outlineLevel="1">
      <c r="A189" s="116"/>
      <c r="B189" s="116"/>
      <c r="C189" s="112"/>
      <c r="D189" s="157"/>
      <c r="E189" s="157"/>
      <c r="F189" s="111"/>
      <c r="G189" s="111"/>
      <c r="H189" s="111"/>
      <c r="I189" s="111"/>
      <c r="J189" s="114"/>
      <c r="K189" s="177"/>
      <c r="L189" s="116"/>
      <c r="M189" s="178" t="str">
        <f>IFERROR(__xludf.DUMMYFUNCTION("IF(
  K189="""",
  """",
  ROUND(
    IF(
      L189="""",
      K189,
      IF(
        ISERROR(FIND(""-"",L189)),
        K189 - VALUE(REGEXEXTRACT(L189,""(\d+)"")),
        K189 * (1 - VALUE(REGEXEXTRACT(L189,""(\d+)""))/100)
      )
    ),
    2
  )
)"&amp;"
")," ")</f>
        <v/>
      </c>
      <c r="N189" s="116"/>
      <c r="O189" s="118" t="b">
        <v>0</v>
      </c>
      <c r="P189" s="179"/>
      <c r="Q189" s="120"/>
      <c r="R189" s="121" t="b">
        <v>0</v>
      </c>
      <c r="S189" s="121" t="b">
        <v>0</v>
      </c>
      <c r="T189" s="122" t="b">
        <v>0</v>
      </c>
    </row>
    <row r="190" hidden="1" outlineLevel="1">
      <c r="A190" s="116"/>
      <c r="B190" s="116"/>
      <c r="C190" s="112"/>
      <c r="D190" s="116"/>
      <c r="E190" s="116"/>
      <c r="F190" s="111"/>
      <c r="G190" s="111"/>
      <c r="H190" s="111"/>
      <c r="I190" s="111"/>
      <c r="J190" s="126"/>
      <c r="K190" s="177"/>
      <c r="L190" s="116"/>
      <c r="M190" s="178" t="str">
        <f>IFERROR(__xludf.DUMMYFUNCTION("IF(
  K190="""",
  """",
  ROUND(
    IF(
      L190="""",
      K190,
      IF(
        ISERROR(FIND(""-"",L190)),
        K190 - VALUE(REGEXEXTRACT(L190,""(\d+)"")),
        K190 * (1 - VALUE(REGEXEXTRACT(L190,""(\d+)""))/100)
      )
    ),
    2
  )
)"&amp;"
")," ")</f>
        <v/>
      </c>
      <c r="N190" s="116"/>
      <c r="O190" s="118" t="b">
        <v>0</v>
      </c>
      <c r="P190" s="179"/>
      <c r="Q190" s="120"/>
      <c r="R190" s="121" t="b">
        <v>0</v>
      </c>
      <c r="S190" s="121" t="b">
        <v>0</v>
      </c>
      <c r="T190" s="122" t="b">
        <v>0</v>
      </c>
    </row>
    <row r="191" hidden="1" outlineLevel="1">
      <c r="A191" s="116"/>
      <c r="B191" s="116"/>
      <c r="C191" s="112"/>
      <c r="D191" s="116"/>
      <c r="E191" s="116"/>
      <c r="F191" s="111"/>
      <c r="G191" s="111"/>
      <c r="H191" s="111"/>
      <c r="I191" s="111"/>
      <c r="J191" s="126"/>
      <c r="K191" s="177"/>
      <c r="L191" s="116"/>
      <c r="M191" s="178" t="str">
        <f>IFERROR(__xludf.DUMMYFUNCTION("IF(
  K191="""",
  """",
  ROUND(
    IF(
      L191="""",
      K191,
      IF(
        ISERROR(FIND(""-"",L191)),
        K191 - VALUE(REGEXEXTRACT(L191,""(\d+)"")),
        K191 * (1 - VALUE(REGEXEXTRACT(L191,""(\d+)""))/100)
      )
    ),
    2
  )
)"&amp;"
")," ")</f>
        <v/>
      </c>
      <c r="N191" s="116"/>
      <c r="O191" s="118" t="b">
        <v>0</v>
      </c>
      <c r="P191" s="179"/>
      <c r="Q191" s="120"/>
      <c r="R191" s="121" t="b">
        <v>0</v>
      </c>
      <c r="S191" s="121" t="b">
        <v>0</v>
      </c>
      <c r="T191" s="122" t="b">
        <v>0</v>
      </c>
    </row>
    <row r="192" hidden="1" outlineLevel="1">
      <c r="A192" s="116"/>
      <c r="B192" s="116"/>
      <c r="C192" s="112"/>
      <c r="D192" s="157"/>
      <c r="E192" s="157"/>
      <c r="F192" s="111"/>
      <c r="G192" s="111"/>
      <c r="H192" s="111"/>
      <c r="I192" s="111"/>
      <c r="J192" s="126"/>
      <c r="K192" s="177"/>
      <c r="L192" s="116"/>
      <c r="M192" s="178" t="str">
        <f>IFERROR(__xludf.DUMMYFUNCTION("IF(
  K192="""",
  """",
  ROUND(
    IF(
      L192="""",
      K192,
      IF(
        ISERROR(FIND(""-"",L192)),
        K192 - VALUE(REGEXEXTRACT(L192,""(\d+)"")),
        K192 * (1 - VALUE(REGEXEXTRACT(L192,""(\d+)""))/100)
      )
    ),
    2
  )
)"&amp;"
")," ")</f>
        <v/>
      </c>
      <c r="N192" s="116"/>
      <c r="O192" s="118" t="b">
        <v>0</v>
      </c>
      <c r="P192" s="179"/>
      <c r="Q192" s="120"/>
      <c r="R192" s="121" t="b">
        <v>0</v>
      </c>
      <c r="S192" s="121" t="b">
        <v>0</v>
      </c>
      <c r="T192" s="122" t="b">
        <v>0</v>
      </c>
    </row>
    <row r="193" hidden="1" outlineLevel="1">
      <c r="A193" s="116"/>
      <c r="B193" s="116"/>
      <c r="C193" s="112"/>
      <c r="D193" s="116"/>
      <c r="E193" s="116"/>
      <c r="F193" s="111"/>
      <c r="G193" s="111"/>
      <c r="H193" s="111"/>
      <c r="I193" s="111"/>
      <c r="J193" s="126"/>
      <c r="K193" s="177"/>
      <c r="L193" s="116"/>
      <c r="M193" s="178" t="str">
        <f>IFERROR(__xludf.DUMMYFUNCTION("IF(
  K193="""",
  """",
  ROUND(
    IF(
      L193="""",
      K193,
      IF(
        ISERROR(FIND(""-"",L193)),
        K193 - VALUE(REGEXEXTRACT(L193,""(\d+)"")),
        K193 * (1 - VALUE(REGEXEXTRACT(L193,""(\d+)""))/100)
      )
    ),
    2
  )
)"&amp;"
")," ")</f>
        <v/>
      </c>
      <c r="N193" s="116"/>
      <c r="O193" s="118" t="b">
        <v>0</v>
      </c>
      <c r="P193" s="179"/>
      <c r="Q193" s="120"/>
      <c r="R193" s="121" t="b">
        <v>0</v>
      </c>
      <c r="S193" s="121" t="b">
        <v>0</v>
      </c>
      <c r="T193" s="122" t="b">
        <v>0</v>
      </c>
    </row>
    <row r="194" hidden="1" outlineLevel="1">
      <c r="A194" s="116"/>
      <c r="B194" s="116"/>
      <c r="C194" s="112"/>
      <c r="D194" s="116"/>
      <c r="E194" s="116"/>
      <c r="F194" s="111"/>
      <c r="G194" s="111"/>
      <c r="H194" s="111"/>
      <c r="I194" s="111"/>
      <c r="J194" s="126"/>
      <c r="K194" s="177"/>
      <c r="L194" s="116"/>
      <c r="M194" s="178" t="str">
        <f>IFERROR(__xludf.DUMMYFUNCTION("IF(
  K194="""",
  """",
  ROUND(
    IF(
      L194="""",
      K194,
      IF(
        ISERROR(FIND(""-"",L194)),
        K194 - VALUE(REGEXEXTRACT(L194,""(\d+)"")),
        K194 * (1 - VALUE(REGEXEXTRACT(L194,""(\d+)""))/100)
      )
    ),
    2
  )
)"&amp;"
")," ")</f>
        <v/>
      </c>
      <c r="N194" s="116"/>
      <c r="O194" s="118" t="b">
        <v>0</v>
      </c>
      <c r="P194" s="179"/>
      <c r="Q194" s="120"/>
      <c r="R194" s="121" t="b">
        <v>0</v>
      </c>
      <c r="S194" s="121" t="b">
        <v>0</v>
      </c>
      <c r="T194" s="122" t="b">
        <v>0</v>
      </c>
    </row>
    <row r="195" hidden="1" outlineLevel="1">
      <c r="A195" s="116"/>
      <c r="B195" s="116"/>
      <c r="C195" s="112"/>
      <c r="D195" s="157"/>
      <c r="E195" s="157"/>
      <c r="F195" s="111"/>
      <c r="G195" s="111"/>
      <c r="H195" s="111"/>
      <c r="I195" s="111"/>
      <c r="J195" s="126"/>
      <c r="K195" s="177"/>
      <c r="L195" s="116"/>
      <c r="M195" s="178" t="str">
        <f>IFERROR(__xludf.DUMMYFUNCTION("IF(
  K195="""",
  """",
  ROUND(
    IF(
      L195="""",
      K195,
      IF(
        ISERROR(FIND(""-"",L195)),
        K195 - VALUE(REGEXEXTRACT(L195,""(\d+)"")),
        K195 * (1 - VALUE(REGEXEXTRACT(L195,""(\d+)""))/100)
      )
    ),
    2
  )
)"&amp;"
")," ")</f>
        <v/>
      </c>
      <c r="N195" s="116"/>
      <c r="O195" s="118" t="b">
        <v>0</v>
      </c>
      <c r="P195" s="179"/>
      <c r="Q195" s="120"/>
      <c r="R195" s="121" t="b">
        <v>0</v>
      </c>
      <c r="S195" s="121" t="b">
        <v>0</v>
      </c>
      <c r="T195" s="122" t="b">
        <v>0</v>
      </c>
    </row>
    <row r="196" hidden="1" outlineLevel="1">
      <c r="A196" s="131"/>
      <c r="B196" s="131"/>
      <c r="C196" s="123"/>
      <c r="D196" s="116"/>
      <c r="E196" s="116"/>
      <c r="F196" s="124"/>
      <c r="G196" s="124"/>
      <c r="H196" s="124"/>
      <c r="I196" s="124"/>
      <c r="J196" s="125"/>
      <c r="K196" s="180"/>
      <c r="L196" s="131"/>
      <c r="M196" s="178" t="str">
        <f>IFERROR(__xludf.DUMMYFUNCTION("IF(
  K196="""",
  """",
  ROUND(
    IF(
      L196="""",
      K196,
      IF(
        ISERROR(FIND(""-"",L196)),
        K196 - VALUE(REGEXEXTRACT(L196,""(\d+)"")),
        K196 * (1 - VALUE(REGEXEXTRACT(L196,""(\d+)""))/100)
      )
    ),
    2
  )
)"&amp;"
")," ")</f>
        <v/>
      </c>
      <c r="N196" s="131"/>
      <c r="O196" s="118" t="b">
        <v>0</v>
      </c>
      <c r="P196" s="179"/>
      <c r="Q196" s="149"/>
      <c r="R196" s="121" t="b">
        <v>0</v>
      </c>
      <c r="S196" s="121" t="b">
        <v>0</v>
      </c>
      <c r="T196" s="122" t="b">
        <v>0</v>
      </c>
    </row>
    <row r="197" hidden="1" outlineLevel="1">
      <c r="A197" s="116"/>
      <c r="B197" s="116"/>
      <c r="C197" s="112"/>
      <c r="D197" s="116"/>
      <c r="E197" s="116"/>
      <c r="F197" s="111"/>
      <c r="G197" s="111"/>
      <c r="H197" s="111"/>
      <c r="I197" s="111"/>
      <c r="J197" s="126"/>
      <c r="K197" s="177"/>
      <c r="L197" s="116"/>
      <c r="M197" s="178" t="str">
        <f>IFERROR(__xludf.DUMMYFUNCTION("IF(
  K197="""",
  """",
  ROUND(
    IF(
      L197="""",
      K197,
      IF(
        ISERROR(FIND(""-"",L197)),
        K197 - VALUE(REGEXEXTRACT(L197,""(\d+)"")),
        K197 * (1 - VALUE(REGEXEXTRACT(L197,""(\d+)""))/100)
      )
    ),
    2
  )
)"&amp;"
")," ")</f>
        <v/>
      </c>
      <c r="N197" s="116"/>
      <c r="O197" s="118" t="b">
        <v>0</v>
      </c>
      <c r="P197" s="179"/>
      <c r="Q197" s="120"/>
      <c r="R197" s="121" t="b">
        <v>0</v>
      </c>
      <c r="S197" s="121" t="b">
        <v>0</v>
      </c>
      <c r="T197" s="122" t="b">
        <v>0</v>
      </c>
    </row>
    <row r="198" hidden="1" outlineLevel="1">
      <c r="A198" s="116"/>
      <c r="B198" s="116"/>
      <c r="C198" s="112"/>
      <c r="D198" s="157"/>
      <c r="E198" s="157"/>
      <c r="F198" s="111"/>
      <c r="G198" s="111"/>
      <c r="H198" s="111"/>
      <c r="I198" s="111"/>
      <c r="J198" s="126"/>
      <c r="K198" s="177"/>
      <c r="L198" s="116"/>
      <c r="M198" s="178" t="str">
        <f>IFERROR(__xludf.DUMMYFUNCTION("IF(
  K198="""",
  """",
  ROUND(
    IF(
      L198="""",
      K198,
      IF(
        ISERROR(FIND(""-"",L198)),
        K198 - VALUE(REGEXEXTRACT(L198,""(\d+)"")),
        K198 * (1 - VALUE(REGEXEXTRACT(L198,""(\d+)""))/100)
      )
    ),
    2
  )
)"&amp;"
")," ")</f>
        <v/>
      </c>
      <c r="N198" s="116"/>
      <c r="O198" s="118" t="b">
        <v>0</v>
      </c>
      <c r="P198" s="179"/>
      <c r="Q198" s="120"/>
      <c r="R198" s="121" t="b">
        <v>0</v>
      </c>
      <c r="S198" s="121" t="b">
        <v>0</v>
      </c>
      <c r="T198" s="122" t="b">
        <v>0</v>
      </c>
    </row>
    <row r="199" hidden="1" outlineLevel="1">
      <c r="A199" s="116"/>
      <c r="B199" s="116"/>
      <c r="C199" s="112"/>
      <c r="D199" s="116"/>
      <c r="E199" s="116"/>
      <c r="F199" s="111"/>
      <c r="G199" s="111"/>
      <c r="H199" s="111"/>
      <c r="I199" s="111"/>
      <c r="J199" s="114"/>
      <c r="K199" s="177"/>
      <c r="L199" s="116"/>
      <c r="M199" s="178" t="str">
        <f>IFERROR(__xludf.DUMMYFUNCTION("IF(
  K199="""",
  """",
  ROUND(
    IF(
      L199="""",
      K199,
      IF(
        ISERROR(FIND(""-"",L199)),
        K199 - VALUE(REGEXEXTRACT(L199,""(\d+)"")),
        K199 * (1 - VALUE(REGEXEXTRACT(L199,""(\d+)""))/100)
      )
    ),
    2
  )
)"&amp;"
")," ")</f>
        <v/>
      </c>
      <c r="N199" s="116"/>
      <c r="O199" s="118" t="b">
        <v>0</v>
      </c>
      <c r="P199" s="179"/>
      <c r="Q199" s="120"/>
      <c r="R199" s="121" t="b">
        <v>0</v>
      </c>
      <c r="S199" s="121" t="b">
        <v>0</v>
      </c>
      <c r="T199" s="122" t="b">
        <v>0</v>
      </c>
    </row>
    <row r="200" hidden="1" outlineLevel="1">
      <c r="A200" s="116"/>
      <c r="B200" s="116"/>
      <c r="C200" s="112"/>
      <c r="D200" s="116"/>
      <c r="E200" s="116"/>
      <c r="F200" s="111"/>
      <c r="G200" s="111"/>
      <c r="H200" s="111"/>
      <c r="I200" s="111"/>
      <c r="J200" s="114"/>
      <c r="K200" s="177"/>
      <c r="L200" s="116"/>
      <c r="M200" s="178" t="str">
        <f>IFERROR(__xludf.DUMMYFUNCTION("IF(
  K200="""",
  """",
  ROUND(
    IF(
      L200="""",
      K200,
      IF(
        ISERROR(FIND(""-"",L200)),
        K200 - VALUE(REGEXEXTRACT(L200,""(\d+)"")),
        K200 * (1 - VALUE(REGEXEXTRACT(L200,""(\d+)""))/100)
      )
    ),
    2
  )
)"&amp;"
")," ")</f>
        <v/>
      </c>
      <c r="N200" s="116"/>
      <c r="O200" s="118" t="b">
        <v>0</v>
      </c>
      <c r="P200" s="179"/>
      <c r="Q200" s="120"/>
      <c r="R200" s="121" t="b">
        <v>0</v>
      </c>
      <c r="S200" s="121" t="b">
        <v>0</v>
      </c>
      <c r="T200" s="122" t="b">
        <v>0</v>
      </c>
    </row>
    <row r="201" hidden="1" outlineLevel="1">
      <c r="A201" s="116"/>
      <c r="B201" s="116"/>
      <c r="C201" s="112"/>
      <c r="D201" s="157"/>
      <c r="E201" s="157"/>
      <c r="F201" s="111"/>
      <c r="G201" s="111"/>
      <c r="H201" s="111"/>
      <c r="I201" s="111"/>
      <c r="J201" s="114"/>
      <c r="K201" s="177"/>
      <c r="L201" s="116"/>
      <c r="M201" s="178" t="str">
        <f>IFERROR(__xludf.DUMMYFUNCTION("IF(
  K201="""",
  """",
  ROUND(
    IF(
      L201="""",
      K201,
      IF(
        ISERROR(FIND(""-"",L201)),
        K201 - VALUE(REGEXEXTRACT(L201,""(\d+)"")),
        K201 * (1 - VALUE(REGEXEXTRACT(L201,""(\d+)""))/100)
      )
    ),
    2
  )
)"&amp;"
")," ")</f>
        <v/>
      </c>
      <c r="N201" s="116"/>
      <c r="O201" s="118" t="b">
        <v>0</v>
      </c>
      <c r="P201" s="179"/>
      <c r="Q201" s="120"/>
      <c r="R201" s="121" t="b">
        <v>0</v>
      </c>
      <c r="S201" s="121" t="b">
        <v>0</v>
      </c>
      <c r="T201" s="122" t="b">
        <v>0</v>
      </c>
    </row>
    <row r="202" hidden="1" outlineLevel="1">
      <c r="A202" s="116"/>
      <c r="B202" s="116"/>
      <c r="C202" s="112"/>
      <c r="D202" s="116"/>
      <c r="E202" s="116"/>
      <c r="F202" s="111"/>
      <c r="G202" s="111"/>
      <c r="H202" s="111"/>
      <c r="I202" s="111"/>
      <c r="J202" s="114"/>
      <c r="K202" s="177"/>
      <c r="L202" s="116"/>
      <c r="M202" s="178" t="str">
        <f>IFERROR(__xludf.DUMMYFUNCTION("IF(
  K202="""",
  """",
  ROUND(
    IF(
      L202="""",
      K202,
      IF(
        ISERROR(FIND(""-"",L202)),
        K202 - VALUE(REGEXEXTRACT(L202,""(\d+)"")),
        K202 * (1 - VALUE(REGEXEXTRACT(L202,""(\d+)""))/100)
      )
    ),
    2
  )
)"&amp;"
")," ")</f>
        <v/>
      </c>
      <c r="N202" s="116"/>
      <c r="O202" s="118" t="b">
        <v>0</v>
      </c>
      <c r="P202" s="179"/>
      <c r="Q202" s="120"/>
      <c r="R202" s="121" t="b">
        <v>0</v>
      </c>
      <c r="S202" s="121" t="b">
        <v>0</v>
      </c>
      <c r="T202" s="122" t="b">
        <v>0</v>
      </c>
    </row>
    <row r="203" hidden="1" outlineLevel="1">
      <c r="A203" s="116"/>
      <c r="B203" s="116"/>
      <c r="C203" s="129"/>
      <c r="D203" s="116"/>
      <c r="E203" s="116"/>
      <c r="F203" s="116"/>
      <c r="G203" s="116"/>
      <c r="H203" s="116"/>
      <c r="I203" s="116"/>
      <c r="J203" s="134"/>
      <c r="K203" s="177"/>
      <c r="L203" s="116"/>
      <c r="M203" s="178" t="str">
        <f>IFERROR(__xludf.DUMMYFUNCTION("IF(
  K203="""",
  """",
  ROUND(
    IF(
      L203="""",
      K203,
      IF(
        ISERROR(FIND(""-"",L203)),
        K203 - VALUE(REGEXEXTRACT(L203,""(\d+)"")),
        K203 * (1 - VALUE(REGEXEXTRACT(L203,""(\d+)""))/100)
      )
    ),
    2
  )
)"&amp;"
")," ")</f>
        <v/>
      </c>
      <c r="N203" s="116"/>
      <c r="O203" s="118" t="b">
        <v>0</v>
      </c>
      <c r="P203" s="179"/>
      <c r="Q203" s="120"/>
      <c r="R203" s="121" t="b">
        <v>0</v>
      </c>
      <c r="S203" s="121" t="b">
        <v>0</v>
      </c>
      <c r="T203" s="122" t="b">
        <v>0</v>
      </c>
    </row>
    <row r="204" hidden="1" outlineLevel="1">
      <c r="A204" s="116"/>
      <c r="B204" s="116"/>
      <c r="C204" s="129"/>
      <c r="D204" s="157"/>
      <c r="E204" s="157"/>
      <c r="F204" s="116"/>
      <c r="G204" s="116"/>
      <c r="H204" s="181"/>
      <c r="I204" s="116"/>
      <c r="J204" s="134"/>
      <c r="K204" s="177"/>
      <c r="L204" s="116"/>
      <c r="M204" s="178" t="str">
        <f>IFERROR(__xludf.DUMMYFUNCTION("IF(
  K204="""",
  """",
  ROUND(
    IF(
      L204="""",
      K204,
      IF(
        ISERROR(FIND(""-"",L204)),
        K204 - VALUE(REGEXEXTRACT(L204,""(\d+)"")),
        K204 * (1 - VALUE(REGEXEXTRACT(L204,""(\d+)""))/100)
      )
    ),
    2
  )
)"&amp;"
")," ")</f>
        <v/>
      </c>
      <c r="N204" s="116"/>
      <c r="O204" s="118" t="b">
        <v>0</v>
      </c>
      <c r="P204" s="179"/>
      <c r="Q204" s="120"/>
      <c r="R204" s="121" t="b">
        <v>0</v>
      </c>
      <c r="S204" s="121" t="b">
        <v>0</v>
      </c>
      <c r="T204" s="122" t="b">
        <v>0</v>
      </c>
    </row>
    <row r="205" hidden="1" outlineLevel="1">
      <c r="A205" s="116"/>
      <c r="B205" s="116"/>
      <c r="C205" s="129"/>
      <c r="D205" s="116"/>
      <c r="E205" s="116"/>
      <c r="F205" s="116"/>
      <c r="G205" s="116"/>
      <c r="H205" s="116"/>
      <c r="I205" s="116"/>
      <c r="J205" s="134"/>
      <c r="K205" s="177"/>
      <c r="L205" s="116"/>
      <c r="M205" s="178" t="str">
        <f>IFERROR(__xludf.DUMMYFUNCTION("IF(
  K205="""",
  """",
  ROUND(
    IF(
      L205="""",
      K205,
      IF(
        ISERROR(FIND(""-"",L205)),
        K205 - VALUE(REGEXEXTRACT(L205,""(\d+)"")),
        K205 * (1 - VALUE(REGEXEXTRACT(L205,""(\d+)""))/100)
      )
    ),
    2
  )
)"&amp;"
")," ")</f>
        <v/>
      </c>
      <c r="N205" s="116"/>
      <c r="O205" s="118" t="b">
        <v>0</v>
      </c>
      <c r="P205" s="179"/>
      <c r="Q205" s="120"/>
      <c r="R205" s="121" t="b">
        <v>0</v>
      </c>
      <c r="S205" s="121" t="b">
        <v>0</v>
      </c>
      <c r="T205" s="122" t="b">
        <v>0</v>
      </c>
    </row>
    <row r="206" hidden="1" outlineLevel="1">
      <c r="A206" s="116"/>
      <c r="B206" s="116"/>
      <c r="C206" s="129"/>
      <c r="D206" s="116"/>
      <c r="E206" s="116"/>
      <c r="F206" s="116"/>
      <c r="G206" s="116"/>
      <c r="H206" s="116"/>
      <c r="I206" s="116"/>
      <c r="J206" s="132"/>
      <c r="K206" s="177"/>
      <c r="L206" s="116"/>
      <c r="M206" s="178" t="str">
        <f>IFERROR(__xludf.DUMMYFUNCTION("IF(
  K206="""",
  """",
  ROUND(
    IF(
      L206="""",
      K206,
      IF(
        ISERROR(FIND(""-"",L206)),
        K206 - VALUE(REGEXEXTRACT(L206,""(\d+)"")),
        K206 * (1 - VALUE(REGEXEXTRACT(L206,""(\d+)""))/100)
      )
    ),
    2
  )
)"&amp;"
")," ")</f>
        <v/>
      </c>
      <c r="N206" s="116"/>
      <c r="O206" s="118" t="b">
        <v>0</v>
      </c>
      <c r="P206" s="179"/>
      <c r="Q206" s="120"/>
      <c r="R206" s="121" t="b">
        <v>0</v>
      </c>
      <c r="S206" s="121" t="b">
        <v>0</v>
      </c>
      <c r="T206" s="122" t="b">
        <v>0</v>
      </c>
    </row>
    <row r="207" hidden="1" outlineLevel="1">
      <c r="A207" s="116"/>
      <c r="B207" s="116"/>
      <c r="C207" s="129"/>
      <c r="D207" s="157"/>
      <c r="E207" s="157"/>
      <c r="F207" s="116"/>
      <c r="G207" s="116"/>
      <c r="H207" s="116"/>
      <c r="I207" s="116"/>
      <c r="J207" s="134"/>
      <c r="K207" s="177"/>
      <c r="L207" s="116"/>
      <c r="M207" s="178" t="str">
        <f>IFERROR(__xludf.DUMMYFUNCTION("IF(
  K207="""",
  """",
  ROUND(
    IF(
      L207="""",
      K207,
      IF(
        ISERROR(FIND(""-"",L207)),
        K207 - VALUE(REGEXEXTRACT(L207,""(\d+)"")),
        K207 * (1 - VALUE(REGEXEXTRACT(L207,""(\d+)""))/100)
      )
    ),
    2
  )
)"&amp;"
")," ")</f>
        <v/>
      </c>
      <c r="N207" s="116"/>
      <c r="O207" s="118" t="b">
        <v>0</v>
      </c>
      <c r="P207" s="179"/>
      <c r="Q207" s="120"/>
      <c r="R207" s="121" t="b">
        <v>0</v>
      </c>
      <c r="S207" s="121" t="b">
        <v>0</v>
      </c>
      <c r="T207" s="122" t="b">
        <v>0</v>
      </c>
    </row>
    <row r="208" hidden="1" outlineLevel="1">
      <c r="A208" s="116"/>
      <c r="B208" s="116"/>
      <c r="C208" s="129"/>
      <c r="D208" s="116"/>
      <c r="E208" s="116"/>
      <c r="F208" s="116"/>
      <c r="G208" s="116"/>
      <c r="H208" s="116"/>
      <c r="I208" s="116"/>
      <c r="J208" s="133"/>
      <c r="K208" s="177"/>
      <c r="L208" s="116"/>
      <c r="M208" s="178" t="str">
        <f>IFERROR(__xludf.DUMMYFUNCTION("IF(
  K208="""",
  """",
  ROUND(
    IF(
      L208="""",
      K208,
      IF(
        ISERROR(FIND(""-"",L208)),
        K208 - VALUE(REGEXEXTRACT(L208,""(\d+)"")),
        K208 * (1 - VALUE(REGEXEXTRACT(L208,""(\d+)""))/100)
      )
    ),
    2
  )
)"&amp;"
")," ")</f>
        <v/>
      </c>
      <c r="N208" s="116"/>
      <c r="O208" s="118" t="b">
        <v>0</v>
      </c>
      <c r="P208" s="179"/>
      <c r="Q208" s="120"/>
      <c r="R208" s="121" t="b">
        <v>0</v>
      </c>
      <c r="S208" s="121" t="b">
        <v>0</v>
      </c>
      <c r="T208" s="122" t="b">
        <v>0</v>
      </c>
    </row>
    <row r="209" hidden="1" outlineLevel="1">
      <c r="A209" s="116"/>
      <c r="B209" s="116"/>
      <c r="C209" s="129"/>
      <c r="D209" s="116"/>
      <c r="E209" s="116"/>
      <c r="F209" s="116"/>
      <c r="G209" s="116"/>
      <c r="H209" s="116"/>
      <c r="I209" s="116"/>
      <c r="J209" s="133"/>
      <c r="K209" s="177"/>
      <c r="L209" s="116"/>
      <c r="M209" s="178" t="str">
        <f>IFERROR(__xludf.DUMMYFUNCTION("IF(
  K209="""",
  """",
  ROUND(
    IF(
      L209="""",
      K209,
      IF(
        ISERROR(FIND(""-"",L209)),
        K209 - VALUE(REGEXEXTRACT(L209,""(\d+)"")),
        K209 * (1 - VALUE(REGEXEXTRACT(L209,""(\d+)""))/100)
      )
    ),
    2
  )
)"&amp;"
")," ")</f>
        <v/>
      </c>
      <c r="N209" s="116"/>
      <c r="O209" s="118" t="b">
        <v>0</v>
      </c>
      <c r="P209" s="179"/>
      <c r="Q209" s="120"/>
      <c r="R209" s="121" t="b">
        <v>0</v>
      </c>
      <c r="S209" s="121" t="b">
        <v>0</v>
      </c>
      <c r="T209" s="122" t="b">
        <v>0</v>
      </c>
    </row>
    <row r="210" hidden="1" outlineLevel="1">
      <c r="A210" s="116"/>
      <c r="B210" s="116"/>
      <c r="C210" s="129"/>
      <c r="D210" s="157"/>
      <c r="E210" s="157"/>
      <c r="F210" s="116"/>
      <c r="G210" s="116"/>
      <c r="H210" s="116"/>
      <c r="I210" s="116"/>
      <c r="J210" s="129"/>
      <c r="K210" s="177"/>
      <c r="L210" s="116"/>
      <c r="M210" s="178" t="str">
        <f>IFERROR(__xludf.DUMMYFUNCTION("IF(
  K210="""",
  """",
  ROUND(
    IF(
      L210="""",
      K210,
      IF(
        ISERROR(FIND(""-"",L210)),
        K210 - VALUE(REGEXEXTRACT(L210,""(\d+)"")),
        K210 * (1 - VALUE(REGEXEXTRACT(L210,""(\d+)""))/100)
      )
    ),
    2
  )
)"&amp;"
")," ")</f>
        <v/>
      </c>
      <c r="N210" s="116"/>
      <c r="O210" s="118" t="b">
        <v>0</v>
      </c>
      <c r="P210" s="179"/>
      <c r="Q210" s="120"/>
      <c r="R210" s="121" t="b">
        <v>0</v>
      </c>
      <c r="S210" s="121" t="b">
        <v>0</v>
      </c>
      <c r="T210" s="122" t="b">
        <v>0</v>
      </c>
    </row>
    <row r="211" hidden="1" outlineLevel="1">
      <c r="A211" s="116"/>
      <c r="B211" s="116"/>
      <c r="C211" s="133"/>
      <c r="D211" s="116"/>
      <c r="E211" s="116"/>
      <c r="F211" s="116"/>
      <c r="G211" s="116"/>
      <c r="H211" s="116"/>
      <c r="I211" s="116"/>
      <c r="J211" s="134"/>
      <c r="K211" s="177"/>
      <c r="L211" s="116"/>
      <c r="M211" s="178" t="str">
        <f>IFERROR(__xludf.DUMMYFUNCTION("IF(
  K211="""",
  """",
  ROUND(
    IF(
      L211="""",
      K211,
      IF(
        ISERROR(FIND(""-"",L211)),
        K211 - VALUE(REGEXEXTRACT(L211,""(\d+)"")),
        K211 * (1 - VALUE(REGEXEXTRACT(L211,""(\d+)""))/100)
      )
    ),
    2
  )
)"&amp;"
")," ")</f>
        <v/>
      </c>
      <c r="N211" s="116"/>
      <c r="O211" s="118" t="b">
        <v>0</v>
      </c>
      <c r="P211" s="179"/>
      <c r="Q211" s="120"/>
      <c r="R211" s="121" t="b">
        <v>0</v>
      </c>
      <c r="S211" s="121" t="b">
        <v>0</v>
      </c>
      <c r="T211" s="122" t="b">
        <v>0</v>
      </c>
    </row>
    <row r="212" hidden="1" outlineLevel="1">
      <c r="A212" s="116"/>
      <c r="B212" s="116"/>
      <c r="C212" s="129"/>
      <c r="D212" s="116"/>
      <c r="E212" s="116"/>
      <c r="F212" s="116"/>
      <c r="G212" s="116"/>
      <c r="H212" s="181"/>
      <c r="I212" s="116"/>
      <c r="J212" s="129"/>
      <c r="K212" s="177"/>
      <c r="L212" s="116"/>
      <c r="M212" s="178" t="str">
        <f>IFERROR(__xludf.DUMMYFUNCTION("IF(
  K212="""",
  """",
  ROUND(
    IF(
      L212="""",
      K212,
      IF(
        ISERROR(FIND(""-"",L212)),
        K212 - VALUE(REGEXEXTRACT(L212,""(\d+)"")),
        K212 * (1 - VALUE(REGEXEXTRACT(L212,""(\d+)""))/100)
      )
    ),
    2
  )
)"&amp;"
")," ")</f>
        <v/>
      </c>
      <c r="N212" s="116"/>
      <c r="O212" s="118" t="b">
        <v>0</v>
      </c>
      <c r="P212" s="179"/>
      <c r="Q212" s="120"/>
      <c r="R212" s="121" t="b">
        <v>0</v>
      </c>
      <c r="S212" s="121" t="b">
        <v>0</v>
      </c>
      <c r="T212" s="122" t="b">
        <v>0</v>
      </c>
    </row>
    <row r="213" hidden="1" outlineLevel="1">
      <c r="A213" s="116"/>
      <c r="B213" s="116"/>
      <c r="C213" s="129"/>
      <c r="D213" s="157"/>
      <c r="E213" s="157"/>
      <c r="F213" s="116"/>
      <c r="G213" s="116"/>
      <c r="H213" s="116"/>
      <c r="I213" s="116"/>
      <c r="J213" s="129"/>
      <c r="K213" s="177"/>
      <c r="L213" s="116"/>
      <c r="M213" s="178" t="str">
        <f>IFERROR(__xludf.DUMMYFUNCTION("IF(
  K213="""",
  """",
  ROUND(
    IF(
      L213="""",
      K213,
      IF(
        ISERROR(FIND(""-"",L213)),
        K213 - VALUE(REGEXEXTRACT(L213,""(\d+)"")),
        K213 * (1 - VALUE(REGEXEXTRACT(L213,""(\d+)""))/100)
      )
    ),
    2
  )
)"&amp;"
")," ")</f>
        <v/>
      </c>
      <c r="N213" s="116"/>
      <c r="O213" s="118" t="b">
        <v>0</v>
      </c>
      <c r="P213" s="179"/>
      <c r="Q213" s="120"/>
      <c r="R213" s="121" t="b">
        <v>0</v>
      </c>
      <c r="S213" s="121" t="b">
        <v>0</v>
      </c>
      <c r="T213" s="122" t="b">
        <v>0</v>
      </c>
    </row>
    <row r="214" hidden="1" outlineLevel="1">
      <c r="A214" s="131"/>
      <c r="B214" s="131"/>
      <c r="C214" s="182"/>
      <c r="D214" s="116"/>
      <c r="E214" s="116"/>
      <c r="F214" s="131"/>
      <c r="G214" s="131"/>
      <c r="H214" s="131"/>
      <c r="I214" s="131"/>
      <c r="J214" s="148"/>
      <c r="K214" s="180"/>
      <c r="L214" s="131"/>
      <c r="M214" s="178" t="str">
        <f>IFERROR(__xludf.DUMMYFUNCTION("IF(
  K214="""",
  """",
  ROUND(
    IF(
      L214="""",
      K214,
      IF(
        ISERROR(FIND(""-"",L214)),
        K214 - VALUE(REGEXEXTRACT(L214,""(\d+)"")),
        K214 * (1 - VALUE(REGEXEXTRACT(L214,""(\d+)""))/100)
      )
    ),
    2
  )
)"&amp;"
")," ")</f>
        <v/>
      </c>
      <c r="N214" s="131"/>
      <c r="O214" s="118" t="b">
        <v>0</v>
      </c>
      <c r="P214" s="179"/>
      <c r="Q214" s="149"/>
      <c r="R214" s="121" t="b">
        <v>0</v>
      </c>
      <c r="S214" s="121" t="b">
        <v>0</v>
      </c>
      <c r="T214" s="122" t="b">
        <v>0</v>
      </c>
    </row>
    <row r="215" hidden="1" outlineLevel="1">
      <c r="A215" s="131"/>
      <c r="B215" s="131"/>
      <c r="C215" s="182"/>
      <c r="D215" s="116"/>
      <c r="E215" s="116"/>
      <c r="F215" s="131"/>
      <c r="G215" s="116"/>
      <c r="H215" s="116"/>
      <c r="I215" s="116"/>
      <c r="J215" s="134"/>
      <c r="K215" s="177"/>
      <c r="L215" s="131"/>
      <c r="M215" s="178" t="str">
        <f>IFERROR(__xludf.DUMMYFUNCTION("IF(
  K215="""",
  """",
  ROUND(
    IF(
      L215="""",
      K215,
      IF(
        ISERROR(FIND(""-"",L215)),
        K215 - VALUE(REGEXEXTRACT(L215,""(\d+)"")),
        K215 * (1 - VALUE(REGEXEXTRACT(L215,""(\d+)""))/100)
      )
    ),
    2
  )
)"&amp;"
")," ")</f>
        <v/>
      </c>
      <c r="N215" s="116"/>
      <c r="O215" s="118" t="b">
        <v>0</v>
      </c>
      <c r="P215" s="179"/>
      <c r="Q215" s="120"/>
      <c r="R215" s="121" t="b">
        <v>0</v>
      </c>
      <c r="S215" s="121" t="b">
        <v>0</v>
      </c>
      <c r="T215" s="122" t="b">
        <v>0</v>
      </c>
    </row>
    <row r="216" hidden="1" outlineLevel="1">
      <c r="A216" s="131"/>
      <c r="B216" s="131"/>
      <c r="C216" s="153"/>
      <c r="D216" s="157"/>
      <c r="E216" s="157"/>
      <c r="F216" s="131"/>
      <c r="G216" s="131"/>
      <c r="H216" s="131"/>
      <c r="I216" s="183"/>
      <c r="J216" s="148"/>
      <c r="K216" s="180"/>
      <c r="L216" s="131"/>
      <c r="M216" s="178" t="str">
        <f>IFERROR(__xludf.DUMMYFUNCTION("IF(
  K216="""",
  """",
  ROUND(
    IF(
      L216="""",
      K216,
      IF(
        ISERROR(FIND(""-"",L216)),
        K216 - VALUE(REGEXEXTRACT(L216,""(\d+)"")),
        K216 * (1 - VALUE(REGEXEXTRACT(L216,""(\d+)""))/100)
      )
    ),
    2
  )
)"&amp;"
")," ")</f>
        <v/>
      </c>
      <c r="N216" s="131"/>
      <c r="O216" s="118" t="b">
        <v>0</v>
      </c>
      <c r="P216" s="179"/>
      <c r="Q216" s="149"/>
      <c r="R216" s="121" t="b">
        <v>0</v>
      </c>
      <c r="S216" s="121" t="b">
        <v>0</v>
      </c>
      <c r="T216" s="122" t="b">
        <v>0</v>
      </c>
    </row>
    <row r="217" collapsed="1">
      <c r="A217" s="255"/>
      <c r="C217" s="242" t="s">
        <v>2937</v>
      </c>
      <c r="N217" s="243" t="s">
        <v>355</v>
      </c>
      <c r="O217" s="244">
        <f>SUMPRODUCT(--$O$218:$O$260)</f>
        <v>0</v>
      </c>
      <c r="P217" s="242"/>
      <c r="Q217" s="242"/>
      <c r="R217" s="242"/>
      <c r="S217" s="242"/>
      <c r="T217" s="242"/>
    </row>
    <row r="218" hidden="1" outlineLevel="1">
      <c r="A218" s="116"/>
      <c r="B218" s="116"/>
      <c r="C218" s="133"/>
      <c r="D218" s="116"/>
      <c r="E218" s="116"/>
      <c r="F218" s="116"/>
      <c r="G218" s="116"/>
      <c r="H218" s="116"/>
      <c r="I218" s="116"/>
      <c r="J218" s="134"/>
      <c r="K218" s="177"/>
      <c r="L218" s="116"/>
      <c r="M218" s="178" t="str">
        <f>IFERROR(__xludf.DUMMYFUNCTION("IF(
  K218="""",
  """",
  ROUND(
    IF(
      L218="""",
      K218,
      IF(
        ISERROR(FIND(""-"",L218)),
        K218 - VALUE(REGEXEXTRACT(L218,""(\d+)"")),
        K218 * (1 - VALUE(REGEXEXTRACT(L218,""(\d+)""))/100)
      )
    ),
    2
  )
)"&amp;"
")," ")</f>
        <v/>
      </c>
      <c r="N218" s="116"/>
      <c r="O218" s="118" t="b">
        <v>0</v>
      </c>
      <c r="P218" s="179"/>
      <c r="Q218" s="120"/>
      <c r="R218" s="121" t="b">
        <v>0</v>
      </c>
      <c r="S218" s="121" t="b">
        <v>0</v>
      </c>
      <c r="T218" s="122" t="b">
        <v>0</v>
      </c>
    </row>
    <row r="219" hidden="1" outlineLevel="1">
      <c r="A219" s="116"/>
      <c r="B219" s="116"/>
      <c r="C219" s="129"/>
      <c r="D219" s="116"/>
      <c r="E219" s="116"/>
      <c r="F219" s="116"/>
      <c r="G219" s="184"/>
      <c r="H219" s="116"/>
      <c r="I219" s="116"/>
      <c r="J219" s="134"/>
      <c r="K219" s="177"/>
      <c r="L219" s="116"/>
      <c r="M219" s="178" t="str">
        <f>IFERROR(__xludf.DUMMYFUNCTION("IF(
  K219="""",
  """",
  ROUND(
    IF(
      L219="""",
      K219,
      IF(
        ISERROR(FIND(""-"",L219)),
        K219 - VALUE(REGEXEXTRACT(L219,""(\d+)"")),
        K219 * (1 - VALUE(REGEXEXTRACT(L219,""(\d+)""))/100)
      )
    ),
    2
  )
)"&amp;"
")," ")</f>
        <v/>
      </c>
      <c r="N219" s="116"/>
      <c r="O219" s="118" t="b">
        <v>0</v>
      </c>
      <c r="P219" s="179"/>
      <c r="Q219" s="120"/>
      <c r="R219" s="121" t="b">
        <v>0</v>
      </c>
      <c r="S219" s="121" t="b">
        <v>0</v>
      </c>
      <c r="T219" s="122" t="b">
        <v>0</v>
      </c>
    </row>
    <row r="220" hidden="1" outlineLevel="1">
      <c r="A220" s="116"/>
      <c r="B220" s="116"/>
      <c r="C220" s="129"/>
      <c r="D220" s="157"/>
      <c r="E220" s="157"/>
      <c r="F220" s="116"/>
      <c r="G220" s="116"/>
      <c r="H220" s="116"/>
      <c r="I220" s="116"/>
      <c r="J220" s="134"/>
      <c r="K220" s="177"/>
      <c r="L220" s="116"/>
      <c r="M220" s="178" t="str">
        <f>IFERROR(__xludf.DUMMYFUNCTION("IF(
  K220="""",
  """",
  ROUND(
    IF(
      L220="""",
      K220,
      IF(
        ISERROR(FIND(""-"",L220)),
        K220 - VALUE(REGEXEXTRACT(L220,""(\d+)"")),
        K220 * (1 - VALUE(REGEXEXTRACT(L220,""(\d+)""))/100)
      )
    ),
    2
  )
)"&amp;"
")," ")</f>
        <v/>
      </c>
      <c r="N220" s="116"/>
      <c r="O220" s="118" t="b">
        <v>0</v>
      </c>
      <c r="P220" s="179"/>
      <c r="Q220" s="120"/>
      <c r="R220" s="121" t="b">
        <v>0</v>
      </c>
      <c r="S220" s="121" t="b">
        <v>0</v>
      </c>
      <c r="T220" s="122" t="b">
        <v>0</v>
      </c>
    </row>
    <row r="221" hidden="1" outlineLevel="1">
      <c r="A221" s="116"/>
      <c r="B221" s="116"/>
      <c r="C221" s="129"/>
      <c r="D221" s="116"/>
      <c r="E221" s="116"/>
      <c r="F221" s="116"/>
      <c r="G221" s="116"/>
      <c r="H221" s="116"/>
      <c r="I221" s="116"/>
      <c r="J221" s="134"/>
      <c r="K221" s="177"/>
      <c r="L221" s="116"/>
      <c r="M221" s="178" t="str">
        <f>IFERROR(__xludf.DUMMYFUNCTION("IF(
  K221="""",
  """",
  ROUND(
    IF(
      L221="""",
      K221,
      IF(
        ISERROR(FIND(""-"",L221)),
        K221 - VALUE(REGEXEXTRACT(L221,""(\d+)"")),
        K221 * (1 - VALUE(REGEXEXTRACT(L221,""(\d+)""))/100)
      )
    ),
    2
  )
)"&amp;"
")," ")</f>
        <v/>
      </c>
      <c r="N221" s="116"/>
      <c r="O221" s="118" t="b">
        <v>0</v>
      </c>
      <c r="P221" s="179"/>
      <c r="Q221" s="120"/>
      <c r="R221" s="121" t="b">
        <v>0</v>
      </c>
      <c r="S221" s="121" t="b">
        <v>0</v>
      </c>
      <c r="T221" s="122" t="b">
        <v>0</v>
      </c>
    </row>
    <row r="222" hidden="1" outlineLevel="1">
      <c r="A222" s="131"/>
      <c r="B222" s="131"/>
      <c r="C222" s="130"/>
      <c r="D222" s="116"/>
      <c r="E222" s="116"/>
      <c r="F222" s="131"/>
      <c r="G222" s="131"/>
      <c r="H222" s="131"/>
      <c r="I222" s="131"/>
      <c r="J222" s="148"/>
      <c r="K222" s="180"/>
      <c r="L222" s="131"/>
      <c r="M222" s="178" t="str">
        <f>IFERROR(__xludf.DUMMYFUNCTION("IF(
  K222="""",
  """",
  ROUND(
    IF(
      L222="""",
      K222,
      IF(
        ISERROR(FIND(""-"",L222)),
        K222 - VALUE(REGEXEXTRACT(L222,""(\d+)"")),
        K222 * (1 - VALUE(REGEXEXTRACT(L222,""(\d+)""))/100)
      )
    ),
    2
  )
)"&amp;"
")," ")</f>
        <v/>
      </c>
      <c r="N222" s="116"/>
      <c r="O222" s="118" t="b">
        <v>0</v>
      </c>
      <c r="P222" s="179"/>
      <c r="Q222" s="120"/>
      <c r="R222" s="121" t="b">
        <v>0</v>
      </c>
      <c r="S222" s="121" t="b">
        <v>0</v>
      </c>
      <c r="T222" s="122" t="b">
        <v>0</v>
      </c>
    </row>
    <row r="223" hidden="1" outlineLevel="1">
      <c r="A223" s="116"/>
      <c r="B223" s="116"/>
      <c r="C223" s="129"/>
      <c r="D223" s="157"/>
      <c r="E223" s="157"/>
      <c r="F223" s="116"/>
      <c r="G223" s="116"/>
      <c r="H223" s="116"/>
      <c r="I223" s="116"/>
      <c r="J223" s="134"/>
      <c r="K223" s="177"/>
      <c r="L223" s="116"/>
      <c r="M223" s="178" t="str">
        <f>IFERROR(__xludf.DUMMYFUNCTION("IF(
  K223="""",
  """",
  ROUND(
    IF(
      L223="""",
      K223,
      IF(
        ISERROR(FIND(""-"",L223)),
        K223 - VALUE(REGEXEXTRACT(L223,""(\d+)"")),
        K223 * (1 - VALUE(REGEXEXTRACT(L223,""(\d+)""))/100)
      )
    ),
    2
  )
)"&amp;"
")," ")</f>
        <v/>
      </c>
      <c r="N223" s="116"/>
      <c r="O223" s="118" t="b">
        <v>0</v>
      </c>
      <c r="P223" s="179"/>
      <c r="Q223" s="120"/>
      <c r="R223" s="121" t="b">
        <v>0</v>
      </c>
      <c r="S223" s="121" t="b">
        <v>0</v>
      </c>
      <c r="T223" s="122" t="b">
        <v>0</v>
      </c>
    </row>
    <row r="224" hidden="1" outlineLevel="1">
      <c r="A224" s="116"/>
      <c r="B224" s="116"/>
      <c r="C224" s="130"/>
      <c r="D224" s="116"/>
      <c r="E224" s="116"/>
      <c r="F224" s="131"/>
      <c r="G224" s="131"/>
      <c r="H224" s="131"/>
      <c r="I224" s="131"/>
      <c r="J224" s="148"/>
      <c r="K224" s="180"/>
      <c r="L224" s="131"/>
      <c r="M224" s="178" t="str">
        <f>IFERROR(__xludf.DUMMYFUNCTION("IF(
  K224="""",
  """",
  ROUND(
    IF(
      L224="""",
      K224,
      IF(
        ISERROR(FIND(""-"",L224)),
        K224 - VALUE(REGEXEXTRACT(L224,""(\d+)"")),
        K224 * (1 - VALUE(REGEXEXTRACT(L224,""(\d+)""))/100)
      )
    ),
    2
  )
)"&amp;"
")," ")</f>
        <v/>
      </c>
      <c r="N224" s="131"/>
      <c r="O224" s="118" t="b">
        <v>0</v>
      </c>
      <c r="P224" s="179"/>
      <c r="Q224" s="149"/>
      <c r="R224" s="121" t="b">
        <v>0</v>
      </c>
      <c r="S224" s="121" t="b">
        <v>0</v>
      </c>
      <c r="T224" s="122" t="b">
        <v>0</v>
      </c>
    </row>
    <row r="225" hidden="1" outlineLevel="1">
      <c r="A225" s="131"/>
      <c r="B225" s="131"/>
      <c r="C225" s="130"/>
      <c r="D225" s="116"/>
      <c r="E225" s="116"/>
      <c r="F225" s="131"/>
      <c r="G225" s="131"/>
      <c r="H225" s="131"/>
      <c r="I225" s="131"/>
      <c r="J225" s="148"/>
      <c r="K225" s="180"/>
      <c r="L225" s="131"/>
      <c r="M225" s="178" t="str">
        <f>IFERROR(__xludf.DUMMYFUNCTION("IF(
  K225="""",
  """",
  ROUND(
    IF(
      L225="""",
      K225,
      IF(
        ISERROR(FIND(""-"",L225)),
        K225 - VALUE(REGEXEXTRACT(L225,""(\d+)"")),
        K225 * (1 - VALUE(REGEXEXTRACT(L225,""(\d+)""))/100)
      )
    ),
    2
  )
)"&amp;"
")," ")</f>
        <v/>
      </c>
      <c r="N225" s="116"/>
      <c r="O225" s="118" t="b">
        <v>0</v>
      </c>
      <c r="P225" s="179"/>
      <c r="Q225" s="149"/>
      <c r="R225" s="121" t="b">
        <v>0</v>
      </c>
      <c r="S225" s="121" t="b">
        <v>0</v>
      </c>
      <c r="T225" s="122" t="b">
        <v>0</v>
      </c>
    </row>
    <row r="226" hidden="1" outlineLevel="1">
      <c r="A226" s="116"/>
      <c r="B226" s="116"/>
      <c r="C226" s="129"/>
      <c r="D226" s="157"/>
      <c r="E226" s="157"/>
      <c r="F226" s="116"/>
      <c r="G226" s="116"/>
      <c r="H226" s="116"/>
      <c r="I226" s="116"/>
      <c r="J226" s="134"/>
      <c r="K226" s="177"/>
      <c r="L226" s="116"/>
      <c r="M226" s="178" t="str">
        <f>IFERROR(__xludf.DUMMYFUNCTION("IF(
  K226="""",
  """",
  ROUND(
    IF(
      L226="""",
      K226,
      IF(
        ISERROR(FIND(""-"",L226)),
        K226 - VALUE(REGEXEXTRACT(L226,""(\d+)"")),
        K226 * (1 - VALUE(REGEXEXTRACT(L226,""(\d+)""))/100)
      )
    ),
    2
  )
)"&amp;"
")," ")</f>
        <v/>
      </c>
      <c r="N226" s="116"/>
      <c r="O226" s="118" t="b">
        <v>0</v>
      </c>
      <c r="P226" s="179"/>
      <c r="Q226" s="120"/>
      <c r="R226" s="121" t="b">
        <v>0</v>
      </c>
      <c r="S226" s="121" t="b">
        <v>0</v>
      </c>
      <c r="T226" s="122" t="b">
        <v>0</v>
      </c>
    </row>
    <row r="227" hidden="1" outlineLevel="1">
      <c r="A227" s="116"/>
      <c r="B227" s="116"/>
      <c r="C227" s="129"/>
      <c r="D227" s="116"/>
      <c r="E227" s="116"/>
      <c r="F227" s="116"/>
      <c r="G227" s="116"/>
      <c r="H227" s="116"/>
      <c r="I227" s="116"/>
      <c r="J227" s="134"/>
      <c r="K227" s="177"/>
      <c r="L227" s="116"/>
      <c r="M227" s="178" t="str">
        <f>IFERROR(__xludf.DUMMYFUNCTION("IF(
  K227="""",
  """",
  ROUND(
    IF(
      L227="""",
      K227,
      IF(
        ISERROR(FIND(""-"",L227)),
        K227 - VALUE(REGEXEXTRACT(L227,""(\d+)"")),
        K227 * (1 - VALUE(REGEXEXTRACT(L227,""(\d+)""))/100)
      )
    ),
    2
  )
)"&amp;"
")," ")</f>
        <v/>
      </c>
      <c r="N227" s="116"/>
      <c r="O227" s="118" t="b">
        <v>0</v>
      </c>
      <c r="P227" s="179"/>
      <c r="Q227" s="120"/>
      <c r="R227" s="121" t="b">
        <v>0</v>
      </c>
      <c r="S227" s="121" t="b">
        <v>0</v>
      </c>
      <c r="T227" s="122" t="b">
        <v>0</v>
      </c>
    </row>
    <row r="228" hidden="1" outlineLevel="1">
      <c r="A228" s="116"/>
      <c r="B228" s="116"/>
      <c r="C228" s="129"/>
      <c r="D228" s="116"/>
      <c r="E228" s="116"/>
      <c r="F228" s="116"/>
      <c r="G228" s="116"/>
      <c r="H228" s="116"/>
      <c r="I228" s="116"/>
      <c r="J228" s="134"/>
      <c r="K228" s="177"/>
      <c r="L228" s="116"/>
      <c r="M228" s="178" t="str">
        <f>IFERROR(__xludf.DUMMYFUNCTION("IF(
  K228="""",
  """",
  ROUND(
    IF(
      L228="""",
      K228,
      IF(
        ISERROR(FIND(""-"",L228)),
        K228 - VALUE(REGEXEXTRACT(L228,""(\d+)"")),
        K228 * (1 - VALUE(REGEXEXTRACT(L228,""(\d+)""))/100)
      )
    ),
    2
  )
)"&amp;"
")," ")</f>
        <v/>
      </c>
      <c r="N228" s="116"/>
      <c r="O228" s="118" t="b">
        <v>0</v>
      </c>
      <c r="P228" s="179"/>
      <c r="Q228" s="120"/>
      <c r="R228" s="121" t="b">
        <v>0</v>
      </c>
      <c r="S228" s="121" t="b">
        <v>0</v>
      </c>
      <c r="T228" s="122" t="b">
        <v>0</v>
      </c>
    </row>
    <row r="229" hidden="1" outlineLevel="1">
      <c r="A229" s="116"/>
      <c r="B229" s="116"/>
      <c r="C229" s="129"/>
      <c r="D229" s="157"/>
      <c r="E229" s="157"/>
      <c r="F229" s="116"/>
      <c r="G229" s="116"/>
      <c r="H229" s="116"/>
      <c r="I229" s="116"/>
      <c r="J229" s="134"/>
      <c r="K229" s="177"/>
      <c r="L229" s="116"/>
      <c r="M229" s="178" t="str">
        <f>IFERROR(__xludf.DUMMYFUNCTION("IF(
  K229="""",
  """",
  ROUND(
    IF(
      L229="""",
      K229,
      IF(
        ISERROR(FIND(""-"",L229)),
        K229 - VALUE(REGEXEXTRACT(L229,""(\d+)"")),
        K229 * (1 - VALUE(REGEXEXTRACT(L229,""(\d+)""))/100)
      )
    ),
    2
  )
)"&amp;"
")," ")</f>
        <v/>
      </c>
      <c r="N229" s="116"/>
      <c r="O229" s="118" t="b">
        <v>0</v>
      </c>
      <c r="P229" s="179"/>
      <c r="Q229" s="120"/>
      <c r="R229" s="121" t="b">
        <v>0</v>
      </c>
      <c r="S229" s="121" t="b">
        <v>0</v>
      </c>
      <c r="T229" s="122" t="b">
        <v>0</v>
      </c>
    </row>
    <row r="230" hidden="1" outlineLevel="1">
      <c r="A230" s="116"/>
      <c r="B230" s="116"/>
      <c r="C230" s="129"/>
      <c r="D230" s="116"/>
      <c r="E230" s="116"/>
      <c r="F230" s="116"/>
      <c r="G230" s="116"/>
      <c r="H230" s="116"/>
      <c r="I230" s="116"/>
      <c r="J230" s="134"/>
      <c r="K230" s="177"/>
      <c r="L230" s="116"/>
      <c r="M230" s="178" t="str">
        <f>IFERROR(__xludf.DUMMYFUNCTION("IF(
  K230="""",
  """",
  ROUND(
    IF(
      L230="""",
      K230,
      IF(
        ISERROR(FIND(""-"",L230)),
        K230 - VALUE(REGEXEXTRACT(L230,""(\d+)"")),
        K230 * (1 - VALUE(REGEXEXTRACT(L230,""(\d+)""))/100)
      )
    ),
    2
  )
)"&amp;"
")," ")</f>
        <v/>
      </c>
      <c r="N230" s="116"/>
      <c r="O230" s="118" t="b">
        <v>0</v>
      </c>
      <c r="P230" s="179"/>
      <c r="Q230" s="120"/>
      <c r="R230" s="121" t="b">
        <v>0</v>
      </c>
      <c r="S230" s="121" t="b">
        <v>0</v>
      </c>
      <c r="T230" s="122" t="b">
        <v>0</v>
      </c>
    </row>
    <row r="231" hidden="1" outlineLevel="1">
      <c r="A231" s="116"/>
      <c r="B231" s="116"/>
      <c r="C231" s="129"/>
      <c r="D231" s="116"/>
      <c r="E231" s="116"/>
      <c r="F231" s="116"/>
      <c r="G231" s="116"/>
      <c r="H231" s="116"/>
      <c r="I231" s="116"/>
      <c r="J231" s="134"/>
      <c r="K231" s="177"/>
      <c r="L231" s="116"/>
      <c r="M231" s="178" t="str">
        <f>IFERROR(__xludf.DUMMYFUNCTION("IF(
  K231="""",
  """",
  ROUND(
    IF(
      L231="""",
      K231,
      IF(
        ISERROR(FIND(""-"",L231)),
        K231 - VALUE(REGEXEXTRACT(L231,""(\d+)"")),
        K231 * (1 - VALUE(REGEXEXTRACT(L231,""(\d+)""))/100)
      )
    ),
    2
  )
)"&amp;"
")," ")</f>
        <v/>
      </c>
      <c r="N231" s="116"/>
      <c r="O231" s="118" t="b">
        <v>0</v>
      </c>
      <c r="P231" s="179"/>
      <c r="Q231" s="120"/>
      <c r="R231" s="121" t="b">
        <v>0</v>
      </c>
      <c r="S231" s="121" t="b">
        <v>0</v>
      </c>
      <c r="T231" s="122" t="b">
        <v>0</v>
      </c>
    </row>
    <row r="232" hidden="1" outlineLevel="1">
      <c r="A232" s="116"/>
      <c r="B232" s="116"/>
      <c r="C232" s="129"/>
      <c r="D232" s="157"/>
      <c r="E232" s="157"/>
      <c r="F232" s="116"/>
      <c r="G232" s="116"/>
      <c r="H232" s="116"/>
      <c r="I232" s="116"/>
      <c r="J232" s="134"/>
      <c r="K232" s="177"/>
      <c r="L232" s="116"/>
      <c r="M232" s="178" t="str">
        <f>IFERROR(__xludf.DUMMYFUNCTION("IF(
  K232="""",
  """",
  ROUND(
    IF(
      L232="""",
      K232,
      IF(
        ISERROR(FIND(""-"",L232)),
        K232 - VALUE(REGEXEXTRACT(L232,""(\d+)"")),
        K232 * (1 - VALUE(REGEXEXTRACT(L232,""(\d+)""))/100)
      )
    ),
    2
  )
)"&amp;"
")," ")</f>
        <v/>
      </c>
      <c r="N232" s="116"/>
      <c r="O232" s="118" t="b">
        <v>0</v>
      </c>
      <c r="P232" s="179"/>
      <c r="Q232" s="120"/>
      <c r="R232" s="121" t="b">
        <v>0</v>
      </c>
      <c r="S232" s="121" t="b">
        <v>0</v>
      </c>
      <c r="T232" s="122" t="b">
        <v>0</v>
      </c>
    </row>
    <row r="233" hidden="1" outlineLevel="1">
      <c r="A233" s="116"/>
      <c r="B233" s="116"/>
      <c r="C233" s="129"/>
      <c r="D233" s="116"/>
      <c r="E233" s="116"/>
      <c r="F233" s="116"/>
      <c r="G233" s="116"/>
      <c r="H233" s="116"/>
      <c r="I233" s="116"/>
      <c r="J233" s="134"/>
      <c r="K233" s="180"/>
      <c r="L233" s="116"/>
      <c r="M233" s="178" t="str">
        <f>IFERROR(__xludf.DUMMYFUNCTION("IF(
  K233="""",
  """",
  ROUND(
    IF(
      L233="""",
      K233,
      IF(
        ISERROR(FIND(""-"",L233)),
        K233 - VALUE(REGEXEXTRACT(L233,""(\d+)"")),
        K233 * (1 - VALUE(REGEXEXTRACT(L233,""(\d+)""))/100)
      )
    ),
    2
  )
)"&amp;"
")," ")</f>
        <v/>
      </c>
      <c r="N233" s="116"/>
      <c r="O233" s="118" t="b">
        <v>0</v>
      </c>
      <c r="P233" s="179"/>
      <c r="Q233" s="120"/>
      <c r="R233" s="121" t="b">
        <v>0</v>
      </c>
      <c r="S233" s="121" t="b">
        <v>0</v>
      </c>
      <c r="T233" s="122" t="b">
        <v>0</v>
      </c>
    </row>
    <row r="234" hidden="1" outlineLevel="1">
      <c r="A234" s="116"/>
      <c r="B234" s="116"/>
      <c r="C234" s="129"/>
      <c r="D234" s="116"/>
      <c r="E234" s="116"/>
      <c r="F234" s="116"/>
      <c r="G234" s="116"/>
      <c r="H234" s="116"/>
      <c r="I234" s="116"/>
      <c r="J234" s="134"/>
      <c r="K234" s="177"/>
      <c r="L234" s="116"/>
      <c r="M234" s="178" t="str">
        <f>IFERROR(__xludf.DUMMYFUNCTION("IF(
  K234="""",
  """",
  ROUND(
    IF(
      L234="""",
      K234,
      IF(
        ISERROR(FIND(""-"",L234)),
        K234 - VALUE(REGEXEXTRACT(L234,""(\d+)"")),
        K234 * (1 - VALUE(REGEXEXTRACT(L234,""(\d+)""))/100)
      )
    ),
    2
  )
)"&amp;"
")," ")</f>
        <v/>
      </c>
      <c r="N234" s="116"/>
      <c r="O234" s="118" t="b">
        <v>0</v>
      </c>
      <c r="P234" s="179"/>
      <c r="Q234" s="120"/>
      <c r="R234" s="121" t="b">
        <v>0</v>
      </c>
      <c r="S234" s="121" t="b">
        <v>0</v>
      </c>
      <c r="T234" s="122" t="b">
        <v>0</v>
      </c>
    </row>
    <row r="235" hidden="1" outlineLevel="1">
      <c r="A235" s="116"/>
      <c r="B235" s="116"/>
      <c r="C235" s="129"/>
      <c r="D235" s="157"/>
      <c r="E235" s="157"/>
      <c r="F235" s="116"/>
      <c r="G235" s="116"/>
      <c r="H235" s="116"/>
      <c r="I235" s="116"/>
      <c r="J235" s="134"/>
      <c r="K235" s="177"/>
      <c r="L235" s="116"/>
      <c r="M235" s="178" t="str">
        <f>IFERROR(__xludf.DUMMYFUNCTION("IF(
  K235="""",
  """",
  ROUND(
    IF(
      L235="""",
      K235,
      IF(
        ISERROR(FIND(""-"",L235)),
        K235 - VALUE(REGEXEXTRACT(L235,""(\d+)"")),
        K235 * (1 - VALUE(REGEXEXTRACT(L235,""(\d+)""))/100)
      )
    ),
    2
  )
)"&amp;"
")," ")</f>
        <v/>
      </c>
      <c r="N235" s="116"/>
      <c r="O235" s="118" t="b">
        <v>0</v>
      </c>
      <c r="P235" s="179"/>
      <c r="Q235" s="120"/>
      <c r="R235" s="121" t="b">
        <v>0</v>
      </c>
      <c r="S235" s="121" t="b">
        <v>0</v>
      </c>
      <c r="T235" s="122" t="b">
        <v>0</v>
      </c>
    </row>
    <row r="236" hidden="1" outlineLevel="1">
      <c r="A236" s="116"/>
      <c r="B236" s="116"/>
      <c r="C236" s="185"/>
      <c r="D236" s="116"/>
      <c r="E236" s="116"/>
      <c r="F236" s="116"/>
      <c r="G236" s="116"/>
      <c r="H236" s="116"/>
      <c r="I236" s="116"/>
      <c r="J236" s="134"/>
      <c r="K236" s="177"/>
      <c r="L236" s="116"/>
      <c r="M236" s="178" t="str">
        <f>IFERROR(__xludf.DUMMYFUNCTION("IF(
  K236="""",
  """",
  ROUND(
    IF(
      L236="""",
      K236,
      IF(
        ISERROR(FIND(""-"",L236)),
        K236 - VALUE(REGEXEXTRACT(L236,""(\d+)"")),
        K236 * (1 - VALUE(REGEXEXTRACT(L236,""(\d+)""))/100)
      )
    ),
    2
  )
)"&amp;"
")," ")</f>
        <v/>
      </c>
      <c r="N236" s="116"/>
      <c r="O236" s="118" t="b">
        <v>0</v>
      </c>
      <c r="P236" s="179"/>
      <c r="Q236" s="120"/>
      <c r="R236" s="121" t="b">
        <v>0</v>
      </c>
      <c r="S236" s="121" t="b">
        <v>0</v>
      </c>
      <c r="T236" s="122" t="b">
        <v>0</v>
      </c>
    </row>
    <row r="237" hidden="1" outlineLevel="1">
      <c r="A237" s="116"/>
      <c r="B237" s="116"/>
      <c r="C237" s="185"/>
      <c r="D237" s="116"/>
      <c r="E237" s="116"/>
      <c r="F237" s="116"/>
      <c r="G237" s="116"/>
      <c r="H237" s="116"/>
      <c r="I237" s="116"/>
      <c r="J237" s="134"/>
      <c r="K237" s="177"/>
      <c r="L237" s="116"/>
      <c r="M237" s="178" t="str">
        <f>IFERROR(__xludf.DUMMYFUNCTION("IF(
  K237="""",
  """",
  ROUND(
    IF(
      L237="""",
      K237,
      IF(
        ISERROR(FIND(""-"",L237)),
        K237 - VALUE(REGEXEXTRACT(L237,""(\d+)"")),
        K237 * (1 - VALUE(REGEXEXTRACT(L237,""(\d+)""))/100)
      )
    ),
    2
  )
)"&amp;"
")," ")</f>
        <v/>
      </c>
      <c r="N237" s="116"/>
      <c r="O237" s="118" t="b">
        <v>0</v>
      </c>
      <c r="P237" s="179"/>
      <c r="Q237" s="120"/>
      <c r="R237" s="121" t="b">
        <v>0</v>
      </c>
      <c r="S237" s="121" t="b">
        <v>0</v>
      </c>
      <c r="T237" s="122" t="b">
        <v>0</v>
      </c>
    </row>
    <row r="238" hidden="1" outlineLevel="1">
      <c r="A238" s="116"/>
      <c r="B238" s="116"/>
      <c r="C238" s="185"/>
      <c r="D238" s="157"/>
      <c r="E238" s="157"/>
      <c r="F238" s="116"/>
      <c r="G238" s="116"/>
      <c r="H238" s="116"/>
      <c r="I238" s="116"/>
      <c r="J238" s="134"/>
      <c r="K238" s="177"/>
      <c r="L238" s="116"/>
      <c r="M238" s="178" t="str">
        <f>IFERROR(__xludf.DUMMYFUNCTION("IF(
  K238="""",
  """",
  ROUND(
    IF(
      L238="""",
      K238,
      IF(
        ISERROR(FIND(""-"",L238)),
        K238 - VALUE(REGEXEXTRACT(L238,""(\d+)"")),
        K238 * (1 - VALUE(REGEXEXTRACT(L238,""(\d+)""))/100)
      )
    ),
    2
  )
)"&amp;"
")," ")</f>
        <v/>
      </c>
      <c r="N238" s="116"/>
      <c r="O238" s="118" t="b">
        <v>0</v>
      </c>
      <c r="P238" s="179"/>
      <c r="Q238" s="120"/>
      <c r="R238" s="121" t="b">
        <v>0</v>
      </c>
      <c r="S238" s="121" t="b">
        <v>0</v>
      </c>
      <c r="T238" s="122" t="b">
        <v>0</v>
      </c>
    </row>
    <row r="239" hidden="1" outlineLevel="1">
      <c r="A239" s="116"/>
      <c r="B239" s="116"/>
      <c r="C239" s="185"/>
      <c r="D239" s="116"/>
      <c r="E239" s="116"/>
      <c r="F239" s="116"/>
      <c r="G239" s="116"/>
      <c r="H239" s="116"/>
      <c r="I239" s="116"/>
      <c r="J239" s="134"/>
      <c r="K239" s="177"/>
      <c r="L239" s="116"/>
      <c r="M239" s="178" t="str">
        <f>IFERROR(__xludf.DUMMYFUNCTION("IF(
  K239="""",
  """",
  ROUND(
    IF(
      L239="""",
      K239,
      IF(
        ISERROR(FIND(""-"",L239)),
        K239 - VALUE(REGEXEXTRACT(L239,""(\d+)"")),
        K239 * (1 - VALUE(REGEXEXTRACT(L239,""(\d+)""))/100)
      )
    ),
    2
  )
)"&amp;"
")," ")</f>
        <v/>
      </c>
      <c r="N239" s="116"/>
      <c r="O239" s="118" t="b">
        <v>0</v>
      </c>
      <c r="P239" s="179"/>
      <c r="Q239" s="120"/>
      <c r="R239" s="121" t="b">
        <v>0</v>
      </c>
      <c r="S239" s="121" t="b">
        <v>0</v>
      </c>
      <c r="T239" s="122" t="b">
        <v>0</v>
      </c>
    </row>
    <row r="240" hidden="1" outlineLevel="1">
      <c r="A240" s="116"/>
      <c r="B240" s="116"/>
      <c r="C240" s="185"/>
      <c r="D240" s="116"/>
      <c r="E240" s="116"/>
      <c r="F240" s="116"/>
      <c r="G240" s="116"/>
      <c r="H240" s="116"/>
      <c r="I240" s="116"/>
      <c r="J240" s="134"/>
      <c r="K240" s="177"/>
      <c r="L240" s="116"/>
      <c r="M240" s="178" t="str">
        <f>IFERROR(__xludf.DUMMYFUNCTION("IF(
  K240="""",
  """",
  ROUND(
    IF(
      L240="""",
      K240,
      IF(
        ISERROR(FIND(""-"",L240)),
        K240 - VALUE(REGEXEXTRACT(L240,""(\d+)"")),
        K240 * (1 - VALUE(REGEXEXTRACT(L240,""(\d+)""))/100)
      )
    ),
    2
  )
)"&amp;"
")," ")</f>
        <v/>
      </c>
      <c r="N240" s="116"/>
      <c r="O240" s="118" t="b">
        <v>0</v>
      </c>
      <c r="P240" s="179"/>
      <c r="Q240" s="120"/>
      <c r="R240" s="121" t="b">
        <v>0</v>
      </c>
      <c r="S240" s="121" t="b">
        <v>0</v>
      </c>
      <c r="T240" s="122" t="b">
        <v>0</v>
      </c>
    </row>
    <row r="241" hidden="1" outlineLevel="1">
      <c r="A241" s="116"/>
      <c r="B241" s="116"/>
      <c r="C241" s="185"/>
      <c r="D241" s="157"/>
      <c r="E241" s="157"/>
      <c r="F241" s="116"/>
      <c r="G241" s="116"/>
      <c r="H241" s="116"/>
      <c r="I241" s="116"/>
      <c r="J241" s="134"/>
      <c r="K241" s="177"/>
      <c r="L241" s="116"/>
      <c r="M241" s="178" t="str">
        <f>IFERROR(__xludf.DUMMYFUNCTION("IF(
  K241="""",
  """",
  ROUND(
    IF(
      L241="""",
      K241,
      IF(
        ISERROR(FIND(""-"",L241)),
        K241 - VALUE(REGEXEXTRACT(L241,""(\d+)"")),
        K241 * (1 - VALUE(REGEXEXTRACT(L241,""(\d+)""))/100)
      )
    ),
    2
  )
)"&amp;"
")," ")</f>
        <v/>
      </c>
      <c r="N241" s="116"/>
      <c r="O241" s="118" t="b">
        <v>0</v>
      </c>
      <c r="P241" s="179"/>
      <c r="Q241" s="120"/>
      <c r="R241" s="121" t="b">
        <v>0</v>
      </c>
      <c r="S241" s="121" t="b">
        <v>0</v>
      </c>
      <c r="T241" s="122" t="b">
        <v>0</v>
      </c>
    </row>
    <row r="242" hidden="1" outlineLevel="1">
      <c r="A242" s="116"/>
      <c r="B242" s="116"/>
      <c r="C242" s="185"/>
      <c r="D242" s="116"/>
      <c r="E242" s="116"/>
      <c r="F242" s="116"/>
      <c r="G242" s="116"/>
      <c r="H242" s="116"/>
      <c r="I242" s="116"/>
      <c r="J242" s="134"/>
      <c r="K242" s="180"/>
      <c r="L242" s="116"/>
      <c r="M242" s="178" t="str">
        <f>IFERROR(__xludf.DUMMYFUNCTION("IF(
  K242="""",
  """",
  ROUND(
    IF(
      L242="""",
      K242,
      IF(
        ISERROR(FIND(""-"",L242)),
        K242 - VALUE(REGEXEXTRACT(L242,""(\d+)"")),
        K242 * (1 - VALUE(REGEXEXTRACT(L242,""(\d+)""))/100)
      )
    ),
    2
  )
)"&amp;"
")," ")</f>
        <v/>
      </c>
      <c r="N242" s="116"/>
      <c r="O242" s="118" t="b">
        <v>0</v>
      </c>
      <c r="P242" s="179"/>
      <c r="Q242" s="120"/>
      <c r="R242" s="121" t="b">
        <v>0</v>
      </c>
      <c r="S242" s="121" t="b">
        <v>0</v>
      </c>
      <c r="T242" s="122" t="b">
        <v>0</v>
      </c>
    </row>
    <row r="243" hidden="1" outlineLevel="1">
      <c r="A243" s="116"/>
      <c r="B243" s="116"/>
      <c r="C243" s="185"/>
      <c r="D243" s="116"/>
      <c r="E243" s="116"/>
      <c r="F243" s="116"/>
      <c r="G243" s="116"/>
      <c r="H243" s="116"/>
      <c r="I243" s="116"/>
      <c r="J243" s="134"/>
      <c r="K243" s="180"/>
      <c r="L243" s="116"/>
      <c r="M243" s="178" t="str">
        <f>IFERROR(__xludf.DUMMYFUNCTION("IF(
  K243="""",
  """",
  ROUND(
    IF(
      L243="""",
      K243,
      IF(
        ISERROR(FIND(""-"",L243)),
        K243 - VALUE(REGEXEXTRACT(L243,""(\d+)"")),
        K243 * (1 - VALUE(REGEXEXTRACT(L243,""(\d+)""))/100)
      )
    ),
    2
  )
)"&amp;"
")," ")</f>
        <v/>
      </c>
      <c r="N243" s="116"/>
      <c r="O243" s="118" t="b">
        <v>0</v>
      </c>
      <c r="P243" s="179"/>
      <c r="Q243" s="120"/>
      <c r="R243" s="121" t="b">
        <v>0</v>
      </c>
      <c r="S243" s="121" t="b">
        <v>0</v>
      </c>
      <c r="T243" s="122" t="b">
        <v>0</v>
      </c>
    </row>
    <row r="244" hidden="1" outlineLevel="1">
      <c r="A244" s="116"/>
      <c r="B244" s="116"/>
      <c r="C244" s="185"/>
      <c r="D244" s="157"/>
      <c r="E244" s="157"/>
      <c r="F244" s="116"/>
      <c r="G244" s="116"/>
      <c r="H244" s="116"/>
      <c r="I244" s="116"/>
      <c r="J244" s="134"/>
      <c r="K244" s="177"/>
      <c r="L244" s="116"/>
      <c r="M244" s="178" t="str">
        <f>IFERROR(__xludf.DUMMYFUNCTION("IF(
  K244="""",
  """",
  ROUND(
    IF(
      L244="""",
      K244,
      IF(
        ISERROR(FIND(""-"",L244)),
        K244 - VALUE(REGEXEXTRACT(L244,""(\d+)"")),
        K244 * (1 - VALUE(REGEXEXTRACT(L244,""(\d+)""))/100)
      )
    ),
    2
  )
)"&amp;"
")," ")</f>
        <v/>
      </c>
      <c r="N244" s="116"/>
      <c r="O244" s="118" t="b">
        <v>0</v>
      </c>
      <c r="P244" s="179"/>
      <c r="Q244" s="120"/>
      <c r="R244" s="121" t="b">
        <v>0</v>
      </c>
      <c r="S244" s="121" t="b">
        <v>0</v>
      </c>
      <c r="T244" s="122" t="b">
        <v>0</v>
      </c>
    </row>
    <row r="245" hidden="1" outlineLevel="1">
      <c r="A245" s="116"/>
      <c r="B245" s="116"/>
      <c r="C245" s="185"/>
      <c r="D245" s="116"/>
      <c r="E245" s="116"/>
      <c r="F245" s="116"/>
      <c r="G245" s="116"/>
      <c r="H245" s="116"/>
      <c r="I245" s="116"/>
      <c r="J245" s="134"/>
      <c r="K245" s="177"/>
      <c r="L245" s="116"/>
      <c r="M245" s="178" t="str">
        <f>IFERROR(__xludf.DUMMYFUNCTION("IF(
  K245="""",
  """",
  ROUND(
    IF(
      L245="""",
      K245,
      IF(
        ISERROR(FIND(""-"",L245)),
        K245 - VALUE(REGEXEXTRACT(L245,""(\d+)"")),
        K245 * (1 - VALUE(REGEXEXTRACT(L245,""(\d+)""))/100)
      )
    ),
    2
  )
)"&amp;"
")," ")</f>
        <v/>
      </c>
      <c r="N245" s="116"/>
      <c r="O245" s="118" t="b">
        <v>0</v>
      </c>
      <c r="P245" s="179"/>
      <c r="Q245" s="120"/>
      <c r="R245" s="121" t="b">
        <v>0</v>
      </c>
      <c r="S245" s="121" t="b">
        <v>0</v>
      </c>
      <c r="T245" s="122" t="b">
        <v>0</v>
      </c>
    </row>
    <row r="246" hidden="1" outlineLevel="1">
      <c r="A246" s="116"/>
      <c r="B246" s="116"/>
      <c r="C246" s="186"/>
      <c r="D246" s="116"/>
      <c r="E246" s="116"/>
      <c r="F246" s="156"/>
      <c r="G246" s="157"/>
      <c r="H246" s="116"/>
      <c r="I246" s="116"/>
      <c r="J246" s="134"/>
      <c r="K246" s="177"/>
      <c r="L246" s="116"/>
      <c r="M246" s="178" t="str">
        <f>IFERROR(__xludf.DUMMYFUNCTION("IF(
  K246="""",
  """",
  ROUND(
    IF(
      L246="""",
      K246,
      IF(
        ISERROR(FIND(""-"",L246)),
        K246 - VALUE(REGEXEXTRACT(L246,""(\d+)"")),
        K246 * (1 - VALUE(REGEXEXTRACT(L246,""(\d+)""))/100)
      )
    ),
    2
  )
)"&amp;"
")," ")</f>
        <v/>
      </c>
      <c r="N246" s="116"/>
      <c r="O246" s="118" t="b">
        <v>0</v>
      </c>
      <c r="P246" s="179"/>
      <c r="Q246" s="120"/>
      <c r="R246" s="121" t="b">
        <v>0</v>
      </c>
      <c r="S246" s="121" t="b">
        <v>0</v>
      </c>
      <c r="T246" s="122" t="b">
        <v>0</v>
      </c>
    </row>
    <row r="247" hidden="1" outlineLevel="1">
      <c r="A247" s="116"/>
      <c r="B247" s="116"/>
      <c r="C247" s="186"/>
      <c r="D247" s="157"/>
      <c r="E247" s="157"/>
      <c r="F247" s="187"/>
      <c r="G247" s="188"/>
      <c r="H247" s="116"/>
      <c r="I247" s="116"/>
      <c r="J247" s="134"/>
      <c r="K247" s="177"/>
      <c r="L247" s="116"/>
      <c r="M247" s="178" t="str">
        <f>IFERROR(__xludf.DUMMYFUNCTION("IF(
  K247="""",
  """",
  ROUND(
    IF(
      L247="""",
      K247,
      IF(
        ISERROR(FIND(""-"",L247)),
        K247 - VALUE(REGEXEXTRACT(L247,""(\d+)"")),
        K247 * (1 - VALUE(REGEXEXTRACT(L247,""(\d+)""))/100)
      )
    ),
    2
  )
)"&amp;"
")," ")</f>
        <v/>
      </c>
      <c r="N247" s="116"/>
      <c r="O247" s="118" t="b">
        <v>0</v>
      </c>
      <c r="P247" s="179"/>
      <c r="Q247" s="120"/>
      <c r="R247" s="121" t="b">
        <v>0</v>
      </c>
      <c r="S247" s="121" t="b">
        <v>0</v>
      </c>
      <c r="T247" s="122" t="b">
        <v>0</v>
      </c>
    </row>
    <row r="248" hidden="1" outlineLevel="1">
      <c r="A248" s="131"/>
      <c r="B248" s="131"/>
      <c r="C248" s="130"/>
      <c r="D248" s="116"/>
      <c r="E248" s="116"/>
      <c r="F248" s="131"/>
      <c r="G248" s="131"/>
      <c r="H248" s="131"/>
      <c r="I248" s="183"/>
      <c r="J248" s="148"/>
      <c r="K248" s="177"/>
      <c r="L248" s="116"/>
      <c r="M248" s="178" t="str">
        <f>IFERROR(__xludf.DUMMYFUNCTION("IF(
  K248="""",
  """",
  ROUND(
    IF(
      L248="""",
      K248,
      IF(
        ISERROR(FIND(""-"",L248)),
        K248 - VALUE(REGEXEXTRACT(L248,""(\d+)"")),
        K248 * (1 - VALUE(REGEXEXTRACT(L248,""(\d+)""))/100)
      )
    ),
    2
  )
)"&amp;"
")," ")</f>
        <v/>
      </c>
      <c r="N248" s="131"/>
      <c r="O248" s="118" t="b">
        <v>0</v>
      </c>
      <c r="P248" s="179"/>
      <c r="Q248" s="120"/>
      <c r="R248" s="121" t="b">
        <v>0</v>
      </c>
      <c r="S248" s="121" t="b">
        <v>0</v>
      </c>
      <c r="T248" s="122" t="b">
        <v>0</v>
      </c>
    </row>
    <row r="249" hidden="1" outlineLevel="1">
      <c r="A249" s="131"/>
      <c r="B249" s="131"/>
      <c r="C249" s="130"/>
      <c r="D249" s="116"/>
      <c r="E249" s="116"/>
      <c r="F249" s="131"/>
      <c r="G249" s="131"/>
      <c r="H249" s="131"/>
      <c r="I249" s="183"/>
      <c r="J249" s="148"/>
      <c r="K249" s="177"/>
      <c r="L249" s="116"/>
      <c r="M249" s="178" t="str">
        <f>IFERROR(__xludf.DUMMYFUNCTION("IF(
  K249="""",
  """",
  ROUND(
    IF(
      L249="""",
      K249,
      IF(
        ISERROR(FIND(""-"",L249)),
        K249 - VALUE(REGEXEXTRACT(L249,""(\d+)"")),
        K249 * (1 - VALUE(REGEXEXTRACT(L249,""(\d+)""))/100)
      )
    ),
    2
  )
)"&amp;"
")," ")</f>
        <v/>
      </c>
      <c r="N249" s="131"/>
      <c r="O249" s="118" t="b">
        <v>0</v>
      </c>
      <c r="P249" s="179"/>
      <c r="Q249" s="120"/>
      <c r="R249" s="121" t="b">
        <v>0</v>
      </c>
      <c r="S249" s="121" t="b">
        <v>0</v>
      </c>
      <c r="T249" s="122" t="b">
        <v>0</v>
      </c>
    </row>
    <row r="250" hidden="1" outlineLevel="1">
      <c r="A250" s="131"/>
      <c r="B250" s="116"/>
      <c r="C250" s="130"/>
      <c r="D250" s="157"/>
      <c r="E250" s="157"/>
      <c r="F250" s="131"/>
      <c r="G250" s="131"/>
      <c r="H250" s="131"/>
      <c r="I250" s="183"/>
      <c r="J250" s="148"/>
      <c r="K250" s="177"/>
      <c r="L250" s="116"/>
      <c r="M250" s="178" t="str">
        <f>IFERROR(__xludf.DUMMYFUNCTION("IF(
  K250="""",
  """",
  ROUND(
    IF(
      L250="""",
      K250,
      IF(
        ISERROR(FIND(""-"",L250)),
        K250 - VALUE(REGEXEXTRACT(L250,""(\d+)"")),
        K250 * (1 - VALUE(REGEXEXTRACT(L250,""(\d+)""))/100)
      )
    ),
    2
  )
)"&amp;"
")," ")</f>
        <v/>
      </c>
      <c r="N250" s="131"/>
      <c r="O250" s="118" t="b">
        <v>0</v>
      </c>
      <c r="P250" s="179"/>
      <c r="Q250" s="120"/>
      <c r="R250" s="121" t="b">
        <v>0</v>
      </c>
      <c r="S250" s="121" t="b">
        <v>0</v>
      </c>
      <c r="T250" s="122" t="b">
        <v>0</v>
      </c>
    </row>
    <row r="251" hidden="1" outlineLevel="1">
      <c r="A251" s="131"/>
      <c r="B251" s="116"/>
      <c r="C251" s="130"/>
      <c r="D251" s="116"/>
      <c r="E251" s="116"/>
      <c r="F251" s="131"/>
      <c r="G251" s="131"/>
      <c r="H251" s="131"/>
      <c r="I251" s="183"/>
      <c r="J251" s="148"/>
      <c r="K251" s="177"/>
      <c r="L251" s="116"/>
      <c r="M251" s="178" t="str">
        <f>IFERROR(__xludf.DUMMYFUNCTION("IF(
  K251="""",
  """",
  ROUND(
    IF(
      L251="""",
      K251,
      IF(
        ISERROR(FIND(""-"",L251)),
        K251 - VALUE(REGEXEXTRACT(L251,""(\d+)"")),
        K251 * (1 - VALUE(REGEXEXTRACT(L251,""(\d+)""))/100)
      )
    ),
    2
  )
)"&amp;"
")," ")</f>
        <v/>
      </c>
      <c r="N251" s="131"/>
      <c r="O251" s="118" t="b">
        <v>0</v>
      </c>
      <c r="P251" s="179"/>
      <c r="Q251" s="120"/>
      <c r="R251" s="121" t="b">
        <v>0</v>
      </c>
      <c r="S251" s="121" t="b">
        <v>0</v>
      </c>
      <c r="T251" s="122" t="b">
        <v>0</v>
      </c>
    </row>
    <row r="252" hidden="1" outlineLevel="1">
      <c r="A252" s="131"/>
      <c r="B252" s="116"/>
      <c r="C252" s="130"/>
      <c r="D252" s="116"/>
      <c r="E252" s="116"/>
      <c r="F252" s="131"/>
      <c r="G252" s="131"/>
      <c r="H252" s="131"/>
      <c r="I252" s="183"/>
      <c r="J252" s="148"/>
      <c r="K252" s="177"/>
      <c r="L252" s="116"/>
      <c r="M252" s="178" t="str">
        <f>IFERROR(__xludf.DUMMYFUNCTION("IF(
  K252="""",
  """",
  ROUND(
    IF(
      L252="""",
      K252,
      IF(
        ISERROR(FIND(""-"",L252)),
        K252 - VALUE(REGEXEXTRACT(L252,""(\d+)"")),
        K252 * (1 - VALUE(REGEXEXTRACT(L252,""(\d+)""))/100)
      )
    ),
    2
  )
)"&amp;"
")," ")</f>
        <v/>
      </c>
      <c r="N252" s="131"/>
      <c r="O252" s="118" t="b">
        <v>0</v>
      </c>
      <c r="P252" s="179"/>
      <c r="Q252" s="120"/>
      <c r="R252" s="121" t="b">
        <v>0</v>
      </c>
      <c r="S252" s="121" t="b">
        <v>0</v>
      </c>
      <c r="T252" s="122" t="b">
        <v>0</v>
      </c>
    </row>
    <row r="253" hidden="1" outlineLevel="1">
      <c r="A253" s="131"/>
      <c r="B253" s="116"/>
      <c r="C253" s="130"/>
      <c r="D253" s="157"/>
      <c r="E253" s="157"/>
      <c r="F253" s="131"/>
      <c r="G253" s="131"/>
      <c r="H253" s="131"/>
      <c r="I253" s="183"/>
      <c r="J253" s="148"/>
      <c r="K253" s="177"/>
      <c r="L253" s="116"/>
      <c r="M253" s="178" t="str">
        <f>IFERROR(__xludf.DUMMYFUNCTION("IF(
  K253="""",
  """",
  ROUND(
    IF(
      L253="""",
      K253,
      IF(
        ISERROR(FIND(""-"",L253)),
        K253 - VALUE(REGEXEXTRACT(L253,""(\d+)"")),
        K253 * (1 - VALUE(REGEXEXTRACT(L253,""(\d+)""))/100)
      )
    ),
    2
  )
)"&amp;"
")," ")</f>
        <v/>
      </c>
      <c r="N253" s="131"/>
      <c r="O253" s="118" t="b">
        <v>0</v>
      </c>
      <c r="P253" s="179"/>
      <c r="Q253" s="120"/>
      <c r="R253" s="121" t="b">
        <v>0</v>
      </c>
      <c r="S253" s="121" t="b">
        <v>0</v>
      </c>
      <c r="T253" s="122" t="b">
        <v>0</v>
      </c>
    </row>
    <row r="254" hidden="1" outlineLevel="1">
      <c r="A254" s="131"/>
      <c r="B254" s="116"/>
      <c r="C254" s="130"/>
      <c r="D254" s="116"/>
      <c r="E254" s="116"/>
      <c r="F254" s="131"/>
      <c r="G254" s="131"/>
      <c r="H254" s="131"/>
      <c r="I254" s="183"/>
      <c r="J254" s="148"/>
      <c r="K254" s="177"/>
      <c r="L254" s="116"/>
      <c r="M254" s="178" t="str">
        <f>IFERROR(__xludf.DUMMYFUNCTION("IF(
  K254="""",
  """",
  ROUND(
    IF(
      L254="""",
      K254,
      IF(
        ISERROR(FIND(""-"",L254)),
        K254 - VALUE(REGEXEXTRACT(L254,""(\d+)"")),
        K254 * (1 - VALUE(REGEXEXTRACT(L254,""(\d+)""))/100)
      )
    ),
    2
  )
)"&amp;"
")," ")</f>
        <v/>
      </c>
      <c r="N254" s="131"/>
      <c r="O254" s="118" t="b">
        <v>0</v>
      </c>
      <c r="P254" s="179"/>
      <c r="Q254" s="120"/>
      <c r="R254" s="121" t="b">
        <v>0</v>
      </c>
      <c r="S254" s="121" t="b">
        <v>0</v>
      </c>
      <c r="T254" s="122" t="b">
        <v>0</v>
      </c>
    </row>
    <row r="255" hidden="1" outlineLevel="1">
      <c r="A255" s="131"/>
      <c r="B255" s="116"/>
      <c r="C255" s="130"/>
      <c r="D255" s="116"/>
      <c r="E255" s="116"/>
      <c r="F255" s="131"/>
      <c r="G255" s="131"/>
      <c r="H255" s="131"/>
      <c r="I255" s="183"/>
      <c r="J255" s="148"/>
      <c r="K255" s="177"/>
      <c r="L255" s="116"/>
      <c r="M255" s="178" t="str">
        <f>IFERROR(__xludf.DUMMYFUNCTION("IF(
  K255="""",
  """",
  ROUND(
    IF(
      L255="""",
      K255,
      IF(
        ISERROR(FIND(""-"",L255)),
        K255 - VALUE(REGEXEXTRACT(L255,""(\d+)"")),
        K255 * (1 - VALUE(REGEXEXTRACT(L255,""(\d+)""))/100)
      )
    ),
    2
  )
)"&amp;"
")," ")</f>
        <v/>
      </c>
      <c r="N255" s="131"/>
      <c r="O255" s="118" t="b">
        <v>0</v>
      </c>
      <c r="P255" s="179"/>
      <c r="Q255" s="120"/>
      <c r="R255" s="121" t="b">
        <v>0</v>
      </c>
      <c r="S255" s="121" t="b">
        <v>0</v>
      </c>
      <c r="T255" s="122" t="b">
        <v>0</v>
      </c>
    </row>
    <row r="256" hidden="1" outlineLevel="1">
      <c r="A256" s="131"/>
      <c r="B256" s="116"/>
      <c r="C256" s="130"/>
      <c r="D256" s="157"/>
      <c r="E256" s="157"/>
      <c r="F256" s="131"/>
      <c r="G256" s="131"/>
      <c r="H256" s="131"/>
      <c r="I256" s="183"/>
      <c r="J256" s="148"/>
      <c r="K256" s="177"/>
      <c r="L256" s="116"/>
      <c r="M256" s="178" t="str">
        <f>IFERROR(__xludf.DUMMYFUNCTION("IF(
  K256="""",
  """",
  ROUND(
    IF(
      L256="""",
      K256,
      IF(
        ISERROR(FIND(""-"",L256)),
        K256 - VALUE(REGEXEXTRACT(L256,""(\d+)"")),
        K256 * (1 - VALUE(REGEXEXTRACT(L256,""(\d+)""))/100)
      )
    ),
    2
  )
)"&amp;"
")," ")</f>
        <v/>
      </c>
      <c r="N256" s="131"/>
      <c r="O256" s="118" t="b">
        <v>0</v>
      </c>
      <c r="P256" s="179"/>
      <c r="Q256" s="120"/>
      <c r="R256" s="121" t="b">
        <v>0</v>
      </c>
      <c r="S256" s="121" t="b">
        <v>0</v>
      </c>
      <c r="T256" s="122" t="b">
        <v>0</v>
      </c>
    </row>
    <row r="257" hidden="1" outlineLevel="1">
      <c r="A257" s="131"/>
      <c r="B257" s="116"/>
      <c r="C257" s="130"/>
      <c r="D257" s="116"/>
      <c r="E257" s="116"/>
      <c r="F257" s="131"/>
      <c r="G257" s="131"/>
      <c r="H257" s="131"/>
      <c r="I257" s="183"/>
      <c r="J257" s="148"/>
      <c r="K257" s="177"/>
      <c r="L257" s="116"/>
      <c r="M257" s="178" t="str">
        <f>IFERROR(__xludf.DUMMYFUNCTION("IF(
  K257="""",
  """",
  ROUND(
    IF(
      L257="""",
      K257,
      IF(
        ISERROR(FIND(""-"",L257)),
        K257 - VALUE(REGEXEXTRACT(L257,""(\d+)"")),
        K257 * (1 - VALUE(REGEXEXTRACT(L257,""(\d+)""))/100)
      )
    ),
    2
  )
)"&amp;"
")," ")</f>
        <v/>
      </c>
      <c r="N257" s="131"/>
      <c r="O257" s="118" t="b">
        <v>0</v>
      </c>
      <c r="P257" s="179"/>
      <c r="Q257" s="120"/>
      <c r="R257" s="121" t="b">
        <v>0</v>
      </c>
      <c r="S257" s="121" t="b">
        <v>0</v>
      </c>
      <c r="T257" s="122" t="b">
        <v>0</v>
      </c>
    </row>
    <row r="258" hidden="1" outlineLevel="1">
      <c r="A258" s="116"/>
      <c r="B258" s="116"/>
      <c r="C258" s="129"/>
      <c r="D258" s="116"/>
      <c r="E258" s="116"/>
      <c r="F258" s="116"/>
      <c r="G258" s="116"/>
      <c r="H258" s="116"/>
      <c r="I258" s="116"/>
      <c r="J258" s="134"/>
      <c r="K258" s="177"/>
      <c r="L258" s="116"/>
      <c r="M258" s="178" t="str">
        <f>IFERROR(__xludf.DUMMYFUNCTION("IF(
  K258="""",
  """",
  ROUND(
    IF(
      L258="""",
      K258,
      IF(
        ISERROR(FIND(""-"",L258)),
        K258 - VALUE(REGEXEXTRACT(L258,""(\d+)"")),
        K258 * (1 - VALUE(REGEXEXTRACT(L258,""(\d+)""))/100)
      )
    ),
    2
  )
)"&amp;"
")," ")</f>
        <v/>
      </c>
      <c r="N258" s="116"/>
      <c r="O258" s="118" t="b">
        <v>0</v>
      </c>
      <c r="P258" s="179"/>
      <c r="Q258" s="120"/>
      <c r="R258" s="121" t="b">
        <v>0</v>
      </c>
      <c r="S258" s="121" t="b">
        <v>0</v>
      </c>
      <c r="T258" s="122" t="b">
        <v>0</v>
      </c>
    </row>
    <row r="259" hidden="1" outlineLevel="1">
      <c r="A259" s="116"/>
      <c r="B259" s="116"/>
      <c r="C259" s="185"/>
      <c r="D259" s="157"/>
      <c r="E259" s="157"/>
      <c r="F259" s="116"/>
      <c r="G259" s="116"/>
      <c r="H259" s="116"/>
      <c r="I259" s="116"/>
      <c r="J259" s="134"/>
      <c r="K259" s="177"/>
      <c r="L259" s="116"/>
      <c r="M259" s="178" t="str">
        <f>IFERROR(__xludf.DUMMYFUNCTION("IF(
  K259="""",
  """",
  ROUND(
    IF(
      L259="""",
      K259,
      IF(
        ISERROR(FIND(""-"",L259)),
        K259 - VALUE(REGEXEXTRACT(L259,""(\d+)"")),
        K259 * (1 - VALUE(REGEXEXTRACT(L259,""(\d+)""))/100)
      )
    ),
    2
  )
)"&amp;"
")," ")</f>
        <v/>
      </c>
      <c r="N259" s="116"/>
      <c r="O259" s="118" t="b">
        <v>0</v>
      </c>
      <c r="P259" s="179"/>
      <c r="Q259" s="120"/>
      <c r="R259" s="121" t="b">
        <v>0</v>
      </c>
      <c r="S259" s="121" t="b">
        <v>0</v>
      </c>
      <c r="T259" s="122" t="b">
        <v>0</v>
      </c>
    </row>
    <row r="260" hidden="1" outlineLevel="1">
      <c r="A260" s="116"/>
      <c r="B260" s="116"/>
      <c r="C260" s="129"/>
      <c r="D260" s="116"/>
      <c r="E260" s="116"/>
      <c r="F260" s="116"/>
      <c r="G260" s="189"/>
      <c r="H260" s="116"/>
      <c r="I260" s="116"/>
      <c r="J260" s="134"/>
      <c r="K260" s="177"/>
      <c r="L260" s="116"/>
      <c r="M260" s="178" t="str">
        <f>IFERROR(__xludf.DUMMYFUNCTION("IF(
  K260="""",
  """",
  ROUND(
    IF(
      L260="""",
      K260,
      IF(
        ISERROR(FIND(""-"",L260)),
        K260 - VALUE(REGEXEXTRACT(L260,""(\d+)"")),
        K260 * (1 - VALUE(REGEXEXTRACT(L260,""(\d+)""))/100)
      )
    ),
    2
  )
)"&amp;"
")," ")</f>
        <v/>
      </c>
      <c r="N260" s="116"/>
      <c r="O260" s="118" t="b">
        <v>0</v>
      </c>
      <c r="P260" s="179"/>
      <c r="Q260" s="159"/>
      <c r="R260" s="121" t="b">
        <v>0</v>
      </c>
      <c r="S260" s="121" t="b">
        <v>0</v>
      </c>
      <c r="T260" s="122" t="b">
        <v>0</v>
      </c>
    </row>
    <row r="261">
      <c r="A261" s="160" t="s">
        <v>116</v>
      </c>
      <c r="B261" s="161">
        <f>COUNTIF(B180:B260,"ONLINE")+COUNTIF(B180:B260,"SEDE*")</f>
        <v>0</v>
      </c>
      <c r="C261" s="160" t="s">
        <v>116</v>
      </c>
      <c r="D261" s="161">
        <f t="shared" ref="D261:F261" si="17">COUNTIF(D180:D260, "*")</f>
        <v>0</v>
      </c>
      <c r="E261" s="161">
        <f t="shared" si="17"/>
        <v>0</v>
      </c>
      <c r="F261" s="161">
        <f t="shared" si="17"/>
        <v>0</v>
      </c>
      <c r="G261" s="162">
        <f>COUNTA(G180:G260)</f>
        <v>0</v>
      </c>
      <c r="H261" s="161">
        <f t="shared" ref="H261:I261" si="18">COUNTIF(H180:H260, "*")</f>
        <v>0</v>
      </c>
      <c r="I261" s="161">
        <f t="shared" si="18"/>
        <v>0</v>
      </c>
      <c r="J261" s="160" t="s">
        <v>116</v>
      </c>
      <c r="K261" s="190">
        <f>SUM(K180:K260)</f>
        <v>0</v>
      </c>
      <c r="L261" s="161">
        <f>COUNTIF(L180:L260, "*")</f>
        <v>0</v>
      </c>
      <c r="M261" s="163">
        <f>SUM(M180:M260)</f>
        <v>0</v>
      </c>
      <c r="N261" s="161">
        <f>COUNTIF(N180:N216, "*")+COUNTIF(N218:N260, "*")</f>
        <v>0</v>
      </c>
      <c r="O261" s="161">
        <f>SUMPRODUCT(--O180:O260)</f>
        <v>0</v>
      </c>
      <c r="P261" s="161">
        <f t="shared" ref="P261:Q261" si="19">COUNTIF(P180:P260, "*")</f>
        <v>0</v>
      </c>
      <c r="Q261" s="161">
        <f t="shared" si="19"/>
        <v>0</v>
      </c>
      <c r="R261" s="161">
        <f t="shared" ref="R261:T261" si="20">SUMPRODUCT(--R180:R260)</f>
        <v>0</v>
      </c>
      <c r="S261" s="161">
        <f t="shared" si="20"/>
        <v>0</v>
      </c>
      <c r="T261" s="161">
        <f t="shared" si="20"/>
        <v>0</v>
      </c>
    </row>
    <row r="262">
      <c r="A262" s="164" t="s">
        <v>117</v>
      </c>
      <c r="B262" s="165">
        <f>COUNTIF(B180:B260, "SEDE*")</f>
        <v>0</v>
      </c>
      <c r="C262" s="142"/>
      <c r="D262" s="166" t="s">
        <v>454</v>
      </c>
      <c r="E262" s="167" t="s">
        <v>119</v>
      </c>
      <c r="F262" s="168" t="str">
        <f>IFERROR(__xludf.DUMMYFUNCTION("IFERROR(TRANSPOSE(SORT(UNIQUE(FILTER($M$180:$M$260,$M$180:$M$260&lt;&gt;"""")))),"""")")," ")</f>
        <v/>
      </c>
      <c r="G262" s="150"/>
      <c r="H262" s="117"/>
      <c r="I262" s="168"/>
      <c r="J262" s="150"/>
      <c r="K262" s="117"/>
      <c r="L262" s="117"/>
      <c r="M262" s="191"/>
      <c r="N262" s="191"/>
      <c r="O262" s="191"/>
      <c r="P262" s="174" t="s">
        <v>40</v>
      </c>
      <c r="Q262" s="171" t="str">
        <f>IF(SUM(F264:O264)=0,"",SUM(F264:O264))
</f>
        <v/>
      </c>
      <c r="R262" s="164" t="s">
        <v>120</v>
      </c>
      <c r="S262" s="165" t="str">
        <f>IF(SUM(M261) = SUM(Q262:Q266), "OK", "ERRORE")</f>
        <v>OK</v>
      </c>
    </row>
    <row r="263">
      <c r="A263" s="164" t="s">
        <v>74</v>
      </c>
      <c r="B263" s="165">
        <f>COUNTIF(B180:B260, "ONLINE")</f>
        <v>0</v>
      </c>
      <c r="E263" s="172" t="s">
        <v>121</v>
      </c>
      <c r="F263" s="172" t="str">
        <f t="shared" ref="F263:O263" si="21">IF(
  F$262="",
  "",
  COUNTIFS($B$180:$B$260,"*SEDE*",$M$180:$M$260,F$262)
)
</f>
        <v/>
      </c>
      <c r="G263" s="172" t="str">
        <f t="shared" si="21"/>
        <v/>
      </c>
      <c r="H263" s="172" t="str">
        <f t="shared" si="21"/>
        <v/>
      </c>
      <c r="I263" s="172" t="str">
        <f t="shared" si="21"/>
        <v/>
      </c>
      <c r="J263" s="172" t="str">
        <f t="shared" si="21"/>
        <v/>
      </c>
      <c r="K263" s="172" t="str">
        <f t="shared" si="21"/>
        <v/>
      </c>
      <c r="L263" s="172" t="str">
        <f t="shared" si="21"/>
        <v/>
      </c>
      <c r="M263" s="172" t="str">
        <f t="shared" si="21"/>
        <v/>
      </c>
      <c r="N263" s="172" t="str">
        <f t="shared" si="21"/>
        <v/>
      </c>
      <c r="O263" s="172" t="str">
        <f t="shared" si="21"/>
        <v/>
      </c>
    </row>
    <row r="264">
      <c r="A264" s="245" t="s">
        <v>356</v>
      </c>
      <c r="B264" s="246">
        <f>COUNTIF($E180:$E216, "*")</f>
        <v>0</v>
      </c>
      <c r="E264" s="192" t="s">
        <v>122</v>
      </c>
      <c r="F264" s="193" t="str">
        <f t="shared" ref="F264:O264" si="22">IF(
  F$262="",
  "",
  SUMIFS($M$180:$M$260,$B$180:$B$260,"*SEDE*",$M$180:$M$260,F$262)
)
</f>
        <v/>
      </c>
      <c r="G264" s="193" t="str">
        <f t="shared" si="22"/>
        <v/>
      </c>
      <c r="H264" s="193" t="str">
        <f t="shared" si="22"/>
        <v/>
      </c>
      <c r="I264" s="193" t="str">
        <f t="shared" si="22"/>
        <v/>
      </c>
      <c r="J264" s="193" t="str">
        <f t="shared" si="22"/>
        <v/>
      </c>
      <c r="K264" s="193" t="str">
        <f t="shared" si="22"/>
        <v/>
      </c>
      <c r="L264" s="193" t="str">
        <f t="shared" si="22"/>
        <v/>
      </c>
      <c r="M264" s="193" t="str">
        <f t="shared" si="22"/>
        <v/>
      </c>
      <c r="N264" s="193" t="str">
        <f t="shared" si="22"/>
        <v/>
      </c>
      <c r="O264" s="193" t="str">
        <f t="shared" si="22"/>
        <v/>
      </c>
    </row>
    <row r="265">
      <c r="A265" s="245" t="s">
        <v>357</v>
      </c>
      <c r="B265" s="246">
        <f>COUNTIF(E218:E260, "*")</f>
        <v>0</v>
      </c>
      <c r="E265" s="172" t="s">
        <v>123</v>
      </c>
      <c r="F265" s="175" t="str">
        <f t="shared" ref="F265:O265" si="23">IF(
  F$262="",
  "",
  COUNTIFS($B$180:$B$260,"*ONLINE*",$M$180:$M$260,F$262)
)
</f>
        <v/>
      </c>
      <c r="G265" s="175" t="str">
        <f t="shared" si="23"/>
        <v/>
      </c>
      <c r="H265" s="175" t="str">
        <f t="shared" si="23"/>
        <v/>
      </c>
      <c r="I265" s="175" t="str">
        <f t="shared" si="23"/>
        <v/>
      </c>
      <c r="J265" s="175" t="str">
        <f t="shared" si="23"/>
        <v/>
      </c>
      <c r="K265" s="175" t="str">
        <f t="shared" si="23"/>
        <v/>
      </c>
      <c r="L265" s="175" t="str">
        <f t="shared" si="23"/>
        <v/>
      </c>
      <c r="M265" s="175" t="str">
        <f t="shared" si="23"/>
        <v/>
      </c>
      <c r="N265" s="175" t="str">
        <f t="shared" si="23"/>
        <v/>
      </c>
      <c r="O265" s="175" t="str">
        <f t="shared" si="23"/>
        <v/>
      </c>
      <c r="P265" s="170" t="s">
        <v>40</v>
      </c>
      <c r="Q265" s="171" t="str">
        <f>IF(SUM(F266:O266)=0,"",SUM(F266:O266))
</f>
        <v/>
      </c>
    </row>
    <row r="266">
      <c r="A266" s="142"/>
      <c r="B266" s="142"/>
      <c r="E266" s="194" t="s">
        <v>124</v>
      </c>
      <c r="F266" s="195" t="str">
        <f t="shared" ref="F266:O266" si="24">IF(
  F$262="",
  "",
  SUMIFS($M$180:$M$260,$B$180:$B$260,"*ONLINE*",$M$180:$M$260,F$262)
)
</f>
        <v/>
      </c>
      <c r="G266" s="195" t="str">
        <f t="shared" si="24"/>
        <v/>
      </c>
      <c r="H266" s="195" t="str">
        <f t="shared" si="24"/>
        <v/>
      </c>
      <c r="I266" s="195" t="str">
        <f t="shared" si="24"/>
        <v/>
      </c>
      <c r="J266" s="195" t="str">
        <f t="shared" si="24"/>
        <v/>
      </c>
      <c r="K266" s="195" t="str">
        <f t="shared" si="24"/>
        <v/>
      </c>
      <c r="L266" s="195" t="str">
        <f t="shared" si="24"/>
        <v/>
      </c>
      <c r="M266" s="195" t="str">
        <f t="shared" si="24"/>
        <v/>
      </c>
      <c r="N266" s="195" t="str">
        <f t="shared" si="24"/>
        <v/>
      </c>
      <c r="O266" s="195" t="str">
        <f t="shared" si="24"/>
        <v/>
      </c>
      <c r="P266" s="196"/>
    </row>
    <row r="267">
      <c r="A267" s="197" t="s">
        <v>127</v>
      </c>
      <c r="B267" s="198">
        <f t="shared" ref="B267:B268" si="25">SUM(B86,B262,B174)</f>
        <v>0</v>
      </c>
      <c r="D267" s="199" t="s">
        <v>455</v>
      </c>
      <c r="E267" s="200" t="s">
        <v>129</v>
      </c>
      <c r="F267" s="201" t="str">
        <f>IFERROR(__xludf.DUMMYFUNCTION("IFERROR(
  TRANSPOSE(
    SORT(
      UNIQUE(
        FILTER(
          {$M$4:$M$84;$M$92:$M$172;$M$180:$M$260},
          {$M$4:$M$84;$M$92:$M$172;$M$180:$M$260}&lt;&gt;""""
        )
      )
    )
  ),
  """"
)
")," ")</f>
        <v/>
      </c>
      <c r="G267" s="201"/>
      <c r="H267" s="201"/>
      <c r="I267" s="201"/>
      <c r="J267" s="201"/>
      <c r="K267" s="201"/>
      <c r="L267" s="202"/>
      <c r="M267" s="201"/>
      <c r="N267" s="201"/>
      <c r="O267" s="201"/>
      <c r="P267" s="203" t="s">
        <v>127</v>
      </c>
      <c r="Q267" s="204" t="str">
        <f>IF(SUM(F269:O269)=0,"",SUM(F269:O269))
</f>
        <v/>
      </c>
      <c r="R267" s="205" t="s">
        <v>130</v>
      </c>
      <c r="S267" s="206" t="str">
        <f>IF(SUM(Q267,Q270)=0,"",SUM(Q267,Q270))
</f>
        <v/>
      </c>
      <c r="T267" s="207"/>
    </row>
    <row r="268">
      <c r="A268" s="208" t="s">
        <v>131</v>
      </c>
      <c r="B268" s="209">
        <f t="shared" si="25"/>
        <v>0</v>
      </c>
      <c r="D268" s="210"/>
      <c r="E268" s="211" t="s">
        <v>132</v>
      </c>
      <c r="F268" s="212" t="str">
        <f t="shared" ref="F268:O268" si="26">IF(
  F$267="",
  "",
  COUNTIFS($B$4:$B$260,"*SEDE*",$M$4:$M$260,F$267) &amp; " da €" &amp; F$267
)
</f>
        <v/>
      </c>
      <c r="G268" s="212" t="str">
        <f t="shared" si="26"/>
        <v/>
      </c>
      <c r="H268" s="212" t="str">
        <f t="shared" si="26"/>
        <v/>
      </c>
      <c r="I268" s="212" t="str">
        <f t="shared" si="26"/>
        <v/>
      </c>
      <c r="J268" s="212" t="str">
        <f t="shared" si="26"/>
        <v/>
      </c>
      <c r="K268" s="212" t="str">
        <f t="shared" si="26"/>
        <v/>
      </c>
      <c r="L268" s="212" t="str">
        <f t="shared" si="26"/>
        <v/>
      </c>
      <c r="M268" s="212" t="str">
        <f t="shared" si="26"/>
        <v/>
      </c>
      <c r="N268" s="212" t="str">
        <f t="shared" si="26"/>
        <v/>
      </c>
      <c r="O268" s="212" t="str">
        <f t="shared" si="26"/>
        <v/>
      </c>
    </row>
    <row r="269">
      <c r="A269" s="213" t="s">
        <v>133</v>
      </c>
      <c r="B269" s="214">
        <f>SUM(B267:B268)</f>
        <v>0</v>
      </c>
      <c r="D269" s="210"/>
      <c r="E269" s="215" t="s">
        <v>122</v>
      </c>
      <c r="F269" s="216" t="str">
        <f t="shared" ref="F269:O269" si="27">IF(
  F$267="",
  "",
  SUMIFS($M$4:$M$260,$B$4:$B$260,"*SEDE*",$M$4:$M$260,F$267)
)
</f>
        <v/>
      </c>
      <c r="G269" s="216" t="str">
        <f t="shared" si="27"/>
        <v/>
      </c>
      <c r="H269" s="216" t="str">
        <f t="shared" si="27"/>
        <v/>
      </c>
      <c r="I269" s="216" t="str">
        <f t="shared" si="27"/>
        <v/>
      </c>
      <c r="J269" s="216" t="str">
        <f t="shared" si="27"/>
        <v/>
      </c>
      <c r="K269" s="216" t="str">
        <f t="shared" si="27"/>
        <v/>
      </c>
      <c r="L269" s="216" t="str">
        <f t="shared" si="27"/>
        <v/>
      </c>
      <c r="M269" s="216" t="str">
        <f t="shared" si="27"/>
        <v/>
      </c>
      <c r="N269" s="216" t="str">
        <f t="shared" si="27"/>
        <v/>
      </c>
      <c r="O269" s="216" t="str">
        <f t="shared" si="27"/>
        <v/>
      </c>
    </row>
    <row r="270">
      <c r="A270" s="217" t="s">
        <v>134</v>
      </c>
      <c r="B270" s="209">
        <f>COUNTIF(N4:N260,"*NON TESSERATO*")</f>
        <v>0</v>
      </c>
      <c r="D270" s="210"/>
      <c r="E270" s="211" t="s">
        <v>135</v>
      </c>
      <c r="F270" s="211" t="str">
        <f t="shared" ref="F270:O270" si="28">IF(
  F$267="",
  "",
  COUNTIFS($B$4:$B$260,"*ONLINE*",$M$4:$M$260,F$267) &amp; " da €" &amp; F$267
)
</f>
        <v/>
      </c>
      <c r="G270" s="211" t="str">
        <f t="shared" si="28"/>
        <v/>
      </c>
      <c r="H270" s="211" t="str">
        <f t="shared" si="28"/>
        <v/>
      </c>
      <c r="I270" s="211" t="str">
        <f t="shared" si="28"/>
        <v/>
      </c>
      <c r="J270" s="211" t="str">
        <f t="shared" si="28"/>
        <v/>
      </c>
      <c r="K270" s="211" t="str">
        <f t="shared" si="28"/>
        <v/>
      </c>
      <c r="L270" s="211" t="str">
        <f t="shared" si="28"/>
        <v/>
      </c>
      <c r="M270" s="211" t="str">
        <f t="shared" si="28"/>
        <v/>
      </c>
      <c r="N270" s="211" t="str">
        <f t="shared" si="28"/>
        <v/>
      </c>
      <c r="O270" s="211" t="str">
        <f t="shared" si="28"/>
        <v/>
      </c>
      <c r="P270" s="203" t="s">
        <v>131</v>
      </c>
      <c r="Q270" s="218" t="str">
        <f>IF(SUM(F271:O271)=0,"",SUM(F271:O271))
</f>
        <v/>
      </c>
    </row>
    <row r="271">
      <c r="A271" s="219" t="s">
        <v>136</v>
      </c>
      <c r="B271" s="220">
        <f>COUNTIF(N4:N260,"*TESSERATO*")-COUNTIF(N4:N260,"*NON TESSERATO*")</f>
        <v>0</v>
      </c>
      <c r="D271" s="221"/>
      <c r="E271" s="222" t="s">
        <v>124</v>
      </c>
      <c r="F271" s="223" t="str">
        <f t="shared" ref="F271:O271" si="29">IF(
  F$267="",
  "",
  SUMIFS($M$4:$M$260,$B$4:$B$260,"*ONLINE*",$M$4:$M$260,F$267)
)
</f>
        <v/>
      </c>
      <c r="G271" s="223" t="str">
        <f t="shared" si="29"/>
        <v/>
      </c>
      <c r="H271" s="223" t="str">
        <f t="shared" si="29"/>
        <v/>
      </c>
      <c r="I271" s="223" t="str">
        <f t="shared" si="29"/>
        <v/>
      </c>
      <c r="J271" s="223" t="str">
        <f t="shared" si="29"/>
        <v/>
      </c>
      <c r="K271" s="223" t="str">
        <f t="shared" si="29"/>
        <v/>
      </c>
      <c r="L271" s="223" t="str">
        <f t="shared" si="29"/>
        <v/>
      </c>
      <c r="M271" s="223" t="str">
        <f t="shared" si="29"/>
        <v/>
      </c>
      <c r="N271" s="223" t="str">
        <f t="shared" si="29"/>
        <v/>
      </c>
      <c r="O271" s="223" t="str">
        <f t="shared" si="29"/>
        <v/>
      </c>
      <c r="P271" s="196"/>
      <c r="Q271" s="196"/>
      <c r="R271" s="196"/>
      <c r="S271" s="196"/>
      <c r="T271" s="196"/>
    </row>
  </sheetData>
  <mergeCells count="43">
    <mergeCell ref="Q267:Q269"/>
    <mergeCell ref="P270:P271"/>
    <mergeCell ref="Q270:Q271"/>
    <mergeCell ref="C174:C178"/>
    <mergeCell ref="A217:B217"/>
    <mergeCell ref="C217:M217"/>
    <mergeCell ref="C262:C271"/>
    <mergeCell ref="D262:D266"/>
    <mergeCell ref="Q262:Q264"/>
    <mergeCell ref="D267:D271"/>
    <mergeCell ref="Q86:Q88"/>
    <mergeCell ref="R86:R90"/>
    <mergeCell ref="Q89:Q90"/>
    <mergeCell ref="C1:T1"/>
    <mergeCell ref="C3:M3"/>
    <mergeCell ref="P3:T3"/>
    <mergeCell ref="A44:B44"/>
    <mergeCell ref="C44:M44"/>
    <mergeCell ref="P44:T44"/>
    <mergeCell ref="C86:C90"/>
    <mergeCell ref="S86:T90"/>
    <mergeCell ref="D174:D178"/>
    <mergeCell ref="P174:P176"/>
    <mergeCell ref="Q174:Q176"/>
    <mergeCell ref="R174:R178"/>
    <mergeCell ref="S174:T178"/>
    <mergeCell ref="P177:P178"/>
    <mergeCell ref="Q177:Q178"/>
    <mergeCell ref="D86:D90"/>
    <mergeCell ref="P86:P88"/>
    <mergeCell ref="P89:P90"/>
    <mergeCell ref="C91:M91"/>
    <mergeCell ref="A131:B131"/>
    <mergeCell ref="C131:M131"/>
    <mergeCell ref="C179:M179"/>
    <mergeCell ref="R262:R266"/>
    <mergeCell ref="S262:T266"/>
    <mergeCell ref="R267:R271"/>
    <mergeCell ref="S267:T271"/>
    <mergeCell ref="P265:P266"/>
    <mergeCell ref="Q265:Q266"/>
    <mergeCell ref="P262:P264"/>
    <mergeCell ref="P267:P269"/>
  </mergeCells>
  <conditionalFormatting sqref="A4:T43 A45:T84 A92:T130 A132:T172 A180:T216 A218:T260">
    <cfRule type="expression" dxfId="0" priority="1">
      <formula>$T4</formula>
    </cfRule>
  </conditionalFormatting>
  <conditionalFormatting sqref="S4:S43 S45:S84 S92:S130 S132:S172 S180:S216 S218:S260">
    <cfRule type="expression" dxfId="1" priority="2">
      <formula>$S4</formula>
    </cfRule>
  </conditionalFormatting>
  <conditionalFormatting sqref="S4:S43 S45:S84 S92:S130 S132:S172 S180:S216 S218:S260">
    <cfRule type="expression" dxfId="2" priority="3">
      <formula>$N4="DIGIT - TESSERATO"</formula>
    </cfRule>
  </conditionalFormatting>
  <conditionalFormatting sqref="R4:R43 R45:R84 R92:R130 R132:R172 R180:R216 R218:R260">
    <cfRule type="expression" dxfId="3" priority="4">
      <formula>$R4</formula>
    </cfRule>
  </conditionalFormatting>
  <conditionalFormatting sqref="R4:R43 R45:R84 R92:R130 R132:R172 R180:R216 R218:R260">
    <cfRule type="expression" dxfId="4" priority="5">
      <formula>$N4="CASH - TESSERATO"</formula>
    </cfRule>
  </conditionalFormatting>
  <conditionalFormatting sqref="R4:R43 R45:R84 R92:R130 R132:R172 R180:R216 R218:R260">
    <cfRule type="expression" dxfId="4" priority="6">
      <formula>$N4="CASH - NON TESSERATO"</formula>
    </cfRule>
  </conditionalFormatting>
  <conditionalFormatting sqref="S4:S43 S45:S84 S92:S130 S132:S172 S180:S216 S218:S260">
    <cfRule type="expression" dxfId="2" priority="7">
      <formula>$N4="DIGIT - NON TESSERATO"</formula>
    </cfRule>
  </conditionalFormatting>
  <conditionalFormatting sqref="Q4:Q43 Q45:Q84 Q92:Q130 Q132:Q172 Q180:Q216 Q218:Q260">
    <cfRule type="expression" dxfId="0" priority="8">
      <formula>ISBLANK($Q4)=FALSE</formula>
    </cfRule>
  </conditionalFormatting>
  <conditionalFormatting sqref="A4:P43 A45:P84 A92:P130 A132:P172 A180:P216 A218:P260">
    <cfRule type="expression" dxfId="5" priority="9">
      <formula>$O4</formula>
    </cfRule>
  </conditionalFormatting>
  <conditionalFormatting sqref="S86:T90 S92:T130 S132:T178 S262:T266">
    <cfRule type="containsText" dxfId="2" priority="10" operator="containsText" text="ERRORE">
      <formula>NOT(ISERROR(SEARCH(("ERRORE"),(S86))))</formula>
    </cfRule>
  </conditionalFormatting>
  <conditionalFormatting sqref="S86:T90 S92:T130 S132:T178 S262:T266">
    <cfRule type="containsText" dxfId="0" priority="11" operator="containsText" text="OK">
      <formula>NOT(ISERROR(SEARCH(("OK"),(S86))))</formula>
    </cfRule>
  </conditionalFormatting>
  <dataValidations>
    <dataValidation type="list" allowBlank="1" showInputMessage="1" prompt="Fai clic e immetti un valore dall'elenco di elementi" sqref="N4:N43 N45:N84 N92:N130 N132:N172 N180:N216 N218:N260">
      <formula1>"CASH - TESSERATO,CASH - NON TESSERATO,DIGIT - TESSERATO,DIGIT - NON TESSERATO"</formula1>
    </dataValidation>
    <dataValidation type="list" allowBlank="1" showErrorMessage="1" sqref="L4:L43 L45:L84 L92:L130 L132:L172 L180:L216 L218:L260">
      <formula1>"NURA02WS,GIUDITTA02WS,ALEXANDRA02WS,ESTEFANY02WS,JOEL02WS,MASSI02WS,SANTO02WS,SARA02WS,OMAGGIO-100WS"</formula1>
    </dataValidation>
    <dataValidation type="list" allowBlank="1" showErrorMessage="1" sqref="B4:B43 B45:B84 B92:B130 B132:B172 B180:B216 B218:B260">
      <formula1>"ONLINE,SEDE Estefany,SEDE Giuditta,SEDE Alexandra,SEDE Nura,SEDE Joel"</formula1>
    </dataValidation>
    <dataValidation type="list" allowBlank="1" showInputMessage="1" showErrorMessage="1" prompt="Fai clic e immetti un valore dall'intervallo" sqref="A4:A43 A45:A84 A92:A130 A132:A172 A180:A216 A218:A260">
      <formula1>elenchi!$M$2:$M$100</formula1>
    </dataValidation>
    <dataValidation type="list" allowBlank="1" sqref="Q4:Q43 Q45:Q84 Q92:Q130 Q132:Q172 Q180:Q216 Q218:Q260">
      <formula1>"INSERITO,CELL,EMAIL,COD FISCALE,INDIRIZZO"</formula1>
    </dataValidation>
    <dataValidation type="custom" allowBlank="1" showDropDown="1" showInputMessage="1" prompt="Immetti una data valida" sqref="J4:J5 C4:C43 J7:J43 A44 C45:C84 J45:J84 J92:J93 C92:C130 J95:J130 A131 C132:C172 J132:J172 C180:C216 J180:J216 A217 C218:C260 J218:J260">
      <formula1>OR(NOT(ISERROR(DATEVALUE(A4))), AND(ISNUMBER(A4), LEFT(CELL("format", A4))="D"))</formula1>
    </dataValidation>
    <dataValidation type="list" allowBlank="1" showErrorMessage="1" sqref="D4 D92">
      <formula1>"Opzione 1,Opzione 2"</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3.63"/>
    <col customWidth="1" min="2" max="2" width="57.63"/>
    <col customWidth="1" min="3" max="21" width="12.63"/>
    <col collapsed="1" customWidth="1" min="22" max="22" width="12.63"/>
    <col customWidth="1" hidden="1" min="23" max="23" width="14.0" outlineLevel="1"/>
    <col customWidth="1" hidden="1" min="24" max="24" width="14.63" outlineLevel="1"/>
    <col customWidth="1" hidden="1" min="25" max="33" width="12.63" outlineLevel="1"/>
    <col customWidth="1" hidden="1" min="34" max="34" width="16.5" outlineLevel="1"/>
  </cols>
  <sheetData>
    <row r="1">
      <c r="A1" s="594" t="s">
        <v>2938</v>
      </c>
      <c r="B1" s="595" t="s">
        <v>2939</v>
      </c>
      <c r="C1" s="596" t="s">
        <v>2940</v>
      </c>
      <c r="D1" s="597"/>
      <c r="E1" s="596" t="s">
        <v>2941</v>
      </c>
      <c r="F1" s="597"/>
      <c r="G1" s="596" t="s">
        <v>2942</v>
      </c>
      <c r="H1" s="597"/>
      <c r="I1" s="596"/>
      <c r="J1" s="597"/>
      <c r="K1" s="596"/>
      <c r="L1" s="597"/>
      <c r="M1" s="596"/>
      <c r="N1" s="597"/>
      <c r="O1" s="596"/>
      <c r="P1" s="597"/>
      <c r="Q1" s="596"/>
      <c r="R1" s="597"/>
      <c r="S1" s="596"/>
      <c r="T1" s="597"/>
      <c r="U1" s="596"/>
      <c r="V1" s="597"/>
      <c r="W1" s="598"/>
      <c r="X1" s="599"/>
      <c r="Y1" s="600"/>
      <c r="Z1" s="600"/>
      <c r="AA1" s="600"/>
      <c r="AB1" s="600"/>
      <c r="AC1" s="600"/>
      <c r="AD1" s="600"/>
      <c r="AE1" s="600"/>
      <c r="AF1" s="600"/>
      <c r="AG1" s="600"/>
      <c r="AH1" s="601"/>
    </row>
    <row r="2">
      <c r="A2" s="595" t="s">
        <v>2943</v>
      </c>
      <c r="B2" s="595" t="s">
        <v>2944</v>
      </c>
      <c r="C2" s="602" t="s">
        <v>2945</v>
      </c>
      <c r="D2" s="600"/>
      <c r="E2" s="602" t="str">
        <f>$C2</f>
        <v>Quota</v>
      </c>
      <c r="F2" s="603" t="str">
        <f>$D2</f>
        <v/>
      </c>
      <c r="G2" s="602" t="str">
        <f>$C2</f>
        <v>Quota</v>
      </c>
      <c r="H2" s="603" t="str">
        <f>$D2</f>
        <v/>
      </c>
      <c r="I2" s="602" t="str">
        <f>$C2</f>
        <v>Quota</v>
      </c>
      <c r="J2" s="603" t="str">
        <f>$D2</f>
        <v/>
      </c>
      <c r="K2" s="602" t="str">
        <f>$C2</f>
        <v>Quota</v>
      </c>
      <c r="L2" s="603" t="str">
        <f>$D2</f>
        <v/>
      </c>
      <c r="M2" s="602" t="str">
        <f>$C2</f>
        <v>Quota</v>
      </c>
      <c r="N2" s="603" t="str">
        <f>$D2</f>
        <v/>
      </c>
      <c r="O2" s="602" t="str">
        <f>$C2</f>
        <v>Quota</v>
      </c>
      <c r="P2" s="603" t="str">
        <f>$D2</f>
        <v/>
      </c>
      <c r="Q2" s="602" t="str">
        <f>$C2</f>
        <v>Quota</v>
      </c>
      <c r="R2" s="603" t="str">
        <f>$D2</f>
        <v/>
      </c>
      <c r="S2" s="602" t="str">
        <f>$C2</f>
        <v>Quota</v>
      </c>
      <c r="T2" s="603" t="str">
        <f>$D2</f>
        <v/>
      </c>
      <c r="U2" s="602" t="str">
        <f>$C2</f>
        <v>Quota</v>
      </c>
      <c r="V2" s="603" t="str">
        <f>$D2</f>
        <v/>
      </c>
      <c r="W2" s="598" t="s">
        <v>2946</v>
      </c>
      <c r="X2" s="599" t="s">
        <v>2947</v>
      </c>
      <c r="Y2" s="599" t="str">
        <f t="shared" ref="Y2:AG2" si="1">$X2</f>
        <v>1 corso
costa</v>
      </c>
      <c r="Z2" s="599" t="str">
        <f t="shared" si="1"/>
        <v>1 corso
costa</v>
      </c>
      <c r="AA2" s="599" t="str">
        <f t="shared" si="1"/>
        <v>1 corso
costa</v>
      </c>
      <c r="AB2" s="599" t="str">
        <f t="shared" si="1"/>
        <v>1 corso
costa</v>
      </c>
      <c r="AC2" s="599" t="str">
        <f t="shared" si="1"/>
        <v>1 corso
costa</v>
      </c>
      <c r="AD2" s="599" t="str">
        <f t="shared" si="1"/>
        <v>1 corso
costa</v>
      </c>
      <c r="AE2" s="599" t="str">
        <f t="shared" si="1"/>
        <v>1 corso
costa</v>
      </c>
      <c r="AF2" s="599" t="str">
        <f t="shared" si="1"/>
        <v>1 corso
costa</v>
      </c>
      <c r="AG2" s="599" t="str">
        <f t="shared" si="1"/>
        <v>1 corso
costa</v>
      </c>
      <c r="AH2" s="601" t="s">
        <v>2948</v>
      </c>
    </row>
    <row r="3">
      <c r="A3" s="604"/>
      <c r="B3" s="605"/>
      <c r="C3" s="606" t="str">
        <f>B3</f>
        <v/>
      </c>
      <c r="D3" s="607"/>
      <c r="E3" s="607"/>
      <c r="F3" s="607"/>
      <c r="G3" s="607"/>
      <c r="H3" s="607"/>
      <c r="I3" s="607"/>
      <c r="J3" s="607"/>
      <c r="K3" s="607"/>
      <c r="L3" s="607"/>
      <c r="M3" s="607"/>
      <c r="N3" s="607"/>
      <c r="O3" s="607"/>
      <c r="P3" s="607"/>
      <c r="Q3" s="607"/>
      <c r="R3" s="607"/>
      <c r="S3" s="607"/>
      <c r="T3" s="607"/>
      <c r="U3" s="607"/>
      <c r="V3" s="607"/>
      <c r="W3" s="606"/>
      <c r="X3" s="606"/>
      <c r="Y3" s="606"/>
      <c r="Z3" s="606"/>
      <c r="AA3" s="606"/>
      <c r="AB3" s="606"/>
      <c r="AC3" s="606"/>
      <c r="AD3" s="606"/>
      <c r="AE3" s="606"/>
      <c r="AF3" s="606"/>
      <c r="AG3" s="606"/>
      <c r="AH3" s="608"/>
    </row>
    <row r="4">
      <c r="A4" s="609" t="s">
        <v>2949</v>
      </c>
      <c r="B4" s="610">
        <v>45949.0</v>
      </c>
      <c r="C4" s="611">
        <v>42.0</v>
      </c>
      <c r="D4" s="612"/>
      <c r="E4" s="613">
        <v>37.0</v>
      </c>
      <c r="F4" s="612"/>
      <c r="G4" s="614">
        <v>32.0</v>
      </c>
      <c r="H4" s="612"/>
      <c r="I4" s="613"/>
      <c r="J4" s="612"/>
      <c r="K4" s="613"/>
      <c r="L4" s="612"/>
      <c r="M4" s="613"/>
      <c r="N4" s="612"/>
      <c r="O4" s="613"/>
      <c r="P4" s="612"/>
      <c r="Q4" s="613"/>
      <c r="R4" s="612"/>
      <c r="S4" s="613"/>
      <c r="T4" s="612"/>
      <c r="U4" s="613"/>
      <c r="V4" s="612"/>
      <c r="W4" s="615"/>
      <c r="X4" s="616" t="str">
        <f t="shared" ref="X4:X28" si="2">IF(OR($W4=0, C4="", $W4=""), "", C4/$W4)
</f>
        <v/>
      </c>
      <c r="Y4" s="616" t="str">
        <f t="shared" ref="Y4:Y28" si="3">IF(OR($W4=0, E4="", $W4=""), "", E4/$W4)
</f>
        <v/>
      </c>
      <c r="Z4" s="616" t="str">
        <f t="shared" ref="Z4:Z28" si="4">IF(OR($W4=0, G4="", $W4=""), "", G4/$W4)
</f>
        <v/>
      </c>
      <c r="AA4" s="616" t="str">
        <f t="shared" ref="AA4:AA28" si="5">IF(OR($W4=0, I4="", $W4=""), "", I4/$W4)
</f>
        <v/>
      </c>
      <c r="AB4" s="616" t="str">
        <f t="shared" ref="AB4:AB28" si="6">IF(OR($W4=0, K4="", $W4=""), "", K4/$W4)
</f>
        <v/>
      </c>
      <c r="AC4" s="616" t="str">
        <f t="shared" ref="AC4:AC28" si="7">IF(OR($W4=0, M4="", $W4=""), "", M4/$W4)
</f>
        <v/>
      </c>
      <c r="AD4" s="616" t="str">
        <f t="shared" ref="AD4:AD28" si="8">IF(OR($W4=0, O4="", $W4=""), "", O4/$W4)
</f>
        <v/>
      </c>
      <c r="AE4" s="616" t="str">
        <f t="shared" ref="AE4:AE28" si="9">IF(OR($W4=0, Q4="", $W4=""), "", Q4/$W4)
</f>
        <v/>
      </c>
      <c r="AF4" s="616" t="str">
        <f t="shared" ref="AF4:AF28" si="10">IF(OR($W4=0, S4="", $W4=""), "", S4/$W4)
</f>
        <v/>
      </c>
      <c r="AG4" s="616" t="str">
        <f t="shared" ref="AG4:AG28" si="11">IF(OR($W4=0, U4="", $W4=""), "", U4/$W4)
</f>
        <v/>
      </c>
      <c r="AH4" s="617" t="str">
        <f t="shared" ref="AH4:AH28" si="12">IF(OR($D4=0, $C4="", $D4=""), "", $C4/$D4)
</f>
        <v/>
      </c>
    </row>
    <row r="5">
      <c r="A5" s="609" t="s">
        <v>2950</v>
      </c>
      <c r="B5" s="610">
        <v>45956.0</v>
      </c>
      <c r="C5" s="611">
        <v>42.0</v>
      </c>
      <c r="D5" s="612"/>
      <c r="E5" s="613">
        <v>37.0</v>
      </c>
      <c r="F5" s="612"/>
      <c r="G5" s="614">
        <v>32.0</v>
      </c>
      <c r="H5" s="612"/>
      <c r="I5" s="613"/>
      <c r="J5" s="612"/>
      <c r="K5" s="613"/>
      <c r="L5" s="612"/>
      <c r="M5" s="613"/>
      <c r="N5" s="612"/>
      <c r="O5" s="613"/>
      <c r="P5" s="612"/>
      <c r="Q5" s="613"/>
      <c r="R5" s="612"/>
      <c r="S5" s="613"/>
      <c r="T5" s="612"/>
      <c r="U5" s="613"/>
      <c r="V5" s="612"/>
      <c r="W5" s="618"/>
      <c r="X5" s="616" t="str">
        <f t="shared" si="2"/>
        <v/>
      </c>
      <c r="Y5" s="616" t="str">
        <f t="shared" si="3"/>
        <v/>
      </c>
      <c r="Z5" s="616" t="str">
        <f t="shared" si="4"/>
        <v/>
      </c>
      <c r="AA5" s="616" t="str">
        <f t="shared" si="5"/>
        <v/>
      </c>
      <c r="AB5" s="616" t="str">
        <f t="shared" si="6"/>
        <v/>
      </c>
      <c r="AC5" s="616" t="str">
        <f t="shared" si="7"/>
        <v/>
      </c>
      <c r="AD5" s="616" t="str">
        <f t="shared" si="8"/>
        <v/>
      </c>
      <c r="AE5" s="616" t="str">
        <f t="shared" si="9"/>
        <v/>
      </c>
      <c r="AF5" s="616" t="str">
        <f t="shared" si="10"/>
        <v/>
      </c>
      <c r="AG5" s="616" t="str">
        <f t="shared" si="11"/>
        <v/>
      </c>
      <c r="AH5" s="617" t="str">
        <f t="shared" si="12"/>
        <v/>
      </c>
    </row>
    <row r="6">
      <c r="A6" s="609" t="s">
        <v>2951</v>
      </c>
      <c r="B6" s="619">
        <v>45970.0</v>
      </c>
      <c r="C6" s="611">
        <v>42.0</v>
      </c>
      <c r="D6" s="612"/>
      <c r="E6" s="613">
        <v>37.0</v>
      </c>
      <c r="F6" s="612"/>
      <c r="G6" s="614">
        <v>32.0</v>
      </c>
      <c r="H6" s="612"/>
      <c r="I6" s="613"/>
      <c r="J6" s="612"/>
      <c r="K6" s="613"/>
      <c r="L6" s="612"/>
      <c r="M6" s="613"/>
      <c r="N6" s="612"/>
      <c r="O6" s="613"/>
      <c r="P6" s="612"/>
      <c r="Q6" s="613"/>
      <c r="R6" s="612"/>
      <c r="S6" s="613"/>
      <c r="T6" s="612"/>
      <c r="U6" s="613"/>
      <c r="V6" s="612"/>
      <c r="W6" s="618"/>
      <c r="X6" s="616" t="str">
        <f t="shared" si="2"/>
        <v/>
      </c>
      <c r="Y6" s="616" t="str">
        <f t="shared" si="3"/>
        <v/>
      </c>
      <c r="Z6" s="616" t="str">
        <f t="shared" si="4"/>
        <v/>
      </c>
      <c r="AA6" s="616" t="str">
        <f t="shared" si="5"/>
        <v/>
      </c>
      <c r="AB6" s="616" t="str">
        <f t="shared" si="6"/>
        <v/>
      </c>
      <c r="AC6" s="616" t="str">
        <f t="shared" si="7"/>
        <v/>
      </c>
      <c r="AD6" s="616" t="str">
        <f t="shared" si="8"/>
        <v/>
      </c>
      <c r="AE6" s="616" t="str">
        <f t="shared" si="9"/>
        <v/>
      </c>
      <c r="AF6" s="616" t="str">
        <f t="shared" si="10"/>
        <v/>
      </c>
      <c r="AG6" s="616" t="str">
        <f t="shared" si="11"/>
        <v/>
      </c>
      <c r="AH6" s="617" t="str">
        <f t="shared" si="12"/>
        <v/>
      </c>
    </row>
    <row r="7">
      <c r="A7" s="609" t="s">
        <v>2952</v>
      </c>
      <c r="B7" s="619">
        <v>45970.0</v>
      </c>
      <c r="C7" s="611">
        <v>37.0</v>
      </c>
      <c r="D7" s="612"/>
      <c r="E7" s="614">
        <v>32.0</v>
      </c>
      <c r="F7" s="612"/>
      <c r="G7" s="614">
        <v>27.0</v>
      </c>
      <c r="H7" s="612"/>
      <c r="I7" s="613"/>
      <c r="J7" s="612"/>
      <c r="K7" s="613"/>
      <c r="L7" s="612"/>
      <c r="M7" s="613"/>
      <c r="N7" s="612"/>
      <c r="O7" s="613"/>
      <c r="P7" s="612"/>
      <c r="Q7" s="613"/>
      <c r="R7" s="612"/>
      <c r="S7" s="613"/>
      <c r="T7" s="612"/>
      <c r="U7" s="613"/>
      <c r="V7" s="612"/>
      <c r="W7" s="618"/>
      <c r="X7" s="616" t="str">
        <f t="shared" si="2"/>
        <v/>
      </c>
      <c r="Y7" s="616" t="str">
        <f t="shared" si="3"/>
        <v/>
      </c>
      <c r="Z7" s="616" t="str">
        <f t="shared" si="4"/>
        <v/>
      </c>
      <c r="AA7" s="616" t="str">
        <f t="shared" si="5"/>
        <v/>
      </c>
      <c r="AB7" s="616" t="str">
        <f t="shared" si="6"/>
        <v/>
      </c>
      <c r="AC7" s="616" t="str">
        <f t="shared" si="7"/>
        <v/>
      </c>
      <c r="AD7" s="616" t="str">
        <f t="shared" si="8"/>
        <v/>
      </c>
      <c r="AE7" s="616" t="str">
        <f t="shared" si="9"/>
        <v/>
      </c>
      <c r="AF7" s="616" t="str">
        <f t="shared" si="10"/>
        <v/>
      </c>
      <c r="AG7" s="616" t="str">
        <f t="shared" si="11"/>
        <v/>
      </c>
      <c r="AH7" s="617" t="str">
        <f t="shared" si="12"/>
        <v/>
      </c>
    </row>
    <row r="8">
      <c r="A8" s="609" t="s">
        <v>2953</v>
      </c>
      <c r="B8" s="610">
        <v>45977.0</v>
      </c>
      <c r="C8" s="611">
        <v>37.0</v>
      </c>
      <c r="D8" s="612"/>
      <c r="E8" s="614">
        <v>32.0</v>
      </c>
      <c r="F8" s="612"/>
      <c r="G8" s="614">
        <v>27.0</v>
      </c>
      <c r="H8" s="612"/>
      <c r="I8" s="613"/>
      <c r="J8" s="612"/>
      <c r="K8" s="613"/>
      <c r="L8" s="612"/>
      <c r="M8" s="613"/>
      <c r="N8" s="612"/>
      <c r="O8" s="613"/>
      <c r="P8" s="612"/>
      <c r="Q8" s="613"/>
      <c r="R8" s="612"/>
      <c r="S8" s="613"/>
      <c r="T8" s="612"/>
      <c r="U8" s="613"/>
      <c r="V8" s="612"/>
      <c r="W8" s="618"/>
      <c r="X8" s="616" t="str">
        <f t="shared" si="2"/>
        <v/>
      </c>
      <c r="Y8" s="616" t="str">
        <f t="shared" si="3"/>
        <v/>
      </c>
      <c r="Z8" s="616" t="str">
        <f t="shared" si="4"/>
        <v/>
      </c>
      <c r="AA8" s="616" t="str">
        <f t="shared" si="5"/>
        <v/>
      </c>
      <c r="AB8" s="616" t="str">
        <f t="shared" si="6"/>
        <v/>
      </c>
      <c r="AC8" s="616" t="str">
        <f t="shared" si="7"/>
        <v/>
      </c>
      <c r="AD8" s="616" t="str">
        <f t="shared" si="8"/>
        <v/>
      </c>
      <c r="AE8" s="616" t="str">
        <f t="shared" si="9"/>
        <v/>
      </c>
      <c r="AF8" s="616" t="str">
        <f t="shared" si="10"/>
        <v/>
      </c>
      <c r="AG8" s="616" t="str">
        <f t="shared" si="11"/>
        <v/>
      </c>
      <c r="AH8" s="617" t="str">
        <f t="shared" si="12"/>
        <v/>
      </c>
    </row>
    <row r="9">
      <c r="A9" s="609"/>
      <c r="B9" s="620"/>
      <c r="C9" s="611"/>
      <c r="D9" s="612"/>
      <c r="E9" s="614"/>
      <c r="F9" s="612"/>
      <c r="G9" s="614"/>
      <c r="H9" s="612"/>
      <c r="I9" s="613"/>
      <c r="J9" s="612"/>
      <c r="K9" s="613"/>
      <c r="L9" s="612"/>
      <c r="M9" s="613"/>
      <c r="N9" s="612"/>
      <c r="O9" s="613"/>
      <c r="P9" s="612"/>
      <c r="Q9" s="613"/>
      <c r="R9" s="612"/>
      <c r="S9" s="613"/>
      <c r="T9" s="612"/>
      <c r="U9" s="613"/>
      <c r="V9" s="612"/>
      <c r="W9" s="618"/>
      <c r="X9" s="616" t="str">
        <f t="shared" si="2"/>
        <v/>
      </c>
      <c r="Y9" s="616" t="str">
        <f t="shared" si="3"/>
        <v/>
      </c>
      <c r="Z9" s="616" t="str">
        <f t="shared" si="4"/>
        <v/>
      </c>
      <c r="AA9" s="616" t="str">
        <f t="shared" si="5"/>
        <v/>
      </c>
      <c r="AB9" s="616" t="str">
        <f t="shared" si="6"/>
        <v/>
      </c>
      <c r="AC9" s="616" t="str">
        <f t="shared" si="7"/>
        <v/>
      </c>
      <c r="AD9" s="616" t="str">
        <f t="shared" si="8"/>
        <v/>
      </c>
      <c r="AE9" s="616" t="str">
        <f t="shared" si="9"/>
        <v/>
      </c>
      <c r="AF9" s="616" t="str">
        <f t="shared" si="10"/>
        <v/>
      </c>
      <c r="AG9" s="616" t="str">
        <f t="shared" si="11"/>
        <v/>
      </c>
      <c r="AH9" s="617" t="str">
        <f t="shared" si="12"/>
        <v/>
      </c>
    </row>
    <row r="10">
      <c r="A10" s="609" t="s">
        <v>2954</v>
      </c>
      <c r="B10" s="620"/>
      <c r="C10" s="614">
        <v>80.0</v>
      </c>
      <c r="D10" s="612"/>
      <c r="E10" s="614"/>
      <c r="F10" s="612"/>
      <c r="G10" s="614"/>
      <c r="H10" s="612"/>
      <c r="I10" s="613"/>
      <c r="J10" s="612"/>
      <c r="K10" s="613"/>
      <c r="L10" s="612"/>
      <c r="M10" s="613"/>
      <c r="N10" s="612"/>
      <c r="O10" s="613"/>
      <c r="P10" s="612"/>
      <c r="Q10" s="613"/>
      <c r="R10" s="612"/>
      <c r="S10" s="613"/>
      <c r="T10" s="612"/>
      <c r="U10" s="613"/>
      <c r="V10" s="612"/>
      <c r="W10" s="618"/>
      <c r="X10" s="616" t="str">
        <f t="shared" si="2"/>
        <v/>
      </c>
      <c r="Y10" s="616" t="str">
        <f t="shared" si="3"/>
        <v/>
      </c>
      <c r="Z10" s="616" t="str">
        <f t="shared" si="4"/>
        <v/>
      </c>
      <c r="AA10" s="616" t="str">
        <f t="shared" si="5"/>
        <v/>
      </c>
      <c r="AB10" s="616" t="str">
        <f t="shared" si="6"/>
        <v/>
      </c>
      <c r="AC10" s="616" t="str">
        <f t="shared" si="7"/>
        <v/>
      </c>
      <c r="AD10" s="616" t="str">
        <f t="shared" si="8"/>
        <v/>
      </c>
      <c r="AE10" s="616" t="str">
        <f t="shared" si="9"/>
        <v/>
      </c>
      <c r="AF10" s="616" t="str">
        <f t="shared" si="10"/>
        <v/>
      </c>
      <c r="AG10" s="616" t="str">
        <f t="shared" si="11"/>
        <v/>
      </c>
      <c r="AH10" s="617" t="str">
        <f t="shared" si="12"/>
        <v/>
      </c>
    </row>
    <row r="11">
      <c r="A11" s="609" t="s">
        <v>2955</v>
      </c>
      <c r="B11" s="620"/>
      <c r="C11" s="614">
        <v>120.0</v>
      </c>
      <c r="D11" s="612"/>
      <c r="E11" s="614"/>
      <c r="F11" s="612"/>
      <c r="G11" s="614"/>
      <c r="H11" s="612"/>
      <c r="I11" s="613"/>
      <c r="J11" s="612"/>
      <c r="K11" s="613"/>
      <c r="L11" s="612"/>
      <c r="M11" s="613"/>
      <c r="N11" s="612"/>
      <c r="O11" s="613"/>
      <c r="P11" s="612"/>
      <c r="Q11" s="613"/>
      <c r="R11" s="612"/>
      <c r="S11" s="613"/>
      <c r="T11" s="612"/>
      <c r="U11" s="613"/>
      <c r="V11" s="612"/>
      <c r="W11" s="618"/>
      <c r="X11" s="616" t="str">
        <f t="shared" si="2"/>
        <v/>
      </c>
      <c r="Y11" s="616" t="str">
        <f t="shared" si="3"/>
        <v/>
      </c>
      <c r="Z11" s="616" t="str">
        <f t="shared" si="4"/>
        <v/>
      </c>
      <c r="AA11" s="616" t="str">
        <f t="shared" si="5"/>
        <v/>
      </c>
      <c r="AB11" s="616" t="str">
        <f t="shared" si="6"/>
        <v/>
      </c>
      <c r="AC11" s="616" t="str">
        <f t="shared" si="7"/>
        <v/>
      </c>
      <c r="AD11" s="616" t="str">
        <f t="shared" si="8"/>
        <v/>
      </c>
      <c r="AE11" s="616" t="str">
        <f t="shared" si="9"/>
        <v/>
      </c>
      <c r="AF11" s="616" t="str">
        <f t="shared" si="10"/>
        <v/>
      </c>
      <c r="AG11" s="616" t="str">
        <f t="shared" si="11"/>
        <v/>
      </c>
      <c r="AH11" s="617" t="str">
        <f t="shared" si="12"/>
        <v/>
      </c>
    </row>
    <row r="12">
      <c r="A12" s="609" t="s">
        <v>2956</v>
      </c>
      <c r="B12" s="620"/>
      <c r="C12" s="614">
        <v>150.0</v>
      </c>
      <c r="D12" s="612"/>
      <c r="E12" s="614"/>
      <c r="F12" s="612"/>
      <c r="G12" s="614"/>
      <c r="H12" s="612"/>
      <c r="I12" s="613"/>
      <c r="J12" s="612"/>
      <c r="K12" s="613"/>
      <c r="L12" s="612"/>
      <c r="M12" s="613"/>
      <c r="N12" s="612"/>
      <c r="O12" s="613"/>
      <c r="P12" s="612"/>
      <c r="Q12" s="613"/>
      <c r="R12" s="612"/>
      <c r="S12" s="613"/>
      <c r="T12" s="612"/>
      <c r="U12" s="613"/>
      <c r="V12" s="612"/>
      <c r="W12" s="618"/>
      <c r="X12" s="616" t="str">
        <f t="shared" si="2"/>
        <v/>
      </c>
      <c r="Y12" s="616" t="str">
        <f t="shared" si="3"/>
        <v/>
      </c>
      <c r="Z12" s="616" t="str">
        <f t="shared" si="4"/>
        <v/>
      </c>
      <c r="AA12" s="616" t="str">
        <f t="shared" si="5"/>
        <v/>
      </c>
      <c r="AB12" s="616" t="str">
        <f t="shared" si="6"/>
        <v/>
      </c>
      <c r="AC12" s="616" t="str">
        <f t="shared" si="7"/>
        <v/>
      </c>
      <c r="AD12" s="616" t="str">
        <f t="shared" si="8"/>
        <v/>
      </c>
      <c r="AE12" s="616" t="str">
        <f t="shared" si="9"/>
        <v/>
      </c>
      <c r="AF12" s="616" t="str">
        <f t="shared" si="10"/>
        <v/>
      </c>
      <c r="AG12" s="616" t="str">
        <f t="shared" si="11"/>
        <v/>
      </c>
      <c r="AH12" s="617" t="str">
        <f t="shared" si="12"/>
        <v/>
      </c>
    </row>
    <row r="13">
      <c r="A13" s="609" t="s">
        <v>2957</v>
      </c>
      <c r="B13" s="620"/>
      <c r="C13" s="614">
        <v>200.0</v>
      </c>
      <c r="D13" s="612"/>
      <c r="E13" s="614"/>
      <c r="F13" s="612"/>
      <c r="G13" s="614"/>
      <c r="H13" s="612"/>
      <c r="I13" s="613"/>
      <c r="J13" s="612"/>
      <c r="K13" s="613"/>
      <c r="L13" s="612"/>
      <c r="M13" s="613"/>
      <c r="N13" s="612"/>
      <c r="O13" s="613"/>
      <c r="P13" s="612"/>
      <c r="Q13" s="613"/>
      <c r="R13" s="612"/>
      <c r="S13" s="613"/>
      <c r="T13" s="612"/>
      <c r="U13" s="613"/>
      <c r="V13" s="612"/>
      <c r="W13" s="618"/>
      <c r="X13" s="616" t="str">
        <f t="shared" si="2"/>
        <v/>
      </c>
      <c r="Y13" s="616" t="str">
        <f t="shared" si="3"/>
        <v/>
      </c>
      <c r="Z13" s="616" t="str">
        <f t="shared" si="4"/>
        <v/>
      </c>
      <c r="AA13" s="616" t="str">
        <f t="shared" si="5"/>
        <v/>
      </c>
      <c r="AB13" s="616" t="str">
        <f t="shared" si="6"/>
        <v/>
      </c>
      <c r="AC13" s="616" t="str">
        <f t="shared" si="7"/>
        <v/>
      </c>
      <c r="AD13" s="616" t="str">
        <f t="shared" si="8"/>
        <v/>
      </c>
      <c r="AE13" s="616" t="str">
        <f t="shared" si="9"/>
        <v/>
      </c>
      <c r="AF13" s="616" t="str">
        <f t="shared" si="10"/>
        <v/>
      </c>
      <c r="AG13" s="616" t="str">
        <f t="shared" si="11"/>
        <v/>
      </c>
      <c r="AH13" s="617" t="str">
        <f t="shared" si="12"/>
        <v/>
      </c>
    </row>
    <row r="14">
      <c r="A14" s="609"/>
      <c r="B14" s="620"/>
      <c r="C14" s="614"/>
      <c r="D14" s="612"/>
      <c r="E14" s="614"/>
      <c r="F14" s="612"/>
      <c r="G14" s="614"/>
      <c r="H14" s="612"/>
      <c r="I14" s="613"/>
      <c r="J14" s="612"/>
      <c r="K14" s="613"/>
      <c r="L14" s="612"/>
      <c r="M14" s="613"/>
      <c r="N14" s="612"/>
      <c r="O14" s="613"/>
      <c r="P14" s="612"/>
      <c r="Q14" s="613"/>
      <c r="R14" s="612"/>
      <c r="S14" s="613"/>
      <c r="T14" s="612"/>
      <c r="U14" s="613"/>
      <c r="V14" s="612"/>
      <c r="W14" s="618"/>
      <c r="X14" s="616" t="str">
        <f t="shared" si="2"/>
        <v/>
      </c>
      <c r="Y14" s="616" t="str">
        <f t="shared" si="3"/>
        <v/>
      </c>
      <c r="Z14" s="616" t="str">
        <f t="shared" si="4"/>
        <v/>
      </c>
      <c r="AA14" s="616" t="str">
        <f t="shared" si="5"/>
        <v/>
      </c>
      <c r="AB14" s="616" t="str">
        <f t="shared" si="6"/>
        <v/>
      </c>
      <c r="AC14" s="616" t="str">
        <f t="shared" si="7"/>
        <v/>
      </c>
      <c r="AD14" s="616" t="str">
        <f t="shared" si="8"/>
        <v/>
      </c>
      <c r="AE14" s="616" t="str">
        <f t="shared" si="9"/>
        <v/>
      </c>
      <c r="AF14" s="616" t="str">
        <f t="shared" si="10"/>
        <v/>
      </c>
      <c r="AG14" s="616" t="str">
        <f t="shared" si="11"/>
        <v/>
      </c>
      <c r="AH14" s="617" t="str">
        <f t="shared" si="12"/>
        <v/>
      </c>
    </row>
    <row r="15">
      <c r="A15" s="609"/>
      <c r="B15" s="620"/>
      <c r="C15" s="614"/>
      <c r="D15" s="612"/>
      <c r="E15" s="614"/>
      <c r="F15" s="612"/>
      <c r="G15" s="614"/>
      <c r="H15" s="612"/>
      <c r="I15" s="613"/>
      <c r="J15" s="612"/>
      <c r="K15" s="613"/>
      <c r="L15" s="612"/>
      <c r="M15" s="613"/>
      <c r="N15" s="612"/>
      <c r="O15" s="613"/>
      <c r="P15" s="612"/>
      <c r="Q15" s="613"/>
      <c r="R15" s="612"/>
      <c r="S15" s="613"/>
      <c r="T15" s="612"/>
      <c r="U15" s="613"/>
      <c r="V15" s="612"/>
      <c r="W15" s="618"/>
      <c r="X15" s="616" t="str">
        <f t="shared" si="2"/>
        <v/>
      </c>
      <c r="Y15" s="616" t="str">
        <f t="shared" si="3"/>
        <v/>
      </c>
      <c r="Z15" s="616" t="str">
        <f t="shared" si="4"/>
        <v/>
      </c>
      <c r="AA15" s="616" t="str">
        <f t="shared" si="5"/>
        <v/>
      </c>
      <c r="AB15" s="616" t="str">
        <f t="shared" si="6"/>
        <v/>
      </c>
      <c r="AC15" s="616" t="str">
        <f t="shared" si="7"/>
        <v/>
      </c>
      <c r="AD15" s="616" t="str">
        <f t="shared" si="8"/>
        <v/>
      </c>
      <c r="AE15" s="616" t="str">
        <f t="shared" si="9"/>
        <v/>
      </c>
      <c r="AF15" s="616" t="str">
        <f t="shared" si="10"/>
        <v/>
      </c>
      <c r="AG15" s="616" t="str">
        <f t="shared" si="11"/>
        <v/>
      </c>
      <c r="AH15" s="617" t="str">
        <f t="shared" si="12"/>
        <v/>
      </c>
    </row>
    <row r="16">
      <c r="A16" s="609"/>
      <c r="B16" s="620"/>
      <c r="C16" s="614"/>
      <c r="D16" s="612"/>
      <c r="E16" s="614"/>
      <c r="F16" s="612"/>
      <c r="G16" s="614"/>
      <c r="H16" s="612"/>
      <c r="I16" s="614"/>
      <c r="J16" s="612"/>
      <c r="K16" s="613"/>
      <c r="L16" s="612"/>
      <c r="M16" s="613"/>
      <c r="N16" s="612"/>
      <c r="O16" s="613"/>
      <c r="P16" s="612"/>
      <c r="Q16" s="613"/>
      <c r="R16" s="612"/>
      <c r="S16" s="613"/>
      <c r="T16" s="612"/>
      <c r="U16" s="613"/>
      <c r="V16" s="612"/>
      <c r="W16" s="618"/>
      <c r="X16" s="616" t="str">
        <f t="shared" si="2"/>
        <v/>
      </c>
      <c r="Y16" s="616" t="str">
        <f t="shared" si="3"/>
        <v/>
      </c>
      <c r="Z16" s="616" t="str">
        <f t="shared" si="4"/>
        <v/>
      </c>
      <c r="AA16" s="616" t="str">
        <f t="shared" si="5"/>
        <v/>
      </c>
      <c r="AB16" s="616" t="str">
        <f t="shared" si="6"/>
        <v/>
      </c>
      <c r="AC16" s="616" t="str">
        <f t="shared" si="7"/>
        <v/>
      </c>
      <c r="AD16" s="616" t="str">
        <f t="shared" si="8"/>
        <v/>
      </c>
      <c r="AE16" s="616" t="str">
        <f t="shared" si="9"/>
        <v/>
      </c>
      <c r="AF16" s="616" t="str">
        <f t="shared" si="10"/>
        <v/>
      </c>
      <c r="AG16" s="616" t="str">
        <f t="shared" si="11"/>
        <v/>
      </c>
      <c r="AH16" s="617" t="str">
        <f t="shared" si="12"/>
        <v/>
      </c>
    </row>
    <row r="17">
      <c r="A17" s="609"/>
      <c r="B17" s="620"/>
      <c r="C17" s="621"/>
      <c r="D17" s="622"/>
      <c r="E17" s="621"/>
      <c r="F17" s="622"/>
      <c r="G17" s="621"/>
      <c r="H17" s="622"/>
      <c r="I17" s="621"/>
      <c r="J17" s="622"/>
      <c r="K17" s="623"/>
      <c r="L17" s="622"/>
      <c r="M17" s="623"/>
      <c r="N17" s="622"/>
      <c r="O17" s="623"/>
      <c r="P17" s="622"/>
      <c r="Q17" s="623"/>
      <c r="R17" s="622"/>
      <c r="S17" s="623"/>
      <c r="T17" s="622"/>
      <c r="U17" s="623"/>
      <c r="V17" s="622"/>
      <c r="W17" s="624"/>
      <c r="X17" s="616" t="str">
        <f t="shared" si="2"/>
        <v/>
      </c>
      <c r="Y17" s="616" t="str">
        <f t="shared" si="3"/>
        <v/>
      </c>
      <c r="Z17" s="616" t="str">
        <f t="shared" si="4"/>
        <v/>
      </c>
      <c r="AA17" s="616" t="str">
        <f t="shared" si="5"/>
        <v/>
      </c>
      <c r="AB17" s="616" t="str">
        <f t="shared" si="6"/>
        <v/>
      </c>
      <c r="AC17" s="616" t="str">
        <f t="shared" si="7"/>
        <v/>
      </c>
      <c r="AD17" s="616" t="str">
        <f t="shared" si="8"/>
        <v/>
      </c>
      <c r="AE17" s="616" t="str">
        <f t="shared" si="9"/>
        <v/>
      </c>
      <c r="AF17" s="616" t="str">
        <f t="shared" si="10"/>
        <v/>
      </c>
      <c r="AG17" s="616" t="str">
        <f t="shared" si="11"/>
        <v/>
      </c>
      <c r="AH17" s="617" t="str">
        <f t="shared" si="12"/>
        <v/>
      </c>
    </row>
    <row r="18">
      <c r="A18" s="609"/>
      <c r="B18" s="620"/>
      <c r="C18" s="613"/>
      <c r="D18" s="625"/>
      <c r="E18" s="613"/>
      <c r="F18" s="625"/>
      <c r="G18" s="613"/>
      <c r="H18" s="625"/>
      <c r="I18" s="613"/>
      <c r="J18" s="625"/>
      <c r="K18" s="613"/>
      <c r="L18" s="625"/>
      <c r="M18" s="613"/>
      <c r="N18" s="625"/>
      <c r="O18" s="613"/>
      <c r="P18" s="625"/>
      <c r="Q18" s="613"/>
      <c r="R18" s="625"/>
      <c r="S18" s="613"/>
      <c r="T18" s="625"/>
      <c r="U18" s="613"/>
      <c r="V18" s="625"/>
      <c r="W18" s="618"/>
      <c r="X18" s="616" t="str">
        <f t="shared" si="2"/>
        <v/>
      </c>
      <c r="Y18" s="616" t="str">
        <f t="shared" si="3"/>
        <v/>
      </c>
      <c r="Z18" s="616" t="str">
        <f t="shared" si="4"/>
        <v/>
      </c>
      <c r="AA18" s="616" t="str">
        <f t="shared" si="5"/>
        <v/>
      </c>
      <c r="AB18" s="616" t="str">
        <f t="shared" si="6"/>
        <v/>
      </c>
      <c r="AC18" s="616" t="str">
        <f t="shared" si="7"/>
        <v/>
      </c>
      <c r="AD18" s="616" t="str">
        <f t="shared" si="8"/>
        <v/>
      </c>
      <c r="AE18" s="616" t="str">
        <f t="shared" si="9"/>
        <v/>
      </c>
      <c r="AF18" s="616" t="str">
        <f t="shared" si="10"/>
        <v/>
      </c>
      <c r="AG18" s="616" t="str">
        <f t="shared" si="11"/>
        <v/>
      </c>
      <c r="AH18" s="617" t="str">
        <f t="shared" si="12"/>
        <v/>
      </c>
    </row>
    <row r="19">
      <c r="A19" s="609"/>
      <c r="B19" s="620"/>
      <c r="C19" s="613"/>
      <c r="D19" s="625"/>
      <c r="E19" s="613"/>
      <c r="F19" s="625"/>
      <c r="G19" s="613"/>
      <c r="H19" s="625"/>
      <c r="I19" s="613"/>
      <c r="J19" s="625"/>
      <c r="K19" s="613"/>
      <c r="L19" s="625"/>
      <c r="M19" s="613"/>
      <c r="N19" s="625"/>
      <c r="O19" s="613"/>
      <c r="P19" s="625"/>
      <c r="Q19" s="613"/>
      <c r="R19" s="625"/>
      <c r="S19" s="613"/>
      <c r="T19" s="625"/>
      <c r="U19" s="613"/>
      <c r="V19" s="625"/>
      <c r="W19" s="618"/>
      <c r="X19" s="616" t="str">
        <f t="shared" si="2"/>
        <v/>
      </c>
      <c r="Y19" s="616" t="str">
        <f t="shared" si="3"/>
        <v/>
      </c>
      <c r="Z19" s="616" t="str">
        <f t="shared" si="4"/>
        <v/>
      </c>
      <c r="AA19" s="616" t="str">
        <f t="shared" si="5"/>
        <v/>
      </c>
      <c r="AB19" s="616" t="str">
        <f t="shared" si="6"/>
        <v/>
      </c>
      <c r="AC19" s="616" t="str">
        <f t="shared" si="7"/>
        <v/>
      </c>
      <c r="AD19" s="616" t="str">
        <f t="shared" si="8"/>
        <v/>
      </c>
      <c r="AE19" s="616" t="str">
        <f t="shared" si="9"/>
        <v/>
      </c>
      <c r="AF19" s="616" t="str">
        <f t="shared" si="10"/>
        <v/>
      </c>
      <c r="AG19" s="616" t="str">
        <f t="shared" si="11"/>
        <v/>
      </c>
      <c r="AH19" s="617" t="str">
        <f t="shared" si="12"/>
        <v/>
      </c>
    </row>
    <row r="20">
      <c r="A20" s="609"/>
      <c r="B20" s="620"/>
      <c r="C20" s="613"/>
      <c r="D20" s="625"/>
      <c r="E20" s="613"/>
      <c r="F20" s="625"/>
      <c r="G20" s="613"/>
      <c r="H20" s="625"/>
      <c r="I20" s="613"/>
      <c r="J20" s="625"/>
      <c r="K20" s="613"/>
      <c r="L20" s="625"/>
      <c r="M20" s="613"/>
      <c r="N20" s="625"/>
      <c r="O20" s="613"/>
      <c r="P20" s="625"/>
      <c r="Q20" s="613"/>
      <c r="R20" s="625"/>
      <c r="S20" s="613"/>
      <c r="T20" s="625"/>
      <c r="U20" s="613"/>
      <c r="V20" s="625"/>
      <c r="W20" s="618"/>
      <c r="X20" s="616" t="str">
        <f t="shared" si="2"/>
        <v/>
      </c>
      <c r="Y20" s="616" t="str">
        <f t="shared" si="3"/>
        <v/>
      </c>
      <c r="Z20" s="616" t="str">
        <f t="shared" si="4"/>
        <v/>
      </c>
      <c r="AA20" s="616" t="str">
        <f t="shared" si="5"/>
        <v/>
      </c>
      <c r="AB20" s="616" t="str">
        <f t="shared" si="6"/>
        <v/>
      </c>
      <c r="AC20" s="616" t="str">
        <f t="shared" si="7"/>
        <v/>
      </c>
      <c r="AD20" s="616" t="str">
        <f t="shared" si="8"/>
        <v/>
      </c>
      <c r="AE20" s="616" t="str">
        <f t="shared" si="9"/>
        <v/>
      </c>
      <c r="AF20" s="616" t="str">
        <f t="shared" si="10"/>
        <v/>
      </c>
      <c r="AG20" s="616" t="str">
        <f t="shared" si="11"/>
        <v/>
      </c>
      <c r="AH20" s="617" t="str">
        <f t="shared" si="12"/>
        <v/>
      </c>
    </row>
    <row r="21">
      <c r="A21" s="609"/>
      <c r="B21" s="620"/>
      <c r="C21" s="613"/>
      <c r="D21" s="625"/>
      <c r="E21" s="613"/>
      <c r="F21" s="625"/>
      <c r="G21" s="613"/>
      <c r="H21" s="625"/>
      <c r="I21" s="613"/>
      <c r="J21" s="625"/>
      <c r="K21" s="613"/>
      <c r="L21" s="625"/>
      <c r="M21" s="613"/>
      <c r="N21" s="625"/>
      <c r="O21" s="613"/>
      <c r="P21" s="625"/>
      <c r="Q21" s="613"/>
      <c r="R21" s="625"/>
      <c r="S21" s="613"/>
      <c r="T21" s="625"/>
      <c r="U21" s="613"/>
      <c r="V21" s="625"/>
      <c r="W21" s="618"/>
      <c r="X21" s="616" t="str">
        <f t="shared" si="2"/>
        <v/>
      </c>
      <c r="Y21" s="616" t="str">
        <f t="shared" si="3"/>
        <v/>
      </c>
      <c r="Z21" s="616" t="str">
        <f t="shared" si="4"/>
        <v/>
      </c>
      <c r="AA21" s="616" t="str">
        <f t="shared" si="5"/>
        <v/>
      </c>
      <c r="AB21" s="616" t="str">
        <f t="shared" si="6"/>
        <v/>
      </c>
      <c r="AC21" s="616" t="str">
        <f t="shared" si="7"/>
        <v/>
      </c>
      <c r="AD21" s="616" t="str">
        <f t="shared" si="8"/>
        <v/>
      </c>
      <c r="AE21" s="616" t="str">
        <f t="shared" si="9"/>
        <v/>
      </c>
      <c r="AF21" s="616" t="str">
        <f t="shared" si="10"/>
        <v/>
      </c>
      <c r="AG21" s="616" t="str">
        <f t="shared" si="11"/>
        <v/>
      </c>
      <c r="AH21" s="617" t="str">
        <f t="shared" si="12"/>
        <v/>
      </c>
    </row>
    <row r="22">
      <c r="A22" s="609"/>
      <c r="B22" s="620"/>
      <c r="C22" s="613"/>
      <c r="D22" s="625"/>
      <c r="E22" s="613"/>
      <c r="F22" s="625"/>
      <c r="G22" s="613"/>
      <c r="H22" s="625"/>
      <c r="I22" s="613"/>
      <c r="J22" s="625"/>
      <c r="K22" s="613"/>
      <c r="L22" s="625"/>
      <c r="M22" s="613"/>
      <c r="N22" s="625"/>
      <c r="O22" s="613"/>
      <c r="P22" s="625"/>
      <c r="Q22" s="613"/>
      <c r="R22" s="625"/>
      <c r="S22" s="613"/>
      <c r="T22" s="625"/>
      <c r="U22" s="613"/>
      <c r="V22" s="625"/>
      <c r="W22" s="618"/>
      <c r="X22" s="616" t="str">
        <f t="shared" si="2"/>
        <v/>
      </c>
      <c r="Y22" s="616" t="str">
        <f t="shared" si="3"/>
        <v/>
      </c>
      <c r="Z22" s="616" t="str">
        <f t="shared" si="4"/>
        <v/>
      </c>
      <c r="AA22" s="616" t="str">
        <f t="shared" si="5"/>
        <v/>
      </c>
      <c r="AB22" s="616" t="str">
        <f t="shared" si="6"/>
        <v/>
      </c>
      <c r="AC22" s="616" t="str">
        <f t="shared" si="7"/>
        <v/>
      </c>
      <c r="AD22" s="616" t="str">
        <f t="shared" si="8"/>
        <v/>
      </c>
      <c r="AE22" s="616" t="str">
        <f t="shared" si="9"/>
        <v/>
      </c>
      <c r="AF22" s="616" t="str">
        <f t="shared" si="10"/>
        <v/>
      </c>
      <c r="AG22" s="616" t="str">
        <f t="shared" si="11"/>
        <v/>
      </c>
      <c r="AH22" s="617" t="str">
        <f t="shared" si="12"/>
        <v/>
      </c>
    </row>
    <row r="23">
      <c r="A23" s="609"/>
      <c r="B23" s="620"/>
      <c r="C23" s="613"/>
      <c r="D23" s="625"/>
      <c r="E23" s="613"/>
      <c r="F23" s="625"/>
      <c r="G23" s="613"/>
      <c r="H23" s="625"/>
      <c r="I23" s="613"/>
      <c r="J23" s="625"/>
      <c r="K23" s="613"/>
      <c r="L23" s="625"/>
      <c r="M23" s="613"/>
      <c r="N23" s="625"/>
      <c r="O23" s="613"/>
      <c r="P23" s="625"/>
      <c r="Q23" s="613"/>
      <c r="R23" s="625"/>
      <c r="S23" s="613"/>
      <c r="T23" s="625"/>
      <c r="U23" s="613"/>
      <c r="V23" s="625"/>
      <c r="W23" s="618"/>
      <c r="X23" s="616" t="str">
        <f t="shared" si="2"/>
        <v/>
      </c>
      <c r="Y23" s="616" t="str">
        <f t="shared" si="3"/>
        <v/>
      </c>
      <c r="Z23" s="616" t="str">
        <f t="shared" si="4"/>
        <v/>
      </c>
      <c r="AA23" s="616" t="str">
        <f t="shared" si="5"/>
        <v/>
      </c>
      <c r="AB23" s="616" t="str">
        <f t="shared" si="6"/>
        <v/>
      </c>
      <c r="AC23" s="616" t="str">
        <f t="shared" si="7"/>
        <v/>
      </c>
      <c r="AD23" s="616" t="str">
        <f t="shared" si="8"/>
        <v/>
      </c>
      <c r="AE23" s="616" t="str">
        <f t="shared" si="9"/>
        <v/>
      </c>
      <c r="AF23" s="616" t="str">
        <f t="shared" si="10"/>
        <v/>
      </c>
      <c r="AG23" s="616" t="str">
        <f t="shared" si="11"/>
        <v/>
      </c>
      <c r="AH23" s="617" t="str">
        <f t="shared" si="12"/>
        <v/>
      </c>
    </row>
    <row r="24">
      <c r="A24" s="609"/>
      <c r="B24" s="620"/>
      <c r="C24" s="613"/>
      <c r="D24" s="625"/>
      <c r="E24" s="613"/>
      <c r="F24" s="625"/>
      <c r="G24" s="613"/>
      <c r="H24" s="625"/>
      <c r="I24" s="613"/>
      <c r="J24" s="625"/>
      <c r="K24" s="613"/>
      <c r="L24" s="625"/>
      <c r="M24" s="613"/>
      <c r="N24" s="625"/>
      <c r="O24" s="613"/>
      <c r="P24" s="625"/>
      <c r="Q24" s="613"/>
      <c r="R24" s="625"/>
      <c r="S24" s="613"/>
      <c r="T24" s="625"/>
      <c r="U24" s="613"/>
      <c r="V24" s="625"/>
      <c r="W24" s="618"/>
      <c r="X24" s="616" t="str">
        <f t="shared" si="2"/>
        <v/>
      </c>
      <c r="Y24" s="616" t="str">
        <f t="shared" si="3"/>
        <v/>
      </c>
      <c r="Z24" s="616" t="str">
        <f t="shared" si="4"/>
        <v/>
      </c>
      <c r="AA24" s="616" t="str">
        <f t="shared" si="5"/>
        <v/>
      </c>
      <c r="AB24" s="616" t="str">
        <f t="shared" si="6"/>
        <v/>
      </c>
      <c r="AC24" s="616" t="str">
        <f t="shared" si="7"/>
        <v/>
      </c>
      <c r="AD24" s="616" t="str">
        <f t="shared" si="8"/>
        <v/>
      </c>
      <c r="AE24" s="616" t="str">
        <f t="shared" si="9"/>
        <v/>
      </c>
      <c r="AF24" s="616" t="str">
        <f t="shared" si="10"/>
        <v/>
      </c>
      <c r="AG24" s="616" t="str">
        <f t="shared" si="11"/>
        <v/>
      </c>
      <c r="AH24" s="617" t="str">
        <f t="shared" si="12"/>
        <v/>
      </c>
    </row>
    <row r="25">
      <c r="A25" s="609"/>
      <c r="B25" s="620"/>
      <c r="C25" s="613"/>
      <c r="D25" s="625"/>
      <c r="E25" s="613"/>
      <c r="F25" s="625"/>
      <c r="G25" s="613"/>
      <c r="H25" s="625"/>
      <c r="I25" s="613"/>
      <c r="J25" s="625"/>
      <c r="K25" s="613"/>
      <c r="L25" s="625"/>
      <c r="M25" s="613"/>
      <c r="N25" s="625"/>
      <c r="O25" s="613"/>
      <c r="P25" s="625"/>
      <c r="Q25" s="613"/>
      <c r="R25" s="625"/>
      <c r="S25" s="613"/>
      <c r="T25" s="625"/>
      <c r="U25" s="613"/>
      <c r="V25" s="625"/>
      <c r="W25" s="618"/>
      <c r="X25" s="616" t="str">
        <f t="shared" si="2"/>
        <v/>
      </c>
      <c r="Y25" s="616" t="str">
        <f t="shared" si="3"/>
        <v/>
      </c>
      <c r="Z25" s="616" t="str">
        <f t="shared" si="4"/>
        <v/>
      </c>
      <c r="AA25" s="616" t="str">
        <f t="shared" si="5"/>
        <v/>
      </c>
      <c r="AB25" s="616" t="str">
        <f t="shared" si="6"/>
        <v/>
      </c>
      <c r="AC25" s="616" t="str">
        <f t="shared" si="7"/>
        <v/>
      </c>
      <c r="AD25" s="616" t="str">
        <f t="shared" si="8"/>
        <v/>
      </c>
      <c r="AE25" s="616" t="str">
        <f t="shared" si="9"/>
        <v/>
      </c>
      <c r="AF25" s="616" t="str">
        <f t="shared" si="10"/>
        <v/>
      </c>
      <c r="AG25" s="616" t="str">
        <f t="shared" si="11"/>
        <v/>
      </c>
      <c r="AH25" s="617" t="str">
        <f t="shared" si="12"/>
        <v/>
      </c>
    </row>
    <row r="26">
      <c r="A26" s="609"/>
      <c r="B26" s="620"/>
      <c r="C26" s="613"/>
      <c r="D26" s="625"/>
      <c r="E26" s="613"/>
      <c r="F26" s="625"/>
      <c r="G26" s="613"/>
      <c r="H26" s="625"/>
      <c r="I26" s="613"/>
      <c r="J26" s="625"/>
      <c r="K26" s="613"/>
      <c r="L26" s="625"/>
      <c r="M26" s="613"/>
      <c r="N26" s="625"/>
      <c r="O26" s="613"/>
      <c r="P26" s="625"/>
      <c r="Q26" s="613"/>
      <c r="R26" s="625"/>
      <c r="S26" s="613"/>
      <c r="T26" s="625"/>
      <c r="U26" s="613"/>
      <c r="V26" s="625"/>
      <c r="W26" s="618"/>
      <c r="X26" s="616" t="str">
        <f t="shared" si="2"/>
        <v/>
      </c>
      <c r="Y26" s="616" t="str">
        <f t="shared" si="3"/>
        <v/>
      </c>
      <c r="Z26" s="616" t="str">
        <f t="shared" si="4"/>
        <v/>
      </c>
      <c r="AA26" s="616" t="str">
        <f t="shared" si="5"/>
        <v/>
      </c>
      <c r="AB26" s="616" t="str">
        <f t="shared" si="6"/>
        <v/>
      </c>
      <c r="AC26" s="616" t="str">
        <f t="shared" si="7"/>
        <v/>
      </c>
      <c r="AD26" s="616" t="str">
        <f t="shared" si="8"/>
        <v/>
      </c>
      <c r="AE26" s="616" t="str">
        <f t="shared" si="9"/>
        <v/>
      </c>
      <c r="AF26" s="616" t="str">
        <f t="shared" si="10"/>
        <v/>
      </c>
      <c r="AG26" s="616" t="str">
        <f t="shared" si="11"/>
        <v/>
      </c>
      <c r="AH26" s="617" t="str">
        <f t="shared" si="12"/>
        <v/>
      </c>
    </row>
    <row r="27">
      <c r="A27" s="609"/>
      <c r="B27" s="620"/>
      <c r="C27" s="626"/>
      <c r="D27" s="627"/>
      <c r="E27" s="626"/>
      <c r="F27" s="627"/>
      <c r="G27" s="626"/>
      <c r="H27" s="627"/>
      <c r="I27" s="626"/>
      <c r="J27" s="627"/>
      <c r="K27" s="626"/>
      <c r="L27" s="627"/>
      <c r="M27" s="626"/>
      <c r="N27" s="627"/>
      <c r="O27" s="626"/>
      <c r="P27" s="627"/>
      <c r="Q27" s="626"/>
      <c r="R27" s="627"/>
      <c r="S27" s="626"/>
      <c r="T27" s="627"/>
      <c r="U27" s="626"/>
      <c r="V27" s="627"/>
      <c r="W27" s="624"/>
      <c r="X27" s="616" t="str">
        <f t="shared" si="2"/>
        <v/>
      </c>
      <c r="Y27" s="616" t="str">
        <f t="shared" si="3"/>
        <v/>
      </c>
      <c r="Z27" s="616" t="str">
        <f t="shared" si="4"/>
        <v/>
      </c>
      <c r="AA27" s="616" t="str">
        <f t="shared" si="5"/>
        <v/>
      </c>
      <c r="AB27" s="616" t="str">
        <f t="shared" si="6"/>
        <v/>
      </c>
      <c r="AC27" s="616" t="str">
        <f t="shared" si="7"/>
        <v/>
      </c>
      <c r="AD27" s="616" t="str">
        <f t="shared" si="8"/>
        <v/>
      </c>
      <c r="AE27" s="616" t="str">
        <f t="shared" si="9"/>
        <v/>
      </c>
      <c r="AF27" s="616" t="str">
        <f t="shared" si="10"/>
        <v/>
      </c>
      <c r="AG27" s="616" t="str">
        <f t="shared" si="11"/>
        <v/>
      </c>
      <c r="AH27" s="617" t="str">
        <f t="shared" si="12"/>
        <v/>
      </c>
    </row>
    <row r="28">
      <c r="A28" s="609"/>
      <c r="B28" s="620"/>
      <c r="C28" s="626"/>
      <c r="D28" s="627"/>
      <c r="E28" s="626"/>
      <c r="F28" s="627"/>
      <c r="G28" s="626"/>
      <c r="H28" s="627"/>
      <c r="I28" s="626"/>
      <c r="J28" s="627"/>
      <c r="K28" s="626"/>
      <c r="L28" s="627"/>
      <c r="M28" s="626"/>
      <c r="N28" s="627"/>
      <c r="O28" s="626"/>
      <c r="P28" s="627"/>
      <c r="Q28" s="626"/>
      <c r="R28" s="627"/>
      <c r="S28" s="626"/>
      <c r="T28" s="627"/>
      <c r="U28" s="626"/>
      <c r="V28" s="627"/>
      <c r="W28" s="624"/>
      <c r="X28" s="616" t="str">
        <f t="shared" si="2"/>
        <v/>
      </c>
      <c r="Y28" s="616" t="str">
        <f t="shared" si="3"/>
        <v/>
      </c>
      <c r="Z28" s="616" t="str">
        <f t="shared" si="4"/>
        <v/>
      </c>
      <c r="AA28" s="616" t="str">
        <f t="shared" si="5"/>
        <v/>
      </c>
      <c r="AB28" s="616" t="str">
        <f t="shared" si="6"/>
        <v/>
      </c>
      <c r="AC28" s="616" t="str">
        <f t="shared" si="7"/>
        <v/>
      </c>
      <c r="AD28" s="616" t="str">
        <f t="shared" si="8"/>
        <v/>
      </c>
      <c r="AE28" s="616" t="str">
        <f t="shared" si="9"/>
        <v/>
      </c>
      <c r="AF28" s="616" t="str">
        <f t="shared" si="10"/>
        <v/>
      </c>
      <c r="AG28" s="616" t="str">
        <f t="shared" si="11"/>
        <v/>
      </c>
      <c r="AH28" s="617" t="str">
        <f t="shared" si="12"/>
        <v/>
      </c>
    </row>
    <row r="29">
      <c r="A29" s="609"/>
      <c r="B29" s="620"/>
      <c r="C29" s="626"/>
      <c r="D29" s="627"/>
      <c r="E29" s="626"/>
      <c r="F29" s="627"/>
      <c r="G29" s="626"/>
      <c r="H29" s="627"/>
      <c r="I29" s="626"/>
      <c r="J29" s="627"/>
      <c r="K29" s="626"/>
      <c r="L29" s="627"/>
      <c r="M29" s="626"/>
      <c r="N29" s="627"/>
      <c r="O29" s="626"/>
      <c r="P29" s="627"/>
      <c r="Q29" s="626"/>
      <c r="R29" s="627"/>
      <c r="S29" s="626"/>
      <c r="T29" s="627"/>
      <c r="U29" s="626"/>
      <c r="V29" s="627"/>
      <c r="W29" s="624"/>
      <c r="X29" s="616"/>
      <c r="Y29" s="616"/>
      <c r="Z29" s="616"/>
      <c r="AA29" s="616"/>
      <c r="AB29" s="616"/>
      <c r="AC29" s="616"/>
      <c r="AD29" s="616"/>
      <c r="AE29" s="616"/>
      <c r="AF29" s="616"/>
      <c r="AG29" s="616"/>
      <c r="AH29" s="617"/>
    </row>
    <row r="30">
      <c r="A30" s="609"/>
      <c r="B30" s="620"/>
      <c r="C30" s="626"/>
      <c r="D30" s="627"/>
      <c r="E30" s="626"/>
      <c r="F30" s="627"/>
      <c r="G30" s="626"/>
      <c r="H30" s="627"/>
      <c r="I30" s="626"/>
      <c r="J30" s="627"/>
      <c r="K30" s="626"/>
      <c r="L30" s="627"/>
      <c r="M30" s="626"/>
      <c r="N30" s="627"/>
      <c r="O30" s="626"/>
      <c r="P30" s="627"/>
      <c r="Q30" s="626"/>
      <c r="R30" s="627"/>
      <c r="S30" s="626"/>
      <c r="T30" s="627"/>
      <c r="U30" s="626"/>
      <c r="V30" s="627"/>
      <c r="W30" s="624"/>
      <c r="X30" s="616"/>
      <c r="Y30" s="616"/>
      <c r="Z30" s="616"/>
      <c r="AA30" s="616"/>
      <c r="AB30" s="616"/>
      <c r="AC30" s="616"/>
      <c r="AD30" s="616"/>
      <c r="AE30" s="616"/>
      <c r="AF30" s="616"/>
      <c r="AG30" s="616"/>
      <c r="AH30" s="617"/>
    </row>
    <row r="31">
      <c r="A31" s="609"/>
      <c r="B31" s="620"/>
      <c r="C31" s="626"/>
      <c r="D31" s="627"/>
      <c r="E31" s="626"/>
      <c r="F31" s="627"/>
      <c r="G31" s="626"/>
      <c r="H31" s="627"/>
      <c r="I31" s="626"/>
      <c r="J31" s="627"/>
      <c r="K31" s="626"/>
      <c r="L31" s="627"/>
      <c r="M31" s="626"/>
      <c r="N31" s="627"/>
      <c r="O31" s="626"/>
      <c r="P31" s="627"/>
      <c r="Q31" s="626"/>
      <c r="R31" s="627"/>
      <c r="S31" s="626"/>
      <c r="T31" s="627"/>
      <c r="U31" s="626"/>
      <c r="V31" s="627"/>
      <c r="W31" s="624"/>
      <c r="X31" s="616"/>
      <c r="Y31" s="616"/>
      <c r="Z31" s="616"/>
      <c r="AA31" s="616"/>
      <c r="AB31" s="616"/>
      <c r="AC31" s="616"/>
      <c r="AD31" s="616"/>
      <c r="AE31" s="616"/>
      <c r="AF31" s="616"/>
      <c r="AG31" s="616"/>
      <c r="AH31" s="617"/>
    </row>
    <row r="32">
      <c r="A32" s="609"/>
      <c r="B32" s="620"/>
      <c r="C32" s="626"/>
      <c r="D32" s="627"/>
      <c r="E32" s="626"/>
      <c r="F32" s="627"/>
      <c r="G32" s="626"/>
      <c r="H32" s="627"/>
      <c r="I32" s="626"/>
      <c r="J32" s="627"/>
      <c r="K32" s="626"/>
      <c r="L32" s="627"/>
      <c r="M32" s="626"/>
      <c r="N32" s="627"/>
      <c r="O32" s="626"/>
      <c r="P32" s="627"/>
      <c r="Q32" s="626"/>
      <c r="R32" s="627"/>
      <c r="S32" s="626"/>
      <c r="T32" s="627"/>
      <c r="U32" s="626"/>
      <c r="V32" s="627"/>
      <c r="W32" s="624"/>
      <c r="X32" s="616"/>
      <c r="Y32" s="616"/>
      <c r="Z32" s="616"/>
      <c r="AA32" s="616"/>
      <c r="AB32" s="616"/>
      <c r="AC32" s="616"/>
      <c r="AD32" s="616"/>
      <c r="AE32" s="616"/>
      <c r="AF32" s="616"/>
      <c r="AG32" s="616"/>
      <c r="AH32" s="617"/>
    </row>
    <row r="33">
      <c r="A33" s="609"/>
      <c r="B33" s="620"/>
      <c r="C33" s="626"/>
      <c r="D33" s="627"/>
      <c r="E33" s="626"/>
      <c r="F33" s="627"/>
      <c r="G33" s="626"/>
      <c r="H33" s="627"/>
      <c r="I33" s="626"/>
      <c r="J33" s="627"/>
      <c r="K33" s="626"/>
      <c r="L33" s="627"/>
      <c r="M33" s="626"/>
      <c r="N33" s="627"/>
      <c r="O33" s="626"/>
      <c r="P33" s="627"/>
      <c r="Q33" s="626"/>
      <c r="R33" s="627"/>
      <c r="S33" s="626"/>
      <c r="T33" s="627"/>
      <c r="U33" s="626"/>
      <c r="V33" s="627"/>
      <c r="W33" s="624"/>
      <c r="X33" s="616"/>
      <c r="Y33" s="616"/>
      <c r="Z33" s="616"/>
      <c r="AA33" s="616"/>
      <c r="AB33" s="616"/>
      <c r="AC33" s="616"/>
      <c r="AD33" s="616"/>
      <c r="AE33" s="616"/>
      <c r="AF33" s="616"/>
      <c r="AG33" s="616"/>
      <c r="AH33" s="617"/>
    </row>
    <row r="34">
      <c r="A34" s="609"/>
      <c r="B34" s="620"/>
      <c r="C34" s="626"/>
      <c r="D34" s="627"/>
      <c r="E34" s="626"/>
      <c r="F34" s="627"/>
      <c r="G34" s="626"/>
      <c r="H34" s="627"/>
      <c r="I34" s="626"/>
      <c r="J34" s="627"/>
      <c r="K34" s="626"/>
      <c r="L34" s="627"/>
      <c r="M34" s="626"/>
      <c r="N34" s="627"/>
      <c r="O34" s="626"/>
      <c r="P34" s="627"/>
      <c r="Q34" s="626"/>
      <c r="R34" s="627"/>
      <c r="S34" s="626"/>
      <c r="T34" s="627"/>
      <c r="U34" s="626"/>
      <c r="V34" s="627"/>
      <c r="W34" s="624"/>
      <c r="X34" s="616"/>
      <c r="Y34" s="616"/>
      <c r="Z34" s="616"/>
      <c r="AA34" s="616"/>
      <c r="AB34" s="616"/>
      <c r="AC34" s="616"/>
      <c r="AD34" s="616"/>
      <c r="AE34" s="616"/>
      <c r="AF34" s="616"/>
      <c r="AG34" s="616"/>
      <c r="AH34" s="617"/>
    </row>
    <row r="35">
      <c r="A35" s="609"/>
      <c r="B35" s="620"/>
      <c r="C35" s="626"/>
      <c r="D35" s="627"/>
      <c r="E35" s="626"/>
      <c r="F35" s="627"/>
      <c r="G35" s="626"/>
      <c r="H35" s="627"/>
      <c r="I35" s="626"/>
      <c r="J35" s="627"/>
      <c r="K35" s="626"/>
      <c r="L35" s="627"/>
      <c r="M35" s="626"/>
      <c r="N35" s="627"/>
      <c r="O35" s="626"/>
      <c r="P35" s="627"/>
      <c r="Q35" s="626"/>
      <c r="R35" s="627"/>
      <c r="S35" s="626"/>
      <c r="T35" s="627"/>
      <c r="U35" s="626"/>
      <c r="V35" s="627"/>
      <c r="W35" s="624"/>
      <c r="X35" s="616"/>
      <c r="Y35" s="616"/>
      <c r="Z35" s="616"/>
      <c r="AA35" s="616"/>
      <c r="AB35" s="616"/>
      <c r="AC35" s="616"/>
      <c r="AD35" s="616"/>
      <c r="AE35" s="616"/>
      <c r="AF35" s="616"/>
      <c r="AG35" s="616"/>
      <c r="AH35" s="617"/>
    </row>
    <row r="36">
      <c r="A36" s="609"/>
      <c r="B36" s="620"/>
      <c r="C36" s="626"/>
      <c r="D36" s="627"/>
      <c r="E36" s="626"/>
      <c r="F36" s="627"/>
      <c r="G36" s="626"/>
      <c r="H36" s="627"/>
      <c r="I36" s="626"/>
      <c r="J36" s="627"/>
      <c r="K36" s="626"/>
      <c r="L36" s="627"/>
      <c r="M36" s="626"/>
      <c r="N36" s="627"/>
      <c r="O36" s="626"/>
      <c r="P36" s="627"/>
      <c r="Q36" s="626"/>
      <c r="R36" s="627"/>
      <c r="S36" s="626"/>
      <c r="T36" s="627"/>
      <c r="U36" s="626"/>
      <c r="V36" s="627"/>
      <c r="W36" s="624"/>
      <c r="X36" s="616"/>
      <c r="Y36" s="616"/>
      <c r="Z36" s="616"/>
      <c r="AA36" s="616"/>
      <c r="AB36" s="616"/>
      <c r="AC36" s="616"/>
      <c r="AD36" s="616"/>
      <c r="AE36" s="616"/>
      <c r="AF36" s="616"/>
      <c r="AG36" s="616"/>
      <c r="AH36" s="617"/>
    </row>
    <row r="37">
      <c r="A37" s="609"/>
      <c r="B37" s="620"/>
      <c r="C37" s="626"/>
      <c r="D37" s="627"/>
      <c r="E37" s="626"/>
      <c r="F37" s="627"/>
      <c r="G37" s="626"/>
      <c r="H37" s="627"/>
      <c r="I37" s="626"/>
      <c r="J37" s="627"/>
      <c r="K37" s="626"/>
      <c r="L37" s="627"/>
      <c r="M37" s="626"/>
      <c r="N37" s="627"/>
      <c r="O37" s="626"/>
      <c r="P37" s="627"/>
      <c r="Q37" s="626"/>
      <c r="R37" s="627"/>
      <c r="S37" s="626"/>
      <c r="T37" s="627"/>
      <c r="U37" s="626"/>
      <c r="V37" s="627"/>
      <c r="W37" s="624"/>
      <c r="X37" s="616"/>
      <c r="Y37" s="616"/>
      <c r="Z37" s="616"/>
      <c r="AA37" s="616"/>
      <c r="AB37" s="616"/>
      <c r="AC37" s="616"/>
      <c r="AD37" s="616"/>
      <c r="AE37" s="616"/>
      <c r="AF37" s="616"/>
      <c r="AG37" s="616"/>
      <c r="AH37" s="617"/>
    </row>
    <row r="38">
      <c r="A38" s="609"/>
      <c r="B38" s="620"/>
      <c r="C38" s="626"/>
      <c r="D38" s="627"/>
      <c r="E38" s="626"/>
      <c r="F38" s="627"/>
      <c r="G38" s="626"/>
      <c r="H38" s="627"/>
      <c r="I38" s="626"/>
      <c r="J38" s="627"/>
      <c r="K38" s="626"/>
      <c r="L38" s="627"/>
      <c r="M38" s="626"/>
      <c r="N38" s="627"/>
      <c r="O38" s="626"/>
      <c r="P38" s="627"/>
      <c r="Q38" s="626"/>
      <c r="R38" s="627"/>
      <c r="S38" s="626"/>
      <c r="T38" s="627"/>
      <c r="U38" s="626"/>
      <c r="V38" s="627"/>
      <c r="W38" s="624"/>
      <c r="X38" s="616"/>
      <c r="Y38" s="616"/>
      <c r="Z38" s="616"/>
      <c r="AA38" s="616"/>
      <c r="AB38" s="616"/>
      <c r="AC38" s="616"/>
      <c r="AD38" s="616"/>
      <c r="AE38" s="616"/>
      <c r="AF38" s="616"/>
      <c r="AG38" s="616"/>
      <c r="AH38" s="617"/>
    </row>
    <row r="39">
      <c r="A39" s="609"/>
      <c r="B39" s="620"/>
      <c r="C39" s="626"/>
      <c r="D39" s="627"/>
      <c r="E39" s="626"/>
      <c r="F39" s="627"/>
      <c r="G39" s="626"/>
      <c r="H39" s="627"/>
      <c r="I39" s="626"/>
      <c r="J39" s="627"/>
      <c r="K39" s="626"/>
      <c r="L39" s="627"/>
      <c r="M39" s="626"/>
      <c r="N39" s="627"/>
      <c r="O39" s="626"/>
      <c r="P39" s="627"/>
      <c r="Q39" s="626"/>
      <c r="R39" s="627"/>
      <c r="S39" s="626"/>
      <c r="T39" s="627"/>
      <c r="U39" s="626"/>
      <c r="V39" s="627"/>
      <c r="W39" s="624"/>
      <c r="X39" s="616"/>
      <c r="Y39" s="616"/>
      <c r="Z39" s="616"/>
      <c r="AA39" s="616"/>
      <c r="AB39" s="616"/>
      <c r="AC39" s="616"/>
      <c r="AD39" s="616"/>
      <c r="AE39" s="616"/>
      <c r="AF39" s="616"/>
      <c r="AG39" s="616"/>
      <c r="AH39" s="617"/>
    </row>
    <row r="40">
      <c r="A40" s="609"/>
      <c r="B40" s="620"/>
      <c r="C40" s="626"/>
      <c r="D40" s="627"/>
      <c r="E40" s="626"/>
      <c r="F40" s="627"/>
      <c r="G40" s="626"/>
      <c r="H40" s="627"/>
      <c r="I40" s="626"/>
      <c r="J40" s="627"/>
      <c r="K40" s="626"/>
      <c r="L40" s="627"/>
      <c r="M40" s="626"/>
      <c r="N40" s="627"/>
      <c r="O40" s="626"/>
      <c r="P40" s="627"/>
      <c r="Q40" s="626"/>
      <c r="R40" s="627"/>
      <c r="S40" s="626"/>
      <c r="T40" s="627"/>
      <c r="U40" s="626"/>
      <c r="V40" s="627"/>
      <c r="W40" s="624"/>
      <c r="X40" s="616"/>
      <c r="Y40" s="616"/>
      <c r="Z40" s="616"/>
      <c r="AA40" s="616"/>
      <c r="AB40" s="616"/>
      <c r="AC40" s="616"/>
      <c r="AD40" s="616"/>
      <c r="AE40" s="616"/>
      <c r="AF40" s="616"/>
      <c r="AG40" s="616"/>
      <c r="AH40" s="617"/>
    </row>
    <row r="41">
      <c r="A41" s="609"/>
      <c r="B41" s="620"/>
      <c r="C41" s="626"/>
      <c r="D41" s="627"/>
      <c r="E41" s="626"/>
      <c r="F41" s="627"/>
      <c r="G41" s="626"/>
      <c r="H41" s="627"/>
      <c r="I41" s="626"/>
      <c r="J41" s="627"/>
      <c r="K41" s="626"/>
      <c r="L41" s="627"/>
      <c r="M41" s="626"/>
      <c r="N41" s="627"/>
      <c r="O41" s="626"/>
      <c r="P41" s="627"/>
      <c r="Q41" s="626"/>
      <c r="R41" s="627"/>
      <c r="S41" s="626"/>
      <c r="T41" s="627"/>
      <c r="U41" s="626"/>
      <c r="V41" s="627"/>
      <c r="W41" s="624"/>
      <c r="X41" s="616"/>
      <c r="Y41" s="616"/>
      <c r="Z41" s="616"/>
      <c r="AA41" s="616"/>
      <c r="AB41" s="616"/>
      <c r="AC41" s="616"/>
      <c r="AD41" s="616"/>
      <c r="AE41" s="616"/>
      <c r="AF41" s="616"/>
      <c r="AG41" s="616"/>
      <c r="AH41" s="617"/>
    </row>
    <row r="42">
      <c r="A42" s="609"/>
      <c r="B42" s="620"/>
      <c r="C42" s="626"/>
      <c r="D42" s="627"/>
      <c r="E42" s="626"/>
      <c r="F42" s="627"/>
      <c r="G42" s="626"/>
      <c r="H42" s="627"/>
      <c r="I42" s="626"/>
      <c r="J42" s="627"/>
      <c r="K42" s="626"/>
      <c r="L42" s="627"/>
      <c r="M42" s="626"/>
      <c r="N42" s="627"/>
      <c r="O42" s="626"/>
      <c r="P42" s="627"/>
      <c r="Q42" s="626"/>
      <c r="R42" s="627"/>
      <c r="S42" s="626"/>
      <c r="T42" s="627"/>
      <c r="U42" s="626"/>
      <c r="V42" s="627"/>
      <c r="W42" s="624"/>
      <c r="X42" s="616"/>
      <c r="Y42" s="616"/>
      <c r="Z42" s="616"/>
      <c r="AA42" s="616"/>
      <c r="AB42" s="616"/>
      <c r="AC42" s="616"/>
      <c r="AD42" s="616"/>
      <c r="AE42" s="616"/>
      <c r="AF42" s="616"/>
      <c r="AG42" s="616"/>
      <c r="AH42" s="617"/>
    </row>
    <row r="43">
      <c r="A43" s="609"/>
      <c r="B43" s="620"/>
      <c r="C43" s="626"/>
      <c r="D43" s="627"/>
      <c r="E43" s="626"/>
      <c r="F43" s="627"/>
      <c r="G43" s="626"/>
      <c r="H43" s="627"/>
      <c r="I43" s="626"/>
      <c r="J43" s="627"/>
      <c r="K43" s="626"/>
      <c r="L43" s="627"/>
      <c r="M43" s="626"/>
      <c r="N43" s="627"/>
      <c r="O43" s="626"/>
      <c r="P43" s="627"/>
      <c r="Q43" s="626"/>
      <c r="R43" s="627"/>
      <c r="S43" s="626"/>
      <c r="T43" s="627"/>
      <c r="U43" s="626"/>
      <c r="V43" s="627"/>
      <c r="W43" s="624"/>
      <c r="X43" s="616"/>
      <c r="Y43" s="616"/>
      <c r="Z43" s="616"/>
      <c r="AA43" s="616"/>
      <c r="AB43" s="616"/>
      <c r="AC43" s="616"/>
      <c r="AD43" s="616"/>
      <c r="AE43" s="616"/>
      <c r="AF43" s="616"/>
      <c r="AG43" s="616"/>
      <c r="AH43" s="617"/>
    </row>
    <row r="44">
      <c r="A44" s="609"/>
      <c r="B44" s="620"/>
      <c r="C44" s="626"/>
      <c r="D44" s="627"/>
      <c r="E44" s="626"/>
      <c r="F44" s="627"/>
      <c r="G44" s="626"/>
      <c r="H44" s="627"/>
      <c r="I44" s="626"/>
      <c r="J44" s="627"/>
      <c r="K44" s="626"/>
      <c r="L44" s="627"/>
      <c r="M44" s="626"/>
      <c r="N44" s="627"/>
      <c r="O44" s="626"/>
      <c r="P44" s="627"/>
      <c r="Q44" s="626"/>
      <c r="R44" s="627"/>
      <c r="S44" s="626"/>
      <c r="T44" s="627"/>
      <c r="U44" s="626"/>
      <c r="V44" s="627"/>
      <c r="W44" s="624"/>
      <c r="X44" s="616"/>
      <c r="Y44" s="616"/>
      <c r="Z44" s="616"/>
      <c r="AA44" s="616"/>
      <c r="AB44" s="616"/>
      <c r="AC44" s="616"/>
      <c r="AD44" s="616"/>
      <c r="AE44" s="616"/>
      <c r="AF44" s="616"/>
      <c r="AG44" s="616"/>
      <c r="AH44" s="617"/>
    </row>
    <row r="45">
      <c r="A45" s="609"/>
      <c r="B45" s="620"/>
      <c r="C45" s="626"/>
      <c r="D45" s="627"/>
      <c r="E45" s="626"/>
      <c r="F45" s="627"/>
      <c r="G45" s="626"/>
      <c r="H45" s="627"/>
      <c r="I45" s="626"/>
      <c r="J45" s="627"/>
      <c r="K45" s="626"/>
      <c r="L45" s="627"/>
      <c r="M45" s="626"/>
      <c r="N45" s="627"/>
      <c r="O45" s="626"/>
      <c r="P45" s="627"/>
      <c r="Q45" s="626"/>
      <c r="R45" s="627"/>
      <c r="S45" s="626"/>
      <c r="T45" s="627"/>
      <c r="U45" s="626"/>
      <c r="V45" s="627"/>
      <c r="W45" s="624"/>
      <c r="X45" s="616"/>
      <c r="Y45" s="616"/>
      <c r="Z45" s="616"/>
      <c r="AA45" s="616"/>
      <c r="AB45" s="616"/>
      <c r="AC45" s="616"/>
      <c r="AD45" s="616"/>
      <c r="AE45" s="616"/>
      <c r="AF45" s="616"/>
      <c r="AG45" s="616"/>
      <c r="AH45" s="617"/>
    </row>
    <row r="46">
      <c r="A46" s="609"/>
      <c r="B46" s="620"/>
      <c r="C46" s="626"/>
      <c r="D46" s="627"/>
      <c r="E46" s="626"/>
      <c r="F46" s="627"/>
      <c r="G46" s="626"/>
      <c r="H46" s="627"/>
      <c r="I46" s="626"/>
      <c r="J46" s="627"/>
      <c r="K46" s="626"/>
      <c r="L46" s="627"/>
      <c r="M46" s="626"/>
      <c r="N46" s="627"/>
      <c r="O46" s="626"/>
      <c r="P46" s="627"/>
      <c r="Q46" s="626"/>
      <c r="R46" s="627"/>
      <c r="S46" s="626"/>
      <c r="T46" s="627"/>
      <c r="U46" s="626"/>
      <c r="V46" s="627"/>
      <c r="W46" s="624"/>
      <c r="X46" s="616"/>
      <c r="Y46" s="616"/>
      <c r="Z46" s="616"/>
      <c r="AA46" s="616"/>
      <c r="AB46" s="616"/>
      <c r="AC46" s="616"/>
      <c r="AD46" s="616"/>
      <c r="AE46" s="616"/>
      <c r="AF46" s="616"/>
      <c r="AG46" s="616"/>
      <c r="AH46" s="617"/>
    </row>
    <row r="47">
      <c r="A47" s="609"/>
      <c r="B47" s="620"/>
      <c r="C47" s="626"/>
      <c r="D47" s="627"/>
      <c r="E47" s="626"/>
      <c r="F47" s="627"/>
      <c r="G47" s="626"/>
      <c r="H47" s="627"/>
      <c r="I47" s="626"/>
      <c r="J47" s="627"/>
      <c r="K47" s="626"/>
      <c r="L47" s="627"/>
      <c r="M47" s="626"/>
      <c r="N47" s="627"/>
      <c r="O47" s="626"/>
      <c r="P47" s="627"/>
      <c r="Q47" s="626"/>
      <c r="R47" s="627"/>
      <c r="S47" s="626"/>
      <c r="T47" s="627"/>
      <c r="U47" s="626"/>
      <c r="V47" s="627"/>
      <c r="W47" s="624"/>
      <c r="X47" s="616"/>
      <c r="Y47" s="616"/>
      <c r="Z47" s="616"/>
      <c r="AA47" s="616"/>
      <c r="AB47" s="616"/>
      <c r="AC47" s="616"/>
      <c r="AD47" s="616"/>
      <c r="AE47" s="616"/>
      <c r="AF47" s="616"/>
      <c r="AG47" s="616"/>
      <c r="AH47" s="617"/>
    </row>
    <row r="48">
      <c r="A48" s="609"/>
      <c r="B48" s="620"/>
      <c r="C48" s="626"/>
      <c r="D48" s="627"/>
      <c r="E48" s="626"/>
      <c r="F48" s="627"/>
      <c r="G48" s="626"/>
      <c r="H48" s="627"/>
      <c r="I48" s="626"/>
      <c r="J48" s="627"/>
      <c r="K48" s="626"/>
      <c r="L48" s="627"/>
      <c r="M48" s="626"/>
      <c r="N48" s="627"/>
      <c r="O48" s="626"/>
      <c r="P48" s="627"/>
      <c r="Q48" s="626"/>
      <c r="R48" s="627"/>
      <c r="S48" s="626"/>
      <c r="T48" s="627"/>
      <c r="U48" s="626"/>
      <c r="V48" s="627"/>
      <c r="W48" s="624"/>
      <c r="X48" s="616"/>
      <c r="Y48" s="616"/>
      <c r="Z48" s="616"/>
      <c r="AA48" s="616"/>
      <c r="AB48" s="616"/>
      <c r="AC48" s="616"/>
      <c r="AD48" s="616"/>
      <c r="AE48" s="616"/>
      <c r="AF48" s="616"/>
      <c r="AG48" s="616"/>
      <c r="AH48" s="617"/>
    </row>
    <row r="49">
      <c r="A49" s="609"/>
      <c r="B49" s="620"/>
      <c r="C49" s="626"/>
      <c r="D49" s="627"/>
      <c r="E49" s="626"/>
      <c r="F49" s="627"/>
      <c r="G49" s="626"/>
      <c r="H49" s="627"/>
      <c r="I49" s="626"/>
      <c r="J49" s="627"/>
      <c r="K49" s="626"/>
      <c r="L49" s="627"/>
      <c r="M49" s="626"/>
      <c r="N49" s="627"/>
      <c r="O49" s="626"/>
      <c r="P49" s="627"/>
      <c r="Q49" s="626"/>
      <c r="R49" s="627"/>
      <c r="S49" s="626"/>
      <c r="T49" s="627"/>
      <c r="U49" s="626"/>
      <c r="V49" s="627"/>
      <c r="W49" s="624"/>
      <c r="X49" s="616"/>
      <c r="Y49" s="616"/>
      <c r="Z49" s="616"/>
      <c r="AA49" s="616"/>
      <c r="AB49" s="616"/>
      <c r="AC49" s="616"/>
      <c r="AD49" s="616"/>
      <c r="AE49" s="616"/>
      <c r="AF49" s="616"/>
      <c r="AG49" s="616"/>
      <c r="AH49" s="617"/>
    </row>
    <row r="50">
      <c r="A50" s="609"/>
      <c r="B50" s="620"/>
      <c r="C50" s="626"/>
      <c r="D50" s="627"/>
      <c r="E50" s="626"/>
      <c r="F50" s="627"/>
      <c r="G50" s="626"/>
      <c r="H50" s="627"/>
      <c r="I50" s="626"/>
      <c r="J50" s="627"/>
      <c r="K50" s="626"/>
      <c r="L50" s="627"/>
      <c r="M50" s="626"/>
      <c r="N50" s="627"/>
      <c r="O50" s="626"/>
      <c r="P50" s="627"/>
      <c r="Q50" s="626"/>
      <c r="R50" s="627"/>
      <c r="S50" s="626"/>
      <c r="T50" s="627"/>
      <c r="U50" s="626"/>
      <c r="V50" s="627"/>
      <c r="W50" s="624"/>
      <c r="X50" s="616"/>
      <c r="Y50" s="616"/>
      <c r="Z50" s="616"/>
      <c r="AA50" s="616"/>
      <c r="AB50" s="616"/>
      <c r="AC50" s="616"/>
      <c r="AD50" s="616"/>
      <c r="AE50" s="616"/>
      <c r="AF50" s="616"/>
      <c r="AG50" s="616"/>
      <c r="AH50" s="617"/>
    </row>
    <row r="51">
      <c r="A51" s="609"/>
      <c r="B51" s="620"/>
      <c r="C51" s="626"/>
      <c r="D51" s="627"/>
      <c r="E51" s="626"/>
      <c r="F51" s="627"/>
      <c r="G51" s="626"/>
      <c r="H51" s="627"/>
      <c r="I51" s="626"/>
      <c r="J51" s="627"/>
      <c r="K51" s="626"/>
      <c r="L51" s="627"/>
      <c r="M51" s="626"/>
      <c r="N51" s="627"/>
      <c r="O51" s="626"/>
      <c r="P51" s="627"/>
      <c r="Q51" s="626"/>
      <c r="R51" s="627"/>
      <c r="S51" s="626"/>
      <c r="T51" s="627"/>
      <c r="U51" s="626"/>
      <c r="V51" s="627"/>
      <c r="W51" s="624"/>
      <c r="X51" s="616"/>
      <c r="Y51" s="616"/>
      <c r="Z51" s="616"/>
      <c r="AA51" s="616"/>
      <c r="AB51" s="616"/>
      <c r="AC51" s="616"/>
      <c r="AD51" s="616"/>
      <c r="AE51" s="616"/>
      <c r="AF51" s="616"/>
      <c r="AG51" s="616"/>
      <c r="AH51" s="617"/>
    </row>
    <row r="52">
      <c r="A52" s="609"/>
      <c r="B52" s="620"/>
      <c r="C52" s="626"/>
      <c r="D52" s="627"/>
      <c r="E52" s="626"/>
      <c r="F52" s="627"/>
      <c r="G52" s="626"/>
      <c r="H52" s="627"/>
      <c r="I52" s="626"/>
      <c r="J52" s="627"/>
      <c r="K52" s="626"/>
      <c r="L52" s="627"/>
      <c r="M52" s="626"/>
      <c r="N52" s="627"/>
      <c r="O52" s="626"/>
      <c r="P52" s="627"/>
      <c r="Q52" s="626"/>
      <c r="R52" s="627"/>
      <c r="S52" s="626"/>
      <c r="T52" s="627"/>
      <c r="U52" s="626"/>
      <c r="V52" s="627"/>
      <c r="W52" s="624"/>
      <c r="X52" s="616"/>
      <c r="Y52" s="616"/>
      <c r="Z52" s="616"/>
      <c r="AA52" s="616"/>
      <c r="AB52" s="616"/>
      <c r="AC52" s="616"/>
      <c r="AD52" s="616"/>
      <c r="AE52" s="616"/>
      <c r="AF52" s="616"/>
      <c r="AG52" s="616"/>
      <c r="AH52" s="617"/>
    </row>
    <row r="53">
      <c r="A53" s="609"/>
      <c r="B53" s="620"/>
      <c r="C53" s="626"/>
      <c r="D53" s="627"/>
      <c r="E53" s="626"/>
      <c r="F53" s="627"/>
      <c r="G53" s="626"/>
      <c r="H53" s="627"/>
      <c r="I53" s="626"/>
      <c r="J53" s="627"/>
      <c r="K53" s="626"/>
      <c r="L53" s="627"/>
      <c r="M53" s="626"/>
      <c r="N53" s="627"/>
      <c r="O53" s="626"/>
      <c r="P53" s="627"/>
      <c r="Q53" s="626"/>
      <c r="R53" s="627"/>
      <c r="S53" s="626"/>
      <c r="T53" s="627"/>
      <c r="U53" s="626"/>
      <c r="V53" s="627"/>
      <c r="W53" s="624"/>
      <c r="X53" s="616"/>
      <c r="Y53" s="616"/>
      <c r="Z53" s="616"/>
      <c r="AA53" s="616"/>
      <c r="AB53" s="616"/>
      <c r="AC53" s="616"/>
      <c r="AD53" s="616"/>
      <c r="AE53" s="616"/>
      <c r="AF53" s="616"/>
      <c r="AG53" s="616"/>
      <c r="AH53" s="617"/>
    </row>
    <row r="54">
      <c r="A54" s="609"/>
      <c r="B54" s="620"/>
      <c r="C54" s="626"/>
      <c r="D54" s="627"/>
      <c r="E54" s="626"/>
      <c r="F54" s="627"/>
      <c r="G54" s="626"/>
      <c r="H54" s="627"/>
      <c r="I54" s="626"/>
      <c r="J54" s="627"/>
      <c r="K54" s="626"/>
      <c r="L54" s="627"/>
      <c r="M54" s="626"/>
      <c r="N54" s="627"/>
      <c r="O54" s="626"/>
      <c r="P54" s="627"/>
      <c r="Q54" s="626"/>
      <c r="R54" s="627"/>
      <c r="S54" s="626"/>
      <c r="T54" s="627"/>
      <c r="U54" s="626"/>
      <c r="V54" s="627"/>
      <c r="W54" s="624"/>
      <c r="X54" s="616"/>
      <c r="Y54" s="616"/>
      <c r="Z54" s="616"/>
      <c r="AA54" s="616"/>
      <c r="AB54" s="616"/>
      <c r="AC54" s="616"/>
      <c r="AD54" s="616"/>
      <c r="AE54" s="616"/>
      <c r="AF54" s="616"/>
      <c r="AG54" s="616"/>
      <c r="AH54" s="617"/>
    </row>
    <row r="55">
      <c r="A55" s="609"/>
      <c r="B55" s="620"/>
      <c r="C55" s="626"/>
      <c r="D55" s="627"/>
      <c r="E55" s="626"/>
      <c r="F55" s="627"/>
      <c r="G55" s="626"/>
      <c r="H55" s="627"/>
      <c r="I55" s="626"/>
      <c r="J55" s="627"/>
      <c r="K55" s="626"/>
      <c r="L55" s="627"/>
      <c r="M55" s="626"/>
      <c r="N55" s="627"/>
      <c r="O55" s="626"/>
      <c r="P55" s="627"/>
      <c r="Q55" s="626"/>
      <c r="R55" s="627"/>
      <c r="S55" s="626"/>
      <c r="T55" s="627"/>
      <c r="U55" s="626"/>
      <c r="V55" s="627"/>
      <c r="W55" s="624"/>
      <c r="X55" s="616"/>
      <c r="Y55" s="616"/>
      <c r="Z55" s="616"/>
      <c r="AA55" s="616"/>
      <c r="AB55" s="616"/>
      <c r="AC55" s="616"/>
      <c r="AD55" s="616"/>
      <c r="AE55" s="616"/>
      <c r="AF55" s="616"/>
      <c r="AG55" s="616"/>
      <c r="AH55" s="617"/>
    </row>
    <row r="56">
      <c r="A56" s="628" t="s">
        <v>2958</v>
      </c>
      <c r="B56" s="629" t="s">
        <v>2959</v>
      </c>
      <c r="C56" s="630">
        <v>25.0</v>
      </c>
      <c r="D56" s="631"/>
      <c r="E56" s="630">
        <v>25.0</v>
      </c>
      <c r="F56" s="631"/>
      <c r="G56" s="630">
        <v>25.0</v>
      </c>
      <c r="H56" s="631"/>
      <c r="I56" s="630">
        <v>25.0</v>
      </c>
      <c r="J56" s="631"/>
      <c r="K56" s="630">
        <v>25.0</v>
      </c>
      <c r="L56" s="631"/>
      <c r="M56" s="630">
        <v>25.0</v>
      </c>
      <c r="N56" s="631"/>
      <c r="O56" s="630">
        <v>25.0</v>
      </c>
      <c r="P56" s="631"/>
      <c r="Q56" s="630">
        <v>25.0</v>
      </c>
      <c r="R56" s="631"/>
      <c r="S56" s="630">
        <v>25.0</v>
      </c>
      <c r="T56" s="631"/>
      <c r="U56" s="630">
        <v>25.0</v>
      </c>
      <c r="V56" s="631"/>
      <c r="W56" s="632">
        <v>1.0</v>
      </c>
      <c r="X56" s="633">
        <f>IF(OR($W56=0, C56="", $W56=""), "", C56/$W56)
</f>
        <v>25</v>
      </c>
      <c r="Y56" s="633">
        <f>IF(OR($W56=0, E56="", $W56=""), "", E56/$W56)
</f>
        <v>25</v>
      </c>
      <c r="Z56" s="633">
        <f>IF(OR($W56=0, G56="", $W56=""), "", G56/$W56)
</f>
        <v>25</v>
      </c>
      <c r="AA56" s="633">
        <f>IF(OR($W56=0, I56="", $W56=""), "", I56/$W56)
</f>
        <v>25</v>
      </c>
      <c r="AB56" s="633">
        <f>IF(OR($W56=0, K56="", $W56=""), "", K56/$W56)
</f>
        <v>25</v>
      </c>
      <c r="AC56" s="633">
        <f>IF(OR($W56=0, M56="", $W56=""), "", M56/$W56)
</f>
        <v>25</v>
      </c>
      <c r="AD56" s="633">
        <f>IF(OR($W56=0, O56="", $W56=""), "", O56/$W56)
</f>
        <v>25</v>
      </c>
      <c r="AE56" s="633">
        <f>IF(OR($W56=0, Q56="", $W56=""), "", Q56/$W56)
</f>
        <v>25</v>
      </c>
      <c r="AF56" s="633">
        <f>IF(OR($W56=0, S56="", $W56=""), "", S56/$W56)
</f>
        <v>25</v>
      </c>
      <c r="AG56" s="633">
        <f>IF(OR($W56=0, U56="", $W56=""), "", U56/$W56)
</f>
        <v>25</v>
      </c>
      <c r="AH56" s="633" t="str">
        <f>IF(OR($D56=0, $C56="", $D56=""), "", $C56/$D56)
</f>
        <v/>
      </c>
    </row>
  </sheetData>
  <mergeCells count="11">
    <mergeCell ref="Q1:R1"/>
    <mergeCell ref="S1:T1"/>
    <mergeCell ref="U1:V1"/>
    <mergeCell ref="C1:D1"/>
    <mergeCell ref="E1:F1"/>
    <mergeCell ref="G1:H1"/>
    <mergeCell ref="I1:J1"/>
    <mergeCell ref="K1:L1"/>
    <mergeCell ref="M1:N1"/>
    <mergeCell ref="O1:P1"/>
    <mergeCell ref="C3:V3"/>
  </mergeCells>
  <printOptions gridLines="1" horizontalCentered="1"/>
  <pageMargins bottom="0.761562495068878" footer="0.0" header="0.0" left="0.19685039370078738" right="0.19685039370078738" top="0.19685039370078738"/>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9.5"/>
    <col customWidth="1" min="2" max="2" width="56.5"/>
    <col customWidth="1" min="3" max="30" width="12.63"/>
    <col customWidth="1" min="31" max="31" width="32.5"/>
    <col customWidth="1" min="32" max="32" width="24.63"/>
    <col customWidth="1" min="33" max="33" width="18.75"/>
  </cols>
  <sheetData>
    <row r="1">
      <c r="A1" s="594" t="str">
        <f t="array" ref="A1:B56">test_WS_QUOTE!A1:B56</f>
        <v>PER TESSERATI
(tutte le quote di questo foglio 
sono calcolate senza i €25,00 per Quota Tessera)</v>
      </c>
      <c r="B1" s="634" t="s">
        <v>2939</v>
      </c>
      <c r="C1" s="635" t="s">
        <v>2960</v>
      </c>
      <c r="D1" s="597"/>
      <c r="E1" s="636" t="s">
        <v>2961</v>
      </c>
      <c r="F1" s="597"/>
      <c r="G1" s="637" t="s">
        <v>2962</v>
      </c>
      <c r="H1" s="607"/>
      <c r="I1" s="607"/>
      <c r="J1" s="597"/>
      <c r="K1" s="638" t="s">
        <v>2963</v>
      </c>
      <c r="L1" s="607"/>
      <c r="M1" s="607"/>
      <c r="N1" s="597"/>
      <c r="O1" s="639" t="s">
        <v>2963</v>
      </c>
      <c r="P1" s="607"/>
      <c r="Q1" s="607"/>
      <c r="R1" s="597"/>
      <c r="S1" s="640" t="s">
        <v>2963</v>
      </c>
      <c r="T1" s="607"/>
      <c r="U1" s="607"/>
      <c r="V1" s="597"/>
      <c r="W1" s="641" t="s">
        <v>2963</v>
      </c>
      <c r="X1" s="607"/>
      <c r="Y1" s="607"/>
      <c r="Z1" s="597"/>
      <c r="AA1" s="642" t="s">
        <v>2963</v>
      </c>
      <c r="AB1" s="607"/>
      <c r="AC1" s="607"/>
      <c r="AD1" s="597"/>
      <c r="AE1" s="643" t="s">
        <v>2964</v>
      </c>
      <c r="AF1" s="644" t="s">
        <v>2965</v>
      </c>
      <c r="AG1" s="644" t="s">
        <v>2966</v>
      </c>
    </row>
    <row r="2">
      <c r="A2" s="595" t="s">
        <v>2943</v>
      </c>
      <c r="B2" s="595" t="s">
        <v>2944</v>
      </c>
      <c r="C2" s="645" t="s">
        <v>2967</v>
      </c>
      <c r="D2" s="607"/>
      <c r="E2" s="646" t="s">
        <v>2967</v>
      </c>
      <c r="F2" s="607"/>
      <c r="G2" s="647" t="s">
        <v>2967</v>
      </c>
      <c r="H2" s="607"/>
      <c r="I2" s="648" t="s">
        <v>2967</v>
      </c>
      <c r="J2" s="607"/>
      <c r="K2" s="649" t="s">
        <v>2967</v>
      </c>
      <c r="L2" s="607"/>
      <c r="M2" s="650" t="s">
        <v>2967</v>
      </c>
      <c r="N2" s="607"/>
      <c r="O2" s="651" t="s">
        <v>2967</v>
      </c>
      <c r="P2" s="607"/>
      <c r="Q2" s="652" t="s">
        <v>2967</v>
      </c>
      <c r="R2" s="607"/>
      <c r="S2" s="653" t="s">
        <v>2967</v>
      </c>
      <c r="T2" s="597"/>
      <c r="U2" s="654" t="s">
        <v>2967</v>
      </c>
      <c r="V2" s="597"/>
      <c r="W2" s="655" t="s">
        <v>2967</v>
      </c>
      <c r="X2" s="607"/>
      <c r="Y2" s="656" t="s">
        <v>2967</v>
      </c>
      <c r="Z2" s="607"/>
      <c r="AA2" s="657" t="s">
        <v>2967</v>
      </c>
      <c r="AB2" s="607"/>
      <c r="AC2" s="658" t="s">
        <v>2967</v>
      </c>
      <c r="AD2" s="607"/>
      <c r="AE2" s="659"/>
    </row>
    <row r="3">
      <c r="A3" s="604"/>
      <c r="B3" s="660"/>
      <c r="C3" s="606" t="str">
        <f>B3</f>
        <v/>
      </c>
      <c r="D3" s="607"/>
      <c r="E3" s="607"/>
      <c r="F3" s="607"/>
      <c r="G3" s="607"/>
      <c r="H3" s="607"/>
      <c r="I3" s="607"/>
      <c r="J3" s="607"/>
      <c r="K3" s="607"/>
      <c r="L3" s="607"/>
      <c r="M3" s="607"/>
      <c r="N3" s="607"/>
      <c r="O3" s="607"/>
      <c r="P3" s="607"/>
      <c r="Q3" s="607"/>
      <c r="R3" s="607"/>
      <c r="S3" s="607"/>
      <c r="T3" s="607"/>
      <c r="U3" s="607"/>
      <c r="V3" s="607"/>
      <c r="W3" s="607"/>
      <c r="X3" s="607"/>
      <c r="Y3" s="607"/>
      <c r="Z3" s="607"/>
      <c r="AA3" s="607"/>
      <c r="AB3" s="607"/>
      <c r="AC3" s="607"/>
      <c r="AD3" s="607"/>
      <c r="AE3" s="661" t="str">
        <f>IFERROR(__xludf.DUMMYFUNCTION("TRANSPOSE(FILTER(C2:AC2, ISODD(COLUMN(C2:AC2)-COLUMN(C2)+1)))"),"???")</f>
        <v>???</v>
      </c>
      <c r="AF3" s="662" t="s">
        <v>2968</v>
      </c>
      <c r="AG3" s="663" t="s">
        <v>2969</v>
      </c>
    </row>
    <row r="4">
      <c r="A4" s="609" t="s">
        <v>2949</v>
      </c>
      <c r="B4" s="664">
        <v>45949.0</v>
      </c>
      <c r="C4" s="665">
        <f>IF(D4="NOPROMO", test_WS_QUOTE!$C4, IF(RIGHT(D4,1)="%", test_WS_QUOTE!$C4 * (1 - VALUE(SUBSTITUTE(D4,"%","")) / 100), test_WS_QUOTE!$C4 - VALUE(D4)))</f>
        <v>42</v>
      </c>
      <c r="D4" s="666"/>
      <c r="E4" s="667">
        <f>IF(F4="NOPROMO", test_WS_QUOTE!$C4, IF(RIGHT(F4,1)="%", test_WS_QUOTE!$C4 * (1 - VALUE(SUBSTITUTE(F4,"%","")) / 100), test_WS_QUOTE!$C4 - VALUE(F4)))</f>
        <v>42</v>
      </c>
      <c r="F4" s="668"/>
      <c r="G4" s="669">
        <f>IF(H4="NOPROMO", test_WS_QUOTE!$C4, IF(RIGHT(H4,1)="%", test_WS_QUOTE!$C4 * (1 - VALUE(SUBSTITUTE(H4,"%","")) / 100), test_WS_QUOTE!$C4 - VALUE(H4)))</f>
        <v>42</v>
      </c>
      <c r="H4" s="668"/>
      <c r="I4" s="670">
        <f>IF(J4="NOPROMO", test_WS_QUOTE!$C4, IF(RIGHT(J4,1)="%", test_WS_QUOTE!$C4 * (1 - VALUE(SUBSTITUTE(J4,"%","")) / 100), test_WS_QUOTE!$C4 - VALUE(J4)))</f>
        <v>42</v>
      </c>
      <c r="J4" s="668"/>
      <c r="K4" s="671">
        <f>IF(L4="NOPROMO", test_WS_QUOTE!$C4, IF(RIGHT(L4,1)="%", test_WS_QUOTE!$C4 * (1 - VALUE(SUBSTITUTE(L4,"%","")) / 100), test_WS_QUOTE!$C4 - VALUE(L4)))</f>
        <v>42</v>
      </c>
      <c r="L4" s="668"/>
      <c r="M4" s="672">
        <f>IF(N4="NOPROMO", test_WS_QUOTE!$C4, IF(RIGHT(N4,1)="%", test_WS_QUOTE!$C4 * (1 - VALUE(SUBSTITUTE(N4,"%","")) / 100), test_WS_QUOTE!$C4 - VALUE(N4)))</f>
        <v>42</v>
      </c>
      <c r="N4" s="668"/>
      <c r="O4" s="673">
        <f>IF(P4="NOPROMO", test_WS_QUOTE!$C4, IF(RIGHT(P4,1)="%", test_WS_QUOTE!$C4 * (1 - VALUE(SUBSTITUTE(P4,"%","")) / 100), test_WS_QUOTE!$C4 - VALUE(P4)))</f>
        <v>42</v>
      </c>
      <c r="P4" s="668"/>
      <c r="Q4" s="674">
        <f>IF(R4="NOPROMO", test_WS_QUOTE!$C4, IF(RIGHT(R4,1)="%", test_WS_QUOTE!$C4 * (1 - VALUE(SUBSTITUTE(R4,"%","")) / 100), test_WS_QUOTE!$C4 - VALUE(R4)))</f>
        <v>42</v>
      </c>
      <c r="R4" s="668"/>
      <c r="S4" s="675">
        <f>IF(T4="NOPROMO", test_WS_QUOTE!$C4, IF(RIGHT(T4,1)="%", test_WS_QUOTE!$C4 * (1 - VALUE(SUBSTITUTE(T4,"%","")) / 100), test_WS_QUOTE!$C4 - VALUE(T4)))</f>
        <v>42</v>
      </c>
      <c r="T4" s="668"/>
      <c r="U4" s="676">
        <f>IF(V4="NOPROMO", test_WS_QUOTE!$C4, IF(RIGHT(V4,1)="%", test_WS_QUOTE!$C4 * (1 - VALUE(SUBSTITUTE(V4,"%","")) / 100), test_WS_QUOTE!$C4 - VALUE(V4)))</f>
        <v>42</v>
      </c>
      <c r="V4" s="668"/>
      <c r="W4" s="677">
        <f>IF(X4="NOPROMO", test_WS_QUOTE!$C4, IF(RIGHT(X4,1)="%", test_WS_QUOTE!$C4 * (1 - VALUE(SUBSTITUTE(X4,"%","")) / 100), test_WS_QUOTE!$C4 - VALUE(X4)))</f>
        <v>42</v>
      </c>
      <c r="X4" s="668"/>
      <c r="Y4" s="678">
        <f>IF(Z4="NOPROMO", test_WS_QUOTE!$C4, IF(RIGHT(Z4,1)="%", test_WS_QUOTE!$C4 * (1 - VALUE(SUBSTITUTE(Z4,"%","")) / 100), test_WS_QUOTE!$C4 - VALUE(Z4)))</f>
        <v>42</v>
      </c>
      <c r="Z4" s="668"/>
      <c r="AA4" s="679">
        <f>IF(AB4="NOPROMO", test_WS_QUOTE!$C4, IF(RIGHT(AB4,1)="%", test_WS_QUOTE!$C4 * (1 - VALUE(SUBSTITUTE(AB4,"%","")) / 100), test_WS_QUOTE!$C4 - VALUE(AB4)))</f>
        <v>42</v>
      </c>
      <c r="AB4" s="668"/>
      <c r="AC4" s="680">
        <f>IF(AD4="NOPROMO", test_WS_QUOTE!$C4, IF(RIGHT(AD4,1)="%", test_WS_QUOTE!$C4 * (1 - VALUE(SUBSTITUTE(AD4,"%","")) / 100), test_WS_QUOTE!$C4 - VALUE(AD4)))</f>
        <v>42</v>
      </c>
      <c r="AD4" s="681"/>
      <c r="AE4" s="661" t="str">
        <f>IFERROR(__xludf.DUMMYFUNCTION("""COMPUTED_VALUE"""),"???")</f>
        <v>???</v>
      </c>
      <c r="AF4" s="682" t="s">
        <v>79</v>
      </c>
      <c r="AG4" s="663" t="s">
        <v>2970</v>
      </c>
    </row>
    <row r="5">
      <c r="A5" s="609" t="s">
        <v>2950</v>
      </c>
      <c r="B5" s="664">
        <v>45956.0</v>
      </c>
      <c r="C5" s="665">
        <f>IF(D5="NOPROMO", test_WS_QUOTE!$C5, IF(RIGHT(D5,1)="%", test_WS_QUOTE!$C5 * (1 - VALUE(SUBSTITUTE(D5,"%","")) / 100), test_WS_QUOTE!$C5 - VALUE(D5)))</f>
        <v>42</v>
      </c>
      <c r="D5" s="668"/>
      <c r="E5" s="667">
        <f>IF(F5="NOPROMO", test_WS_QUOTE!$C5, IF(RIGHT(F5,1)="%", test_WS_QUOTE!$C5 * (1 - VALUE(SUBSTITUTE(F5,"%","")) / 100), test_WS_QUOTE!$C5 - VALUE(F5)))</f>
        <v>42</v>
      </c>
      <c r="F5" s="668"/>
      <c r="G5" s="669">
        <f>IF(H5="NOPROMO", test_WS_QUOTE!$C5, IF(RIGHT(H5,1)="%", test_WS_QUOTE!$C5 * (1 - VALUE(SUBSTITUTE(H5,"%","")) / 100), test_WS_QUOTE!$C5 - VALUE(H5)))</f>
        <v>42</v>
      </c>
      <c r="H5" s="668"/>
      <c r="I5" s="670">
        <f>IF(J5="NOPROMO", test_WS_QUOTE!$C5, IF(RIGHT(J5,1)="%", test_WS_QUOTE!$C5 * (1 - VALUE(SUBSTITUTE(J5,"%","")) / 100), test_WS_QUOTE!$C5 - VALUE(J5)))</f>
        <v>42</v>
      </c>
      <c r="J5" s="668"/>
      <c r="K5" s="671">
        <f>IF(L5="NOPROMO", test_WS_QUOTE!$C5, IF(RIGHT(L5,1)="%", test_WS_QUOTE!$C5 * (1 - VALUE(SUBSTITUTE(L5,"%","")) / 100), test_WS_QUOTE!$C5 - VALUE(L5)))</f>
        <v>42</v>
      </c>
      <c r="L5" s="668"/>
      <c r="M5" s="672">
        <f>IF(N5="NOPROMO", test_WS_QUOTE!$C5, IF(RIGHT(N5,1)="%", test_WS_QUOTE!$C5 * (1 - VALUE(SUBSTITUTE(N5,"%","")) / 100), test_WS_QUOTE!$C5 - VALUE(N5)))</f>
        <v>42</v>
      </c>
      <c r="N5" s="668"/>
      <c r="O5" s="673">
        <f>IF(P5="NOPROMO", test_WS_QUOTE!$C5, IF(RIGHT(P5,1)="%", test_WS_QUOTE!$C5 * (1 - VALUE(SUBSTITUTE(P5,"%","")) / 100), test_WS_QUOTE!$C5 - VALUE(P5)))</f>
        <v>42</v>
      </c>
      <c r="P5" s="668"/>
      <c r="Q5" s="674">
        <f>IF(R5="NOPROMO", test_WS_QUOTE!$C5, IF(RIGHT(R5,1)="%", test_WS_QUOTE!$C5 * (1 - VALUE(SUBSTITUTE(R5,"%","")) / 100), test_WS_QUOTE!$C5 - VALUE(R5)))</f>
        <v>42</v>
      </c>
      <c r="R5" s="668"/>
      <c r="S5" s="675">
        <f>IF(T5="NOPROMO", test_WS_QUOTE!$C5, IF(RIGHT(T5,1)="%", test_WS_QUOTE!$C5 * (1 - VALUE(SUBSTITUTE(T5,"%","")) / 100), test_WS_QUOTE!$C5 - VALUE(T5)))</f>
        <v>42</v>
      </c>
      <c r="T5" s="668"/>
      <c r="U5" s="676">
        <f>IF(V5="NOPROMO", test_WS_QUOTE!$C5, IF(RIGHT(V5,1)="%", test_WS_QUOTE!$C5 * (1 - VALUE(SUBSTITUTE(V5,"%","")) / 100), test_WS_QUOTE!$C5 - VALUE(V5)))</f>
        <v>42</v>
      </c>
      <c r="V5" s="668"/>
      <c r="W5" s="677">
        <f>IF(X5="NOPROMO", test_WS_QUOTE!$C5, IF(RIGHT(X5,1)="%", test_WS_QUOTE!$C5 * (1 - VALUE(SUBSTITUTE(X5,"%","")) / 100), test_WS_QUOTE!$C5 - VALUE(X5)))</f>
        <v>42</v>
      </c>
      <c r="X5" s="668"/>
      <c r="Y5" s="678">
        <f>IF(Z5="NOPROMO", test_WS_QUOTE!$C5, IF(RIGHT(Z5,1)="%", test_WS_QUOTE!$C5 * (1 - VALUE(SUBSTITUTE(Z5,"%","")) / 100), test_WS_QUOTE!$C5 - VALUE(Z5)))</f>
        <v>42</v>
      </c>
      <c r="Z5" s="668"/>
      <c r="AA5" s="679">
        <f>IF(AB5="NOPROMO", test_WS_QUOTE!$C5, IF(RIGHT(AB5,1)="%", test_WS_QUOTE!$C5 * (1 - VALUE(SUBSTITUTE(AB5,"%","")) / 100), test_WS_QUOTE!$C5 - VALUE(AB5)))</f>
        <v>42</v>
      </c>
      <c r="AB5" s="668"/>
      <c r="AC5" s="680">
        <f>IF(AD5="NOPROMO", test_WS_QUOTE!$C5, IF(RIGHT(AD5,1)="%", test_WS_QUOTE!$C5 * (1 - VALUE(SUBSTITUTE(AD5,"%","")) / 100), test_WS_QUOTE!$C5 - VALUE(AD5)))</f>
        <v>42</v>
      </c>
      <c r="AD5" s="681"/>
      <c r="AE5" s="661" t="str">
        <f>IFERROR(__xludf.DUMMYFUNCTION("""COMPUTED_VALUE"""),"???")</f>
        <v>???</v>
      </c>
      <c r="AF5" s="683" t="s">
        <v>2971</v>
      </c>
      <c r="AG5" s="663" t="s">
        <v>2972</v>
      </c>
    </row>
    <row r="6">
      <c r="A6" s="609" t="s">
        <v>2951</v>
      </c>
      <c r="B6" s="684">
        <v>45970.0</v>
      </c>
      <c r="C6" s="665">
        <f>IF(D6="NOPROMO", test_WS_QUOTE!$C6, IF(RIGHT(D6,1)="%", test_WS_QUOTE!$C6 * (1 - VALUE(SUBSTITUTE(D6,"%","")) / 100), test_WS_QUOTE!$C6 - VALUE(D6)))</f>
        <v>42</v>
      </c>
      <c r="D6" s="668"/>
      <c r="E6" s="667">
        <f>IF(F6="NOPROMO", test_WS_QUOTE!$C6, IF(RIGHT(F6,1)="%", test_WS_QUOTE!$C6 * (1 - VALUE(SUBSTITUTE(F6,"%","")) / 100), test_WS_QUOTE!$C6 - VALUE(F6)))</f>
        <v>42</v>
      </c>
      <c r="F6" s="668"/>
      <c r="G6" s="669">
        <f>IF(H6="NOPROMO", test_WS_QUOTE!$C6, IF(RIGHT(H6,1)="%", test_WS_QUOTE!$C6 * (1 - VALUE(SUBSTITUTE(H6,"%","")) / 100), test_WS_QUOTE!$C6 - VALUE(H6)))</f>
        <v>42</v>
      </c>
      <c r="H6" s="668"/>
      <c r="I6" s="670">
        <f>IF(J6="NOPROMO", test_WS_QUOTE!$C6, IF(RIGHT(J6,1)="%", test_WS_QUOTE!$C6 * (1 - VALUE(SUBSTITUTE(J6,"%","")) / 100), test_WS_QUOTE!$C6 - VALUE(J6)))</f>
        <v>42</v>
      </c>
      <c r="J6" s="668"/>
      <c r="K6" s="671">
        <f>IF(L6="NOPROMO", test_WS_QUOTE!$C6, IF(RIGHT(L6,1)="%", test_WS_QUOTE!$C6 * (1 - VALUE(SUBSTITUTE(L6,"%","")) / 100), test_WS_QUOTE!$C6 - VALUE(L6)))</f>
        <v>42</v>
      </c>
      <c r="L6" s="668"/>
      <c r="M6" s="672">
        <f>IF(N6="NOPROMO", test_WS_QUOTE!$C6, IF(RIGHT(N6,1)="%", test_WS_QUOTE!$C6 * (1 - VALUE(SUBSTITUTE(N6,"%","")) / 100), test_WS_QUOTE!$C6 - VALUE(N6)))</f>
        <v>42</v>
      </c>
      <c r="N6" s="668"/>
      <c r="O6" s="673">
        <f>IF(P6="NOPROMO", test_WS_QUOTE!$C6, IF(RIGHT(P6,1)="%", test_WS_QUOTE!$C6 * (1 - VALUE(SUBSTITUTE(P6,"%","")) / 100), test_WS_QUOTE!$C6 - VALUE(P6)))</f>
        <v>42</v>
      </c>
      <c r="P6" s="668"/>
      <c r="Q6" s="674">
        <f>IF(R6="NOPROMO", test_WS_QUOTE!$C6, IF(RIGHT(R6,1)="%", test_WS_QUOTE!$C6 * (1 - VALUE(SUBSTITUTE(R6,"%","")) / 100), test_WS_QUOTE!$C6 - VALUE(R6)))</f>
        <v>42</v>
      </c>
      <c r="R6" s="668"/>
      <c r="S6" s="675">
        <f>IF(T6="NOPROMO", test_WS_QUOTE!$C6, IF(RIGHT(T6,1)="%", test_WS_QUOTE!$C6 * (1 - VALUE(SUBSTITUTE(T6,"%","")) / 100), test_WS_QUOTE!$C6 - VALUE(T6)))</f>
        <v>42</v>
      </c>
      <c r="T6" s="668"/>
      <c r="U6" s="676">
        <f>IF(V6="NOPROMO", test_WS_QUOTE!$C6, IF(RIGHT(V6,1)="%", test_WS_QUOTE!$C6 * (1 - VALUE(SUBSTITUTE(V6,"%","")) / 100), test_WS_QUOTE!$C6 - VALUE(V6)))</f>
        <v>42</v>
      </c>
      <c r="V6" s="668"/>
      <c r="W6" s="677">
        <f>IF(X6="NOPROMO", test_WS_QUOTE!$C6, IF(RIGHT(X6,1)="%", test_WS_QUOTE!$C6 * (1 - VALUE(SUBSTITUTE(X6,"%","")) / 100), test_WS_QUOTE!$C6 - VALUE(X6)))</f>
        <v>42</v>
      </c>
      <c r="X6" s="668"/>
      <c r="Y6" s="678">
        <f>IF(Z6="NOPROMO", test_WS_QUOTE!$C6, IF(RIGHT(Z6,1)="%", test_WS_QUOTE!$C6 * (1 - VALUE(SUBSTITUTE(Z6,"%","")) / 100), test_WS_QUOTE!$C6 - VALUE(Z6)))</f>
        <v>42</v>
      </c>
      <c r="Z6" s="668"/>
      <c r="AA6" s="679">
        <f>IF(AB6="NOPROMO", test_WS_QUOTE!$C6, IF(RIGHT(AB6,1)="%", test_WS_QUOTE!$C6 * (1 - VALUE(SUBSTITUTE(AB6,"%","")) / 100), test_WS_QUOTE!$C6 - VALUE(AB6)))</f>
        <v>42</v>
      </c>
      <c r="AB6" s="668"/>
      <c r="AC6" s="680">
        <f>IF(AD6="NOPROMO", test_WS_QUOTE!$C6, IF(RIGHT(AD6,1)="%", test_WS_QUOTE!$C6 * (1 - VALUE(SUBSTITUTE(AD6,"%","")) / 100), test_WS_QUOTE!$C6 - VALUE(AD6)))</f>
        <v>42</v>
      </c>
      <c r="AD6" s="681"/>
      <c r="AE6" s="661" t="str">
        <f>IFERROR(__xludf.DUMMYFUNCTION("""COMPUTED_VALUE"""),"???")</f>
        <v>???</v>
      </c>
      <c r="AF6" s="682" t="s">
        <v>245</v>
      </c>
      <c r="AG6" s="663" t="s">
        <v>2970</v>
      </c>
    </row>
    <row r="7">
      <c r="A7" s="609" t="s">
        <v>2952</v>
      </c>
      <c r="B7" s="684">
        <v>45970.0</v>
      </c>
      <c r="C7" s="665">
        <f>IF(D7="NOPROMO", test_WS_QUOTE!$C7, IF(RIGHT(D7,1)="%", test_WS_QUOTE!$C7 * (1 - VALUE(SUBSTITUTE(D7,"%","")) / 100), test_WS_QUOTE!$C7 - VALUE(D7)))</f>
        <v>37</v>
      </c>
      <c r="D7" s="668"/>
      <c r="E7" s="667">
        <f>IF(F7="NOPROMO", test_WS_QUOTE!$C7, IF(RIGHT(F7,1)="%", test_WS_QUOTE!$C7 * (1 - VALUE(SUBSTITUTE(F7,"%","")) / 100), test_WS_QUOTE!$C7 - VALUE(F7)))</f>
        <v>37</v>
      </c>
      <c r="F7" s="668"/>
      <c r="G7" s="669">
        <f>IF(H7="NOPROMO", test_WS_QUOTE!$C7, IF(RIGHT(H7,1)="%", test_WS_QUOTE!$C7 * (1 - VALUE(SUBSTITUTE(H7,"%","")) / 100), test_WS_QUOTE!$C7 - VALUE(H7)))</f>
        <v>37</v>
      </c>
      <c r="H7" s="668"/>
      <c r="I7" s="670">
        <f>IF(J7="NOPROMO", test_WS_QUOTE!$C7, IF(RIGHT(J7,1)="%", test_WS_QUOTE!$C7 * (1 - VALUE(SUBSTITUTE(J7,"%","")) / 100), test_WS_QUOTE!$C7 - VALUE(J7)))</f>
        <v>37</v>
      </c>
      <c r="J7" s="668"/>
      <c r="K7" s="671">
        <f>IF(L7="NOPROMO", test_WS_QUOTE!$C7, IF(RIGHT(L7,1)="%", test_WS_QUOTE!$C7 * (1 - VALUE(SUBSTITUTE(L7,"%","")) / 100), test_WS_QUOTE!$C7 - VALUE(L7)))</f>
        <v>37</v>
      </c>
      <c r="L7" s="668"/>
      <c r="M7" s="672">
        <f>IF(N7="NOPROMO", test_WS_QUOTE!$C7, IF(RIGHT(N7,1)="%", test_WS_QUOTE!$C7 * (1 - VALUE(SUBSTITUTE(N7,"%","")) / 100), test_WS_QUOTE!$C7 - VALUE(N7)))</f>
        <v>37</v>
      </c>
      <c r="N7" s="668"/>
      <c r="O7" s="673">
        <f>IF(P7="NOPROMO", test_WS_QUOTE!$C7, IF(RIGHT(P7,1)="%", test_WS_QUOTE!$C7 * (1 - VALUE(SUBSTITUTE(P7,"%","")) / 100), test_WS_QUOTE!$C7 - VALUE(P7)))</f>
        <v>37</v>
      </c>
      <c r="P7" s="668"/>
      <c r="Q7" s="674">
        <f>IF(R7="NOPROMO", test_WS_QUOTE!$C7, IF(RIGHT(R7,1)="%", test_WS_QUOTE!$C7 * (1 - VALUE(SUBSTITUTE(R7,"%","")) / 100), test_WS_QUOTE!$C7 - VALUE(R7)))</f>
        <v>37</v>
      </c>
      <c r="R7" s="668"/>
      <c r="S7" s="675">
        <f>IF(T7="NOPROMO", test_WS_QUOTE!$C7, IF(RIGHT(T7,1)="%", test_WS_QUOTE!$C7 * (1 - VALUE(SUBSTITUTE(T7,"%","")) / 100), test_WS_QUOTE!$C7 - VALUE(T7)))</f>
        <v>37</v>
      </c>
      <c r="T7" s="668"/>
      <c r="U7" s="676">
        <f>IF(V7="NOPROMO", test_WS_QUOTE!$C7, IF(RIGHT(V7,1)="%", test_WS_QUOTE!$C7 * (1 - VALUE(SUBSTITUTE(V7,"%","")) / 100), test_WS_QUOTE!$C7 - VALUE(V7)))</f>
        <v>37</v>
      </c>
      <c r="V7" s="668"/>
      <c r="W7" s="677">
        <f>IF(X7="NOPROMO", test_WS_QUOTE!$C7, IF(RIGHT(X7,1)="%", test_WS_QUOTE!$C7 * (1 - VALUE(SUBSTITUTE(X7,"%","")) / 100), test_WS_QUOTE!$C7 - VALUE(X7)))</f>
        <v>37</v>
      </c>
      <c r="X7" s="668"/>
      <c r="Y7" s="678">
        <f>IF(Z7="NOPROMO", test_WS_QUOTE!$C7, IF(RIGHT(Z7,1)="%", test_WS_QUOTE!$C7 * (1 - VALUE(SUBSTITUTE(Z7,"%","")) / 100), test_WS_QUOTE!$C7 - VALUE(Z7)))</f>
        <v>37</v>
      </c>
      <c r="Z7" s="668"/>
      <c r="AA7" s="679">
        <f>IF(AB7="NOPROMO", test_WS_QUOTE!$C7, IF(RIGHT(AB7,1)="%", test_WS_QUOTE!$C7 * (1 - VALUE(SUBSTITUTE(AB7,"%","")) / 100), test_WS_QUOTE!$C7 - VALUE(AB7)))</f>
        <v>37</v>
      </c>
      <c r="AB7" s="668"/>
      <c r="AC7" s="680">
        <f>IF(AD7="NOPROMO", test_WS_QUOTE!$C7, IF(RIGHT(AD7,1)="%", test_WS_QUOTE!$C7 * (1 - VALUE(SUBSTITUTE(AD7,"%","")) / 100), test_WS_QUOTE!$C7 - VALUE(AD7)))</f>
        <v>37</v>
      </c>
      <c r="AD7" s="681"/>
      <c r="AE7" s="661" t="str">
        <f>IFERROR(__xludf.DUMMYFUNCTION("""COMPUTED_VALUE"""),"???")</f>
        <v>???</v>
      </c>
      <c r="AF7" s="682" t="s">
        <v>2973</v>
      </c>
      <c r="AG7" s="663" t="s">
        <v>2972</v>
      </c>
    </row>
    <row r="8">
      <c r="A8" s="609" t="s">
        <v>2953</v>
      </c>
      <c r="B8" s="664">
        <v>45977.0</v>
      </c>
      <c r="C8" s="665">
        <f>IF(D8="NOPROMO", test_WS_QUOTE!$C8, IF(RIGHT(D8,1)="%", test_WS_QUOTE!$C8 * (1 - VALUE(SUBSTITUTE(D8,"%","")) / 100), test_WS_QUOTE!$C8 - VALUE(D8)))</f>
        <v>37</v>
      </c>
      <c r="D8" s="668"/>
      <c r="E8" s="667">
        <f>IF(F8="NOPROMO", test_WS_QUOTE!$C8, IF(RIGHT(F8,1)="%", test_WS_QUOTE!$C8 * (1 - VALUE(SUBSTITUTE(F8,"%","")) / 100), test_WS_QUOTE!$C8 - VALUE(F8)))</f>
        <v>37</v>
      </c>
      <c r="F8" s="668"/>
      <c r="G8" s="669">
        <f>IF(H8="NOPROMO", test_WS_QUOTE!$C8, IF(RIGHT(H8,1)="%", test_WS_QUOTE!$C8 * (1 - VALUE(SUBSTITUTE(H8,"%","")) / 100), test_WS_QUOTE!$C8 - VALUE(H8)))</f>
        <v>37</v>
      </c>
      <c r="H8" s="668"/>
      <c r="I8" s="670">
        <f>IF(J8="NOPROMO", test_WS_QUOTE!$C8, IF(RIGHT(J8,1)="%", test_WS_QUOTE!$C8 * (1 - VALUE(SUBSTITUTE(J8,"%","")) / 100), test_WS_QUOTE!$C8 - VALUE(J8)))</f>
        <v>37</v>
      </c>
      <c r="J8" s="668"/>
      <c r="K8" s="671">
        <f>IF(L8="NOPROMO", test_WS_QUOTE!$C8, IF(RIGHT(L8,1)="%", test_WS_QUOTE!$C8 * (1 - VALUE(SUBSTITUTE(L8,"%","")) / 100), test_WS_QUOTE!$C8 - VALUE(L8)))</f>
        <v>37</v>
      </c>
      <c r="L8" s="668"/>
      <c r="M8" s="672">
        <f>IF(N8="NOPROMO", test_WS_QUOTE!$C8, IF(RIGHT(N8,1)="%", test_WS_QUOTE!$C8 * (1 - VALUE(SUBSTITUTE(N8,"%","")) / 100), test_WS_QUOTE!$C8 - VALUE(N8)))</f>
        <v>37</v>
      </c>
      <c r="N8" s="668"/>
      <c r="O8" s="673">
        <f>IF(P8="NOPROMO", test_WS_QUOTE!$C8, IF(RIGHT(P8,1)="%", test_WS_QUOTE!$C8 * (1 - VALUE(SUBSTITUTE(P8,"%","")) / 100), test_WS_QUOTE!$C8 - VALUE(P8)))</f>
        <v>37</v>
      </c>
      <c r="P8" s="668"/>
      <c r="Q8" s="674">
        <f>IF(R8="NOPROMO", test_WS_QUOTE!$C8, IF(RIGHT(R8,1)="%", test_WS_QUOTE!$C8 * (1 - VALUE(SUBSTITUTE(R8,"%","")) / 100), test_WS_QUOTE!$C8 - VALUE(R8)))</f>
        <v>37</v>
      </c>
      <c r="R8" s="668"/>
      <c r="S8" s="675">
        <f>IF(T8="NOPROMO", test_WS_QUOTE!$C8, IF(RIGHT(T8,1)="%", test_WS_QUOTE!$C8 * (1 - VALUE(SUBSTITUTE(T8,"%","")) / 100), test_WS_QUOTE!$C8 - VALUE(T8)))</f>
        <v>37</v>
      </c>
      <c r="T8" s="668"/>
      <c r="U8" s="676">
        <f>IF(V8="NOPROMO", test_WS_QUOTE!$C8, IF(RIGHT(V8,1)="%", test_WS_QUOTE!$C8 * (1 - VALUE(SUBSTITUTE(V8,"%","")) / 100), test_WS_QUOTE!$C8 - VALUE(V8)))</f>
        <v>37</v>
      </c>
      <c r="V8" s="668"/>
      <c r="W8" s="677">
        <f>IF(X8="NOPROMO", test_WS_QUOTE!$C8, IF(RIGHT(X8,1)="%", test_WS_QUOTE!$C8 * (1 - VALUE(SUBSTITUTE(X8,"%","")) / 100), test_WS_QUOTE!$C8 - VALUE(X8)))</f>
        <v>37</v>
      </c>
      <c r="X8" s="668"/>
      <c r="Y8" s="678">
        <f>IF(Z8="NOPROMO", test_WS_QUOTE!$C8, IF(RIGHT(Z8,1)="%", test_WS_QUOTE!$C8 * (1 - VALUE(SUBSTITUTE(Z8,"%","")) / 100), test_WS_QUOTE!$C8 - VALUE(Z8)))</f>
        <v>37</v>
      </c>
      <c r="Z8" s="668"/>
      <c r="AA8" s="679">
        <f>IF(AB8="NOPROMO", test_WS_QUOTE!$C8, IF(RIGHT(AB8,1)="%", test_WS_QUOTE!$C8 * (1 - VALUE(SUBSTITUTE(AB8,"%","")) / 100), test_WS_QUOTE!$C8 - VALUE(AB8)))</f>
        <v>37</v>
      </c>
      <c r="AB8" s="668"/>
      <c r="AC8" s="680">
        <f>IF(AD8="NOPROMO", test_WS_QUOTE!$C8, IF(RIGHT(AD8,1)="%", test_WS_QUOTE!$C8 * (1 - VALUE(SUBSTITUTE(AD8,"%","")) / 100), test_WS_QUOTE!$C8 - VALUE(AD8)))</f>
        <v>37</v>
      </c>
      <c r="AD8" s="681"/>
      <c r="AE8" s="661" t="str">
        <f>IFERROR(__xludf.DUMMYFUNCTION("""COMPUTED_VALUE"""),"???")</f>
        <v>???</v>
      </c>
      <c r="AF8" s="682" t="s">
        <v>99</v>
      </c>
      <c r="AG8" s="663" t="s">
        <v>2970</v>
      </c>
    </row>
    <row r="9">
      <c r="A9" s="609"/>
      <c r="B9" s="609"/>
      <c r="C9" s="665">
        <f>IF(D9="NOPROMO", test_WS_QUOTE!$C9, IF(RIGHT(D9,1)="%", test_WS_QUOTE!$C9 * (1 - VALUE(SUBSTITUTE(D9,"%","")) / 100), test_WS_QUOTE!$C9 - VALUE(D9)))</f>
        <v>0</v>
      </c>
      <c r="D9" s="668"/>
      <c r="E9" s="667">
        <f>IF(F9="NOPROMO", test_WS_QUOTE!$C9, IF(RIGHT(F9,1)="%", test_WS_QUOTE!$C9 * (1 - VALUE(SUBSTITUTE(F9,"%","")) / 100), test_WS_QUOTE!$C9 - VALUE(F9)))</f>
        <v>0</v>
      </c>
      <c r="F9" s="668"/>
      <c r="G9" s="669">
        <f>IF(H9="NOPROMO", test_WS_QUOTE!$C9, IF(RIGHT(H9,1)="%", test_WS_QUOTE!$C9 * (1 - VALUE(SUBSTITUTE(H9,"%","")) / 100), test_WS_QUOTE!$C9 - VALUE(H9)))</f>
        <v>0</v>
      </c>
      <c r="H9" s="668"/>
      <c r="I9" s="670">
        <f>IF(J9="NOPROMO", test_WS_QUOTE!$C9, IF(RIGHT(J9,1)="%", test_WS_QUOTE!$C9 * (1 - VALUE(SUBSTITUTE(J9,"%","")) / 100), test_WS_QUOTE!$C9 - VALUE(J9)))</f>
        <v>0</v>
      </c>
      <c r="J9" s="668"/>
      <c r="K9" s="671">
        <f>IF(L9="NOPROMO", test_WS_QUOTE!$C9, IF(RIGHT(L9,1)="%", test_WS_QUOTE!$C9 * (1 - VALUE(SUBSTITUTE(L9,"%","")) / 100), test_WS_QUOTE!$C9 - VALUE(L9)))</f>
        <v>0</v>
      </c>
      <c r="L9" s="668"/>
      <c r="M9" s="672">
        <f>IF(N9="NOPROMO", test_WS_QUOTE!$C9, IF(RIGHT(N9,1)="%", test_WS_QUOTE!$C9 * (1 - VALUE(SUBSTITUTE(N9,"%","")) / 100), test_WS_QUOTE!$C9 - VALUE(N9)))</f>
        <v>0</v>
      </c>
      <c r="N9" s="668"/>
      <c r="O9" s="673">
        <f>IF(P9="NOPROMO", test_WS_QUOTE!$C9, IF(RIGHT(P9,1)="%", test_WS_QUOTE!$C9 * (1 - VALUE(SUBSTITUTE(P9,"%","")) / 100), test_WS_QUOTE!$C9 - VALUE(P9)))</f>
        <v>0</v>
      </c>
      <c r="P9" s="668"/>
      <c r="Q9" s="674">
        <f>IF(R9="NOPROMO", test_WS_QUOTE!$C9, IF(RIGHT(R9,1)="%", test_WS_QUOTE!$C9 * (1 - VALUE(SUBSTITUTE(R9,"%","")) / 100), test_WS_QUOTE!$C9 - VALUE(R9)))</f>
        <v>0</v>
      </c>
      <c r="R9" s="668"/>
      <c r="S9" s="675">
        <f>IF(T9="NOPROMO", test_WS_QUOTE!$C9, IF(RIGHT(T9,1)="%", test_WS_QUOTE!$C9 * (1 - VALUE(SUBSTITUTE(T9,"%","")) / 100), test_WS_QUOTE!$C9 - VALUE(T9)))</f>
        <v>0</v>
      </c>
      <c r="T9" s="668"/>
      <c r="U9" s="676">
        <f>IF(V9="NOPROMO", test_WS_QUOTE!$C9, IF(RIGHT(V9,1)="%", test_WS_QUOTE!$C9 * (1 - VALUE(SUBSTITUTE(V9,"%","")) / 100), test_WS_QUOTE!$C9 - VALUE(V9)))</f>
        <v>0</v>
      </c>
      <c r="V9" s="668"/>
      <c r="W9" s="677">
        <f>IF(X9="NOPROMO", test_WS_QUOTE!$C9, IF(RIGHT(X9,1)="%", test_WS_QUOTE!$C9 * (1 - VALUE(SUBSTITUTE(X9,"%","")) / 100), test_WS_QUOTE!$C9 - VALUE(X9)))</f>
        <v>0</v>
      </c>
      <c r="X9" s="668"/>
      <c r="Y9" s="678">
        <f>IF(Z9="NOPROMO", test_WS_QUOTE!$C9, IF(RIGHT(Z9,1)="%", test_WS_QUOTE!$C9 * (1 - VALUE(SUBSTITUTE(Z9,"%","")) / 100), test_WS_QUOTE!$C9 - VALUE(Z9)))</f>
        <v>0</v>
      </c>
      <c r="Z9" s="668"/>
      <c r="AA9" s="679">
        <f>IF(AB9="NOPROMO", test_WS_QUOTE!$C9, IF(RIGHT(AB9,1)="%", test_WS_QUOTE!$C9 * (1 - VALUE(SUBSTITUTE(AB9,"%","")) / 100), test_WS_QUOTE!$C9 - VALUE(AB9)))</f>
        <v>0</v>
      </c>
      <c r="AB9" s="668"/>
      <c r="AC9" s="680">
        <f>IF(AD9="NOPROMO", test_WS_QUOTE!$C9, IF(RIGHT(AD9,1)="%", test_WS_QUOTE!$C9 * (1 - VALUE(SUBSTITUTE(AD9,"%","")) / 100), test_WS_QUOTE!$C9 - VALUE(AD9)))</f>
        <v>0</v>
      </c>
      <c r="AD9" s="681"/>
      <c r="AE9" s="685" t="str">
        <f>IFERROR(__xludf.DUMMYFUNCTION("""COMPUTED_VALUE"""),"???")</f>
        <v>???</v>
      </c>
      <c r="AF9" s="682" t="s">
        <v>2974</v>
      </c>
      <c r="AG9" s="663" t="s">
        <v>2972</v>
      </c>
    </row>
    <row r="10">
      <c r="A10" s="609" t="s">
        <v>2954</v>
      </c>
      <c r="B10" s="609"/>
      <c r="C10" s="665">
        <f>IF(D10="NOPROMO", test_WS_QUOTE!$C10, IF(RIGHT(D10,1)="%", test_WS_QUOTE!$C10 * (1 - VALUE(SUBSTITUTE(D10,"%","")) / 100), test_WS_QUOTE!$C10 - VALUE(D10)))</f>
        <v>75</v>
      </c>
      <c r="D10" s="668" t="s">
        <v>2975</v>
      </c>
      <c r="E10" s="667">
        <f>IF(F10="NOPROMO", test_WS_QUOTE!$C10, IF(RIGHT(F10,1)="%", test_WS_QUOTE!$C10 * (1 - VALUE(SUBSTITUTE(F10,"%","")) / 100), test_WS_QUOTE!$C10 - VALUE(F10)))</f>
        <v>80</v>
      </c>
      <c r="F10" s="668"/>
      <c r="G10" s="669">
        <f>IF(H10="NOPROMO", test_WS_QUOTE!$C10, IF(RIGHT(H10,1)="%", test_WS_QUOTE!$C10 * (1 - VALUE(SUBSTITUTE(H10,"%","")) / 100), test_WS_QUOTE!$C10 - VALUE(H10)))</f>
        <v>80</v>
      </c>
      <c r="H10" s="668"/>
      <c r="I10" s="670">
        <f>IF(J10="NOPROMO", test_WS_QUOTE!$C10, IF(RIGHT(J10,1)="%", test_WS_QUOTE!$C10 * (1 - VALUE(SUBSTITUTE(J10,"%","")) / 100), test_WS_QUOTE!$C10 - VALUE(J10)))</f>
        <v>80</v>
      </c>
      <c r="J10" s="668"/>
      <c r="K10" s="671">
        <f>IF(L10="NOPROMO", test_WS_QUOTE!$C10, IF(RIGHT(L10,1)="%", test_WS_QUOTE!$C10 * (1 - VALUE(SUBSTITUTE(L10,"%","")) / 100), test_WS_QUOTE!$C10 - VALUE(L10)))</f>
        <v>80</v>
      </c>
      <c r="L10" s="668"/>
      <c r="M10" s="672">
        <f>IF(N10="NOPROMO", test_WS_QUOTE!$C10, IF(RIGHT(N10,1)="%", test_WS_QUOTE!$C10 * (1 - VALUE(SUBSTITUTE(N10,"%","")) / 100), test_WS_QUOTE!$C10 - VALUE(N10)))</f>
        <v>80</v>
      </c>
      <c r="N10" s="668"/>
      <c r="O10" s="673">
        <f>IF(P10="NOPROMO", test_WS_QUOTE!$C10, IF(RIGHT(P10,1)="%", test_WS_QUOTE!$C10 * (1 - VALUE(SUBSTITUTE(P10,"%","")) / 100), test_WS_QUOTE!$C10 - VALUE(P10)))</f>
        <v>80</v>
      </c>
      <c r="P10" s="668"/>
      <c r="Q10" s="674">
        <f>IF(R10="NOPROMO", test_WS_QUOTE!$C10, IF(RIGHT(R10,1)="%", test_WS_QUOTE!$C10 * (1 - VALUE(SUBSTITUTE(R10,"%","")) / 100), test_WS_QUOTE!$C10 - VALUE(R10)))</f>
        <v>80</v>
      </c>
      <c r="R10" s="668"/>
      <c r="S10" s="675">
        <f>IF(T10="NOPROMO", test_WS_QUOTE!$C10, IF(RIGHT(T10,1)="%", test_WS_QUOTE!$C10 * (1 - VALUE(SUBSTITUTE(T10,"%","")) / 100), test_WS_QUOTE!$C10 - VALUE(T10)))</f>
        <v>80</v>
      </c>
      <c r="T10" s="668"/>
      <c r="U10" s="676">
        <f>IF(V10="NOPROMO", test_WS_QUOTE!$C10, IF(RIGHT(V10,1)="%", test_WS_QUOTE!$C10 * (1 - VALUE(SUBSTITUTE(V10,"%","")) / 100), test_WS_QUOTE!$C10 - VALUE(V10)))</f>
        <v>80</v>
      </c>
      <c r="V10" s="668"/>
      <c r="W10" s="677">
        <f>IF(X10="NOPROMO", test_WS_QUOTE!$C10, IF(RIGHT(X10,1)="%", test_WS_QUOTE!$C10 * (1 - VALUE(SUBSTITUTE(X10,"%","")) / 100), test_WS_QUOTE!$C10 - VALUE(X10)))</f>
        <v>80</v>
      </c>
      <c r="X10" s="668"/>
      <c r="Y10" s="678">
        <f>IF(Z10="NOPROMO", test_WS_QUOTE!$C10, IF(RIGHT(Z10,1)="%", test_WS_QUOTE!$C10 * (1 - VALUE(SUBSTITUTE(Z10,"%","")) / 100), test_WS_QUOTE!$C10 - VALUE(Z10)))</f>
        <v>80</v>
      </c>
      <c r="Z10" s="668"/>
      <c r="AA10" s="679">
        <f>IF(AB10="NOPROMO", test_WS_QUOTE!$C10, IF(RIGHT(AB10,1)="%", test_WS_QUOTE!$C10 * (1 - VALUE(SUBSTITUTE(AB10,"%","")) / 100), test_WS_QUOTE!$C10 - VALUE(AB10)))</f>
        <v>80</v>
      </c>
      <c r="AB10" s="668"/>
      <c r="AC10" s="680">
        <f>IF(AD10="NOPROMO", test_WS_QUOTE!$C10, IF(RIGHT(AD10,1)="%", test_WS_QUOTE!$C10 * (1 - VALUE(SUBSTITUTE(AD10,"%","")) / 100), test_WS_QUOTE!$C10 - VALUE(AD10)))</f>
        <v>80</v>
      </c>
      <c r="AD10" s="681"/>
      <c r="AE10" s="685" t="str">
        <f>IFERROR(__xludf.DUMMYFUNCTION("""COMPUTED_VALUE"""),"???")</f>
        <v>???</v>
      </c>
      <c r="AF10" s="682" t="s">
        <v>106</v>
      </c>
      <c r="AG10" s="663" t="s">
        <v>2970</v>
      </c>
    </row>
    <row r="11">
      <c r="A11" s="609" t="s">
        <v>2955</v>
      </c>
      <c r="B11" s="609"/>
      <c r="C11" s="665">
        <f>IF(D11="NOPROMO", test_WS_QUOTE!$C11, IF(RIGHT(D11,1)="%", test_WS_QUOTE!$C11 * (1 - VALUE(SUBSTITUTE(D11,"%","")) / 100), test_WS_QUOTE!$C11 - VALUE(D11)))</f>
        <v>100</v>
      </c>
      <c r="D11" s="668" t="s">
        <v>2976</v>
      </c>
      <c r="E11" s="667">
        <f>IF(F11="NOPROMO", test_WS_QUOTE!$C11, IF(RIGHT(F11,1)="%", test_WS_QUOTE!$C11 * (1 - VALUE(SUBSTITUTE(F11,"%","")) / 100), test_WS_QUOTE!$C11 - VALUE(F11)))</f>
        <v>120</v>
      </c>
      <c r="F11" s="668"/>
      <c r="G11" s="669">
        <f>IF(H11="NOPROMO", test_WS_QUOTE!$C11, IF(RIGHT(H11,1)="%", test_WS_QUOTE!$C11 * (1 - VALUE(SUBSTITUTE(H11,"%","")) / 100), test_WS_QUOTE!$C11 - VALUE(H11)))</f>
        <v>120</v>
      </c>
      <c r="H11" s="668"/>
      <c r="I11" s="670">
        <f>IF(J11="NOPROMO", test_WS_QUOTE!$C11, IF(RIGHT(J11,1)="%", test_WS_QUOTE!$C11 * (1 - VALUE(SUBSTITUTE(J11,"%","")) / 100), test_WS_QUOTE!$C11 - VALUE(J11)))</f>
        <v>120</v>
      </c>
      <c r="J11" s="668"/>
      <c r="K11" s="671">
        <f>IF(L11="NOPROMO", test_WS_QUOTE!$C11, IF(RIGHT(L11,1)="%", test_WS_QUOTE!$C11 * (1 - VALUE(SUBSTITUTE(L11,"%","")) / 100), test_WS_QUOTE!$C11 - VALUE(L11)))</f>
        <v>120</v>
      </c>
      <c r="L11" s="668"/>
      <c r="M11" s="672">
        <f>IF(N11="NOPROMO", test_WS_QUOTE!$C11, IF(RIGHT(N11,1)="%", test_WS_QUOTE!$C11 * (1 - VALUE(SUBSTITUTE(N11,"%","")) / 100), test_WS_QUOTE!$C11 - VALUE(N11)))</f>
        <v>120</v>
      </c>
      <c r="N11" s="668"/>
      <c r="O11" s="673">
        <f>IF(P11="NOPROMO", test_WS_QUOTE!$C11, IF(RIGHT(P11,1)="%", test_WS_QUOTE!$C11 * (1 - VALUE(SUBSTITUTE(P11,"%","")) / 100), test_WS_QUOTE!$C11 - VALUE(P11)))</f>
        <v>120</v>
      </c>
      <c r="P11" s="668"/>
      <c r="Q11" s="674">
        <f>IF(R11="NOPROMO", test_WS_QUOTE!$C11, IF(RIGHT(R11,1)="%", test_WS_QUOTE!$C11 * (1 - VALUE(SUBSTITUTE(R11,"%","")) / 100), test_WS_QUOTE!$C11 - VALUE(R11)))</f>
        <v>120</v>
      </c>
      <c r="R11" s="668"/>
      <c r="S11" s="675">
        <f>IF(T11="NOPROMO", test_WS_QUOTE!$C11, IF(RIGHT(T11,1)="%", test_WS_QUOTE!$C11 * (1 - VALUE(SUBSTITUTE(T11,"%","")) / 100), test_WS_QUOTE!$C11 - VALUE(T11)))</f>
        <v>120</v>
      </c>
      <c r="T11" s="668"/>
      <c r="U11" s="676">
        <f>IF(V11="NOPROMO", test_WS_QUOTE!$C11, IF(RIGHT(V11,1)="%", test_WS_QUOTE!$C11 * (1 - VALUE(SUBSTITUTE(V11,"%","")) / 100), test_WS_QUOTE!$C11 - VALUE(V11)))</f>
        <v>120</v>
      </c>
      <c r="V11" s="686"/>
      <c r="W11" s="677">
        <f>IF(X11="NOPROMO", test_WS_QUOTE!$C11, IF(RIGHT(X11,1)="%", test_WS_QUOTE!$C11 * (1 - VALUE(SUBSTITUTE(X11,"%","")) / 100), test_WS_QUOTE!$C11 - VALUE(X11)))</f>
        <v>120</v>
      </c>
      <c r="X11" s="668"/>
      <c r="Y11" s="678">
        <f>IF(Z11="NOPROMO", test_WS_QUOTE!$C11, IF(RIGHT(Z11,1)="%", test_WS_QUOTE!$C11 * (1 - VALUE(SUBSTITUTE(Z11,"%","")) / 100), test_WS_QUOTE!$C11 - VALUE(Z11)))</f>
        <v>120</v>
      </c>
      <c r="Z11" s="668"/>
      <c r="AA11" s="679">
        <f>IF(AB11="NOPROMO", test_WS_QUOTE!$C11, IF(RIGHT(AB11,1)="%", test_WS_QUOTE!$C11 * (1 - VALUE(SUBSTITUTE(AB11,"%","")) / 100), test_WS_QUOTE!$C11 - VALUE(AB11)))</f>
        <v>120</v>
      </c>
      <c r="AB11" s="668"/>
      <c r="AC11" s="680">
        <f>IF(AD11="NOPROMO", test_WS_QUOTE!$C11, IF(RIGHT(AD11,1)="%", test_WS_QUOTE!$C11 * (1 - VALUE(SUBSTITUTE(AD11,"%","")) / 100), test_WS_QUOTE!$C11 - VALUE(AD11)))</f>
        <v>120</v>
      </c>
      <c r="AD11" s="681"/>
      <c r="AE11" s="685" t="str">
        <f>IFERROR(__xludf.DUMMYFUNCTION("""COMPUTED_VALUE"""),"???")</f>
        <v>???</v>
      </c>
      <c r="AF11" s="682" t="s">
        <v>2977</v>
      </c>
      <c r="AG11" s="663" t="s">
        <v>2972</v>
      </c>
    </row>
    <row r="12">
      <c r="A12" s="609" t="s">
        <v>2956</v>
      </c>
      <c r="B12" s="609"/>
      <c r="C12" s="665">
        <f>IF(D12="NOPROMO", test_WS_QUOTE!$C12, IF(RIGHT(D12,1)="%", test_WS_QUOTE!$C12 * (1 - VALUE(SUBSTITUTE(D12,"%","")) / 100), test_WS_QUOTE!$C12 - VALUE(D12)))</f>
        <v>120</v>
      </c>
      <c r="D12" s="668" t="s">
        <v>2978</v>
      </c>
      <c r="E12" s="667">
        <f>IF(F12="NOPROMO", test_WS_QUOTE!$C12, IF(RIGHT(F12,1)="%", test_WS_QUOTE!$C12 * (1 - VALUE(SUBSTITUTE(F12,"%","")) / 100), test_WS_QUOTE!$C12 - VALUE(F12)))</f>
        <v>150</v>
      </c>
      <c r="F12" s="668"/>
      <c r="G12" s="669">
        <f>IF(H12="NOPROMO", test_WS_QUOTE!$C12, IF(RIGHT(H12,1)="%", test_WS_QUOTE!$C12 * (1 - VALUE(SUBSTITUTE(H12,"%","")) / 100), test_WS_QUOTE!$C12 - VALUE(H12)))</f>
        <v>150</v>
      </c>
      <c r="H12" s="668"/>
      <c r="I12" s="670">
        <f>IF(J12="NOPROMO", test_WS_QUOTE!$C12, IF(RIGHT(J12,1)="%", test_WS_QUOTE!$C12 * (1 - VALUE(SUBSTITUTE(J12,"%","")) / 100), test_WS_QUOTE!$C12 - VALUE(J12)))</f>
        <v>150</v>
      </c>
      <c r="J12" s="668"/>
      <c r="K12" s="671">
        <f>IF(L12="NOPROMO", test_WS_QUOTE!$C12, IF(RIGHT(L12,1)="%", test_WS_QUOTE!$C12 * (1 - VALUE(SUBSTITUTE(L12,"%","")) / 100), test_WS_QUOTE!$C12 - VALUE(L12)))</f>
        <v>150</v>
      </c>
      <c r="L12" s="686"/>
      <c r="M12" s="672">
        <f>IF(N12="NOPROMO", test_WS_QUOTE!$C12, IF(RIGHT(N12,1)="%", test_WS_QUOTE!$C12 * (1 - VALUE(SUBSTITUTE(N12,"%","")) / 100), test_WS_QUOTE!$C12 - VALUE(N12)))</f>
        <v>150</v>
      </c>
      <c r="N12" s="668"/>
      <c r="O12" s="673">
        <f>IF(P12="NOPROMO", test_WS_QUOTE!$C12, IF(RIGHT(P12,1)="%", test_WS_QUOTE!$C12 * (1 - VALUE(SUBSTITUTE(P12,"%","")) / 100), test_WS_QUOTE!$C12 - VALUE(P12)))</f>
        <v>150</v>
      </c>
      <c r="P12" s="668"/>
      <c r="Q12" s="674">
        <f>IF(R12="NOPROMO", test_WS_QUOTE!$C12, IF(RIGHT(R12,1)="%", test_WS_QUOTE!$C12 * (1 - VALUE(SUBSTITUTE(R12,"%","")) / 100), test_WS_QUOTE!$C12 - VALUE(R12)))</f>
        <v>150</v>
      </c>
      <c r="R12" s="686"/>
      <c r="S12" s="675">
        <f>IF(T12="NOPROMO", test_WS_QUOTE!$C12, IF(RIGHT(T12,1)="%", test_WS_QUOTE!$C12 * (1 - VALUE(SUBSTITUTE(T12,"%","")) / 100), test_WS_QUOTE!$C12 - VALUE(T12)))</f>
        <v>150</v>
      </c>
      <c r="T12" s="686"/>
      <c r="U12" s="676">
        <f>IF(V12="NOPROMO", test_WS_QUOTE!$C12, IF(RIGHT(V12,1)="%", test_WS_QUOTE!$C12 * (1 - VALUE(SUBSTITUTE(V12,"%","")) / 100), test_WS_QUOTE!$C12 - VALUE(V12)))</f>
        <v>150</v>
      </c>
      <c r="V12" s="686"/>
      <c r="W12" s="677">
        <f>IF(X12="NOPROMO", test_WS_QUOTE!$C12, IF(RIGHT(X12,1)="%", test_WS_QUOTE!$C12 * (1 - VALUE(SUBSTITUTE(X12,"%","")) / 100), test_WS_QUOTE!$C12 - VALUE(X12)))</f>
        <v>150</v>
      </c>
      <c r="X12" s="668"/>
      <c r="Y12" s="678">
        <f>IF(Z12="NOPROMO", test_WS_QUOTE!$C12, IF(RIGHT(Z12,1)="%", test_WS_QUOTE!$C12 * (1 - VALUE(SUBSTITUTE(Z12,"%","")) / 100), test_WS_QUOTE!$C12 - VALUE(Z12)))</f>
        <v>150</v>
      </c>
      <c r="Z12" s="668"/>
      <c r="AA12" s="679">
        <f>IF(AB12="NOPROMO", test_WS_QUOTE!$C12, IF(RIGHT(AB12,1)="%", test_WS_QUOTE!$C12 * (1 - VALUE(SUBSTITUTE(AB12,"%","")) / 100), test_WS_QUOTE!$C12 - VALUE(AB12)))</f>
        <v>150</v>
      </c>
      <c r="AB12" s="668"/>
      <c r="AC12" s="680">
        <f>IF(AD12="NOPROMO", test_WS_QUOTE!$C12, IF(RIGHT(AD12,1)="%", test_WS_QUOTE!$C12 * (1 - VALUE(SUBSTITUTE(AD12,"%","")) / 100), test_WS_QUOTE!$C12 - VALUE(AD12)))</f>
        <v>150</v>
      </c>
      <c r="AD12" s="681"/>
      <c r="AE12" s="685" t="str">
        <f>IFERROR(__xludf.DUMMYFUNCTION("""COMPUTED_VALUE"""),"???")</f>
        <v>???</v>
      </c>
      <c r="AF12" s="662" t="s">
        <v>394</v>
      </c>
      <c r="AG12" s="663" t="s">
        <v>2970</v>
      </c>
    </row>
    <row r="13">
      <c r="A13" s="609" t="s">
        <v>2957</v>
      </c>
      <c r="B13" s="609"/>
      <c r="C13" s="665">
        <f>IF(D13="NOPROMO", test_WS_QUOTE!$C13, IF(RIGHT(D13,1)="%", test_WS_QUOTE!$C13 * (1 - VALUE(SUBSTITUTE(D13,"%","")) / 100), test_WS_QUOTE!$C13 - VALUE(D13)))</f>
        <v>160</v>
      </c>
      <c r="D13" s="668" t="s">
        <v>2979</v>
      </c>
      <c r="E13" s="667">
        <f>IF(F13="NOPROMO", test_WS_QUOTE!$C13, IF(RIGHT(F13,1)="%", test_WS_QUOTE!$C13 * (1 - VALUE(SUBSTITUTE(F13,"%","")) / 100), test_WS_QUOTE!$C13 - VALUE(F13)))</f>
        <v>200</v>
      </c>
      <c r="F13" s="668"/>
      <c r="G13" s="669">
        <f>IF(H13="NOPROMO", test_WS_QUOTE!$C13, IF(RIGHT(H13,1)="%", test_WS_QUOTE!$C13 * (1 - VALUE(SUBSTITUTE(H13,"%","")) / 100), test_WS_QUOTE!$C13 - VALUE(H13)))</f>
        <v>200</v>
      </c>
      <c r="H13" s="686"/>
      <c r="I13" s="670">
        <f>IF(J13="NOPROMO", test_WS_QUOTE!$C13, IF(RIGHT(J13,1)="%", test_WS_QUOTE!$C13 * (1 - VALUE(SUBSTITUTE(J13,"%","")) / 100), test_WS_QUOTE!$C13 - VALUE(J13)))</f>
        <v>200</v>
      </c>
      <c r="J13" s="668"/>
      <c r="K13" s="671">
        <f>IF(L13="NOPROMO", test_WS_QUOTE!$C13, IF(RIGHT(L13,1)="%", test_WS_QUOTE!$C13 * (1 - VALUE(SUBSTITUTE(L13,"%","")) / 100), test_WS_QUOTE!$C13 - VALUE(L13)))</f>
        <v>200</v>
      </c>
      <c r="L13" s="686"/>
      <c r="M13" s="672">
        <f>IF(N13="NOPROMO", test_WS_QUOTE!$C13, IF(RIGHT(N13,1)="%", test_WS_QUOTE!$C13 * (1 - VALUE(SUBSTITUTE(N13,"%","")) / 100), test_WS_QUOTE!$C13 - VALUE(N13)))</f>
        <v>200</v>
      </c>
      <c r="N13" s="686"/>
      <c r="O13" s="673">
        <f>IF(P13="NOPROMO", test_WS_QUOTE!$C13, IF(RIGHT(P13,1)="%", test_WS_QUOTE!$C13 * (1 - VALUE(SUBSTITUTE(P13,"%","")) / 100), test_WS_QUOTE!$C13 - VALUE(P13)))</f>
        <v>200</v>
      </c>
      <c r="P13" s="668"/>
      <c r="Q13" s="674">
        <f>IF(R13="NOPROMO", test_WS_QUOTE!$C13, IF(RIGHT(R13,1)="%", test_WS_QUOTE!$C13 * (1 - VALUE(SUBSTITUTE(R13,"%","")) / 100), test_WS_QUOTE!$C13 - VALUE(R13)))</f>
        <v>200</v>
      </c>
      <c r="R13" s="686"/>
      <c r="S13" s="675">
        <f>IF(T13="NOPROMO", test_WS_QUOTE!$C13, IF(RIGHT(T13,1)="%", test_WS_QUOTE!$C13 * (1 - VALUE(SUBSTITUTE(T13,"%","")) / 100), test_WS_QUOTE!$C13 - VALUE(T13)))</f>
        <v>200</v>
      </c>
      <c r="T13" s="686"/>
      <c r="U13" s="676">
        <f>IF(V13="NOPROMO", test_WS_QUOTE!$C13, IF(RIGHT(V13,1)="%", test_WS_QUOTE!$C13 * (1 - VALUE(SUBSTITUTE(V13,"%","")) / 100), test_WS_QUOTE!$C13 - VALUE(V13)))</f>
        <v>200</v>
      </c>
      <c r="V13" s="686"/>
      <c r="W13" s="677">
        <f>IF(X13="NOPROMO", test_WS_QUOTE!$C13, IF(RIGHT(X13,1)="%", test_WS_QUOTE!$C13 * (1 - VALUE(SUBSTITUTE(X13,"%","")) / 100), test_WS_QUOTE!$C13 - VALUE(X13)))</f>
        <v>200</v>
      </c>
      <c r="X13" s="686"/>
      <c r="Y13" s="678">
        <f>IF(Z13="NOPROMO", test_WS_QUOTE!$C13, IF(RIGHT(Z13,1)="%", test_WS_QUOTE!$C13 * (1 - VALUE(SUBSTITUTE(Z13,"%","")) / 100), test_WS_QUOTE!$C13 - VALUE(Z13)))</f>
        <v>200</v>
      </c>
      <c r="Z13" s="668"/>
      <c r="AA13" s="679">
        <f>IF(AB13="NOPROMO", test_WS_QUOTE!$C13, IF(RIGHT(AB13,1)="%", test_WS_QUOTE!$C13 * (1 - VALUE(SUBSTITUTE(AB13,"%","")) / 100), test_WS_QUOTE!$C13 - VALUE(AB13)))</f>
        <v>200</v>
      </c>
      <c r="AB13" s="686"/>
      <c r="AC13" s="680">
        <f>IF(AD13="NOPROMO", test_WS_QUOTE!$C13, IF(RIGHT(AD13,1)="%", test_WS_QUOTE!$C13 * (1 - VALUE(SUBSTITUTE(AD13,"%","")) / 100), test_WS_QUOTE!$C13 - VALUE(AD13)))</f>
        <v>200</v>
      </c>
      <c r="AD13" s="681"/>
      <c r="AE13" s="685" t="str">
        <f>IFERROR(__xludf.DUMMYFUNCTION("""COMPUTED_VALUE"""),"???")</f>
        <v>???</v>
      </c>
      <c r="AF13" s="682" t="s">
        <v>2980</v>
      </c>
      <c r="AG13" s="663" t="s">
        <v>2972</v>
      </c>
    </row>
    <row r="14">
      <c r="A14" s="609"/>
      <c r="B14" s="609"/>
      <c r="C14" s="665">
        <f>IF(D14="NOPROMO", test_WS_QUOTE!$C14, IF(RIGHT(D14,1)="%", test_WS_QUOTE!$C14 * (1 - VALUE(SUBSTITUTE(D14,"%","")) / 100), test_WS_QUOTE!$C14 - VALUE(D14)))</f>
        <v>0</v>
      </c>
      <c r="D14" s="668"/>
      <c r="E14" s="667">
        <f>IF(F14="NOPROMO", test_WS_QUOTE!$C14, IF(RIGHT(F14,1)="%", test_WS_QUOTE!$C14 * (1 - VALUE(SUBSTITUTE(F14,"%","")) / 100), test_WS_QUOTE!$C14 - VALUE(F14)))</f>
        <v>0</v>
      </c>
      <c r="F14" s="668"/>
      <c r="G14" s="669">
        <f>IF(H14="NOPROMO", test_WS_QUOTE!$C14, IF(RIGHT(H14,1)="%", test_WS_QUOTE!$C14 * (1 - VALUE(SUBSTITUTE(H14,"%","")) / 100), test_WS_QUOTE!$C14 - VALUE(H14)))</f>
        <v>0</v>
      </c>
      <c r="H14" s="686"/>
      <c r="I14" s="670">
        <f>IF(J14="NOPROMO", test_WS_QUOTE!$C14, IF(RIGHT(J14,1)="%", test_WS_QUOTE!$C14 * (1 - VALUE(SUBSTITUTE(J14,"%","")) / 100), test_WS_QUOTE!$C14 - VALUE(J14)))</f>
        <v>0</v>
      </c>
      <c r="J14" s="686"/>
      <c r="K14" s="671">
        <f>IF(L14="NOPROMO", test_WS_QUOTE!$C14, IF(RIGHT(L14,1)="%", test_WS_QUOTE!$C14 * (1 - VALUE(SUBSTITUTE(L14,"%","")) / 100), test_WS_QUOTE!$C14 - VALUE(L14)))</f>
        <v>0</v>
      </c>
      <c r="L14" s="686"/>
      <c r="M14" s="672">
        <f>IF(N14="NOPROMO", test_WS_QUOTE!$C14, IF(RIGHT(N14,1)="%", test_WS_QUOTE!$C14 * (1 - VALUE(SUBSTITUTE(N14,"%","")) / 100), test_WS_QUOTE!$C14 - VALUE(N14)))</f>
        <v>0</v>
      </c>
      <c r="N14" s="686"/>
      <c r="O14" s="673">
        <f>IF(P14="NOPROMO", test_WS_QUOTE!$C14, IF(RIGHT(P14,1)="%", test_WS_QUOTE!$C14 * (1 - VALUE(SUBSTITUTE(P14,"%","")) / 100), test_WS_QUOTE!$C14 - VALUE(P14)))</f>
        <v>0</v>
      </c>
      <c r="P14" s="668"/>
      <c r="Q14" s="674">
        <f>IF(R14="NOPROMO", test_WS_QUOTE!$C14, IF(RIGHT(R14,1)="%", test_WS_QUOTE!$C14 * (1 - VALUE(SUBSTITUTE(R14,"%","")) / 100), test_WS_QUOTE!$C14 - VALUE(R14)))</f>
        <v>0</v>
      </c>
      <c r="R14" s="686"/>
      <c r="S14" s="675">
        <f>IF(T14="NOPROMO", test_WS_QUOTE!$C14, IF(RIGHT(T14,1)="%", test_WS_QUOTE!$C14 * (1 - VALUE(SUBSTITUTE(T14,"%","")) / 100), test_WS_QUOTE!$C14 - VALUE(T14)))</f>
        <v>0</v>
      </c>
      <c r="T14" s="686"/>
      <c r="U14" s="676">
        <f>IF(V14="NOPROMO", test_WS_QUOTE!$C14, IF(RIGHT(V14,1)="%", test_WS_QUOTE!$C14 * (1 - VALUE(SUBSTITUTE(V14,"%","")) / 100), test_WS_QUOTE!$C14 - VALUE(V14)))</f>
        <v>0</v>
      </c>
      <c r="V14" s="686"/>
      <c r="W14" s="677">
        <f>IF(X14="NOPROMO", test_WS_QUOTE!$C14, IF(RIGHT(X14,1)="%", test_WS_QUOTE!$C14 * (1 - VALUE(SUBSTITUTE(X14,"%","")) / 100), test_WS_QUOTE!$C14 - VALUE(X14)))</f>
        <v>0</v>
      </c>
      <c r="X14" s="686"/>
      <c r="Y14" s="678">
        <f>IF(Z14="NOPROMO", test_WS_QUOTE!$C14, IF(RIGHT(Z14,1)="%", test_WS_QUOTE!$C14 * (1 - VALUE(SUBSTITUTE(Z14,"%","")) / 100), test_WS_QUOTE!$C14 - VALUE(Z14)))</f>
        <v>0</v>
      </c>
      <c r="Z14" s="668"/>
      <c r="AA14" s="679">
        <f>IF(AB14="NOPROMO", test_WS_QUOTE!$C14, IF(RIGHT(AB14,1)="%", test_WS_QUOTE!$C14 * (1 - VALUE(SUBSTITUTE(AB14,"%","")) / 100), test_WS_QUOTE!$C14 - VALUE(AB14)))</f>
        <v>0</v>
      </c>
      <c r="AB14" s="686"/>
      <c r="AC14" s="680">
        <f>IF(AD14="NOPROMO", test_WS_QUOTE!$C14, IF(RIGHT(AD14,1)="%", test_WS_QUOTE!$C14 * (1 - VALUE(SUBSTITUTE(AD14,"%","")) / 100), test_WS_QUOTE!$C14 - VALUE(AD14)))</f>
        <v>0</v>
      </c>
      <c r="AD14" s="681"/>
      <c r="AE14" s="685" t="str">
        <f>IFERROR(__xludf.DUMMYFUNCTION("""COMPUTED_VALUE"""),"???")</f>
        <v>???</v>
      </c>
      <c r="AF14" s="662" t="s">
        <v>902</v>
      </c>
      <c r="AG14" s="663" t="s">
        <v>2970</v>
      </c>
    </row>
    <row r="15">
      <c r="A15" s="609"/>
      <c r="B15" s="609"/>
      <c r="C15" s="665">
        <f>IF(D15="NOPROMO", test_WS_QUOTE!$C15, IF(RIGHT(D15,1)="%", test_WS_QUOTE!$C15 * (1 - VALUE(SUBSTITUTE(D15,"%","")) / 100), test_WS_QUOTE!$C15 - VALUE(D15)))</f>
        <v>0</v>
      </c>
      <c r="D15" s="668"/>
      <c r="E15" s="667">
        <f>IF(F15="NOPROMO", test_WS_QUOTE!$C15, IF(RIGHT(F15,1)="%", test_WS_QUOTE!$C15 * (1 - VALUE(SUBSTITUTE(F15,"%","")) / 100), test_WS_QUOTE!$C15 - VALUE(F15)))</f>
        <v>0</v>
      </c>
      <c r="F15" s="668"/>
      <c r="G15" s="669">
        <f>IF(H15="NOPROMO", test_WS_QUOTE!$C15, IF(RIGHT(H15,1)="%", test_WS_QUOTE!$C15 * (1 - VALUE(SUBSTITUTE(H15,"%","")) / 100), test_WS_QUOTE!$C15 - VALUE(H15)))</f>
        <v>0</v>
      </c>
      <c r="H15" s="686"/>
      <c r="I15" s="670">
        <f>IF(J15="NOPROMO", test_WS_QUOTE!$C15, IF(RIGHT(J15,1)="%", test_WS_QUOTE!$C15 * (1 - VALUE(SUBSTITUTE(J15,"%","")) / 100), test_WS_QUOTE!$C15 - VALUE(J15)))</f>
        <v>0</v>
      </c>
      <c r="J15" s="686"/>
      <c r="K15" s="671">
        <f>IF(L15="NOPROMO", test_WS_QUOTE!$C15, IF(RIGHT(L15,1)="%", test_WS_QUOTE!$C15 * (1 - VALUE(SUBSTITUTE(L15,"%","")) / 100), test_WS_QUOTE!$C15 - VALUE(L15)))</f>
        <v>0</v>
      </c>
      <c r="L15" s="686"/>
      <c r="M15" s="672">
        <f>IF(N15="NOPROMO", test_WS_QUOTE!$C15, IF(RIGHT(N15,1)="%", test_WS_QUOTE!$C15 * (1 - VALUE(SUBSTITUTE(N15,"%","")) / 100), test_WS_QUOTE!$C15 - VALUE(N15)))</f>
        <v>0</v>
      </c>
      <c r="N15" s="686"/>
      <c r="O15" s="673">
        <f>IF(P15="NOPROMO", test_WS_QUOTE!$C15, IF(RIGHT(P15,1)="%", test_WS_QUOTE!$C15 * (1 - VALUE(SUBSTITUTE(P15,"%","")) / 100), test_WS_QUOTE!$C15 - VALUE(P15)))</f>
        <v>0</v>
      </c>
      <c r="P15" s="668"/>
      <c r="Q15" s="674">
        <f>IF(R15="NOPROMO", test_WS_QUOTE!$C15, IF(RIGHT(R15,1)="%", test_WS_QUOTE!$C15 * (1 - VALUE(SUBSTITUTE(R15,"%","")) / 100), test_WS_QUOTE!$C15 - VALUE(R15)))</f>
        <v>0</v>
      </c>
      <c r="R15" s="686"/>
      <c r="S15" s="675">
        <f>IF(T15="NOPROMO", test_WS_QUOTE!$C15, IF(RIGHT(T15,1)="%", test_WS_QUOTE!$C15 * (1 - VALUE(SUBSTITUTE(T15,"%","")) / 100), test_WS_QUOTE!$C15 - VALUE(T15)))</f>
        <v>0</v>
      </c>
      <c r="T15" s="686"/>
      <c r="U15" s="676">
        <f>IF(V15="NOPROMO", test_WS_QUOTE!$C15, IF(RIGHT(V15,1)="%", test_WS_QUOTE!$C15 * (1 - VALUE(SUBSTITUTE(V15,"%","")) / 100), test_WS_QUOTE!$C15 - VALUE(V15)))</f>
        <v>0</v>
      </c>
      <c r="V15" s="686"/>
      <c r="W15" s="677">
        <f>IF(X15="NOPROMO", test_WS_QUOTE!$C15, IF(RIGHT(X15,1)="%", test_WS_QUOTE!$C15 * (1 - VALUE(SUBSTITUTE(X15,"%","")) / 100), test_WS_QUOTE!$C15 - VALUE(X15)))</f>
        <v>0</v>
      </c>
      <c r="X15" s="686"/>
      <c r="Y15" s="678">
        <f>IF(Z15="NOPROMO", test_WS_QUOTE!$C15, IF(RIGHT(Z15,1)="%", test_WS_QUOTE!$C15 * (1 - VALUE(SUBSTITUTE(Z15,"%","")) / 100), test_WS_QUOTE!$C15 - VALUE(Z15)))</f>
        <v>0</v>
      </c>
      <c r="Z15" s="668"/>
      <c r="AA15" s="679">
        <f>IF(AB15="NOPROMO", test_WS_QUOTE!$C15, IF(RIGHT(AB15,1)="%", test_WS_QUOTE!$C15 * (1 - VALUE(SUBSTITUTE(AB15,"%","")) / 100), test_WS_QUOTE!$C15 - VALUE(AB15)))</f>
        <v>0</v>
      </c>
      <c r="AB15" s="686"/>
      <c r="AC15" s="680">
        <f>IF(AD15="NOPROMO", test_WS_QUOTE!$C15, IF(RIGHT(AD15,1)="%", test_WS_QUOTE!$C15 * (1 - VALUE(SUBSTITUTE(AD15,"%","")) / 100), test_WS_QUOTE!$C15 - VALUE(AD15)))</f>
        <v>0</v>
      </c>
      <c r="AD15" s="681"/>
      <c r="AE15" s="685" t="str">
        <f>IFERROR(__xludf.DUMMYFUNCTION("""COMPUTED_VALUE"""),"???")</f>
        <v>???</v>
      </c>
      <c r="AF15" s="662" t="s">
        <v>2981</v>
      </c>
      <c r="AG15" s="663" t="s">
        <v>2972</v>
      </c>
    </row>
    <row r="16">
      <c r="A16" s="609"/>
      <c r="B16" s="609"/>
      <c r="C16" s="665">
        <f>IF(D16="NOPROMO", test_WS_QUOTE!$C16, IF(RIGHT(D16,1)="%", test_WS_QUOTE!$C16 * (1 - VALUE(SUBSTITUTE(D16,"%","")) / 100), test_WS_QUOTE!$C16 - VALUE(D16)))</f>
        <v>0</v>
      </c>
      <c r="D16" s="668"/>
      <c r="E16" s="667">
        <f>IF(F16="NOPROMO", test_WS_QUOTE!$C16, IF(RIGHT(F16,1)="%", test_WS_QUOTE!$C16 * (1 - VALUE(SUBSTITUTE(F16,"%","")) / 100), test_WS_QUOTE!$C16 - VALUE(F16)))</f>
        <v>0</v>
      </c>
      <c r="F16" s="668"/>
      <c r="G16" s="669">
        <f>IF(H16="NOPROMO", test_WS_QUOTE!$C16, IF(RIGHT(H16,1)="%", test_WS_QUOTE!$C16 * (1 - VALUE(SUBSTITUTE(H16,"%","")) / 100), test_WS_QUOTE!$C16 - VALUE(H16)))</f>
        <v>0</v>
      </c>
      <c r="H16" s="686"/>
      <c r="I16" s="670">
        <f>IF(J16="NOPROMO", test_WS_QUOTE!$C16, IF(RIGHT(J16,1)="%", test_WS_QUOTE!$C16 * (1 - VALUE(SUBSTITUTE(J16,"%","")) / 100), test_WS_QUOTE!$C16 - VALUE(J16)))</f>
        <v>0</v>
      </c>
      <c r="J16" s="686"/>
      <c r="K16" s="687">
        <f>IF(L16="NOPROMO", test_WS_QUOTE!$C16, IF(RIGHT(L16,1)="%", test_WS_QUOTE!$C16 * (1 - VALUE(SUBSTITUTE(L16,"%","")) / 100), test_WS_QUOTE!$C16 - VALUE(L16)))</f>
        <v>0</v>
      </c>
      <c r="L16" s="686"/>
      <c r="M16" s="688">
        <f>IF(N16="NOPROMO", test_WS_QUOTE!$C16, IF(RIGHT(N16,1)="%", test_WS_QUOTE!$C16 * (1 - VALUE(SUBSTITUTE(N16,"%","")) / 100), test_WS_QUOTE!$C16 - VALUE(N16)))</f>
        <v>0</v>
      </c>
      <c r="N16" s="686"/>
      <c r="O16" s="673">
        <f>IF(P16="NOPROMO", test_WS_QUOTE!$C16, IF(RIGHT(P16,1)="%", test_WS_QUOTE!$C16 * (1 - VALUE(SUBSTITUTE(P16,"%","")) / 100), test_WS_QUOTE!$C16 - VALUE(P16)))</f>
        <v>0</v>
      </c>
      <c r="P16" s="668"/>
      <c r="Q16" s="674">
        <f>IF(R16="NOPROMO", test_WS_QUOTE!$C16, IF(RIGHT(R16,1)="%", test_WS_QUOTE!$C16 * (1 - VALUE(SUBSTITUTE(R16,"%","")) / 100), test_WS_QUOTE!$C16 - VALUE(R16)))</f>
        <v>0</v>
      </c>
      <c r="R16" s="686"/>
      <c r="S16" s="675">
        <f>IF(T16="NOPROMO", test_WS_QUOTE!$C16, IF(RIGHT(T16,1)="%", test_WS_QUOTE!$C16 * (1 - VALUE(SUBSTITUTE(T16,"%","")) / 100), test_WS_QUOTE!$C16 - VALUE(T16)))</f>
        <v>0</v>
      </c>
      <c r="T16" s="686"/>
      <c r="U16" s="676">
        <f>IF(V16="NOPROMO", test_WS_QUOTE!$C16, IF(RIGHT(V16,1)="%", test_WS_QUOTE!$C16 * (1 - VALUE(SUBSTITUTE(V16,"%","")) / 100), test_WS_QUOTE!$C16 - VALUE(V16)))</f>
        <v>0</v>
      </c>
      <c r="V16" s="686"/>
      <c r="W16" s="677">
        <f>IF(X16="NOPROMO", test_WS_QUOTE!$C16, IF(RIGHT(X16,1)="%", test_WS_QUOTE!$C16 * (1 - VALUE(SUBSTITUTE(X16,"%","")) / 100), test_WS_QUOTE!$C16 - VALUE(X16)))</f>
        <v>0</v>
      </c>
      <c r="X16" s="686"/>
      <c r="Y16" s="678">
        <f>IF(Z16="NOPROMO", test_WS_QUOTE!$C16, IF(RIGHT(Z16,1)="%", test_WS_QUOTE!$C16 * (1 - VALUE(SUBSTITUTE(Z16,"%","")) / 100), test_WS_QUOTE!$C16 - VALUE(Z16)))</f>
        <v>0</v>
      </c>
      <c r="Z16" s="686"/>
      <c r="AA16" s="679">
        <f>IF(AB16="NOPROMO", test_WS_QUOTE!$C16, IF(RIGHT(AB16,1)="%", test_WS_QUOTE!$C16 * (1 - VALUE(SUBSTITUTE(AB16,"%","")) / 100), test_WS_QUOTE!$C16 - VALUE(AB16)))</f>
        <v>0</v>
      </c>
      <c r="AB16" s="686"/>
      <c r="AC16" s="680">
        <f>IF(AD16="NOPROMO", test_WS_QUOTE!$C16, IF(RIGHT(AD16,1)="%", test_WS_QUOTE!$C16 * (1 - VALUE(SUBSTITUTE(AD16,"%","")) / 100), test_WS_QUOTE!$C16 - VALUE(AD16)))</f>
        <v>0</v>
      </c>
      <c r="AD16" s="681"/>
      <c r="AE16" s="685" t="str">
        <f>IFERROR(__xludf.DUMMYFUNCTION("""COMPUTED_VALUE"""),"???")</f>
        <v>???</v>
      </c>
      <c r="AF16" s="662" t="s">
        <v>2982</v>
      </c>
      <c r="AG16" s="663" t="s">
        <v>2970</v>
      </c>
    </row>
    <row r="17">
      <c r="A17" s="609"/>
      <c r="B17" s="689"/>
      <c r="C17" s="665">
        <f>IF(D17="NOPROMO", test_WS_QUOTE!$C17, IF(RIGHT(D17,1)="%", test_WS_QUOTE!$C17 * (1 - VALUE(SUBSTITUTE(D17,"%","")) / 100), test_WS_QUOTE!$C17 - VALUE(D17)))</f>
        <v>0</v>
      </c>
      <c r="D17" s="690"/>
      <c r="E17" s="667">
        <f>IF(F17="NOPROMO", test_WS_QUOTE!$C17, IF(RIGHT(F17,1)="%", test_WS_QUOTE!$C17 * (1 - VALUE(SUBSTITUTE(F17,"%","")) / 100), test_WS_QUOTE!$C17 - VALUE(F17)))</f>
        <v>0</v>
      </c>
      <c r="F17" s="690"/>
      <c r="G17" s="691">
        <f>IF(H17="NOPROMO", test_WS_QUOTE!$C17, IF(RIGHT(H17,1)="%", test_WS_QUOTE!$C17 * (1 - VALUE(SUBSTITUTE(H17,"%","")) / 100), test_WS_QUOTE!$C17 - VALUE(H17)))</f>
        <v>0</v>
      </c>
      <c r="H17" s="686"/>
      <c r="I17" s="692">
        <f>IF(J17="NOPROMO", test_WS_QUOTE!$C17, IF(RIGHT(J17,1)="%", test_WS_QUOTE!$C17 * (1 - VALUE(SUBSTITUTE(J17,"%","")) / 100), test_WS_QUOTE!$C17 - VALUE(J17)))</f>
        <v>0</v>
      </c>
      <c r="J17" s="686"/>
      <c r="K17" s="693">
        <f>IF(L17="NOPROMO", test_WS_QUOTE!$C17, IF(RIGHT(L17,1)="%", test_WS_QUOTE!$C17 * (1 - VALUE(SUBSTITUTE(L17,"%","")) / 100), test_WS_QUOTE!$C17 - VALUE(L17)))</f>
        <v>0</v>
      </c>
      <c r="L17" s="686"/>
      <c r="M17" s="694">
        <f>IF(N17="NOPROMO", test_WS_QUOTE!$C17, IF(RIGHT(N17,1)="%", test_WS_QUOTE!$C17 * (1 - VALUE(SUBSTITUTE(N17,"%","")) / 100), test_WS_QUOTE!$C17 - VALUE(N17)))</f>
        <v>0</v>
      </c>
      <c r="N17" s="686"/>
      <c r="O17" s="695">
        <f>IF(P17="NOPROMO", test_WS_QUOTE!$C17, IF(RIGHT(P17,1)="%", test_WS_QUOTE!$C17 * (1 - VALUE(SUBSTITUTE(P17,"%","")) / 100), test_WS_QUOTE!$C17 - VALUE(P17)))</f>
        <v>0</v>
      </c>
      <c r="P17" s="686"/>
      <c r="Q17" s="696">
        <f>IF(R17="NOPROMO", test_WS_QUOTE!$C17, IF(RIGHT(R17,1)="%", test_WS_QUOTE!$C17 * (1 - VALUE(SUBSTITUTE(R17,"%","")) / 100), test_WS_QUOTE!$C17 - VALUE(R17)))</f>
        <v>0</v>
      </c>
      <c r="R17" s="686"/>
      <c r="S17" s="697">
        <f>IF(T17="NOPROMO", test_WS_QUOTE!$C17, IF(RIGHT(T17,1)="%", test_WS_QUOTE!$C17 * (1 - VALUE(SUBSTITUTE(T17,"%","")) / 100), test_WS_QUOTE!$C17 - VALUE(T17)))</f>
        <v>0</v>
      </c>
      <c r="T17" s="686"/>
      <c r="U17" s="698">
        <f>IF(V17="NOPROMO", test_WS_QUOTE!$C17, IF(RIGHT(V17,1)="%", test_WS_QUOTE!$C17 * (1 - VALUE(SUBSTITUTE(V17,"%","")) / 100), test_WS_QUOTE!$C17 - VALUE(V17)))</f>
        <v>0</v>
      </c>
      <c r="V17" s="686"/>
      <c r="W17" s="699">
        <f>IF(X17="NOPROMO", test_WS_QUOTE!$C17, IF(RIGHT(X17,1)="%", test_WS_QUOTE!$C17 * (1 - VALUE(SUBSTITUTE(X17,"%","")) / 100), test_WS_QUOTE!$C17 - VALUE(X17)))</f>
        <v>0</v>
      </c>
      <c r="X17" s="686"/>
      <c r="Y17" s="678">
        <f>IF(Z17="NOPROMO", test_WS_QUOTE!$C17, IF(RIGHT(Z17,1)="%", test_WS_QUOTE!$C17 * (1 - VALUE(SUBSTITUTE(Z17,"%","")) / 100), test_WS_QUOTE!$C17 - VALUE(Z17)))</f>
        <v>0</v>
      </c>
      <c r="Z17" s="686"/>
      <c r="AA17" s="700">
        <f>IF(AB17="NOPROMO", test_WS_QUOTE!$C17, IF(RIGHT(AB17,1)="%", test_WS_QUOTE!$C17 * (1 - VALUE(SUBSTITUTE(AB17,"%","")) / 100), test_WS_QUOTE!$C17 - VALUE(AB17)))</f>
        <v>0</v>
      </c>
      <c r="AB17" s="686"/>
      <c r="AC17" s="680">
        <f>IF(AD17="NOPROMO", test_WS_QUOTE!$C17, IF(RIGHT(AD17,1)="%", test_WS_QUOTE!$C17 * (1 - VALUE(SUBSTITUTE(AD17,"%","")) / 100), test_WS_QUOTE!$C17 - VALUE(AD17)))</f>
        <v>0</v>
      </c>
      <c r="AD17" s="681"/>
      <c r="AE17" s="685"/>
      <c r="AF17" s="662" t="s">
        <v>2983</v>
      </c>
      <c r="AG17" s="663" t="s">
        <v>2972</v>
      </c>
    </row>
    <row r="18">
      <c r="A18" s="609"/>
      <c r="B18" s="689"/>
      <c r="C18" s="665">
        <f>IF(D18="NOPROMO", test_WS_QUOTE!$C18, IF(RIGHT(D18,1)="%", test_WS_QUOTE!$C18 * (1 - VALUE(SUBSTITUTE(D18,"%","")) / 100), test_WS_QUOTE!$C18 - VALUE(D18)))</f>
        <v>0</v>
      </c>
      <c r="D18" s="690"/>
      <c r="E18" s="667">
        <f>IF(F18="NOPROMO", test_WS_QUOTE!$C18, IF(RIGHT(F18,1)="%", test_WS_QUOTE!$C18 * (1 - VALUE(SUBSTITUTE(F18,"%","")) / 100), test_WS_QUOTE!$C18 - VALUE(F18)))</f>
        <v>0</v>
      </c>
      <c r="F18" s="690"/>
      <c r="G18" s="691">
        <f>IF(H18="NOPROMO", test_WS_QUOTE!$C18, IF(RIGHT(H18,1)="%", test_WS_QUOTE!$C18 * (1 - VALUE(SUBSTITUTE(H18,"%","")) / 100), test_WS_QUOTE!$C18 - VALUE(H18)))</f>
        <v>0</v>
      </c>
      <c r="H18" s="686"/>
      <c r="I18" s="692">
        <f>IF(J18="NOPROMO", test_WS_QUOTE!$C18, IF(RIGHT(J18,1)="%", test_WS_QUOTE!$C18 * (1 - VALUE(SUBSTITUTE(J18,"%","")) / 100), test_WS_QUOTE!$C18 - VALUE(J18)))</f>
        <v>0</v>
      </c>
      <c r="J18" s="686"/>
      <c r="K18" s="693">
        <f>IF(L18="NOPROMO", test_WS_QUOTE!$C18, IF(RIGHT(L18,1)="%", test_WS_QUOTE!$C18 * (1 - VALUE(SUBSTITUTE(L18,"%","")) / 100), test_WS_QUOTE!$C18 - VALUE(L18)))</f>
        <v>0</v>
      </c>
      <c r="L18" s="686"/>
      <c r="M18" s="694">
        <f>IF(N18="NOPROMO", test_WS_QUOTE!$C18, IF(RIGHT(N18,1)="%", test_WS_QUOTE!$C18 * (1 - VALUE(SUBSTITUTE(N18,"%","")) / 100), test_WS_QUOTE!$C18 - VALUE(N18)))</f>
        <v>0</v>
      </c>
      <c r="N18" s="686"/>
      <c r="O18" s="695">
        <f>IF(P18="NOPROMO", test_WS_QUOTE!$C18, IF(RIGHT(P18,1)="%", test_WS_QUOTE!$C18 * (1 - VALUE(SUBSTITUTE(P18,"%","")) / 100), test_WS_QUOTE!$C18 - VALUE(P18)))</f>
        <v>0</v>
      </c>
      <c r="P18" s="686"/>
      <c r="Q18" s="696">
        <f>IF(R18="NOPROMO", test_WS_QUOTE!$C18, IF(RIGHT(R18,1)="%", test_WS_QUOTE!$C18 * (1 - VALUE(SUBSTITUTE(R18,"%","")) / 100), test_WS_QUOTE!$C18 - VALUE(R18)))</f>
        <v>0</v>
      </c>
      <c r="R18" s="686"/>
      <c r="S18" s="697">
        <f>IF(T18="NOPROMO", test_WS_QUOTE!$C18, IF(RIGHT(T18,1)="%", test_WS_QUOTE!$C18 * (1 - VALUE(SUBSTITUTE(T18,"%","")) / 100), test_WS_QUOTE!$C18 - VALUE(T18)))</f>
        <v>0</v>
      </c>
      <c r="T18" s="686"/>
      <c r="U18" s="698">
        <f>IF(V18="NOPROMO", test_WS_QUOTE!$C18, IF(RIGHT(V18,1)="%", test_WS_QUOTE!$C18 * (1 - VALUE(SUBSTITUTE(V18,"%","")) / 100), test_WS_QUOTE!$C18 - VALUE(V18)))</f>
        <v>0</v>
      </c>
      <c r="V18" s="686"/>
      <c r="W18" s="699">
        <f>IF(X18="NOPROMO", test_WS_QUOTE!$C18, IF(RIGHT(X18,1)="%", test_WS_QUOTE!$C18 * (1 - VALUE(SUBSTITUTE(X18,"%","")) / 100), test_WS_QUOTE!$C18 - VALUE(X18)))</f>
        <v>0</v>
      </c>
      <c r="X18" s="686"/>
      <c r="Y18" s="678">
        <f>IF(Z18="NOPROMO", test_WS_QUOTE!$C18, IF(RIGHT(Z18,1)="%", test_WS_QUOTE!$C18 * (1 - VALUE(SUBSTITUTE(Z18,"%","")) / 100), test_WS_QUOTE!$C18 - VALUE(Z18)))</f>
        <v>0</v>
      </c>
      <c r="Z18" s="686"/>
      <c r="AA18" s="700">
        <f>IF(AB18="NOPROMO", test_WS_QUOTE!$C18, IF(RIGHT(AB18,1)="%", test_WS_QUOTE!$C18 * (1 - VALUE(SUBSTITUTE(AB18,"%","")) / 100), test_WS_QUOTE!$C18 - VALUE(AB18)))</f>
        <v>0</v>
      </c>
      <c r="AB18" s="686"/>
      <c r="AC18" s="680">
        <f>IF(AD18="NOPROMO", test_WS_QUOTE!$C18, IF(RIGHT(AD18,1)="%", test_WS_QUOTE!$C18 * (1 - VALUE(SUBSTITUTE(AD18,"%","")) / 100), test_WS_QUOTE!$C18 - VALUE(AD18)))</f>
        <v>0</v>
      </c>
      <c r="AD18" s="681"/>
      <c r="AE18" s="685"/>
      <c r="AF18" s="682" t="s">
        <v>1965</v>
      </c>
      <c r="AG18" s="663" t="s">
        <v>2970</v>
      </c>
    </row>
    <row r="19">
      <c r="A19" s="609"/>
      <c r="B19" s="689"/>
      <c r="C19" s="665">
        <f>IF(D19="NOPROMO", test_WS_QUOTE!$C19, IF(RIGHT(D19,1)="%", test_WS_QUOTE!$C19 * (1 - VALUE(SUBSTITUTE(D19,"%","")) / 100), test_WS_QUOTE!$C19 - VALUE(D19)))</f>
        <v>0</v>
      </c>
      <c r="D19" s="701"/>
      <c r="E19" s="667">
        <f>IF(F19="NOPROMO", test_WS_QUOTE!$C19, IF(RIGHT(F19,1)="%", test_WS_QUOTE!$C19 * (1 - VALUE(SUBSTITUTE(F19,"%","")) / 100), test_WS_QUOTE!$C19 - VALUE(F19)))</f>
        <v>0</v>
      </c>
      <c r="F19" s="690"/>
      <c r="G19" s="691">
        <f>IF(H19="NOPROMO", test_WS_QUOTE!$C19, IF(RIGHT(H19,1)="%", test_WS_QUOTE!$C19 * (1 - VALUE(SUBSTITUTE(H19,"%","")) / 100), test_WS_QUOTE!$C19 - VALUE(H19)))</f>
        <v>0</v>
      </c>
      <c r="H19" s="686"/>
      <c r="I19" s="692">
        <f>IF(J19="NOPROMO", test_WS_QUOTE!$C19, IF(RIGHT(J19,1)="%", test_WS_QUOTE!$C19 * (1 - VALUE(SUBSTITUTE(J19,"%","")) / 100), test_WS_QUOTE!$C19 - VALUE(J19)))</f>
        <v>0</v>
      </c>
      <c r="J19" s="686"/>
      <c r="K19" s="693">
        <f>IF(L19="NOPROMO", test_WS_QUOTE!$C19, IF(RIGHT(L19,1)="%", test_WS_QUOTE!$C19 * (1 - VALUE(SUBSTITUTE(L19,"%","")) / 100), test_WS_QUOTE!$C19 - VALUE(L19)))</f>
        <v>0</v>
      </c>
      <c r="L19" s="686"/>
      <c r="M19" s="694">
        <f>IF(N19="NOPROMO", test_WS_QUOTE!$C19, IF(RIGHT(N19,1)="%", test_WS_QUOTE!$C19 * (1 - VALUE(SUBSTITUTE(N19,"%","")) / 100), test_WS_QUOTE!$C19 - VALUE(N19)))</f>
        <v>0</v>
      </c>
      <c r="N19" s="686"/>
      <c r="O19" s="695">
        <f>IF(P19="NOPROMO", test_WS_QUOTE!$C19, IF(RIGHT(P19,1)="%", test_WS_QUOTE!$C19 * (1 - VALUE(SUBSTITUTE(P19,"%","")) / 100), test_WS_QUOTE!$C19 - VALUE(P19)))</f>
        <v>0</v>
      </c>
      <c r="P19" s="686"/>
      <c r="Q19" s="696">
        <f>IF(R19="NOPROMO", test_WS_QUOTE!$C19, IF(RIGHT(R19,1)="%", test_WS_QUOTE!$C19 * (1 - VALUE(SUBSTITUTE(R19,"%","")) / 100), test_WS_QUOTE!$C19 - VALUE(R19)))</f>
        <v>0</v>
      </c>
      <c r="R19" s="686"/>
      <c r="S19" s="697">
        <f>IF(T19="NOPROMO", test_WS_QUOTE!$C19, IF(RIGHT(T19,1)="%", test_WS_QUOTE!$C19 * (1 - VALUE(SUBSTITUTE(T19,"%","")) / 100), test_WS_QUOTE!$C19 - VALUE(T19)))</f>
        <v>0</v>
      </c>
      <c r="T19" s="686"/>
      <c r="U19" s="698">
        <f>IF(V19="NOPROMO", test_WS_QUOTE!$C19, IF(RIGHT(V19,1)="%", test_WS_QUOTE!$C19 * (1 - VALUE(SUBSTITUTE(V19,"%","")) / 100), test_WS_QUOTE!$C19 - VALUE(V19)))</f>
        <v>0</v>
      </c>
      <c r="V19" s="686"/>
      <c r="W19" s="699">
        <f>IF(X19="NOPROMO", test_WS_QUOTE!$C19, IF(RIGHT(X19,1)="%", test_WS_QUOTE!$C19 * (1 - VALUE(SUBSTITUTE(X19,"%","")) / 100), test_WS_QUOTE!$C19 - VALUE(X19)))</f>
        <v>0</v>
      </c>
      <c r="X19" s="686"/>
      <c r="Y19" s="678">
        <f>IF(Z19="NOPROMO", test_WS_QUOTE!$C19, IF(RIGHT(Z19,1)="%", test_WS_QUOTE!$C19 * (1 - VALUE(SUBSTITUTE(Z19,"%","")) / 100), test_WS_QUOTE!$C19 - VALUE(Z19)))</f>
        <v>0</v>
      </c>
      <c r="Z19" s="686"/>
      <c r="AA19" s="700">
        <f>IF(AB19="NOPROMO", test_WS_QUOTE!$C19, IF(RIGHT(AB19,1)="%", test_WS_QUOTE!$C19 * (1 - VALUE(SUBSTITUTE(AB19,"%","")) / 100), test_WS_QUOTE!$C19 - VALUE(AB19)))</f>
        <v>0</v>
      </c>
      <c r="AB19" s="686"/>
      <c r="AC19" s="680">
        <f>IF(AD19="NOPROMO", test_WS_QUOTE!$C19, IF(RIGHT(AD19,1)="%", test_WS_QUOTE!$C19 * (1 - VALUE(SUBSTITUTE(AD19,"%","")) / 100), test_WS_QUOTE!$C19 - VALUE(AD19)))</f>
        <v>0</v>
      </c>
      <c r="AD19" s="681"/>
      <c r="AE19" s="702"/>
      <c r="AF19" s="662" t="s">
        <v>2984</v>
      </c>
      <c r="AG19" s="663" t="s">
        <v>2972</v>
      </c>
    </row>
    <row r="20">
      <c r="A20" s="609"/>
      <c r="B20" s="689"/>
      <c r="C20" s="665">
        <f>IF(D20="NOPROMO", test_WS_QUOTE!$C20, IF(RIGHT(D20,1)="%", test_WS_QUOTE!$C20 * (1 - VALUE(SUBSTITUTE(D20,"%","")) / 100), test_WS_QUOTE!$C20 - VALUE(D20)))</f>
        <v>0</v>
      </c>
      <c r="D20" s="701"/>
      <c r="E20" s="667">
        <f>IF(F20="NOPROMO", test_WS_QUOTE!$C20, IF(RIGHT(F20,1)="%", test_WS_QUOTE!$C20 * (1 - VALUE(SUBSTITUTE(F20,"%","")) / 100), test_WS_QUOTE!$C20 - VALUE(F20)))</f>
        <v>0</v>
      </c>
      <c r="F20" s="690"/>
      <c r="G20" s="691">
        <f>IF(H20="NOPROMO", test_WS_QUOTE!$C20, IF(RIGHT(H20,1)="%", test_WS_QUOTE!$C20 * (1 - VALUE(SUBSTITUTE(H20,"%","")) / 100), test_WS_QUOTE!$C20 - VALUE(H20)))</f>
        <v>0</v>
      </c>
      <c r="H20" s="686"/>
      <c r="I20" s="692">
        <f>IF(J20="NOPROMO", test_WS_QUOTE!$C20, IF(RIGHT(J20,1)="%", test_WS_QUOTE!$C20 * (1 - VALUE(SUBSTITUTE(J20,"%","")) / 100), test_WS_QUOTE!$C20 - VALUE(J20)))</f>
        <v>0</v>
      </c>
      <c r="J20" s="686"/>
      <c r="K20" s="693">
        <f>IF(L20="NOPROMO", test_WS_QUOTE!$C20, IF(RIGHT(L20,1)="%", test_WS_QUOTE!$C20 * (1 - VALUE(SUBSTITUTE(L20,"%","")) / 100), test_WS_QUOTE!$C20 - VALUE(L20)))</f>
        <v>0</v>
      </c>
      <c r="L20" s="686"/>
      <c r="M20" s="694">
        <f>IF(N20="NOPROMO", test_WS_QUOTE!$C20, IF(RIGHT(N20,1)="%", test_WS_QUOTE!$C20 * (1 - VALUE(SUBSTITUTE(N20,"%","")) / 100), test_WS_QUOTE!$C20 - VALUE(N20)))</f>
        <v>0</v>
      </c>
      <c r="N20" s="686"/>
      <c r="O20" s="695">
        <f>IF(P20="NOPROMO", test_WS_QUOTE!$C20, IF(RIGHT(P20,1)="%", test_WS_QUOTE!$C20 * (1 - VALUE(SUBSTITUTE(P20,"%","")) / 100), test_WS_QUOTE!$C20 - VALUE(P20)))</f>
        <v>0</v>
      </c>
      <c r="P20" s="686"/>
      <c r="Q20" s="696">
        <f>IF(R20="NOPROMO", test_WS_QUOTE!$C20, IF(RIGHT(R20,1)="%", test_WS_QUOTE!$C20 * (1 - VALUE(SUBSTITUTE(R20,"%","")) / 100), test_WS_QUOTE!$C20 - VALUE(R20)))</f>
        <v>0</v>
      </c>
      <c r="R20" s="686"/>
      <c r="S20" s="697">
        <f>IF(T20="NOPROMO", test_WS_QUOTE!$C20, IF(RIGHT(T20,1)="%", test_WS_QUOTE!$C20 * (1 - VALUE(SUBSTITUTE(T20,"%","")) / 100), test_WS_QUOTE!$C20 - VALUE(T20)))</f>
        <v>0</v>
      </c>
      <c r="T20" s="686"/>
      <c r="U20" s="698">
        <f>IF(V20="NOPROMO", test_WS_QUOTE!$C20, IF(RIGHT(V20,1)="%", test_WS_QUOTE!$C20 * (1 - VALUE(SUBSTITUTE(V20,"%","")) / 100), test_WS_QUOTE!$C20 - VALUE(V20)))</f>
        <v>0</v>
      </c>
      <c r="V20" s="686"/>
      <c r="W20" s="699">
        <f>IF(X20="NOPROMO", test_WS_QUOTE!$C20, IF(RIGHT(X20,1)="%", test_WS_QUOTE!$C20 * (1 - VALUE(SUBSTITUTE(X20,"%","")) / 100), test_WS_QUOTE!$C20 - VALUE(X20)))</f>
        <v>0</v>
      </c>
      <c r="X20" s="686"/>
      <c r="Y20" s="678">
        <f>IF(Z20="NOPROMO", test_WS_QUOTE!$C20, IF(RIGHT(Z20,1)="%", test_WS_QUOTE!$C20 * (1 - VALUE(SUBSTITUTE(Z20,"%","")) / 100), test_WS_QUOTE!$C20 - VALUE(Z20)))</f>
        <v>0</v>
      </c>
      <c r="Z20" s="686"/>
      <c r="AA20" s="700">
        <f>IF(AB20="NOPROMO", test_WS_QUOTE!$C20, IF(RIGHT(AB20,1)="%", test_WS_QUOTE!$C20 * (1 - VALUE(SUBSTITUTE(AB20,"%","")) / 100), test_WS_QUOTE!$C20 - VALUE(AB20)))</f>
        <v>0</v>
      </c>
      <c r="AB20" s="686"/>
      <c r="AC20" s="680">
        <f>IF(AD20="NOPROMO", test_WS_QUOTE!$C20, IF(RIGHT(AD20,1)="%", test_WS_QUOTE!$C20 * (1 - VALUE(SUBSTITUTE(AD20,"%","")) / 100), test_WS_QUOTE!$C20 - VALUE(AD20)))</f>
        <v>0</v>
      </c>
      <c r="AD20" s="681"/>
      <c r="AE20" s="702"/>
      <c r="AF20" s="662" t="s">
        <v>2985</v>
      </c>
      <c r="AG20" s="663" t="s">
        <v>2972</v>
      </c>
    </row>
    <row r="21">
      <c r="A21" s="609"/>
      <c r="B21" s="689"/>
      <c r="C21" s="665">
        <f>IF(D21="NOPROMO", test_WS_QUOTE!$C21, IF(RIGHT(D21,1)="%", test_WS_QUOTE!$C21 * (1 - VALUE(SUBSTITUTE(D21,"%","")) / 100), test_WS_QUOTE!$C21 - VALUE(D21)))</f>
        <v>0</v>
      </c>
      <c r="D21" s="701"/>
      <c r="E21" s="667">
        <f>IF(F21="NOPROMO", test_WS_QUOTE!$C21, IF(RIGHT(F21,1)="%", test_WS_QUOTE!$C21 * (1 - VALUE(SUBSTITUTE(F21,"%","")) / 100), test_WS_QUOTE!$C21 - VALUE(F21)))</f>
        <v>0</v>
      </c>
      <c r="F21" s="690"/>
      <c r="G21" s="691">
        <f>IF(H21="NOPROMO", test_WS_QUOTE!$C21, IF(RIGHT(H21,1)="%", test_WS_QUOTE!$C21 * (1 - VALUE(SUBSTITUTE(H21,"%","")) / 100), test_WS_QUOTE!$C21 - VALUE(H21)))</f>
        <v>0</v>
      </c>
      <c r="H21" s="686"/>
      <c r="I21" s="692">
        <f>IF(J21="NOPROMO", test_WS_QUOTE!$C21, IF(RIGHT(J21,1)="%", test_WS_QUOTE!$C21 * (1 - VALUE(SUBSTITUTE(J21,"%","")) / 100), test_WS_QUOTE!$C21 - VALUE(J21)))</f>
        <v>0</v>
      </c>
      <c r="J21" s="686"/>
      <c r="K21" s="693">
        <f>IF(L21="NOPROMO", test_WS_QUOTE!$C21, IF(RIGHT(L21,1)="%", test_WS_QUOTE!$C21 * (1 - VALUE(SUBSTITUTE(L21,"%","")) / 100), test_WS_QUOTE!$C21 - VALUE(L21)))</f>
        <v>0</v>
      </c>
      <c r="L21" s="686"/>
      <c r="M21" s="694">
        <f>IF(N21="NOPROMO", test_WS_QUOTE!$C21, IF(RIGHT(N21,1)="%", test_WS_QUOTE!$C21 * (1 - VALUE(SUBSTITUTE(N21,"%","")) / 100), test_WS_QUOTE!$C21 - VALUE(N21)))</f>
        <v>0</v>
      </c>
      <c r="N21" s="686"/>
      <c r="O21" s="695">
        <f>IF(P21="NOPROMO", test_WS_QUOTE!$C21, IF(RIGHT(P21,1)="%", test_WS_QUOTE!$C21 * (1 - VALUE(SUBSTITUTE(P21,"%","")) / 100), test_WS_QUOTE!$C21 - VALUE(P21)))</f>
        <v>0</v>
      </c>
      <c r="P21" s="686"/>
      <c r="Q21" s="696">
        <f>IF(R21="NOPROMO", test_WS_QUOTE!$C21, IF(RIGHT(R21,1)="%", test_WS_QUOTE!$C21 * (1 - VALUE(SUBSTITUTE(R21,"%","")) / 100), test_WS_QUOTE!$C21 - VALUE(R21)))</f>
        <v>0</v>
      </c>
      <c r="R21" s="686"/>
      <c r="S21" s="697">
        <f>IF(T21="NOPROMO", test_WS_QUOTE!$C21, IF(RIGHT(T21,1)="%", test_WS_QUOTE!$C21 * (1 - VALUE(SUBSTITUTE(T21,"%","")) / 100), test_WS_QUOTE!$C21 - VALUE(T21)))</f>
        <v>0</v>
      </c>
      <c r="T21" s="686"/>
      <c r="U21" s="698">
        <f>IF(V21="NOPROMO", test_WS_QUOTE!$C21, IF(RIGHT(V21,1)="%", test_WS_QUOTE!$C21 * (1 - VALUE(SUBSTITUTE(V21,"%","")) / 100), test_WS_QUOTE!$C21 - VALUE(V21)))</f>
        <v>0</v>
      </c>
      <c r="V21" s="686"/>
      <c r="W21" s="699">
        <f>IF(X21="NOPROMO", test_WS_QUOTE!$C21, IF(RIGHT(X21,1)="%", test_WS_QUOTE!$C21 * (1 - VALUE(SUBSTITUTE(X21,"%","")) / 100), test_WS_QUOTE!$C21 - VALUE(X21)))</f>
        <v>0</v>
      </c>
      <c r="X21" s="686"/>
      <c r="Y21" s="678">
        <f>IF(Z21="NOPROMO", test_WS_QUOTE!$C21, IF(RIGHT(Z21,1)="%", test_WS_QUOTE!$C21 * (1 - VALUE(SUBSTITUTE(Z21,"%","")) / 100), test_WS_QUOTE!$C21 - VALUE(Z21)))</f>
        <v>0</v>
      </c>
      <c r="Z21" s="686"/>
      <c r="AA21" s="700">
        <f>IF(AB21="NOPROMO", test_WS_QUOTE!$C21, IF(RIGHT(AB21,1)="%", test_WS_QUOTE!$C21 * (1 - VALUE(SUBSTITUTE(AB21,"%","")) / 100), test_WS_QUOTE!$C21 - VALUE(AB21)))</f>
        <v>0</v>
      </c>
      <c r="AB21" s="686"/>
      <c r="AC21" s="680">
        <f>IF(AD21="NOPROMO", test_WS_QUOTE!$C21, IF(RIGHT(AD21,1)="%", test_WS_QUOTE!$C21 * (1 - VALUE(SUBSTITUTE(AD21,"%","")) / 100), test_WS_QUOTE!$C21 - VALUE(AD21)))</f>
        <v>0</v>
      </c>
      <c r="AD21" s="681"/>
      <c r="AE21" s="702"/>
      <c r="AF21" s="682" t="s">
        <v>2986</v>
      </c>
      <c r="AG21" s="663" t="s">
        <v>2987</v>
      </c>
    </row>
    <row r="22">
      <c r="A22" s="609"/>
      <c r="B22" s="689"/>
      <c r="C22" s="665">
        <f>IF(D22="NOPROMO", test_WS_QUOTE!$C22, IF(RIGHT(D22,1)="%", test_WS_QUOTE!$C22 * (1 - VALUE(SUBSTITUTE(D22,"%","")) / 100), test_WS_QUOTE!$C22 - VALUE(D22)))</f>
        <v>0</v>
      </c>
      <c r="D22" s="701"/>
      <c r="E22" s="667">
        <f>IF(F22="NOPROMO", test_WS_QUOTE!$C22, IF(RIGHT(F22,1)="%", test_WS_QUOTE!$C22 * (1 - VALUE(SUBSTITUTE(F22,"%","")) / 100), test_WS_QUOTE!$C22 - VALUE(F22)))</f>
        <v>0</v>
      </c>
      <c r="F22" s="690"/>
      <c r="G22" s="691">
        <f>IF(H22="NOPROMO", test_WS_QUOTE!$C22, IF(RIGHT(H22,1)="%", test_WS_QUOTE!$C22 * (1 - VALUE(SUBSTITUTE(H22,"%","")) / 100), test_WS_QUOTE!$C22 - VALUE(H22)))</f>
        <v>0</v>
      </c>
      <c r="H22" s="686"/>
      <c r="I22" s="692">
        <f>IF(J22="NOPROMO", test_WS_QUOTE!$C22, IF(RIGHT(J22,1)="%", test_WS_QUOTE!$C22 * (1 - VALUE(SUBSTITUTE(J22,"%","")) / 100), test_WS_QUOTE!$C22 - VALUE(J22)))</f>
        <v>0</v>
      </c>
      <c r="J22" s="686"/>
      <c r="K22" s="693">
        <f>IF(L22="NOPROMO", test_WS_QUOTE!$C22, IF(RIGHT(L22,1)="%", test_WS_QUOTE!$C22 * (1 - VALUE(SUBSTITUTE(L22,"%","")) / 100), test_WS_QUOTE!$C22 - VALUE(L22)))</f>
        <v>0</v>
      </c>
      <c r="L22" s="686"/>
      <c r="M22" s="694">
        <f>IF(N22="NOPROMO", test_WS_QUOTE!$C22, IF(RIGHT(N22,1)="%", test_WS_QUOTE!$C22 * (1 - VALUE(SUBSTITUTE(N22,"%","")) / 100), test_WS_QUOTE!$C22 - VALUE(N22)))</f>
        <v>0</v>
      </c>
      <c r="N22" s="686"/>
      <c r="O22" s="695">
        <f>IF(P22="NOPROMO", test_WS_QUOTE!$C22, IF(RIGHT(P22,1)="%", test_WS_QUOTE!$C22 * (1 - VALUE(SUBSTITUTE(P22,"%","")) / 100), test_WS_QUOTE!$C22 - VALUE(P22)))</f>
        <v>0</v>
      </c>
      <c r="P22" s="686"/>
      <c r="Q22" s="696">
        <f>IF(R22="NOPROMO", test_WS_QUOTE!$C22, IF(RIGHT(R22,1)="%", test_WS_QUOTE!$C22 * (1 - VALUE(SUBSTITUTE(R22,"%","")) / 100), test_WS_QUOTE!$C22 - VALUE(R22)))</f>
        <v>0</v>
      </c>
      <c r="R22" s="686"/>
      <c r="S22" s="697">
        <f>IF(T22="NOPROMO", test_WS_QUOTE!$C22, IF(RIGHT(T22,1)="%", test_WS_QUOTE!$C22 * (1 - VALUE(SUBSTITUTE(T22,"%","")) / 100), test_WS_QUOTE!$C22 - VALUE(T22)))</f>
        <v>0</v>
      </c>
      <c r="T22" s="686"/>
      <c r="U22" s="698">
        <f>IF(V22="NOPROMO", test_WS_QUOTE!$C22, IF(RIGHT(V22,1)="%", test_WS_QUOTE!$C22 * (1 - VALUE(SUBSTITUTE(V22,"%","")) / 100), test_WS_QUOTE!$C22 - VALUE(V22)))</f>
        <v>0</v>
      </c>
      <c r="V22" s="686"/>
      <c r="W22" s="699">
        <f>IF(X22="NOPROMO", test_WS_QUOTE!$C22, IF(RIGHT(X22,1)="%", test_WS_QUOTE!$C22 * (1 - VALUE(SUBSTITUTE(X22,"%","")) / 100), test_WS_QUOTE!$C22 - VALUE(X22)))</f>
        <v>0</v>
      </c>
      <c r="X22" s="686"/>
      <c r="Y22" s="678">
        <f>IF(Z22="NOPROMO", test_WS_QUOTE!$C22, IF(RIGHT(Z22,1)="%", test_WS_QUOTE!$C22 * (1 - VALUE(SUBSTITUTE(Z22,"%","")) / 100), test_WS_QUOTE!$C22 - VALUE(Z22)))</f>
        <v>0</v>
      </c>
      <c r="Z22" s="686"/>
      <c r="AA22" s="700">
        <f>IF(AB22="NOPROMO", test_WS_QUOTE!$C22, IF(RIGHT(AB22,1)="%", test_WS_QUOTE!$C22 * (1 - VALUE(SUBSTITUTE(AB22,"%","")) / 100), test_WS_QUOTE!$C22 - VALUE(AB22)))</f>
        <v>0</v>
      </c>
      <c r="AB22" s="686"/>
      <c r="AC22" s="680">
        <f>IF(AD22="NOPROMO", test_WS_QUOTE!$C22, IF(RIGHT(AD22,1)="%", test_WS_QUOTE!$C22 * (1 - VALUE(SUBSTITUTE(AD22,"%","")) / 100), test_WS_QUOTE!$C22 - VALUE(AD22)))</f>
        <v>0</v>
      </c>
      <c r="AD22" s="681"/>
      <c r="AE22" s="702"/>
      <c r="AF22" s="662"/>
      <c r="AG22" s="663"/>
    </row>
    <row r="23">
      <c r="A23" s="609"/>
      <c r="B23" s="689"/>
      <c r="C23" s="665">
        <f>IF(D23="NOPROMO", test_WS_QUOTE!$C23, IF(RIGHT(D23,1)="%", test_WS_QUOTE!$C23 * (1 - VALUE(SUBSTITUTE(D23,"%","")) / 100), test_WS_QUOTE!$C23 - VALUE(D23)))</f>
        <v>0</v>
      </c>
      <c r="D23" s="701"/>
      <c r="E23" s="667">
        <f>IF(F23="NOPROMO", test_WS_QUOTE!$C23, IF(RIGHT(F23,1)="%", test_WS_QUOTE!$C23 * (1 - VALUE(SUBSTITUTE(F23,"%","")) / 100), test_WS_QUOTE!$C23 - VALUE(F23)))</f>
        <v>0</v>
      </c>
      <c r="F23" s="690"/>
      <c r="G23" s="691">
        <f>IF(H23="NOPROMO", test_WS_QUOTE!$C23, IF(RIGHT(H23,1)="%", test_WS_QUOTE!$C23 * (1 - VALUE(SUBSTITUTE(H23,"%","")) / 100), test_WS_QUOTE!$C23 - VALUE(H23)))</f>
        <v>0</v>
      </c>
      <c r="H23" s="686"/>
      <c r="I23" s="692">
        <f>IF(J23="NOPROMO", test_WS_QUOTE!$C23, IF(RIGHT(J23,1)="%", test_WS_QUOTE!$C23 * (1 - VALUE(SUBSTITUTE(J23,"%","")) / 100), test_WS_QUOTE!$C23 - VALUE(J23)))</f>
        <v>0</v>
      </c>
      <c r="J23" s="686"/>
      <c r="K23" s="693">
        <f>IF(L23="NOPROMO", test_WS_QUOTE!$C23, IF(RIGHT(L23,1)="%", test_WS_QUOTE!$C23 * (1 - VALUE(SUBSTITUTE(L23,"%","")) / 100), test_WS_QUOTE!$C23 - VALUE(L23)))</f>
        <v>0</v>
      </c>
      <c r="L23" s="686"/>
      <c r="M23" s="694">
        <f>IF(N23="NOPROMO", test_WS_QUOTE!$C23, IF(RIGHT(N23,1)="%", test_WS_QUOTE!$C23 * (1 - VALUE(SUBSTITUTE(N23,"%","")) / 100), test_WS_QUOTE!$C23 - VALUE(N23)))</f>
        <v>0</v>
      </c>
      <c r="N23" s="686"/>
      <c r="O23" s="695">
        <f>IF(P23="NOPROMO", test_WS_QUOTE!$C23, IF(RIGHT(P23,1)="%", test_WS_QUOTE!$C23 * (1 - VALUE(SUBSTITUTE(P23,"%","")) / 100), test_WS_QUOTE!$C23 - VALUE(P23)))</f>
        <v>0</v>
      </c>
      <c r="P23" s="686"/>
      <c r="Q23" s="696">
        <f>IF(R23="NOPROMO", test_WS_QUOTE!$C23, IF(RIGHT(R23,1)="%", test_WS_QUOTE!$C23 * (1 - VALUE(SUBSTITUTE(R23,"%","")) / 100), test_WS_QUOTE!$C23 - VALUE(R23)))</f>
        <v>0</v>
      </c>
      <c r="R23" s="686"/>
      <c r="S23" s="697">
        <f>IF(T23="NOPROMO", test_WS_QUOTE!$C23, IF(RIGHT(T23,1)="%", test_WS_QUOTE!$C23 * (1 - VALUE(SUBSTITUTE(T23,"%","")) / 100), test_WS_QUOTE!$C23 - VALUE(T23)))</f>
        <v>0</v>
      </c>
      <c r="T23" s="686"/>
      <c r="U23" s="698">
        <f>IF(V23="NOPROMO", test_WS_QUOTE!$C23, IF(RIGHT(V23,1)="%", test_WS_QUOTE!$C23 * (1 - VALUE(SUBSTITUTE(V23,"%","")) / 100), test_WS_QUOTE!$C23 - VALUE(V23)))</f>
        <v>0</v>
      </c>
      <c r="V23" s="686"/>
      <c r="W23" s="699">
        <f>IF(X23="NOPROMO", test_WS_QUOTE!$C23, IF(RIGHT(X23,1)="%", test_WS_QUOTE!$C23 * (1 - VALUE(SUBSTITUTE(X23,"%","")) / 100), test_WS_QUOTE!$C23 - VALUE(X23)))</f>
        <v>0</v>
      </c>
      <c r="X23" s="686"/>
      <c r="Y23" s="678">
        <f>IF(Z23="NOPROMO", test_WS_QUOTE!$C23, IF(RIGHT(Z23,1)="%", test_WS_QUOTE!$C23 * (1 - VALUE(SUBSTITUTE(Z23,"%","")) / 100), test_WS_QUOTE!$C23 - VALUE(Z23)))</f>
        <v>0</v>
      </c>
      <c r="Z23" s="686"/>
      <c r="AA23" s="700">
        <f>IF(AB23="NOPROMO", test_WS_QUOTE!$C23, IF(RIGHT(AB23,1)="%", test_WS_QUOTE!$C23 * (1 - VALUE(SUBSTITUTE(AB23,"%","")) / 100), test_WS_QUOTE!$C23 - VALUE(AB23)))</f>
        <v>0</v>
      </c>
      <c r="AB23" s="686"/>
      <c r="AC23" s="680">
        <f>IF(AD23="NOPROMO", test_WS_QUOTE!$C23, IF(RIGHT(AD23,1)="%", test_WS_QUOTE!$C23 * (1 - VALUE(SUBSTITUTE(AD23,"%","")) / 100), test_WS_QUOTE!$C23 - VALUE(AD23)))</f>
        <v>0</v>
      </c>
      <c r="AD23" s="681"/>
      <c r="AE23" s="702"/>
      <c r="AF23" s="682"/>
      <c r="AG23" s="663"/>
    </row>
    <row r="24">
      <c r="A24" s="609"/>
      <c r="B24" s="689"/>
      <c r="C24" s="665">
        <f>IF(D24="NOPROMO", test_WS_QUOTE!$C24, IF(RIGHT(D24,1)="%", test_WS_QUOTE!$C24 * (1 - VALUE(SUBSTITUTE(D24,"%","")) / 100), test_WS_QUOTE!$C24 - VALUE(D24)))</f>
        <v>0</v>
      </c>
      <c r="D24" s="701"/>
      <c r="E24" s="667">
        <f>IF(F24="NOPROMO", test_WS_QUOTE!$C24, IF(RIGHT(F24,1)="%", test_WS_QUOTE!$C24 * (1 - VALUE(SUBSTITUTE(F24,"%","")) / 100), test_WS_QUOTE!$C24 - VALUE(F24)))</f>
        <v>0</v>
      </c>
      <c r="F24" s="690"/>
      <c r="G24" s="691">
        <f>IF(H24="NOPROMO", test_WS_QUOTE!$C24, IF(RIGHT(H24,1)="%", test_WS_QUOTE!$C24 * (1 - VALUE(SUBSTITUTE(H24,"%","")) / 100), test_WS_QUOTE!$C24 - VALUE(H24)))</f>
        <v>0</v>
      </c>
      <c r="H24" s="686"/>
      <c r="I24" s="692">
        <f>IF(J24="NOPROMO", test_WS_QUOTE!$C24, IF(RIGHT(J24,1)="%", test_WS_QUOTE!$C24 * (1 - VALUE(SUBSTITUTE(J24,"%","")) / 100), test_WS_QUOTE!$C24 - VALUE(J24)))</f>
        <v>0</v>
      </c>
      <c r="J24" s="686"/>
      <c r="K24" s="693">
        <f>IF(L24="NOPROMO", test_WS_QUOTE!$C24, IF(RIGHT(L24,1)="%", test_WS_QUOTE!$C24 * (1 - VALUE(SUBSTITUTE(L24,"%","")) / 100), test_WS_QUOTE!$C24 - VALUE(L24)))</f>
        <v>0</v>
      </c>
      <c r="L24" s="686"/>
      <c r="M24" s="694">
        <f>IF(N24="NOPROMO", test_WS_QUOTE!$C24, IF(RIGHT(N24,1)="%", test_WS_QUOTE!$C24 * (1 - VALUE(SUBSTITUTE(N24,"%","")) / 100), test_WS_QUOTE!$C24 - VALUE(N24)))</f>
        <v>0</v>
      </c>
      <c r="N24" s="686"/>
      <c r="O24" s="695">
        <f>IF(P24="NOPROMO", test_WS_QUOTE!$C24, IF(RIGHT(P24,1)="%", test_WS_QUOTE!$C24 * (1 - VALUE(SUBSTITUTE(P24,"%","")) / 100), test_WS_QUOTE!$C24 - VALUE(P24)))</f>
        <v>0</v>
      </c>
      <c r="P24" s="686"/>
      <c r="Q24" s="696">
        <f>IF(R24="NOPROMO", test_WS_QUOTE!$C24, IF(RIGHT(R24,1)="%", test_WS_QUOTE!$C24 * (1 - VALUE(SUBSTITUTE(R24,"%","")) / 100), test_WS_QUOTE!$C24 - VALUE(R24)))</f>
        <v>0</v>
      </c>
      <c r="R24" s="686"/>
      <c r="S24" s="697">
        <f>IF(T24="NOPROMO", test_WS_QUOTE!$C24, IF(RIGHT(T24,1)="%", test_WS_QUOTE!$C24 * (1 - VALUE(SUBSTITUTE(T24,"%","")) / 100), test_WS_QUOTE!$C24 - VALUE(T24)))</f>
        <v>0</v>
      </c>
      <c r="T24" s="686"/>
      <c r="U24" s="698">
        <f>IF(V24="NOPROMO", test_WS_QUOTE!$C24, IF(RIGHT(V24,1)="%", test_WS_QUOTE!$C24 * (1 - VALUE(SUBSTITUTE(V24,"%","")) / 100), test_WS_QUOTE!$C24 - VALUE(V24)))</f>
        <v>0</v>
      </c>
      <c r="V24" s="686"/>
      <c r="W24" s="699">
        <f>IF(X24="NOPROMO", test_WS_QUOTE!$C24, IF(RIGHT(X24,1)="%", test_WS_QUOTE!$C24 * (1 - VALUE(SUBSTITUTE(X24,"%","")) / 100), test_WS_QUOTE!$C24 - VALUE(X24)))</f>
        <v>0</v>
      </c>
      <c r="X24" s="686"/>
      <c r="Y24" s="678">
        <f>IF(Z24="NOPROMO", test_WS_QUOTE!$C24, IF(RIGHT(Z24,1)="%", test_WS_QUOTE!$C24 * (1 - VALUE(SUBSTITUTE(Z24,"%","")) / 100), test_WS_QUOTE!$C24 - VALUE(Z24)))</f>
        <v>0</v>
      </c>
      <c r="Z24" s="686"/>
      <c r="AA24" s="700">
        <f>IF(AB24="NOPROMO", test_WS_QUOTE!$C24, IF(RIGHT(AB24,1)="%", test_WS_QUOTE!$C24 * (1 - VALUE(SUBSTITUTE(AB24,"%","")) / 100), test_WS_QUOTE!$C24 - VALUE(AB24)))</f>
        <v>0</v>
      </c>
      <c r="AB24" s="686"/>
      <c r="AC24" s="680">
        <f>IF(AD24="NOPROMO", test_WS_QUOTE!$C24, IF(RIGHT(AD24,1)="%", test_WS_QUOTE!$C24 * (1 - VALUE(SUBSTITUTE(AD24,"%","")) / 100), test_WS_QUOTE!$C24 - VALUE(AD24)))</f>
        <v>0</v>
      </c>
      <c r="AD24" s="681"/>
      <c r="AE24" s="702"/>
      <c r="AF24" s="682"/>
      <c r="AG24" s="663"/>
    </row>
    <row r="25">
      <c r="A25" s="609"/>
      <c r="B25" s="689"/>
      <c r="C25" s="665">
        <f>IF(D25="NOPROMO", test_WS_QUOTE!$C25, IF(RIGHT(D25,1)="%", test_WS_QUOTE!$C25 * (1 - VALUE(SUBSTITUTE(D25,"%","")) / 100), test_WS_QUOTE!$C25 - VALUE(D25)))</f>
        <v>0</v>
      </c>
      <c r="D25" s="701"/>
      <c r="E25" s="667">
        <f>IF(F25="NOPROMO", test_WS_QUOTE!$C25, IF(RIGHT(F25,1)="%", test_WS_QUOTE!$C25 * (1 - VALUE(SUBSTITUTE(F25,"%","")) / 100), test_WS_QUOTE!$C25 - VALUE(F25)))</f>
        <v>0</v>
      </c>
      <c r="F25" s="690"/>
      <c r="G25" s="691">
        <f>IF(H25="NOPROMO", test_WS_QUOTE!$C25, IF(RIGHT(H25,1)="%", test_WS_QUOTE!$C25 * (1 - VALUE(SUBSTITUTE(H25,"%","")) / 100), test_WS_QUOTE!$C25 - VALUE(H25)))</f>
        <v>0</v>
      </c>
      <c r="H25" s="686"/>
      <c r="I25" s="692">
        <f>IF(J25="NOPROMO", test_WS_QUOTE!$C25, IF(RIGHT(J25,1)="%", test_WS_QUOTE!$C25 * (1 - VALUE(SUBSTITUTE(J25,"%","")) / 100), test_WS_QUOTE!$C25 - VALUE(J25)))</f>
        <v>0</v>
      </c>
      <c r="J25" s="686"/>
      <c r="K25" s="693">
        <f>IF(L25="NOPROMO", test_WS_QUOTE!$C25, IF(RIGHT(L25,1)="%", test_WS_QUOTE!$C25 * (1 - VALUE(SUBSTITUTE(L25,"%","")) / 100), test_WS_QUOTE!$C25 - VALUE(L25)))</f>
        <v>0</v>
      </c>
      <c r="L25" s="686"/>
      <c r="M25" s="694">
        <f>IF(N25="NOPROMO", test_WS_QUOTE!$C25, IF(RIGHT(N25,1)="%", test_WS_QUOTE!$C25 * (1 - VALUE(SUBSTITUTE(N25,"%","")) / 100), test_WS_QUOTE!$C25 - VALUE(N25)))</f>
        <v>0</v>
      </c>
      <c r="N25" s="686"/>
      <c r="O25" s="695">
        <f>IF(P25="NOPROMO", test_WS_QUOTE!$C25, IF(RIGHT(P25,1)="%", test_WS_QUOTE!$C25 * (1 - VALUE(SUBSTITUTE(P25,"%","")) / 100), test_WS_QUOTE!$C25 - VALUE(P25)))</f>
        <v>0</v>
      </c>
      <c r="P25" s="686"/>
      <c r="Q25" s="696">
        <f>IF(R25="NOPROMO", test_WS_QUOTE!$C25, IF(RIGHT(R25,1)="%", test_WS_QUOTE!$C25 * (1 - VALUE(SUBSTITUTE(R25,"%","")) / 100), test_WS_QUOTE!$C25 - VALUE(R25)))</f>
        <v>0</v>
      </c>
      <c r="R25" s="686"/>
      <c r="S25" s="697">
        <f>IF(T25="NOPROMO", test_WS_QUOTE!$C25, IF(RIGHT(T25,1)="%", test_WS_QUOTE!$C25 * (1 - VALUE(SUBSTITUTE(T25,"%","")) / 100), test_WS_QUOTE!$C25 - VALUE(T25)))</f>
        <v>0</v>
      </c>
      <c r="T25" s="686"/>
      <c r="U25" s="698">
        <f>IF(V25="NOPROMO", test_WS_QUOTE!$C25, IF(RIGHT(V25,1)="%", test_WS_QUOTE!$C25 * (1 - VALUE(SUBSTITUTE(V25,"%","")) / 100), test_WS_QUOTE!$C25 - VALUE(V25)))</f>
        <v>0</v>
      </c>
      <c r="V25" s="686"/>
      <c r="W25" s="699">
        <f>IF(X25="NOPROMO", test_WS_QUOTE!$C25, IF(RIGHT(X25,1)="%", test_WS_QUOTE!$C25 * (1 - VALUE(SUBSTITUTE(X25,"%","")) / 100), test_WS_QUOTE!$C25 - VALUE(X25)))</f>
        <v>0</v>
      </c>
      <c r="X25" s="686"/>
      <c r="Y25" s="678">
        <f>IF(Z25="NOPROMO", test_WS_QUOTE!$C25, IF(RIGHT(Z25,1)="%", test_WS_QUOTE!$C25 * (1 - VALUE(SUBSTITUTE(Z25,"%","")) / 100), test_WS_QUOTE!$C25 - VALUE(Z25)))</f>
        <v>0</v>
      </c>
      <c r="Z25" s="686"/>
      <c r="AA25" s="700">
        <f>IF(AB25="NOPROMO", test_WS_QUOTE!$C25, IF(RIGHT(AB25,1)="%", test_WS_QUOTE!$C25 * (1 - VALUE(SUBSTITUTE(AB25,"%","")) / 100), test_WS_QUOTE!$C25 - VALUE(AB25)))</f>
        <v>0</v>
      </c>
      <c r="AB25" s="686"/>
      <c r="AC25" s="680">
        <f>IF(AD25="NOPROMO", test_WS_QUOTE!$C25, IF(RIGHT(AD25,1)="%", test_WS_QUOTE!$C25 * (1 - VALUE(SUBSTITUTE(AD25,"%","")) / 100), test_WS_QUOTE!$C25 - VALUE(AD25)))</f>
        <v>0</v>
      </c>
      <c r="AD25" s="681"/>
      <c r="AE25" s="702"/>
      <c r="AF25" s="682"/>
      <c r="AG25" s="663"/>
    </row>
    <row r="26">
      <c r="A26" s="609"/>
      <c r="B26" s="689"/>
      <c r="C26" s="665">
        <f>IF(D26="NOPROMO", test_WS_QUOTE!$C26, IF(RIGHT(D26,1)="%", test_WS_QUOTE!$C26 * (1 - VALUE(SUBSTITUTE(D26,"%","")) / 100), test_WS_QUOTE!$C26 - VALUE(D26)))</f>
        <v>0</v>
      </c>
      <c r="D26" s="701"/>
      <c r="E26" s="667">
        <f>IF(F26="NOPROMO", test_WS_QUOTE!$C26, IF(RIGHT(F26,1)="%", test_WS_QUOTE!$C26 * (1 - VALUE(SUBSTITUTE(F26,"%","")) / 100), test_WS_QUOTE!$C26 - VALUE(F26)))</f>
        <v>0</v>
      </c>
      <c r="F26" s="690"/>
      <c r="G26" s="691">
        <f>IF(H26="NOPROMO", test_WS_QUOTE!$C26, IF(RIGHT(H26,1)="%", test_WS_QUOTE!$C26 * (1 - VALUE(SUBSTITUTE(H26,"%","")) / 100), test_WS_QUOTE!$C26 - VALUE(H26)))</f>
        <v>0</v>
      </c>
      <c r="H26" s="686"/>
      <c r="I26" s="692">
        <f>IF(J26="NOPROMO", test_WS_QUOTE!$C26, IF(RIGHT(J26,1)="%", test_WS_QUOTE!$C26 * (1 - VALUE(SUBSTITUTE(J26,"%","")) / 100), test_WS_QUOTE!$C26 - VALUE(J26)))</f>
        <v>0</v>
      </c>
      <c r="J26" s="686"/>
      <c r="K26" s="693">
        <f>IF(L26="NOPROMO", test_WS_QUOTE!$C26, IF(RIGHT(L26,1)="%", test_WS_QUOTE!$C26 * (1 - VALUE(SUBSTITUTE(L26,"%","")) / 100), test_WS_QUOTE!$C26 - VALUE(L26)))</f>
        <v>0</v>
      </c>
      <c r="L26" s="686"/>
      <c r="M26" s="694">
        <f>IF(N26="NOPROMO", test_WS_QUOTE!$C26, IF(RIGHT(N26,1)="%", test_WS_QUOTE!$C26 * (1 - VALUE(SUBSTITUTE(N26,"%","")) / 100), test_WS_QUOTE!$C26 - VALUE(N26)))</f>
        <v>0</v>
      </c>
      <c r="N26" s="686"/>
      <c r="O26" s="695">
        <f>IF(P26="NOPROMO", test_WS_QUOTE!$C26, IF(RIGHT(P26,1)="%", test_WS_QUOTE!$C26 * (1 - VALUE(SUBSTITUTE(P26,"%","")) / 100), test_WS_QUOTE!$C26 - VALUE(P26)))</f>
        <v>0</v>
      </c>
      <c r="P26" s="686"/>
      <c r="Q26" s="696">
        <f>IF(R26="NOPROMO", test_WS_QUOTE!$C26, IF(RIGHT(R26,1)="%", test_WS_QUOTE!$C26 * (1 - VALUE(SUBSTITUTE(R26,"%","")) / 100), test_WS_QUOTE!$C26 - VALUE(R26)))</f>
        <v>0</v>
      </c>
      <c r="R26" s="686"/>
      <c r="S26" s="697">
        <f>IF(T26="NOPROMO", test_WS_QUOTE!$C26, IF(RIGHT(T26,1)="%", test_WS_QUOTE!$C26 * (1 - VALUE(SUBSTITUTE(T26,"%","")) / 100), test_WS_QUOTE!$C26 - VALUE(T26)))</f>
        <v>0</v>
      </c>
      <c r="T26" s="686"/>
      <c r="U26" s="698">
        <f>IF(V26="NOPROMO", test_WS_QUOTE!$C26, IF(RIGHT(V26,1)="%", test_WS_QUOTE!$C26 * (1 - VALUE(SUBSTITUTE(V26,"%","")) / 100), test_WS_QUOTE!$C26 - VALUE(V26)))</f>
        <v>0</v>
      </c>
      <c r="V26" s="686"/>
      <c r="W26" s="699">
        <f>IF(X26="NOPROMO", test_WS_QUOTE!$C26, IF(RIGHT(X26,1)="%", test_WS_QUOTE!$C26 * (1 - VALUE(SUBSTITUTE(X26,"%","")) / 100), test_WS_QUOTE!$C26 - VALUE(X26)))</f>
        <v>0</v>
      </c>
      <c r="X26" s="686"/>
      <c r="Y26" s="678">
        <f>IF(Z26="NOPROMO", test_WS_QUOTE!$C26, IF(RIGHT(Z26,1)="%", test_WS_QUOTE!$C26 * (1 - VALUE(SUBSTITUTE(Z26,"%","")) / 100), test_WS_QUOTE!$C26 - VALUE(Z26)))</f>
        <v>0</v>
      </c>
      <c r="Z26" s="686"/>
      <c r="AA26" s="700">
        <f>IF(AB26="NOPROMO", test_WS_QUOTE!$C26, IF(RIGHT(AB26,1)="%", test_WS_QUOTE!$C26 * (1 - VALUE(SUBSTITUTE(AB26,"%","")) / 100), test_WS_QUOTE!$C26 - VALUE(AB26)))</f>
        <v>0</v>
      </c>
      <c r="AB26" s="686"/>
      <c r="AC26" s="680">
        <f>IF(AD26="NOPROMO", test_WS_QUOTE!$C26, IF(RIGHT(AD26,1)="%", test_WS_QUOTE!$C26 * (1 - VALUE(SUBSTITUTE(AD26,"%","")) / 100), test_WS_QUOTE!$C26 - VALUE(AD26)))</f>
        <v>0</v>
      </c>
      <c r="AD26" s="681"/>
      <c r="AE26" s="702"/>
      <c r="AF26" s="683"/>
      <c r="AG26" s="663"/>
    </row>
    <row r="27">
      <c r="A27" s="609"/>
      <c r="B27" s="689"/>
      <c r="C27" s="665">
        <f>IF(D27="NOPROMO", test_WS_QUOTE!$C27, IF(RIGHT(D27,1)="%", test_WS_QUOTE!$C27 * (1 - VALUE(SUBSTITUTE(D27,"%","")) / 100), test_WS_QUOTE!$C27 - VALUE(D27)))</f>
        <v>0</v>
      </c>
      <c r="D27" s="701"/>
      <c r="E27" s="667">
        <f>IF(F27="NOPROMO", test_WS_QUOTE!$C27, IF(RIGHT(F27,1)="%", test_WS_QUOTE!$C27 * (1 - VALUE(SUBSTITUTE(F27,"%","")) / 100), test_WS_QUOTE!$C27 - VALUE(F27)))</f>
        <v>0</v>
      </c>
      <c r="F27" s="690"/>
      <c r="G27" s="691">
        <f>IF(H27="NOPROMO", test_WS_QUOTE!$C27, IF(RIGHT(H27,1)="%", test_WS_QUOTE!$C27 * (1 - VALUE(SUBSTITUTE(H27,"%","")) / 100), test_WS_QUOTE!$C27 - VALUE(H27)))</f>
        <v>0</v>
      </c>
      <c r="H27" s="686"/>
      <c r="I27" s="692">
        <f>IF(J27="NOPROMO", test_WS_QUOTE!$C27, IF(RIGHT(J27,1)="%", test_WS_QUOTE!$C27 * (1 - VALUE(SUBSTITUTE(J27,"%","")) / 100), test_WS_QUOTE!$C27 - VALUE(J27)))</f>
        <v>0</v>
      </c>
      <c r="J27" s="686"/>
      <c r="K27" s="693">
        <f>IF(L27="NOPROMO", test_WS_QUOTE!$C27, IF(RIGHT(L27,1)="%", test_WS_QUOTE!$C27 * (1 - VALUE(SUBSTITUTE(L27,"%","")) / 100), test_WS_QUOTE!$C27 - VALUE(L27)))</f>
        <v>0</v>
      </c>
      <c r="L27" s="686"/>
      <c r="M27" s="694">
        <f>IF(N27="NOPROMO", test_WS_QUOTE!$C27, IF(RIGHT(N27,1)="%", test_WS_QUOTE!$C27 * (1 - VALUE(SUBSTITUTE(N27,"%","")) / 100), test_WS_QUOTE!$C27 - VALUE(N27)))</f>
        <v>0</v>
      </c>
      <c r="N27" s="686"/>
      <c r="O27" s="695">
        <f>IF(P27="NOPROMO", test_WS_QUOTE!$C27, IF(RIGHT(P27,1)="%", test_WS_QUOTE!$C27 * (1 - VALUE(SUBSTITUTE(P27,"%","")) / 100), test_WS_QUOTE!$C27 - VALUE(P27)))</f>
        <v>0</v>
      </c>
      <c r="P27" s="686"/>
      <c r="Q27" s="696">
        <f>IF(R27="NOPROMO", test_WS_QUOTE!$C27, IF(RIGHT(R27,1)="%", test_WS_QUOTE!$C27 * (1 - VALUE(SUBSTITUTE(R27,"%","")) / 100), test_WS_QUOTE!$C27 - VALUE(R27)))</f>
        <v>0</v>
      </c>
      <c r="R27" s="686"/>
      <c r="S27" s="697">
        <f>IF(T27="NOPROMO", test_WS_QUOTE!$C27, IF(RIGHT(T27,1)="%", test_WS_QUOTE!$C27 * (1 - VALUE(SUBSTITUTE(T27,"%","")) / 100), test_WS_QUOTE!$C27 - VALUE(T27)))</f>
        <v>0</v>
      </c>
      <c r="T27" s="686"/>
      <c r="U27" s="698">
        <f>IF(V27="NOPROMO", test_WS_QUOTE!$C27, IF(RIGHT(V27,1)="%", test_WS_QUOTE!$C27 * (1 - VALUE(SUBSTITUTE(V27,"%","")) / 100), test_WS_QUOTE!$C27 - VALUE(V27)))</f>
        <v>0</v>
      </c>
      <c r="V27" s="686"/>
      <c r="W27" s="699">
        <f>IF(X27="NOPROMO", test_WS_QUOTE!$C27, IF(RIGHT(X27,1)="%", test_WS_QUOTE!$C27 * (1 - VALUE(SUBSTITUTE(X27,"%","")) / 100), test_WS_QUOTE!$C27 - VALUE(X27)))</f>
        <v>0</v>
      </c>
      <c r="X27" s="686"/>
      <c r="Y27" s="678">
        <f>IF(Z27="NOPROMO", test_WS_QUOTE!$C27, IF(RIGHT(Z27,1)="%", test_WS_QUOTE!$C27 * (1 - VALUE(SUBSTITUTE(Z27,"%","")) / 100), test_WS_QUOTE!$C27 - VALUE(Z27)))</f>
        <v>0</v>
      </c>
      <c r="Z27" s="686"/>
      <c r="AA27" s="700">
        <f>IF(AB27="NOPROMO", test_WS_QUOTE!$C27, IF(RIGHT(AB27,1)="%", test_WS_QUOTE!$C27 * (1 - VALUE(SUBSTITUTE(AB27,"%","")) / 100), test_WS_QUOTE!$C27 - VALUE(AB27)))</f>
        <v>0</v>
      </c>
      <c r="AB27" s="686"/>
      <c r="AC27" s="680">
        <f>IF(AD27="NOPROMO", test_WS_QUOTE!$C27, IF(RIGHT(AD27,1)="%", test_WS_QUOTE!$C27 * (1 - VALUE(SUBSTITUTE(AD27,"%","")) / 100), test_WS_QUOTE!$C27 - VALUE(AD27)))</f>
        <v>0</v>
      </c>
      <c r="AD27" s="681"/>
      <c r="AE27" s="702"/>
      <c r="AF27" s="662"/>
      <c r="AG27" s="663"/>
    </row>
    <row r="28">
      <c r="A28" s="609"/>
      <c r="B28" s="689"/>
      <c r="C28" s="665">
        <f>IF(D28="NOPROMO", test_WS_QUOTE!$C28, IF(RIGHT(D28,1)="%", test_WS_QUOTE!$C28 * (1 - VALUE(SUBSTITUTE(D28,"%","")) / 100), test_WS_QUOTE!$C28 - VALUE(D28)))</f>
        <v>0</v>
      </c>
      <c r="D28" s="703"/>
      <c r="E28" s="667">
        <f>IF(F28="NOPROMO", test_WS_QUOTE!$C28, IF(RIGHT(F28,1)="%", test_WS_QUOTE!$C28 * (1 - VALUE(SUBSTITUTE(F28,"%","")) / 100), test_WS_QUOTE!$C28 - VALUE(F28)))</f>
        <v>0</v>
      </c>
      <c r="F28" s="690"/>
      <c r="G28" s="691">
        <f>IF(H28="NOPROMO", test_WS_QUOTE!$C28, IF(RIGHT(H28,1)="%", test_WS_QUOTE!$C28 * (1 - VALUE(SUBSTITUTE(H28,"%","")) / 100), test_WS_QUOTE!$C28 - VALUE(H28)))</f>
        <v>0</v>
      </c>
      <c r="H28" s="686"/>
      <c r="I28" s="692">
        <f>IF(J28="NOPROMO", test_WS_QUOTE!$C28, IF(RIGHT(J28,1)="%", test_WS_QUOTE!$C28 * (1 - VALUE(SUBSTITUTE(J28,"%","")) / 100), test_WS_QUOTE!$C28 - VALUE(J28)))</f>
        <v>0</v>
      </c>
      <c r="J28" s="686"/>
      <c r="K28" s="693">
        <f>IF(L28="NOPROMO", test_WS_QUOTE!$C28, IF(RIGHT(L28,1)="%", test_WS_QUOTE!$C28 * (1 - VALUE(SUBSTITUTE(L28,"%","")) / 100), test_WS_QUOTE!$C28 - VALUE(L28)))</f>
        <v>0</v>
      </c>
      <c r="L28" s="686"/>
      <c r="M28" s="694">
        <f>IF(N28="NOPROMO", test_WS_QUOTE!$C28, IF(RIGHT(N28,1)="%", test_WS_QUOTE!$C28 * (1 - VALUE(SUBSTITUTE(N28,"%","")) / 100), test_WS_QUOTE!$C28 - VALUE(N28)))</f>
        <v>0</v>
      </c>
      <c r="N28" s="686"/>
      <c r="O28" s="695">
        <f>IF(P28="NOPROMO", test_WS_QUOTE!$C28, IF(RIGHT(P28,1)="%", test_WS_QUOTE!$C28 * (1 - VALUE(SUBSTITUTE(P28,"%","")) / 100), test_WS_QUOTE!$C28 - VALUE(P28)))</f>
        <v>0</v>
      </c>
      <c r="P28" s="686"/>
      <c r="Q28" s="696">
        <f>IF(R28="NOPROMO", test_WS_QUOTE!$C28, IF(RIGHT(R28,1)="%", test_WS_QUOTE!$C28 * (1 - VALUE(SUBSTITUTE(R28,"%","")) / 100), test_WS_QUOTE!$C28 - VALUE(R28)))</f>
        <v>0</v>
      </c>
      <c r="R28" s="686"/>
      <c r="S28" s="697">
        <f>IF(T28="NOPROMO", test_WS_QUOTE!$C28, IF(RIGHT(T28,1)="%", test_WS_QUOTE!$C28 * (1 - VALUE(SUBSTITUTE(T28,"%","")) / 100), test_WS_QUOTE!$C28 - VALUE(T28)))</f>
        <v>0</v>
      </c>
      <c r="T28" s="686"/>
      <c r="U28" s="698">
        <f>IF(V28="NOPROMO", test_WS_QUOTE!$C28, IF(RIGHT(V28,1)="%", test_WS_QUOTE!$C28 * (1 - VALUE(SUBSTITUTE(V28,"%","")) / 100), test_WS_QUOTE!$C28 - VALUE(V28)))</f>
        <v>0</v>
      </c>
      <c r="V28" s="686"/>
      <c r="W28" s="699">
        <f>IF(X28="NOPROMO", test_WS_QUOTE!$C28, IF(RIGHT(X28,1)="%", test_WS_QUOTE!$C28 * (1 - VALUE(SUBSTITUTE(X28,"%","")) / 100), test_WS_QUOTE!$C28 - VALUE(X28)))</f>
        <v>0</v>
      </c>
      <c r="X28" s="686"/>
      <c r="Y28" s="678">
        <f>IF(Z28="NOPROMO", test_WS_QUOTE!$C28, IF(RIGHT(Z28,1)="%", test_WS_QUOTE!$C28 * (1 - VALUE(SUBSTITUTE(Z28,"%","")) / 100), test_WS_QUOTE!$C28 - VALUE(Z28)))</f>
        <v>0</v>
      </c>
      <c r="Z28" s="686"/>
      <c r="AA28" s="700">
        <f>IF(AB28="NOPROMO", test_WS_QUOTE!$C28, IF(RIGHT(AB28,1)="%", test_WS_QUOTE!$C28 * (1 - VALUE(SUBSTITUTE(AB28,"%","")) / 100), test_WS_QUOTE!$C28 - VALUE(AB28)))</f>
        <v>0</v>
      </c>
      <c r="AB28" s="686"/>
      <c r="AC28" s="680">
        <f>IF(AD28="NOPROMO", test_WS_QUOTE!$C28, IF(RIGHT(AD28,1)="%", test_WS_QUOTE!$C28 * (1 - VALUE(SUBSTITUTE(AD28,"%","")) / 100), test_WS_QUOTE!$C28 - VALUE(AD28)))</f>
        <v>0</v>
      </c>
      <c r="AD28" s="681"/>
      <c r="AE28" s="702"/>
      <c r="AF28" s="682"/>
      <c r="AG28" s="663"/>
    </row>
    <row r="29">
      <c r="A29" s="609"/>
      <c r="B29" s="689"/>
      <c r="C29" s="665">
        <f>IF(D29="NOPROMO", test_WS_QUOTE!$C29, IF(RIGHT(D29,1)="%", test_WS_QUOTE!$C29 * (1 - VALUE(SUBSTITUTE(D29,"%","")) / 100), test_WS_QUOTE!$C29 - VALUE(D29)))</f>
        <v>0</v>
      </c>
      <c r="D29" s="703"/>
      <c r="E29" s="667">
        <f>IF(F29="NOPROMO", test_WS_QUOTE!$C29, IF(RIGHT(F29,1)="%", test_WS_QUOTE!$C29 * (1 - VALUE(SUBSTITUTE(F29,"%","")) / 100), test_WS_QUOTE!$C29 - VALUE(F29)))</f>
        <v>0</v>
      </c>
      <c r="F29" s="690"/>
      <c r="G29" s="691">
        <f>IF(H29="NOPROMO", test_WS_QUOTE!$C29, IF(RIGHT(H29,1)="%", test_WS_QUOTE!$C29 * (1 - VALUE(SUBSTITUTE(H29,"%","")) / 100), test_WS_QUOTE!$C29 - VALUE(H29)))</f>
        <v>0</v>
      </c>
      <c r="H29" s="686"/>
      <c r="I29" s="692">
        <f>IF(J29="NOPROMO", test_WS_QUOTE!$C29, IF(RIGHT(J29,1)="%", test_WS_QUOTE!$C29 * (1 - VALUE(SUBSTITUTE(J29,"%","")) / 100), test_WS_QUOTE!$C29 - VALUE(J29)))</f>
        <v>0</v>
      </c>
      <c r="J29" s="686"/>
      <c r="K29" s="693">
        <f>IF(L29="NOPROMO", test_WS_QUOTE!$C29, IF(RIGHT(L29,1)="%", test_WS_QUOTE!$C29 * (1 - VALUE(SUBSTITUTE(L29,"%","")) / 100), test_WS_QUOTE!$C29 - VALUE(L29)))</f>
        <v>0</v>
      </c>
      <c r="L29" s="686"/>
      <c r="M29" s="694">
        <f>IF(N29="NOPROMO", test_WS_QUOTE!$C29, IF(RIGHT(N29,1)="%", test_WS_QUOTE!$C29 * (1 - VALUE(SUBSTITUTE(N29,"%","")) / 100), test_WS_QUOTE!$C29 - VALUE(N29)))</f>
        <v>0</v>
      </c>
      <c r="N29" s="686"/>
      <c r="O29" s="695">
        <f>IF(P29="NOPROMO", test_WS_QUOTE!$C29, IF(RIGHT(P29,1)="%", test_WS_QUOTE!$C29 * (1 - VALUE(SUBSTITUTE(P29,"%","")) / 100), test_WS_QUOTE!$C29 - VALUE(P29)))</f>
        <v>0</v>
      </c>
      <c r="P29" s="686"/>
      <c r="Q29" s="696">
        <f>IF(R29="NOPROMO", test_WS_QUOTE!$C29, IF(RIGHT(R29,1)="%", test_WS_QUOTE!$C29 * (1 - VALUE(SUBSTITUTE(R29,"%","")) / 100), test_WS_QUOTE!$C29 - VALUE(R29)))</f>
        <v>0</v>
      </c>
      <c r="R29" s="686"/>
      <c r="S29" s="697">
        <f>IF(T29="NOPROMO", test_WS_QUOTE!$C29, IF(RIGHT(T29,1)="%", test_WS_QUOTE!$C29 * (1 - VALUE(SUBSTITUTE(T29,"%","")) / 100), test_WS_QUOTE!$C29 - VALUE(T29)))</f>
        <v>0</v>
      </c>
      <c r="T29" s="686"/>
      <c r="U29" s="698">
        <f>IF(V29="NOPROMO", test_WS_QUOTE!$C29, IF(RIGHT(V29,1)="%", test_WS_QUOTE!$C29 * (1 - VALUE(SUBSTITUTE(V29,"%","")) / 100), test_WS_QUOTE!$C29 - VALUE(V29)))</f>
        <v>0</v>
      </c>
      <c r="V29" s="686"/>
      <c r="W29" s="699">
        <f>IF(X29="NOPROMO", test_WS_QUOTE!$C29, IF(RIGHT(X29,1)="%", test_WS_QUOTE!$C29 * (1 - VALUE(SUBSTITUTE(X29,"%","")) / 100), test_WS_QUOTE!$C29 - VALUE(X29)))</f>
        <v>0</v>
      </c>
      <c r="X29" s="686"/>
      <c r="Y29" s="678">
        <f>IF(Z29="NOPROMO", test_WS_QUOTE!$C29, IF(RIGHT(Z29,1)="%", test_WS_QUOTE!$C29 * (1 - VALUE(SUBSTITUTE(Z29,"%","")) / 100), test_WS_QUOTE!$C29 - VALUE(Z29)))</f>
        <v>0</v>
      </c>
      <c r="Z29" s="686"/>
      <c r="AA29" s="700">
        <f>IF(AB29="NOPROMO", test_WS_QUOTE!$C29, IF(RIGHT(AB29,1)="%", test_WS_QUOTE!$C29 * (1 - VALUE(SUBSTITUTE(AB29,"%","")) / 100), test_WS_QUOTE!$C29 - VALUE(AB29)))</f>
        <v>0</v>
      </c>
      <c r="AB29" s="686"/>
      <c r="AC29" s="680">
        <f>IF(AD29="NOPROMO", test_WS_QUOTE!$C29, IF(RIGHT(AD29,1)="%", test_WS_QUOTE!$C29 * (1 - VALUE(SUBSTITUTE(AD29,"%","")) / 100), test_WS_QUOTE!$C29 - VALUE(AD29)))</f>
        <v>0</v>
      </c>
      <c r="AD29" s="681"/>
      <c r="AE29" s="702"/>
      <c r="AF29" s="682"/>
      <c r="AG29" s="663"/>
    </row>
    <row r="30">
      <c r="A30" s="609"/>
      <c r="B30" s="689"/>
      <c r="C30" s="665">
        <f>IF(D30="NOPROMO", test_WS_QUOTE!$C30, IF(RIGHT(D30,1)="%", test_WS_QUOTE!$C30 * (1 - VALUE(SUBSTITUTE(D30,"%","")) / 100), test_WS_QUOTE!$C30 - VALUE(D30)))</f>
        <v>0</v>
      </c>
      <c r="D30" s="703"/>
      <c r="E30" s="667">
        <f>IF(F30="NOPROMO", test_WS_QUOTE!$C30, IF(RIGHT(F30,1)="%", test_WS_QUOTE!$C30 * (1 - VALUE(SUBSTITUTE(F30,"%","")) / 100), test_WS_QUOTE!$C30 - VALUE(F30)))</f>
        <v>0</v>
      </c>
      <c r="F30" s="690"/>
      <c r="G30" s="691">
        <f>IF(H30="NOPROMO", test_WS_QUOTE!$C30, IF(RIGHT(H30,1)="%", test_WS_QUOTE!$C30 * (1 - VALUE(SUBSTITUTE(H30,"%","")) / 100), test_WS_QUOTE!$C30 - VALUE(H30)))</f>
        <v>0</v>
      </c>
      <c r="H30" s="686"/>
      <c r="I30" s="692">
        <f>IF(J30="NOPROMO", test_WS_QUOTE!$C30, IF(RIGHT(J30,1)="%", test_WS_QUOTE!$C30 * (1 - VALUE(SUBSTITUTE(J30,"%","")) / 100), test_WS_QUOTE!$C30 - VALUE(J30)))</f>
        <v>0</v>
      </c>
      <c r="J30" s="686"/>
      <c r="K30" s="693">
        <f>IF(L30="NOPROMO", test_WS_QUOTE!$C30, IF(RIGHT(L30,1)="%", test_WS_QUOTE!$C30 * (1 - VALUE(SUBSTITUTE(L30,"%","")) / 100), test_WS_QUOTE!$C30 - VALUE(L30)))</f>
        <v>0</v>
      </c>
      <c r="L30" s="686"/>
      <c r="M30" s="694">
        <f>IF(N30="NOPROMO", test_WS_QUOTE!$C30, IF(RIGHT(N30,1)="%", test_WS_QUOTE!$C30 * (1 - VALUE(SUBSTITUTE(N30,"%","")) / 100), test_WS_QUOTE!$C30 - VALUE(N30)))</f>
        <v>0</v>
      </c>
      <c r="N30" s="686"/>
      <c r="O30" s="695">
        <f>IF(P30="NOPROMO", test_WS_QUOTE!$C30, IF(RIGHT(P30,1)="%", test_WS_QUOTE!$C30 * (1 - VALUE(SUBSTITUTE(P30,"%","")) / 100), test_WS_QUOTE!$C30 - VALUE(P30)))</f>
        <v>0</v>
      </c>
      <c r="P30" s="686"/>
      <c r="Q30" s="696">
        <f>IF(R30="NOPROMO", test_WS_QUOTE!$C30, IF(RIGHT(R30,1)="%", test_WS_QUOTE!$C30 * (1 - VALUE(SUBSTITUTE(R30,"%","")) / 100), test_WS_QUOTE!$C30 - VALUE(R30)))</f>
        <v>0</v>
      </c>
      <c r="R30" s="686"/>
      <c r="S30" s="697">
        <f>IF(T30="NOPROMO", test_WS_QUOTE!$C30, IF(RIGHT(T30,1)="%", test_WS_QUOTE!$C30 * (1 - VALUE(SUBSTITUTE(T30,"%","")) / 100), test_WS_QUOTE!$C30 - VALUE(T30)))</f>
        <v>0</v>
      </c>
      <c r="T30" s="686"/>
      <c r="U30" s="698">
        <f>IF(V30="NOPROMO", test_WS_QUOTE!$C30, IF(RIGHT(V30,1)="%", test_WS_QUOTE!$C30 * (1 - VALUE(SUBSTITUTE(V30,"%","")) / 100), test_WS_QUOTE!$C30 - VALUE(V30)))</f>
        <v>0</v>
      </c>
      <c r="V30" s="686"/>
      <c r="W30" s="699">
        <f>IF(X30="NOPROMO", test_WS_QUOTE!$C30, IF(RIGHT(X30,1)="%", test_WS_QUOTE!$C30 * (1 - VALUE(SUBSTITUTE(X30,"%","")) / 100), test_WS_QUOTE!$C30 - VALUE(X30)))</f>
        <v>0</v>
      </c>
      <c r="X30" s="686"/>
      <c r="Y30" s="678">
        <f>IF(Z30="NOPROMO", test_WS_QUOTE!$C30, IF(RIGHT(Z30,1)="%", test_WS_QUOTE!$C30 * (1 - VALUE(SUBSTITUTE(Z30,"%","")) / 100), test_WS_QUOTE!$C30 - VALUE(Z30)))</f>
        <v>0</v>
      </c>
      <c r="Z30" s="686"/>
      <c r="AA30" s="700">
        <f>IF(AB30="NOPROMO", test_WS_QUOTE!$C30, IF(RIGHT(AB30,1)="%", test_WS_QUOTE!$C30 * (1 - VALUE(SUBSTITUTE(AB30,"%","")) / 100), test_WS_QUOTE!$C30 - VALUE(AB30)))</f>
        <v>0</v>
      </c>
      <c r="AB30" s="686"/>
      <c r="AC30" s="680">
        <f>IF(AD30="NOPROMO", test_WS_QUOTE!$C30, IF(RIGHT(AD30,1)="%", test_WS_QUOTE!$C30 * (1 - VALUE(SUBSTITUTE(AD30,"%","")) / 100), test_WS_QUOTE!$C30 - VALUE(AD30)))</f>
        <v>0</v>
      </c>
      <c r="AD30" s="681"/>
      <c r="AE30" s="702"/>
      <c r="AF30" s="682"/>
      <c r="AG30" s="663"/>
    </row>
    <row r="31">
      <c r="A31" s="609"/>
      <c r="B31" s="689"/>
      <c r="C31" s="665">
        <f>IF(D31="NOPROMO", test_WS_QUOTE!$C31, IF(RIGHT(D31,1)="%", test_WS_QUOTE!$C31 * (1 - VALUE(SUBSTITUTE(D31,"%","")) / 100), test_WS_QUOTE!$C31 - VALUE(D31)))</f>
        <v>0</v>
      </c>
      <c r="D31" s="701"/>
      <c r="E31" s="667">
        <f>IF(F31="NOPROMO", test_WS_QUOTE!$C31, IF(RIGHT(F31,1)="%", test_WS_QUOTE!$C31 * (1 - VALUE(SUBSTITUTE(F31,"%","")) / 100), test_WS_QUOTE!$C31 - VALUE(F31)))</f>
        <v>0</v>
      </c>
      <c r="F31" s="690"/>
      <c r="G31" s="691">
        <f>IF(H31="NOPROMO", test_WS_QUOTE!$C31, IF(RIGHT(H31,1)="%", test_WS_QUOTE!$C31 * (1 - VALUE(SUBSTITUTE(H31,"%","")) / 100), test_WS_QUOTE!$C31 - VALUE(H31)))</f>
        <v>0</v>
      </c>
      <c r="H31" s="686"/>
      <c r="I31" s="692">
        <f>IF(J31="NOPROMO", test_WS_QUOTE!$C31, IF(RIGHT(J31,1)="%", test_WS_QUOTE!$C31 * (1 - VALUE(SUBSTITUTE(J31,"%","")) / 100), test_WS_QUOTE!$C31 - VALUE(J31)))</f>
        <v>0</v>
      </c>
      <c r="J31" s="686"/>
      <c r="K31" s="693">
        <f>IF(L31="NOPROMO", test_WS_QUOTE!$C31, IF(RIGHT(L31,1)="%", test_WS_QUOTE!$C31 * (1 - VALUE(SUBSTITUTE(L31,"%","")) / 100), test_WS_QUOTE!$C31 - VALUE(L31)))</f>
        <v>0</v>
      </c>
      <c r="L31" s="686"/>
      <c r="M31" s="694">
        <f>IF(N31="NOPROMO", test_WS_QUOTE!$C31, IF(RIGHT(N31,1)="%", test_WS_QUOTE!$C31 * (1 - VALUE(SUBSTITUTE(N31,"%","")) / 100), test_WS_QUOTE!$C31 - VALUE(N31)))</f>
        <v>0</v>
      </c>
      <c r="N31" s="686"/>
      <c r="O31" s="695">
        <f>IF(P31="NOPROMO", test_WS_QUOTE!$C31, IF(RIGHT(P31,1)="%", test_WS_QUOTE!$C31 * (1 - VALUE(SUBSTITUTE(P31,"%","")) / 100), test_WS_QUOTE!$C31 - VALUE(P31)))</f>
        <v>0</v>
      </c>
      <c r="P31" s="686"/>
      <c r="Q31" s="696">
        <f>IF(R31="NOPROMO", test_WS_QUOTE!$C31, IF(RIGHT(R31,1)="%", test_WS_QUOTE!$C31 * (1 - VALUE(SUBSTITUTE(R31,"%","")) / 100), test_WS_QUOTE!$C31 - VALUE(R31)))</f>
        <v>0</v>
      </c>
      <c r="R31" s="686"/>
      <c r="S31" s="697">
        <f>IF(T31="NOPROMO", test_WS_QUOTE!$C31, IF(RIGHT(T31,1)="%", test_WS_QUOTE!$C31 * (1 - VALUE(SUBSTITUTE(T31,"%","")) / 100), test_WS_QUOTE!$C31 - VALUE(T31)))</f>
        <v>0</v>
      </c>
      <c r="T31" s="686"/>
      <c r="U31" s="698">
        <f>IF(V31="NOPROMO", test_WS_QUOTE!$C31, IF(RIGHT(V31,1)="%", test_WS_QUOTE!$C31 * (1 - VALUE(SUBSTITUTE(V31,"%","")) / 100), test_WS_QUOTE!$C31 - VALUE(V31)))</f>
        <v>0</v>
      </c>
      <c r="V31" s="686"/>
      <c r="W31" s="699">
        <f>IF(X31="NOPROMO", test_WS_QUOTE!$C31, IF(RIGHT(X31,1)="%", test_WS_QUOTE!$C31 * (1 - VALUE(SUBSTITUTE(X31,"%","")) / 100), test_WS_QUOTE!$C31 - VALUE(X31)))</f>
        <v>0</v>
      </c>
      <c r="X31" s="686"/>
      <c r="Y31" s="678">
        <f>IF(Z31="NOPROMO", test_WS_QUOTE!$C31, IF(RIGHT(Z31,1)="%", test_WS_QUOTE!$C31 * (1 - VALUE(SUBSTITUTE(Z31,"%","")) / 100), test_WS_QUOTE!$C31 - VALUE(Z31)))</f>
        <v>0</v>
      </c>
      <c r="Z31" s="686"/>
      <c r="AA31" s="700">
        <f>IF(AB31="NOPROMO", test_WS_QUOTE!$C31, IF(RIGHT(AB31,1)="%", test_WS_QUOTE!$C31 * (1 - VALUE(SUBSTITUTE(AB31,"%","")) / 100), test_WS_QUOTE!$C31 - VALUE(AB31)))</f>
        <v>0</v>
      </c>
      <c r="AB31" s="686"/>
      <c r="AC31" s="680">
        <f>IF(AD31="NOPROMO", test_WS_QUOTE!$C31, IF(RIGHT(AD31,1)="%", test_WS_QUOTE!$C31 * (1 - VALUE(SUBSTITUTE(AD31,"%","")) / 100), test_WS_QUOTE!$C31 - VALUE(AD31)))</f>
        <v>0</v>
      </c>
      <c r="AD31" s="681"/>
      <c r="AE31" s="702"/>
      <c r="AF31" s="682"/>
      <c r="AG31" s="663"/>
    </row>
    <row r="32">
      <c r="A32" s="609"/>
      <c r="B32" s="689"/>
      <c r="C32" s="665">
        <f>IF(D32="NOPROMO", test_WS_QUOTE!$C32, IF(RIGHT(D32,1)="%", test_WS_QUOTE!$C32 * (1 - VALUE(SUBSTITUTE(D32,"%","")) / 100), test_WS_QUOTE!$C32 - VALUE(D32)))</f>
        <v>0</v>
      </c>
      <c r="D32" s="701"/>
      <c r="E32" s="667">
        <f>IF(F32="NOPROMO", test_WS_QUOTE!$C32, IF(RIGHT(F32,1)="%", test_WS_QUOTE!$C32 * (1 - VALUE(SUBSTITUTE(F32,"%","")) / 100), test_WS_QUOTE!$C32 - VALUE(F32)))</f>
        <v>0</v>
      </c>
      <c r="F32" s="690"/>
      <c r="G32" s="691">
        <f>IF(H32="NOPROMO", test_WS_QUOTE!$C32, IF(RIGHT(H32,1)="%", test_WS_QUOTE!$C32 * (1 - VALUE(SUBSTITUTE(H32,"%","")) / 100), test_WS_QUOTE!$C32 - VALUE(H32)))</f>
        <v>0</v>
      </c>
      <c r="H32" s="686"/>
      <c r="I32" s="692">
        <f>IF(J32="NOPROMO", test_WS_QUOTE!$C32, IF(RIGHT(J32,1)="%", test_WS_QUOTE!$C32 * (1 - VALUE(SUBSTITUTE(J32,"%","")) / 100), test_WS_QUOTE!$C32 - VALUE(J32)))</f>
        <v>0</v>
      </c>
      <c r="J32" s="686"/>
      <c r="K32" s="693">
        <f>IF(L32="NOPROMO", test_WS_QUOTE!$C32, IF(RIGHT(L32,1)="%", test_WS_QUOTE!$C32 * (1 - VALUE(SUBSTITUTE(L32,"%","")) / 100), test_WS_QUOTE!$C32 - VALUE(L32)))</f>
        <v>0</v>
      </c>
      <c r="L32" s="686"/>
      <c r="M32" s="694">
        <f>IF(N32="NOPROMO", test_WS_QUOTE!$C32, IF(RIGHT(N32,1)="%", test_WS_QUOTE!$C32 * (1 - VALUE(SUBSTITUTE(N32,"%","")) / 100), test_WS_QUOTE!$C32 - VALUE(N32)))</f>
        <v>0</v>
      </c>
      <c r="N32" s="686"/>
      <c r="O32" s="695">
        <f>IF(P32="NOPROMO", test_WS_QUOTE!$C32, IF(RIGHT(P32,1)="%", test_WS_QUOTE!$C32 * (1 - VALUE(SUBSTITUTE(P32,"%","")) / 100), test_WS_QUOTE!$C32 - VALUE(P32)))</f>
        <v>0</v>
      </c>
      <c r="P32" s="686"/>
      <c r="Q32" s="696">
        <f>IF(R32="NOPROMO", test_WS_QUOTE!$C32, IF(RIGHT(R32,1)="%", test_WS_QUOTE!$C32 * (1 - VALUE(SUBSTITUTE(R32,"%","")) / 100), test_WS_QUOTE!$C32 - VALUE(R32)))</f>
        <v>0</v>
      </c>
      <c r="R32" s="686"/>
      <c r="S32" s="697">
        <f>IF(T32="NOPROMO", test_WS_QUOTE!$C32, IF(RIGHT(T32,1)="%", test_WS_QUOTE!$C32 * (1 - VALUE(SUBSTITUTE(T32,"%","")) / 100), test_WS_QUOTE!$C32 - VALUE(T32)))</f>
        <v>0</v>
      </c>
      <c r="T32" s="686"/>
      <c r="U32" s="698">
        <f>IF(V32="NOPROMO", test_WS_QUOTE!$C32, IF(RIGHT(V32,1)="%", test_WS_QUOTE!$C32 * (1 - VALUE(SUBSTITUTE(V32,"%","")) / 100), test_WS_QUOTE!$C32 - VALUE(V32)))</f>
        <v>0</v>
      </c>
      <c r="V32" s="686"/>
      <c r="W32" s="699">
        <f>IF(X32="NOPROMO", test_WS_QUOTE!$C32, IF(RIGHT(X32,1)="%", test_WS_QUOTE!$C32 * (1 - VALUE(SUBSTITUTE(X32,"%","")) / 100), test_WS_QUOTE!$C32 - VALUE(X32)))</f>
        <v>0</v>
      </c>
      <c r="X32" s="686"/>
      <c r="Y32" s="678">
        <f>IF(Z32="NOPROMO", test_WS_QUOTE!$C32, IF(RIGHT(Z32,1)="%", test_WS_QUOTE!$C32 * (1 - VALUE(SUBSTITUTE(Z32,"%","")) / 100), test_WS_QUOTE!$C32 - VALUE(Z32)))</f>
        <v>0</v>
      </c>
      <c r="Z32" s="686"/>
      <c r="AA32" s="700">
        <f>IF(AB32="NOPROMO", test_WS_QUOTE!$C32, IF(RIGHT(AB32,1)="%", test_WS_QUOTE!$C32 * (1 - VALUE(SUBSTITUTE(AB32,"%","")) / 100), test_WS_QUOTE!$C32 - VALUE(AB32)))</f>
        <v>0</v>
      </c>
      <c r="AB32" s="686"/>
      <c r="AC32" s="680">
        <f>IF(AD32="NOPROMO", test_WS_QUOTE!$C32, IF(RIGHT(AD32,1)="%", test_WS_QUOTE!$C32 * (1 - VALUE(SUBSTITUTE(AD32,"%","")) / 100), test_WS_QUOTE!$C32 - VALUE(AD32)))</f>
        <v>0</v>
      </c>
      <c r="AD32" s="681"/>
      <c r="AE32" s="702"/>
      <c r="AF32" s="662"/>
      <c r="AG32" s="663"/>
    </row>
    <row r="33">
      <c r="A33" s="609"/>
      <c r="B33" s="689"/>
      <c r="C33" s="665">
        <f>IF(D33="NOPROMO", test_WS_QUOTE!$C33, IF(RIGHT(D33,1)="%", test_WS_QUOTE!$C33 * (1 - VALUE(SUBSTITUTE(D33,"%","")) / 100), test_WS_QUOTE!$C33 - VALUE(D33)))</f>
        <v>0</v>
      </c>
      <c r="D33" s="701"/>
      <c r="E33" s="667">
        <f>IF(F33="NOPROMO", test_WS_QUOTE!$C33, IF(RIGHT(F33,1)="%", test_WS_QUOTE!$C33 * (1 - VALUE(SUBSTITUTE(F33,"%","")) / 100), test_WS_QUOTE!$C33 - VALUE(F33)))</f>
        <v>0</v>
      </c>
      <c r="F33" s="690"/>
      <c r="G33" s="691">
        <f>IF(H33="NOPROMO", test_WS_QUOTE!$C33, IF(RIGHT(H33,1)="%", test_WS_QUOTE!$C33 * (1 - VALUE(SUBSTITUTE(H33,"%","")) / 100), test_WS_QUOTE!$C33 - VALUE(H33)))</f>
        <v>0</v>
      </c>
      <c r="H33" s="686"/>
      <c r="I33" s="692">
        <f>IF(J33="NOPROMO", test_WS_QUOTE!$C33, IF(RIGHT(J33,1)="%", test_WS_QUOTE!$C33 * (1 - VALUE(SUBSTITUTE(J33,"%","")) / 100), test_WS_QUOTE!$C33 - VALUE(J33)))</f>
        <v>0</v>
      </c>
      <c r="J33" s="686"/>
      <c r="K33" s="693">
        <f>IF(L33="NOPROMO", test_WS_QUOTE!$C33, IF(RIGHT(L33,1)="%", test_WS_QUOTE!$C33 * (1 - VALUE(SUBSTITUTE(L33,"%","")) / 100), test_WS_QUOTE!$C33 - VALUE(L33)))</f>
        <v>0</v>
      </c>
      <c r="L33" s="686"/>
      <c r="M33" s="694">
        <f>IF(N33="NOPROMO", test_WS_QUOTE!$C33, IF(RIGHT(N33,1)="%", test_WS_QUOTE!$C33 * (1 - VALUE(SUBSTITUTE(N33,"%","")) / 100), test_WS_QUOTE!$C33 - VALUE(N33)))</f>
        <v>0</v>
      </c>
      <c r="N33" s="686"/>
      <c r="O33" s="695">
        <f>IF(P33="NOPROMO", test_WS_QUOTE!$C33, IF(RIGHT(P33,1)="%", test_WS_QUOTE!$C33 * (1 - VALUE(SUBSTITUTE(P33,"%","")) / 100), test_WS_QUOTE!$C33 - VALUE(P33)))</f>
        <v>0</v>
      </c>
      <c r="P33" s="686"/>
      <c r="Q33" s="696">
        <f>IF(R33="NOPROMO", test_WS_QUOTE!$C33, IF(RIGHT(R33,1)="%", test_WS_QUOTE!$C33 * (1 - VALUE(SUBSTITUTE(R33,"%","")) / 100), test_WS_QUOTE!$C33 - VALUE(R33)))</f>
        <v>0</v>
      </c>
      <c r="R33" s="686"/>
      <c r="S33" s="697">
        <f>IF(T33="NOPROMO", test_WS_QUOTE!$C33, IF(RIGHT(T33,1)="%", test_WS_QUOTE!$C33 * (1 - VALUE(SUBSTITUTE(T33,"%","")) / 100), test_WS_QUOTE!$C33 - VALUE(T33)))</f>
        <v>0</v>
      </c>
      <c r="T33" s="686"/>
      <c r="U33" s="698">
        <f>IF(V33="NOPROMO", test_WS_QUOTE!$C33, IF(RIGHT(V33,1)="%", test_WS_QUOTE!$C33 * (1 - VALUE(SUBSTITUTE(V33,"%","")) / 100), test_WS_QUOTE!$C33 - VALUE(V33)))</f>
        <v>0</v>
      </c>
      <c r="V33" s="686"/>
      <c r="W33" s="699">
        <f>IF(X33="NOPROMO", test_WS_QUOTE!$C33, IF(RIGHT(X33,1)="%", test_WS_QUOTE!$C33 * (1 - VALUE(SUBSTITUTE(X33,"%","")) / 100), test_WS_QUOTE!$C33 - VALUE(X33)))</f>
        <v>0</v>
      </c>
      <c r="X33" s="686"/>
      <c r="Y33" s="678">
        <f>IF(Z33="NOPROMO", test_WS_QUOTE!$C33, IF(RIGHT(Z33,1)="%", test_WS_QUOTE!$C33 * (1 - VALUE(SUBSTITUTE(Z33,"%","")) / 100), test_WS_QUOTE!$C33 - VALUE(Z33)))</f>
        <v>0</v>
      </c>
      <c r="Z33" s="686"/>
      <c r="AA33" s="700">
        <f>IF(AB33="NOPROMO", test_WS_QUOTE!$C33, IF(RIGHT(AB33,1)="%", test_WS_QUOTE!$C33 * (1 - VALUE(SUBSTITUTE(AB33,"%","")) / 100), test_WS_QUOTE!$C33 - VALUE(AB33)))</f>
        <v>0</v>
      </c>
      <c r="AB33" s="686"/>
      <c r="AC33" s="680">
        <f>IF(AD33="NOPROMO", test_WS_QUOTE!$C33, IF(RIGHT(AD33,1)="%", test_WS_QUOTE!$C33 * (1 - VALUE(SUBSTITUTE(AD33,"%","")) / 100), test_WS_QUOTE!$C33 - VALUE(AD33)))</f>
        <v>0</v>
      </c>
      <c r="AD33" s="681"/>
      <c r="AE33" s="702"/>
      <c r="AF33" s="682"/>
      <c r="AG33" s="663"/>
    </row>
    <row r="34">
      <c r="A34" s="609"/>
      <c r="B34" s="689"/>
      <c r="C34" s="665">
        <f>IF(D34="NOPROMO", test_WS_QUOTE!$C34, IF(RIGHT(D34,1)="%", test_WS_QUOTE!$C34 * (1 - VALUE(SUBSTITUTE(D34,"%","")) / 100), test_WS_QUOTE!$C34 - VALUE(D34)))</f>
        <v>0</v>
      </c>
      <c r="D34" s="701"/>
      <c r="E34" s="667">
        <f>IF(F34="NOPROMO", test_WS_QUOTE!$C34, IF(RIGHT(F34,1)="%", test_WS_QUOTE!$C34 * (1 - VALUE(SUBSTITUTE(F34,"%","")) / 100), test_WS_QUOTE!$C34 - VALUE(F34)))</f>
        <v>0</v>
      </c>
      <c r="F34" s="690"/>
      <c r="G34" s="691">
        <f>IF(H34="NOPROMO", test_WS_QUOTE!$C34, IF(RIGHT(H34,1)="%", test_WS_QUOTE!$C34 * (1 - VALUE(SUBSTITUTE(H34,"%","")) / 100), test_WS_QUOTE!$C34 - VALUE(H34)))</f>
        <v>0</v>
      </c>
      <c r="H34" s="686"/>
      <c r="I34" s="692">
        <f>IF(J34="NOPROMO", test_WS_QUOTE!$C34, IF(RIGHT(J34,1)="%", test_WS_QUOTE!$C34 * (1 - VALUE(SUBSTITUTE(J34,"%","")) / 100), test_WS_QUOTE!$C34 - VALUE(J34)))</f>
        <v>0</v>
      </c>
      <c r="J34" s="686"/>
      <c r="K34" s="693">
        <f>IF(L34="NOPROMO", test_WS_QUOTE!$C34, IF(RIGHT(L34,1)="%", test_WS_QUOTE!$C34 * (1 - VALUE(SUBSTITUTE(L34,"%","")) / 100), test_WS_QUOTE!$C34 - VALUE(L34)))</f>
        <v>0</v>
      </c>
      <c r="L34" s="686"/>
      <c r="M34" s="694">
        <f>IF(N34="NOPROMO", test_WS_QUOTE!$C34, IF(RIGHT(N34,1)="%", test_WS_QUOTE!$C34 * (1 - VALUE(SUBSTITUTE(N34,"%","")) / 100), test_WS_QUOTE!$C34 - VALUE(N34)))</f>
        <v>0</v>
      </c>
      <c r="N34" s="686"/>
      <c r="O34" s="695">
        <f>IF(P34="NOPROMO", test_WS_QUOTE!$C34, IF(RIGHT(P34,1)="%", test_WS_QUOTE!$C34 * (1 - VALUE(SUBSTITUTE(P34,"%","")) / 100), test_WS_QUOTE!$C34 - VALUE(P34)))</f>
        <v>0</v>
      </c>
      <c r="P34" s="686"/>
      <c r="Q34" s="696">
        <f>IF(R34="NOPROMO", test_WS_QUOTE!$C34, IF(RIGHT(R34,1)="%", test_WS_QUOTE!$C34 * (1 - VALUE(SUBSTITUTE(R34,"%","")) / 100), test_WS_QUOTE!$C34 - VALUE(R34)))</f>
        <v>0</v>
      </c>
      <c r="R34" s="686"/>
      <c r="S34" s="697">
        <f>IF(T34="NOPROMO", test_WS_QUOTE!$C34, IF(RIGHT(T34,1)="%", test_WS_QUOTE!$C34 * (1 - VALUE(SUBSTITUTE(T34,"%","")) / 100), test_WS_QUOTE!$C34 - VALUE(T34)))</f>
        <v>0</v>
      </c>
      <c r="T34" s="686"/>
      <c r="U34" s="698">
        <f>IF(V34="NOPROMO", test_WS_QUOTE!$C34, IF(RIGHT(V34,1)="%", test_WS_QUOTE!$C34 * (1 - VALUE(SUBSTITUTE(V34,"%","")) / 100), test_WS_QUOTE!$C34 - VALUE(V34)))</f>
        <v>0</v>
      </c>
      <c r="V34" s="686"/>
      <c r="W34" s="699">
        <f>IF(X34="NOPROMO", test_WS_QUOTE!$C34, IF(RIGHT(X34,1)="%", test_WS_QUOTE!$C34 * (1 - VALUE(SUBSTITUTE(X34,"%","")) / 100), test_WS_QUOTE!$C34 - VALUE(X34)))</f>
        <v>0</v>
      </c>
      <c r="X34" s="686"/>
      <c r="Y34" s="678">
        <f>IF(Z34="NOPROMO", test_WS_QUOTE!$C34, IF(RIGHT(Z34,1)="%", test_WS_QUOTE!$C34 * (1 - VALUE(SUBSTITUTE(Z34,"%","")) / 100), test_WS_QUOTE!$C34 - VALUE(Z34)))</f>
        <v>0</v>
      </c>
      <c r="Z34" s="686"/>
      <c r="AA34" s="700">
        <f>IF(AB34="NOPROMO", test_WS_QUOTE!$C34, IF(RIGHT(AB34,1)="%", test_WS_QUOTE!$C34 * (1 - VALUE(SUBSTITUTE(AB34,"%","")) / 100), test_WS_QUOTE!$C34 - VALUE(AB34)))</f>
        <v>0</v>
      </c>
      <c r="AB34" s="686"/>
      <c r="AC34" s="680">
        <f>IF(AD34="NOPROMO", test_WS_QUOTE!$C34, IF(RIGHT(AD34,1)="%", test_WS_QUOTE!$C34 * (1 - VALUE(SUBSTITUTE(AD34,"%","")) / 100), test_WS_QUOTE!$C34 - VALUE(AD34)))</f>
        <v>0</v>
      </c>
      <c r="AD34" s="681"/>
      <c r="AE34" s="702"/>
      <c r="AF34" s="682"/>
      <c r="AG34" s="663"/>
    </row>
    <row r="35">
      <c r="A35" s="609"/>
      <c r="B35" s="689"/>
      <c r="C35" s="665">
        <f>IF(D35="NOPROMO", test_WS_QUOTE!$C35, IF(RIGHT(D35,1)="%", test_WS_QUOTE!$C35 * (1 - VALUE(SUBSTITUTE(D35,"%","")) / 100), test_WS_QUOTE!$C35 - VALUE(D35)))</f>
        <v>0</v>
      </c>
      <c r="D35" s="701"/>
      <c r="E35" s="667">
        <f>IF(F35="NOPROMO", test_WS_QUOTE!$C35, IF(RIGHT(F35,1)="%", test_WS_QUOTE!$C35 * (1 - VALUE(SUBSTITUTE(F35,"%","")) / 100), test_WS_QUOTE!$C35 - VALUE(F35)))</f>
        <v>0</v>
      </c>
      <c r="F35" s="690"/>
      <c r="G35" s="691">
        <f>IF(H35="NOPROMO", test_WS_QUOTE!$C35, IF(RIGHT(H35,1)="%", test_WS_QUOTE!$C35 * (1 - VALUE(SUBSTITUTE(H35,"%","")) / 100), test_WS_QUOTE!$C35 - VALUE(H35)))</f>
        <v>0</v>
      </c>
      <c r="H35" s="686"/>
      <c r="I35" s="692">
        <f>IF(J35="NOPROMO", test_WS_QUOTE!$C35, IF(RIGHT(J35,1)="%", test_WS_QUOTE!$C35 * (1 - VALUE(SUBSTITUTE(J35,"%","")) / 100), test_WS_QUOTE!$C35 - VALUE(J35)))</f>
        <v>0</v>
      </c>
      <c r="J35" s="686"/>
      <c r="K35" s="693">
        <f>IF(L35="NOPROMO", test_WS_QUOTE!$C35, IF(RIGHT(L35,1)="%", test_WS_QUOTE!$C35 * (1 - VALUE(SUBSTITUTE(L35,"%","")) / 100), test_WS_QUOTE!$C35 - VALUE(L35)))</f>
        <v>0</v>
      </c>
      <c r="L35" s="686"/>
      <c r="M35" s="694">
        <f>IF(N35="NOPROMO", test_WS_QUOTE!$C35, IF(RIGHT(N35,1)="%", test_WS_QUOTE!$C35 * (1 - VALUE(SUBSTITUTE(N35,"%","")) / 100), test_WS_QUOTE!$C35 - VALUE(N35)))</f>
        <v>0</v>
      </c>
      <c r="N35" s="686"/>
      <c r="O35" s="695">
        <f>IF(P35="NOPROMO", test_WS_QUOTE!$C35, IF(RIGHT(P35,1)="%", test_WS_QUOTE!$C35 * (1 - VALUE(SUBSTITUTE(P35,"%","")) / 100), test_WS_QUOTE!$C35 - VALUE(P35)))</f>
        <v>0</v>
      </c>
      <c r="P35" s="686"/>
      <c r="Q35" s="696">
        <f>IF(R35="NOPROMO", test_WS_QUOTE!$C35, IF(RIGHT(R35,1)="%", test_WS_QUOTE!$C35 * (1 - VALUE(SUBSTITUTE(R35,"%","")) / 100), test_WS_QUOTE!$C35 - VALUE(R35)))</f>
        <v>0</v>
      </c>
      <c r="R35" s="686"/>
      <c r="S35" s="697">
        <f>IF(T35="NOPROMO", test_WS_QUOTE!$C35, IF(RIGHT(T35,1)="%", test_WS_QUOTE!$C35 * (1 - VALUE(SUBSTITUTE(T35,"%","")) / 100), test_WS_QUOTE!$C35 - VALUE(T35)))</f>
        <v>0</v>
      </c>
      <c r="T35" s="686"/>
      <c r="U35" s="698">
        <f>IF(V35="NOPROMO", test_WS_QUOTE!$C35, IF(RIGHT(V35,1)="%", test_WS_QUOTE!$C35 * (1 - VALUE(SUBSTITUTE(V35,"%","")) / 100), test_WS_QUOTE!$C35 - VALUE(V35)))</f>
        <v>0</v>
      </c>
      <c r="V35" s="686"/>
      <c r="W35" s="699">
        <f>IF(X35="NOPROMO", test_WS_QUOTE!$C35, IF(RIGHT(X35,1)="%", test_WS_QUOTE!$C35 * (1 - VALUE(SUBSTITUTE(X35,"%","")) / 100), test_WS_QUOTE!$C35 - VALUE(X35)))</f>
        <v>0</v>
      </c>
      <c r="X35" s="686"/>
      <c r="Y35" s="678">
        <f>IF(Z35="NOPROMO", test_WS_QUOTE!$C35, IF(RIGHT(Z35,1)="%", test_WS_QUOTE!$C35 * (1 - VALUE(SUBSTITUTE(Z35,"%","")) / 100), test_WS_QUOTE!$C35 - VALUE(Z35)))</f>
        <v>0</v>
      </c>
      <c r="Z35" s="686"/>
      <c r="AA35" s="700">
        <f>IF(AB35="NOPROMO", test_WS_QUOTE!$C35, IF(RIGHT(AB35,1)="%", test_WS_QUOTE!$C35 * (1 - VALUE(SUBSTITUTE(AB35,"%","")) / 100), test_WS_QUOTE!$C35 - VALUE(AB35)))</f>
        <v>0</v>
      </c>
      <c r="AB35" s="686"/>
      <c r="AC35" s="680">
        <f>IF(AD35="NOPROMO", test_WS_QUOTE!$C35, IF(RIGHT(AD35,1)="%", test_WS_QUOTE!$C35 * (1 - VALUE(SUBSTITUTE(AD35,"%","")) / 100), test_WS_QUOTE!$C35 - VALUE(AD35)))</f>
        <v>0</v>
      </c>
      <c r="AD35" s="681"/>
      <c r="AE35" s="702"/>
      <c r="AF35" s="662"/>
      <c r="AG35" s="663"/>
    </row>
    <row r="36">
      <c r="A36" s="609"/>
      <c r="B36" s="689"/>
      <c r="C36" s="665">
        <f>IF(D36="NOPROMO", test_WS_QUOTE!$C36, IF(RIGHT(D36,1)="%", test_WS_QUOTE!$C36 * (1 - VALUE(SUBSTITUTE(D36,"%","")) / 100), test_WS_QUOTE!$C36 - VALUE(D36)))</f>
        <v>0</v>
      </c>
      <c r="D36" s="686"/>
      <c r="E36" s="667">
        <f>IF(F36="NOPROMO", test_WS_QUOTE!$C36, IF(RIGHT(F36,1)="%", test_WS_QUOTE!$C36 * (1 - VALUE(SUBSTITUTE(F36,"%","")) / 100), test_WS_QUOTE!$C36 - VALUE(F36)))</f>
        <v>0</v>
      </c>
      <c r="F36" s="690"/>
      <c r="G36" s="691">
        <f>IF(H36="NOPROMO", test_WS_QUOTE!$C36, IF(RIGHT(H36,1)="%", test_WS_QUOTE!$C36 * (1 - VALUE(SUBSTITUTE(H36,"%","")) / 100), test_WS_QUOTE!$C36 - VALUE(H36)))</f>
        <v>0</v>
      </c>
      <c r="H36" s="686"/>
      <c r="I36" s="692">
        <f>IF(J36="NOPROMO", test_WS_QUOTE!$C36, IF(RIGHT(J36,1)="%", test_WS_QUOTE!$C36 * (1 - VALUE(SUBSTITUTE(J36,"%","")) / 100), test_WS_QUOTE!$C36 - VALUE(J36)))</f>
        <v>0</v>
      </c>
      <c r="J36" s="686"/>
      <c r="K36" s="693">
        <f>IF(L36="NOPROMO", test_WS_QUOTE!$C36, IF(RIGHT(L36,1)="%", test_WS_QUOTE!$C36 * (1 - VALUE(SUBSTITUTE(L36,"%","")) / 100), test_WS_QUOTE!$C36 - VALUE(L36)))</f>
        <v>0</v>
      </c>
      <c r="L36" s="686"/>
      <c r="M36" s="694">
        <f>IF(N36="NOPROMO", test_WS_QUOTE!$C36, IF(RIGHT(N36,1)="%", test_WS_QUOTE!$C36 * (1 - VALUE(SUBSTITUTE(N36,"%","")) / 100), test_WS_QUOTE!$C36 - VALUE(N36)))</f>
        <v>0</v>
      </c>
      <c r="N36" s="686"/>
      <c r="O36" s="695">
        <f>IF(P36="NOPROMO", test_WS_QUOTE!$C36, IF(RIGHT(P36,1)="%", test_WS_QUOTE!$C36 * (1 - VALUE(SUBSTITUTE(P36,"%","")) / 100), test_WS_QUOTE!$C36 - VALUE(P36)))</f>
        <v>0</v>
      </c>
      <c r="P36" s="686"/>
      <c r="Q36" s="696">
        <f>IF(R36="NOPROMO", test_WS_QUOTE!$C36, IF(RIGHT(R36,1)="%", test_WS_QUOTE!$C36 * (1 - VALUE(SUBSTITUTE(R36,"%","")) / 100), test_WS_QUOTE!$C36 - VALUE(R36)))</f>
        <v>0</v>
      </c>
      <c r="R36" s="686"/>
      <c r="S36" s="697">
        <f>IF(T36="NOPROMO", test_WS_QUOTE!$C36, IF(RIGHT(T36,1)="%", test_WS_QUOTE!$C36 * (1 - VALUE(SUBSTITUTE(T36,"%","")) / 100), test_WS_QUOTE!$C36 - VALUE(T36)))</f>
        <v>0</v>
      </c>
      <c r="T36" s="686"/>
      <c r="U36" s="698">
        <f>IF(V36="NOPROMO", test_WS_QUOTE!$C36, IF(RIGHT(V36,1)="%", test_WS_QUOTE!$C36 * (1 - VALUE(SUBSTITUTE(V36,"%","")) / 100), test_WS_QUOTE!$C36 - VALUE(V36)))</f>
        <v>0</v>
      </c>
      <c r="V36" s="686"/>
      <c r="W36" s="699">
        <f>IF(X36="NOPROMO", test_WS_QUOTE!$C36, IF(RIGHT(X36,1)="%", test_WS_QUOTE!$C36 * (1 - VALUE(SUBSTITUTE(X36,"%","")) / 100), test_WS_QUOTE!$C36 - VALUE(X36)))</f>
        <v>0</v>
      </c>
      <c r="X36" s="686"/>
      <c r="Y36" s="678">
        <f>IF(Z36="NOPROMO", test_WS_QUOTE!$C36, IF(RIGHT(Z36,1)="%", test_WS_QUOTE!$C36 * (1 - VALUE(SUBSTITUTE(Z36,"%","")) / 100), test_WS_QUOTE!$C36 - VALUE(Z36)))</f>
        <v>0</v>
      </c>
      <c r="Z36" s="686"/>
      <c r="AA36" s="700">
        <f>IF(AB36="NOPROMO", test_WS_QUOTE!$C36, IF(RIGHT(AB36,1)="%", test_WS_QUOTE!$C36 * (1 - VALUE(SUBSTITUTE(AB36,"%","")) / 100), test_WS_QUOTE!$C36 - VALUE(AB36)))</f>
        <v>0</v>
      </c>
      <c r="AB36" s="686"/>
      <c r="AC36" s="680">
        <f>IF(AD36="NOPROMO", test_WS_QUOTE!$C36, IF(RIGHT(AD36,1)="%", test_WS_QUOTE!$C36 * (1 - VALUE(SUBSTITUTE(AD36,"%","")) / 100), test_WS_QUOTE!$C36 - VALUE(AD36)))</f>
        <v>0</v>
      </c>
      <c r="AD36" s="681"/>
      <c r="AE36" s="702"/>
      <c r="AF36" s="682"/>
      <c r="AG36" s="663"/>
    </row>
    <row r="37">
      <c r="A37" s="609"/>
      <c r="B37" s="689"/>
      <c r="C37" s="665">
        <f>IF(D37="NOPROMO", test_WS_QUOTE!$C37, IF(RIGHT(D37,1)="%", test_WS_QUOTE!$C37 * (1 - VALUE(SUBSTITUTE(D37,"%","")) / 100), test_WS_QUOTE!$C37 - VALUE(D37)))</f>
        <v>0</v>
      </c>
      <c r="D37" s="704"/>
      <c r="E37" s="667">
        <f>IF(F37="NOPROMO", test_WS_QUOTE!$C37, IF(RIGHT(F37,1)="%", test_WS_QUOTE!$C37 * (1 - VALUE(SUBSTITUTE(F37,"%","")) / 100), test_WS_QUOTE!$C37 - VALUE(F37)))</f>
        <v>0</v>
      </c>
      <c r="F37" s="690"/>
      <c r="G37" s="691">
        <f>IF(H37="NOPROMO", test_WS_QUOTE!$C37, IF(RIGHT(H37,1)="%", test_WS_QUOTE!$C37 * (1 - VALUE(SUBSTITUTE(H37,"%","")) / 100), test_WS_QUOTE!$C37 - VALUE(H37)))</f>
        <v>0</v>
      </c>
      <c r="H37" s="686"/>
      <c r="I37" s="692">
        <f>IF(J37="NOPROMO", test_WS_QUOTE!$C37, IF(RIGHT(J37,1)="%", test_WS_QUOTE!$C37 * (1 - VALUE(SUBSTITUTE(J37,"%","")) / 100), test_WS_QUOTE!$C37 - VALUE(J37)))</f>
        <v>0</v>
      </c>
      <c r="J37" s="686"/>
      <c r="K37" s="693">
        <f>IF(L37="NOPROMO", test_WS_QUOTE!$C37, IF(RIGHT(L37,1)="%", test_WS_QUOTE!$C37 * (1 - VALUE(SUBSTITUTE(L37,"%","")) / 100), test_WS_QUOTE!$C37 - VALUE(L37)))</f>
        <v>0</v>
      </c>
      <c r="L37" s="686"/>
      <c r="M37" s="694">
        <f>IF(N37="NOPROMO", test_WS_QUOTE!$C37, IF(RIGHT(N37,1)="%", test_WS_QUOTE!$C37 * (1 - VALUE(SUBSTITUTE(N37,"%","")) / 100), test_WS_QUOTE!$C37 - VALUE(N37)))</f>
        <v>0</v>
      </c>
      <c r="N37" s="686"/>
      <c r="O37" s="695">
        <f>IF(P37="NOPROMO", test_WS_QUOTE!$C37, IF(RIGHT(P37,1)="%", test_WS_QUOTE!$C37 * (1 - VALUE(SUBSTITUTE(P37,"%","")) / 100), test_WS_QUOTE!$C37 - VALUE(P37)))</f>
        <v>0</v>
      </c>
      <c r="P37" s="686"/>
      <c r="Q37" s="696">
        <f>IF(R37="NOPROMO", test_WS_QUOTE!$C37, IF(RIGHT(R37,1)="%", test_WS_QUOTE!$C37 * (1 - VALUE(SUBSTITUTE(R37,"%","")) / 100), test_WS_QUOTE!$C37 - VALUE(R37)))</f>
        <v>0</v>
      </c>
      <c r="R37" s="686"/>
      <c r="S37" s="697">
        <f>IF(T37="NOPROMO", test_WS_QUOTE!$C37, IF(RIGHT(T37,1)="%", test_WS_QUOTE!$C37 * (1 - VALUE(SUBSTITUTE(T37,"%","")) / 100), test_WS_QUOTE!$C37 - VALUE(T37)))</f>
        <v>0</v>
      </c>
      <c r="T37" s="686"/>
      <c r="U37" s="698">
        <f>IF(V37="NOPROMO", test_WS_QUOTE!$C37, IF(RIGHT(V37,1)="%", test_WS_QUOTE!$C37 * (1 - VALUE(SUBSTITUTE(V37,"%","")) / 100), test_WS_QUOTE!$C37 - VALUE(V37)))</f>
        <v>0</v>
      </c>
      <c r="V37" s="686"/>
      <c r="W37" s="699">
        <f>IF(X37="NOPROMO", test_WS_QUOTE!$C37, IF(RIGHT(X37,1)="%", test_WS_QUOTE!$C37 * (1 - VALUE(SUBSTITUTE(X37,"%","")) / 100), test_WS_QUOTE!$C37 - VALUE(X37)))</f>
        <v>0</v>
      </c>
      <c r="X37" s="686"/>
      <c r="Y37" s="678">
        <f>IF(Z37="NOPROMO", test_WS_QUOTE!$C37, IF(RIGHT(Z37,1)="%", test_WS_QUOTE!$C37 * (1 - VALUE(SUBSTITUTE(Z37,"%","")) / 100), test_WS_QUOTE!$C37 - VALUE(Z37)))</f>
        <v>0</v>
      </c>
      <c r="Z37" s="686"/>
      <c r="AA37" s="700">
        <f>IF(AB37="NOPROMO", test_WS_QUOTE!$C37, IF(RIGHT(AB37,1)="%", test_WS_QUOTE!$C37 * (1 - VALUE(SUBSTITUTE(AB37,"%","")) / 100), test_WS_QUOTE!$C37 - VALUE(AB37)))</f>
        <v>0</v>
      </c>
      <c r="AB37" s="686"/>
      <c r="AC37" s="680">
        <f>IF(AD37="NOPROMO", test_WS_QUOTE!$C37, IF(RIGHT(AD37,1)="%", test_WS_QUOTE!$C37 * (1 - VALUE(SUBSTITUTE(AD37,"%","")) / 100), test_WS_QUOTE!$C37 - VALUE(AD37)))</f>
        <v>0</v>
      </c>
      <c r="AD37" s="681"/>
      <c r="AE37" s="702"/>
      <c r="AF37" s="662"/>
      <c r="AG37" s="663"/>
    </row>
    <row r="38">
      <c r="A38" s="609"/>
      <c r="B38" s="689"/>
      <c r="C38" s="665">
        <f>IF(D38="NOPROMO", test_WS_QUOTE!$C38, IF(RIGHT(D38,1)="%", test_WS_QUOTE!$C38 * (1 - VALUE(SUBSTITUTE(D38,"%","")) / 100), test_WS_QUOTE!$C38 - VALUE(D38)))</f>
        <v>0</v>
      </c>
      <c r="D38" s="686"/>
      <c r="E38" s="667">
        <f>IF(F38="NOPROMO", test_WS_QUOTE!$C38, IF(RIGHT(F38,1)="%", test_WS_QUOTE!$C38 * (1 - VALUE(SUBSTITUTE(F38,"%","")) / 100), test_WS_QUOTE!$C38 - VALUE(F38)))</f>
        <v>0</v>
      </c>
      <c r="F38" s="690"/>
      <c r="G38" s="691">
        <f>IF(H38="NOPROMO", test_WS_QUOTE!$C38, IF(RIGHT(H38,1)="%", test_WS_QUOTE!$C38 * (1 - VALUE(SUBSTITUTE(H38,"%","")) / 100), test_WS_QUOTE!$C38 - VALUE(H38)))</f>
        <v>0</v>
      </c>
      <c r="H38" s="686"/>
      <c r="I38" s="692">
        <f>IF(J38="NOPROMO", test_WS_QUOTE!$C38, IF(RIGHT(J38,1)="%", test_WS_QUOTE!$C38 * (1 - VALUE(SUBSTITUTE(J38,"%","")) / 100), test_WS_QUOTE!$C38 - VALUE(J38)))</f>
        <v>0</v>
      </c>
      <c r="J38" s="686"/>
      <c r="K38" s="693">
        <f>IF(L38="NOPROMO", test_WS_QUOTE!$C38, IF(RIGHT(L38,1)="%", test_WS_QUOTE!$C38 * (1 - VALUE(SUBSTITUTE(L38,"%","")) / 100), test_WS_QUOTE!$C38 - VALUE(L38)))</f>
        <v>0</v>
      </c>
      <c r="L38" s="686"/>
      <c r="M38" s="694">
        <f>IF(N38="NOPROMO", test_WS_QUOTE!$C38, IF(RIGHT(N38,1)="%", test_WS_QUOTE!$C38 * (1 - VALUE(SUBSTITUTE(N38,"%","")) / 100), test_WS_QUOTE!$C38 - VALUE(N38)))</f>
        <v>0</v>
      </c>
      <c r="N38" s="686"/>
      <c r="O38" s="695">
        <f>IF(P38="NOPROMO", test_WS_QUOTE!$C38, IF(RIGHT(P38,1)="%", test_WS_QUOTE!$C38 * (1 - VALUE(SUBSTITUTE(P38,"%","")) / 100), test_WS_QUOTE!$C38 - VALUE(P38)))</f>
        <v>0</v>
      </c>
      <c r="P38" s="686"/>
      <c r="Q38" s="696">
        <f>IF(R38="NOPROMO", test_WS_QUOTE!$C38, IF(RIGHT(R38,1)="%", test_WS_QUOTE!$C38 * (1 - VALUE(SUBSTITUTE(R38,"%","")) / 100), test_WS_QUOTE!$C38 - VALUE(R38)))</f>
        <v>0</v>
      </c>
      <c r="R38" s="686"/>
      <c r="S38" s="697">
        <f>IF(T38="NOPROMO", test_WS_QUOTE!$C38, IF(RIGHT(T38,1)="%", test_WS_QUOTE!$C38 * (1 - VALUE(SUBSTITUTE(T38,"%","")) / 100), test_WS_QUOTE!$C38 - VALUE(T38)))</f>
        <v>0</v>
      </c>
      <c r="T38" s="686"/>
      <c r="U38" s="698">
        <f>IF(V38="NOPROMO", test_WS_QUOTE!$C38, IF(RIGHT(V38,1)="%", test_WS_QUOTE!$C38 * (1 - VALUE(SUBSTITUTE(V38,"%","")) / 100), test_WS_QUOTE!$C38 - VALUE(V38)))</f>
        <v>0</v>
      </c>
      <c r="V38" s="686"/>
      <c r="W38" s="699">
        <f>IF(X38="NOPROMO", test_WS_QUOTE!$C38, IF(RIGHT(X38,1)="%", test_WS_QUOTE!$C38 * (1 - VALUE(SUBSTITUTE(X38,"%","")) / 100), test_WS_QUOTE!$C38 - VALUE(X38)))</f>
        <v>0</v>
      </c>
      <c r="X38" s="686"/>
      <c r="Y38" s="678">
        <f>IF(Z38="NOPROMO", test_WS_QUOTE!$C38, IF(RIGHT(Z38,1)="%", test_WS_QUOTE!$C38 * (1 - VALUE(SUBSTITUTE(Z38,"%","")) / 100), test_WS_QUOTE!$C38 - VALUE(Z38)))</f>
        <v>0</v>
      </c>
      <c r="Z38" s="686"/>
      <c r="AA38" s="700">
        <f>IF(AB38="NOPROMO", test_WS_QUOTE!$C38, IF(RIGHT(AB38,1)="%", test_WS_QUOTE!$C38 * (1 - VALUE(SUBSTITUTE(AB38,"%","")) / 100), test_WS_QUOTE!$C38 - VALUE(AB38)))</f>
        <v>0</v>
      </c>
      <c r="AB38" s="686"/>
      <c r="AC38" s="680">
        <f>IF(AD38="NOPROMO", test_WS_QUOTE!$C38, IF(RIGHT(AD38,1)="%", test_WS_QUOTE!$C38 * (1 - VALUE(SUBSTITUTE(AD38,"%","")) / 100), test_WS_QUOTE!$C38 - VALUE(AD38)))</f>
        <v>0</v>
      </c>
      <c r="AD38" s="681"/>
      <c r="AE38" s="702"/>
      <c r="AF38" s="682"/>
      <c r="AG38" s="663"/>
    </row>
    <row r="39">
      <c r="A39" s="609"/>
      <c r="B39" s="689"/>
      <c r="C39" s="665">
        <f>IF(D39="NOPROMO", test_WS_QUOTE!$C39, IF(RIGHT(D39,1)="%", test_WS_QUOTE!$C39 * (1 - VALUE(SUBSTITUTE(D39,"%","")) / 100), test_WS_QUOTE!$C39 - VALUE(D39)))</f>
        <v>0</v>
      </c>
      <c r="D39" s="705"/>
      <c r="E39" s="667">
        <f>IF(F39="NOPROMO", test_WS_QUOTE!$C39, IF(RIGHT(F39,1)="%", test_WS_QUOTE!$C39 * (1 - VALUE(SUBSTITUTE(F39,"%","")) / 100), test_WS_QUOTE!$C39 - VALUE(F39)))</f>
        <v>0</v>
      </c>
      <c r="F39" s="690"/>
      <c r="G39" s="691">
        <f>IF(H39="NOPROMO", test_WS_QUOTE!$C39, IF(RIGHT(H39,1)="%", test_WS_QUOTE!$C39 * (1 - VALUE(SUBSTITUTE(H39,"%","")) / 100), test_WS_QUOTE!$C39 - VALUE(H39)))</f>
        <v>0</v>
      </c>
      <c r="H39" s="686"/>
      <c r="I39" s="692">
        <f>IF(J39="NOPROMO", test_WS_QUOTE!$C39, IF(RIGHT(J39,1)="%", test_WS_QUOTE!$C39 * (1 - VALUE(SUBSTITUTE(J39,"%","")) / 100), test_WS_QUOTE!$C39 - VALUE(J39)))</f>
        <v>0</v>
      </c>
      <c r="J39" s="686"/>
      <c r="K39" s="693">
        <f>IF(L39="NOPROMO", test_WS_QUOTE!$C39, IF(RIGHT(L39,1)="%", test_WS_QUOTE!$C39 * (1 - VALUE(SUBSTITUTE(L39,"%","")) / 100), test_WS_QUOTE!$C39 - VALUE(L39)))</f>
        <v>0</v>
      </c>
      <c r="L39" s="686"/>
      <c r="M39" s="694">
        <f>IF(N39="NOPROMO", test_WS_QUOTE!$C39, IF(RIGHT(N39,1)="%", test_WS_QUOTE!$C39 * (1 - VALUE(SUBSTITUTE(N39,"%","")) / 100), test_WS_QUOTE!$C39 - VALUE(N39)))</f>
        <v>0</v>
      </c>
      <c r="N39" s="686"/>
      <c r="O39" s="695">
        <f>IF(P39="NOPROMO", test_WS_QUOTE!$C39, IF(RIGHT(P39,1)="%", test_WS_QUOTE!$C39 * (1 - VALUE(SUBSTITUTE(P39,"%","")) / 100), test_WS_QUOTE!$C39 - VALUE(P39)))</f>
        <v>0</v>
      </c>
      <c r="P39" s="686"/>
      <c r="Q39" s="696">
        <f>IF(R39="NOPROMO", test_WS_QUOTE!$C39, IF(RIGHT(R39,1)="%", test_WS_QUOTE!$C39 * (1 - VALUE(SUBSTITUTE(R39,"%","")) / 100), test_WS_QUOTE!$C39 - VALUE(R39)))</f>
        <v>0</v>
      </c>
      <c r="R39" s="686"/>
      <c r="S39" s="697">
        <f>IF(T39="NOPROMO", test_WS_QUOTE!$C39, IF(RIGHT(T39,1)="%", test_WS_QUOTE!$C39 * (1 - VALUE(SUBSTITUTE(T39,"%","")) / 100), test_WS_QUOTE!$C39 - VALUE(T39)))</f>
        <v>0</v>
      </c>
      <c r="T39" s="686"/>
      <c r="U39" s="698">
        <f>IF(V39="NOPROMO", test_WS_QUOTE!$C39, IF(RIGHT(V39,1)="%", test_WS_QUOTE!$C39 * (1 - VALUE(SUBSTITUTE(V39,"%","")) / 100), test_WS_QUOTE!$C39 - VALUE(V39)))</f>
        <v>0</v>
      </c>
      <c r="V39" s="686"/>
      <c r="W39" s="699">
        <f>IF(X39="NOPROMO", test_WS_QUOTE!$C39, IF(RIGHT(X39,1)="%", test_WS_QUOTE!$C39 * (1 - VALUE(SUBSTITUTE(X39,"%","")) / 100), test_WS_QUOTE!$C39 - VALUE(X39)))</f>
        <v>0</v>
      </c>
      <c r="X39" s="686"/>
      <c r="Y39" s="678">
        <f>IF(Z39="NOPROMO", test_WS_QUOTE!$C39, IF(RIGHT(Z39,1)="%", test_WS_QUOTE!$C39 * (1 - VALUE(SUBSTITUTE(Z39,"%","")) / 100), test_WS_QUOTE!$C39 - VALUE(Z39)))</f>
        <v>0</v>
      </c>
      <c r="Z39" s="686"/>
      <c r="AA39" s="700">
        <f>IF(AB39="NOPROMO", test_WS_QUOTE!$C39, IF(RIGHT(AB39,1)="%", test_WS_QUOTE!$C39 * (1 - VALUE(SUBSTITUTE(AB39,"%","")) / 100), test_WS_QUOTE!$C39 - VALUE(AB39)))</f>
        <v>0</v>
      </c>
      <c r="AB39" s="686"/>
      <c r="AC39" s="680">
        <f>IF(AD39="NOPROMO", test_WS_QUOTE!$C39, IF(RIGHT(AD39,1)="%", test_WS_QUOTE!$C39 * (1 - VALUE(SUBSTITUTE(AD39,"%","")) / 100), test_WS_QUOTE!$C39 - VALUE(AD39)))</f>
        <v>0</v>
      </c>
      <c r="AD39" s="681"/>
      <c r="AE39" s="702"/>
      <c r="AF39" s="662"/>
      <c r="AG39" s="663"/>
    </row>
    <row r="40">
      <c r="A40" s="609"/>
      <c r="B40" s="689"/>
      <c r="C40" s="665">
        <f>IF(D40="NOPROMO", test_WS_QUOTE!$C40, IF(RIGHT(D40,1)="%", test_WS_QUOTE!$C40 * (1 - VALUE(SUBSTITUTE(D40,"%","")) / 100), test_WS_QUOTE!$C40 - VALUE(D40)))</f>
        <v>0</v>
      </c>
      <c r="D40" s="705"/>
      <c r="E40" s="667">
        <f>IF(F40="NOPROMO", test_WS_QUOTE!$C40, IF(RIGHT(F40,1)="%", test_WS_QUOTE!$C40 * (1 - VALUE(SUBSTITUTE(F40,"%","")) / 100), test_WS_QUOTE!$C40 - VALUE(F40)))</f>
        <v>0</v>
      </c>
      <c r="F40" s="690"/>
      <c r="G40" s="691">
        <f>IF(H40="NOPROMO", test_WS_QUOTE!$C40, IF(RIGHT(H40,1)="%", test_WS_QUOTE!$C40 * (1 - VALUE(SUBSTITUTE(H40,"%","")) / 100), test_WS_QUOTE!$C40 - VALUE(H40)))</f>
        <v>0</v>
      </c>
      <c r="H40" s="686"/>
      <c r="I40" s="692">
        <f>IF(J40="NOPROMO", test_WS_QUOTE!$C40, IF(RIGHT(J40,1)="%", test_WS_QUOTE!$C40 * (1 - VALUE(SUBSTITUTE(J40,"%","")) / 100), test_WS_QUOTE!$C40 - VALUE(J40)))</f>
        <v>0</v>
      </c>
      <c r="J40" s="686"/>
      <c r="K40" s="693">
        <f>IF(L40="NOPROMO", test_WS_QUOTE!$C40, IF(RIGHT(L40,1)="%", test_WS_QUOTE!$C40 * (1 - VALUE(SUBSTITUTE(L40,"%","")) / 100), test_WS_QUOTE!$C40 - VALUE(L40)))</f>
        <v>0</v>
      </c>
      <c r="L40" s="686"/>
      <c r="M40" s="694">
        <f>IF(N40="NOPROMO", test_WS_QUOTE!$C40, IF(RIGHT(N40,1)="%", test_WS_QUOTE!$C40 * (1 - VALUE(SUBSTITUTE(N40,"%","")) / 100), test_WS_QUOTE!$C40 - VALUE(N40)))</f>
        <v>0</v>
      </c>
      <c r="N40" s="686"/>
      <c r="O40" s="695">
        <f>IF(P40="NOPROMO", test_WS_QUOTE!$C40, IF(RIGHT(P40,1)="%", test_WS_QUOTE!$C40 * (1 - VALUE(SUBSTITUTE(P40,"%","")) / 100), test_WS_QUOTE!$C40 - VALUE(P40)))</f>
        <v>0</v>
      </c>
      <c r="P40" s="686"/>
      <c r="Q40" s="696">
        <f>IF(R40="NOPROMO", test_WS_QUOTE!$C40, IF(RIGHT(R40,1)="%", test_WS_QUOTE!$C40 * (1 - VALUE(SUBSTITUTE(R40,"%","")) / 100), test_WS_QUOTE!$C40 - VALUE(R40)))</f>
        <v>0</v>
      </c>
      <c r="R40" s="686"/>
      <c r="S40" s="697">
        <f>IF(T40="NOPROMO", test_WS_QUOTE!$C40, IF(RIGHT(T40,1)="%", test_WS_QUOTE!$C40 * (1 - VALUE(SUBSTITUTE(T40,"%","")) / 100), test_WS_QUOTE!$C40 - VALUE(T40)))</f>
        <v>0</v>
      </c>
      <c r="T40" s="686"/>
      <c r="U40" s="698">
        <f>IF(V40="NOPROMO", test_WS_QUOTE!$C40, IF(RIGHT(V40,1)="%", test_WS_QUOTE!$C40 * (1 - VALUE(SUBSTITUTE(V40,"%","")) / 100), test_WS_QUOTE!$C40 - VALUE(V40)))</f>
        <v>0</v>
      </c>
      <c r="V40" s="686"/>
      <c r="W40" s="699">
        <f>IF(X40="NOPROMO", test_WS_QUOTE!$C40, IF(RIGHT(X40,1)="%", test_WS_QUOTE!$C40 * (1 - VALUE(SUBSTITUTE(X40,"%","")) / 100), test_WS_QUOTE!$C40 - VALUE(X40)))</f>
        <v>0</v>
      </c>
      <c r="X40" s="686"/>
      <c r="Y40" s="678">
        <f>IF(Z40="NOPROMO", test_WS_QUOTE!$C40, IF(RIGHT(Z40,1)="%", test_WS_QUOTE!$C40 * (1 - VALUE(SUBSTITUTE(Z40,"%","")) / 100), test_WS_QUOTE!$C40 - VALUE(Z40)))</f>
        <v>0</v>
      </c>
      <c r="Z40" s="686"/>
      <c r="AA40" s="700">
        <f>IF(AB40="NOPROMO", test_WS_QUOTE!$C40, IF(RIGHT(AB40,1)="%", test_WS_QUOTE!$C40 * (1 - VALUE(SUBSTITUTE(AB40,"%","")) / 100), test_WS_QUOTE!$C40 - VALUE(AB40)))</f>
        <v>0</v>
      </c>
      <c r="AB40" s="686"/>
      <c r="AC40" s="680">
        <f>IF(AD40="NOPROMO", test_WS_QUOTE!$C40, IF(RIGHT(AD40,1)="%", test_WS_QUOTE!$C40 * (1 - VALUE(SUBSTITUTE(AD40,"%","")) / 100), test_WS_QUOTE!$C40 - VALUE(AD40)))</f>
        <v>0</v>
      </c>
      <c r="AD40" s="681"/>
      <c r="AE40" s="702"/>
      <c r="AF40" s="682"/>
      <c r="AG40" s="663"/>
    </row>
    <row r="41">
      <c r="A41" s="609"/>
      <c r="B41" s="689"/>
      <c r="C41" s="665">
        <f>IF(D41="NOPROMO", test_WS_QUOTE!$C41, IF(RIGHT(D41,1)="%", test_WS_QUOTE!$C41 * (1 - VALUE(SUBSTITUTE(D41,"%","")) / 100), test_WS_QUOTE!$C41 - VALUE(D41)))</f>
        <v>0</v>
      </c>
      <c r="D41" s="704"/>
      <c r="E41" s="667">
        <f>IF(F41="NOPROMO", test_WS_QUOTE!$C41, IF(RIGHT(F41,1)="%", test_WS_QUOTE!$C41 * (1 - VALUE(SUBSTITUTE(F41,"%","")) / 100), test_WS_QUOTE!$C41 - VALUE(F41)))</f>
        <v>0</v>
      </c>
      <c r="F41" s="690"/>
      <c r="G41" s="691">
        <f>IF(H41="NOPROMO", test_WS_QUOTE!$C41, IF(RIGHT(H41,1)="%", test_WS_QUOTE!$C41 * (1 - VALUE(SUBSTITUTE(H41,"%","")) / 100), test_WS_QUOTE!$C41 - VALUE(H41)))</f>
        <v>0</v>
      </c>
      <c r="H41" s="686"/>
      <c r="I41" s="692">
        <f>IF(J41="NOPROMO", test_WS_QUOTE!$C41, IF(RIGHT(J41,1)="%", test_WS_QUOTE!$C41 * (1 - VALUE(SUBSTITUTE(J41,"%","")) / 100), test_WS_QUOTE!$C41 - VALUE(J41)))</f>
        <v>0</v>
      </c>
      <c r="J41" s="686"/>
      <c r="K41" s="693">
        <f>IF(L41="NOPROMO", test_WS_QUOTE!$C41, IF(RIGHT(L41,1)="%", test_WS_QUOTE!$C41 * (1 - VALUE(SUBSTITUTE(L41,"%","")) / 100), test_WS_QUOTE!$C41 - VALUE(L41)))</f>
        <v>0</v>
      </c>
      <c r="L41" s="686"/>
      <c r="M41" s="694">
        <f>IF(N41="NOPROMO", test_WS_QUOTE!$C41, IF(RIGHT(N41,1)="%", test_WS_QUOTE!$C41 * (1 - VALUE(SUBSTITUTE(N41,"%","")) / 100), test_WS_QUOTE!$C41 - VALUE(N41)))</f>
        <v>0</v>
      </c>
      <c r="N41" s="686"/>
      <c r="O41" s="695">
        <f>IF(P41="NOPROMO", test_WS_QUOTE!$C41, IF(RIGHT(P41,1)="%", test_WS_QUOTE!$C41 * (1 - VALUE(SUBSTITUTE(P41,"%","")) / 100), test_WS_QUOTE!$C41 - VALUE(P41)))</f>
        <v>0</v>
      </c>
      <c r="P41" s="686"/>
      <c r="Q41" s="696">
        <f>IF(R41="NOPROMO", test_WS_QUOTE!$C41, IF(RIGHT(R41,1)="%", test_WS_QUOTE!$C41 * (1 - VALUE(SUBSTITUTE(R41,"%","")) / 100), test_WS_QUOTE!$C41 - VALUE(R41)))</f>
        <v>0</v>
      </c>
      <c r="R41" s="686"/>
      <c r="S41" s="697">
        <f>IF(T41="NOPROMO", test_WS_QUOTE!$C41, IF(RIGHT(T41,1)="%", test_WS_QUOTE!$C41 * (1 - VALUE(SUBSTITUTE(T41,"%","")) / 100), test_WS_QUOTE!$C41 - VALUE(T41)))</f>
        <v>0</v>
      </c>
      <c r="T41" s="686"/>
      <c r="U41" s="698">
        <f>IF(V41="NOPROMO", test_WS_QUOTE!$C41, IF(RIGHT(V41,1)="%", test_WS_QUOTE!$C41 * (1 - VALUE(SUBSTITUTE(V41,"%","")) / 100), test_WS_QUOTE!$C41 - VALUE(V41)))</f>
        <v>0</v>
      </c>
      <c r="V41" s="686"/>
      <c r="W41" s="699">
        <f>IF(X41="NOPROMO", test_WS_QUOTE!$C41, IF(RIGHT(X41,1)="%", test_WS_QUOTE!$C41 * (1 - VALUE(SUBSTITUTE(X41,"%","")) / 100), test_WS_QUOTE!$C41 - VALUE(X41)))</f>
        <v>0</v>
      </c>
      <c r="X41" s="686"/>
      <c r="Y41" s="678">
        <f>IF(Z41="NOPROMO", test_WS_QUOTE!$C41, IF(RIGHT(Z41,1)="%", test_WS_QUOTE!$C41 * (1 - VALUE(SUBSTITUTE(Z41,"%","")) / 100), test_WS_QUOTE!$C41 - VALUE(Z41)))</f>
        <v>0</v>
      </c>
      <c r="Z41" s="686"/>
      <c r="AA41" s="700">
        <f>IF(AB41="NOPROMO", test_WS_QUOTE!$C41, IF(RIGHT(AB41,1)="%", test_WS_QUOTE!$C41 * (1 - VALUE(SUBSTITUTE(AB41,"%","")) / 100), test_WS_QUOTE!$C41 - VALUE(AB41)))</f>
        <v>0</v>
      </c>
      <c r="AB41" s="686"/>
      <c r="AC41" s="680">
        <f>IF(AD41="NOPROMO", test_WS_QUOTE!$C41, IF(RIGHT(AD41,1)="%", test_WS_QUOTE!$C41 * (1 - VALUE(SUBSTITUTE(AD41,"%","")) / 100), test_WS_QUOTE!$C41 - VALUE(AD41)))</f>
        <v>0</v>
      </c>
      <c r="AD41" s="681"/>
      <c r="AE41" s="702"/>
      <c r="AF41" s="682"/>
      <c r="AG41" s="663"/>
    </row>
    <row r="42">
      <c r="A42" s="609"/>
      <c r="B42" s="689"/>
      <c r="C42" s="665">
        <f>IF(D42="NOPROMO", test_WS_QUOTE!$C42, IF(RIGHT(D42,1)="%", test_WS_QUOTE!$C42 * (1 - VALUE(SUBSTITUTE(D42,"%","")) / 100), test_WS_QUOTE!$C42 - VALUE(D42)))</f>
        <v>0</v>
      </c>
      <c r="D42" s="704"/>
      <c r="E42" s="667">
        <f>IF(F42="NOPROMO", test_WS_QUOTE!$C42, IF(RIGHT(F42,1)="%", test_WS_QUOTE!$C42 * (1 - VALUE(SUBSTITUTE(F42,"%","")) / 100), test_WS_QUOTE!$C42 - VALUE(F42)))</f>
        <v>0</v>
      </c>
      <c r="F42" s="690"/>
      <c r="G42" s="691">
        <f>IF(H42="NOPROMO", test_WS_QUOTE!$C42, IF(RIGHT(H42,1)="%", test_WS_QUOTE!$C42 * (1 - VALUE(SUBSTITUTE(H42,"%","")) / 100), test_WS_QUOTE!$C42 - VALUE(H42)))</f>
        <v>0</v>
      </c>
      <c r="H42" s="686"/>
      <c r="I42" s="692">
        <f>IF(J42="NOPROMO", test_WS_QUOTE!$C42, IF(RIGHT(J42,1)="%", test_WS_QUOTE!$C42 * (1 - VALUE(SUBSTITUTE(J42,"%","")) / 100), test_WS_QUOTE!$C42 - VALUE(J42)))</f>
        <v>0</v>
      </c>
      <c r="J42" s="686"/>
      <c r="K42" s="693">
        <f>IF(L42="NOPROMO", test_WS_QUOTE!$C42, IF(RIGHT(L42,1)="%", test_WS_QUOTE!$C42 * (1 - VALUE(SUBSTITUTE(L42,"%","")) / 100), test_WS_QUOTE!$C42 - VALUE(L42)))</f>
        <v>0</v>
      </c>
      <c r="L42" s="686"/>
      <c r="M42" s="694">
        <f>IF(N42="NOPROMO", test_WS_QUOTE!$C42, IF(RIGHT(N42,1)="%", test_WS_QUOTE!$C42 * (1 - VALUE(SUBSTITUTE(N42,"%","")) / 100), test_WS_QUOTE!$C42 - VALUE(N42)))</f>
        <v>0</v>
      </c>
      <c r="N42" s="686"/>
      <c r="O42" s="695">
        <f>IF(P42="NOPROMO", test_WS_QUOTE!$C42, IF(RIGHT(P42,1)="%", test_WS_QUOTE!$C42 * (1 - VALUE(SUBSTITUTE(P42,"%","")) / 100), test_WS_QUOTE!$C42 - VALUE(P42)))</f>
        <v>0</v>
      </c>
      <c r="P42" s="686"/>
      <c r="Q42" s="696">
        <f>IF(R42="NOPROMO", test_WS_QUOTE!$C42, IF(RIGHT(R42,1)="%", test_WS_QUOTE!$C42 * (1 - VALUE(SUBSTITUTE(R42,"%","")) / 100), test_WS_QUOTE!$C42 - VALUE(R42)))</f>
        <v>0</v>
      </c>
      <c r="R42" s="686"/>
      <c r="S42" s="697">
        <f>IF(T42="NOPROMO", test_WS_QUOTE!$C42, IF(RIGHT(T42,1)="%", test_WS_QUOTE!$C42 * (1 - VALUE(SUBSTITUTE(T42,"%","")) / 100), test_WS_QUOTE!$C42 - VALUE(T42)))</f>
        <v>0</v>
      </c>
      <c r="T42" s="686"/>
      <c r="U42" s="698">
        <f>IF(V42="NOPROMO", test_WS_QUOTE!$C42, IF(RIGHT(V42,1)="%", test_WS_QUOTE!$C42 * (1 - VALUE(SUBSTITUTE(V42,"%","")) / 100), test_WS_QUOTE!$C42 - VALUE(V42)))</f>
        <v>0</v>
      </c>
      <c r="V42" s="686"/>
      <c r="W42" s="699">
        <f>IF(X42="NOPROMO", test_WS_QUOTE!$C42, IF(RIGHT(X42,1)="%", test_WS_QUOTE!$C42 * (1 - VALUE(SUBSTITUTE(X42,"%","")) / 100), test_WS_QUOTE!$C42 - VALUE(X42)))</f>
        <v>0</v>
      </c>
      <c r="X42" s="686"/>
      <c r="Y42" s="678">
        <f>IF(Z42="NOPROMO", test_WS_QUOTE!$C42, IF(RIGHT(Z42,1)="%", test_WS_QUOTE!$C42 * (1 - VALUE(SUBSTITUTE(Z42,"%","")) / 100), test_WS_QUOTE!$C42 - VALUE(Z42)))</f>
        <v>0</v>
      </c>
      <c r="Z42" s="686"/>
      <c r="AA42" s="700">
        <f>IF(AB42="NOPROMO", test_WS_QUOTE!$C42, IF(RIGHT(AB42,1)="%", test_WS_QUOTE!$C42 * (1 - VALUE(SUBSTITUTE(AB42,"%","")) / 100), test_WS_QUOTE!$C42 - VALUE(AB42)))</f>
        <v>0</v>
      </c>
      <c r="AB42" s="686"/>
      <c r="AC42" s="680">
        <f>IF(AD42="NOPROMO", test_WS_QUOTE!$C42, IF(RIGHT(AD42,1)="%", test_WS_QUOTE!$C42 * (1 - VALUE(SUBSTITUTE(AD42,"%","")) / 100), test_WS_QUOTE!$C42 - VALUE(AD42)))</f>
        <v>0</v>
      </c>
      <c r="AD42" s="681"/>
      <c r="AE42" s="702"/>
      <c r="AF42" s="662"/>
      <c r="AG42" s="663"/>
    </row>
    <row r="43">
      <c r="A43" s="609"/>
      <c r="B43" s="689"/>
      <c r="C43" s="665">
        <f>IF(D43="NOPROMO", test_WS_QUOTE!$C43, IF(RIGHT(D43,1)="%", test_WS_QUOTE!$C43 * (1 - VALUE(SUBSTITUTE(D43,"%","")) / 100), test_WS_QUOTE!$C43 - VALUE(D43)))</f>
        <v>0</v>
      </c>
      <c r="D43" s="704"/>
      <c r="E43" s="667">
        <f>IF(F43="NOPROMO", test_WS_QUOTE!$C43, IF(RIGHT(F43,1)="%", test_WS_QUOTE!$C43 * (1 - VALUE(SUBSTITUTE(F43,"%","")) / 100), test_WS_QUOTE!$C43 - VALUE(F43)))</f>
        <v>0</v>
      </c>
      <c r="F43" s="690"/>
      <c r="G43" s="691">
        <f>IF(H43="NOPROMO", test_WS_QUOTE!$C43, IF(RIGHT(H43,1)="%", test_WS_QUOTE!$C43 * (1 - VALUE(SUBSTITUTE(H43,"%","")) / 100), test_WS_QUOTE!$C43 - VALUE(H43)))</f>
        <v>0</v>
      </c>
      <c r="H43" s="686"/>
      <c r="I43" s="692">
        <f>IF(J43="NOPROMO", test_WS_QUOTE!$C43, IF(RIGHT(J43,1)="%", test_WS_QUOTE!$C43 * (1 - VALUE(SUBSTITUTE(J43,"%","")) / 100), test_WS_QUOTE!$C43 - VALUE(J43)))</f>
        <v>0</v>
      </c>
      <c r="J43" s="686"/>
      <c r="K43" s="693">
        <f>IF(L43="NOPROMO", test_WS_QUOTE!$C43, IF(RIGHT(L43,1)="%", test_WS_QUOTE!$C43 * (1 - VALUE(SUBSTITUTE(L43,"%","")) / 100), test_WS_QUOTE!$C43 - VALUE(L43)))</f>
        <v>0</v>
      </c>
      <c r="L43" s="686"/>
      <c r="M43" s="694">
        <f>IF(N43="NOPROMO", test_WS_QUOTE!$C43, IF(RIGHT(N43,1)="%", test_WS_QUOTE!$C43 * (1 - VALUE(SUBSTITUTE(N43,"%","")) / 100), test_WS_QUOTE!$C43 - VALUE(N43)))</f>
        <v>0</v>
      </c>
      <c r="N43" s="686"/>
      <c r="O43" s="695">
        <f>IF(P43="NOPROMO", test_WS_QUOTE!$C43, IF(RIGHT(P43,1)="%", test_WS_QUOTE!$C43 * (1 - VALUE(SUBSTITUTE(P43,"%","")) / 100), test_WS_QUOTE!$C43 - VALUE(P43)))</f>
        <v>0</v>
      </c>
      <c r="P43" s="686"/>
      <c r="Q43" s="696">
        <f>IF(R43="NOPROMO", test_WS_QUOTE!$C43, IF(RIGHT(R43,1)="%", test_WS_QUOTE!$C43 * (1 - VALUE(SUBSTITUTE(R43,"%","")) / 100), test_WS_QUOTE!$C43 - VALUE(R43)))</f>
        <v>0</v>
      </c>
      <c r="R43" s="686"/>
      <c r="S43" s="697">
        <f>IF(T43="NOPROMO", test_WS_QUOTE!$C43, IF(RIGHT(T43,1)="%", test_WS_QUOTE!$C43 * (1 - VALUE(SUBSTITUTE(T43,"%","")) / 100), test_WS_QUOTE!$C43 - VALUE(T43)))</f>
        <v>0</v>
      </c>
      <c r="T43" s="686"/>
      <c r="U43" s="698">
        <f>IF(V43="NOPROMO", test_WS_QUOTE!$C43, IF(RIGHT(V43,1)="%", test_WS_QUOTE!$C43 * (1 - VALUE(SUBSTITUTE(V43,"%","")) / 100), test_WS_QUOTE!$C43 - VALUE(V43)))</f>
        <v>0</v>
      </c>
      <c r="V43" s="686"/>
      <c r="W43" s="699">
        <f>IF(X43="NOPROMO", test_WS_QUOTE!$C43, IF(RIGHT(X43,1)="%", test_WS_QUOTE!$C43 * (1 - VALUE(SUBSTITUTE(X43,"%","")) / 100), test_WS_QUOTE!$C43 - VALUE(X43)))</f>
        <v>0</v>
      </c>
      <c r="X43" s="686"/>
      <c r="Y43" s="678">
        <f>IF(Z43="NOPROMO", test_WS_QUOTE!$C43, IF(RIGHT(Z43,1)="%", test_WS_QUOTE!$C43 * (1 - VALUE(SUBSTITUTE(Z43,"%","")) / 100), test_WS_QUOTE!$C43 - VALUE(Z43)))</f>
        <v>0</v>
      </c>
      <c r="Z43" s="686"/>
      <c r="AA43" s="700">
        <f>IF(AB43="NOPROMO", test_WS_QUOTE!$C43, IF(RIGHT(AB43,1)="%", test_WS_QUOTE!$C43 * (1 - VALUE(SUBSTITUTE(AB43,"%","")) / 100), test_WS_QUOTE!$C43 - VALUE(AB43)))</f>
        <v>0</v>
      </c>
      <c r="AB43" s="686"/>
      <c r="AC43" s="680">
        <f>IF(AD43="NOPROMO", test_WS_QUOTE!$C43, IF(RIGHT(AD43,1)="%", test_WS_QUOTE!$C43 * (1 - VALUE(SUBSTITUTE(AD43,"%","")) / 100), test_WS_QUOTE!$C43 - VALUE(AD43)))</f>
        <v>0</v>
      </c>
      <c r="AD43" s="681"/>
      <c r="AE43" s="702"/>
      <c r="AF43" s="662"/>
      <c r="AG43" s="663"/>
    </row>
    <row r="44">
      <c r="A44" s="609"/>
      <c r="B44" s="689"/>
      <c r="C44" s="665">
        <f>IF(D44="NOPROMO", test_WS_QUOTE!$C44, IF(RIGHT(D44,1)="%", test_WS_QUOTE!$C44 * (1 - VALUE(SUBSTITUTE(D44,"%","")) / 100), test_WS_QUOTE!$C44 - VALUE(D44)))</f>
        <v>0</v>
      </c>
      <c r="D44" s="704"/>
      <c r="E44" s="667">
        <f>IF(F44="NOPROMO", test_WS_QUOTE!$C44, IF(RIGHT(F44,1)="%", test_WS_QUOTE!$C44 * (1 - VALUE(SUBSTITUTE(F44,"%","")) / 100), test_WS_QUOTE!$C44 - VALUE(F44)))</f>
        <v>0</v>
      </c>
      <c r="F44" s="690"/>
      <c r="G44" s="691">
        <f>IF(H44="NOPROMO", test_WS_QUOTE!$C44, IF(RIGHT(H44,1)="%", test_WS_QUOTE!$C44 * (1 - VALUE(SUBSTITUTE(H44,"%","")) / 100), test_WS_QUOTE!$C44 - VALUE(H44)))</f>
        <v>0</v>
      </c>
      <c r="H44" s="686"/>
      <c r="I44" s="692">
        <f>IF(J44="NOPROMO", test_WS_QUOTE!$C44, IF(RIGHT(J44,1)="%", test_WS_QUOTE!$C44 * (1 - VALUE(SUBSTITUTE(J44,"%","")) / 100), test_WS_QUOTE!$C44 - VALUE(J44)))</f>
        <v>0</v>
      </c>
      <c r="J44" s="686"/>
      <c r="K44" s="693">
        <f>IF(L44="NOPROMO", test_WS_QUOTE!$C44, IF(RIGHT(L44,1)="%", test_WS_QUOTE!$C44 * (1 - VALUE(SUBSTITUTE(L44,"%","")) / 100), test_WS_QUOTE!$C44 - VALUE(L44)))</f>
        <v>0</v>
      </c>
      <c r="L44" s="686"/>
      <c r="M44" s="694">
        <f>IF(N44="NOPROMO", test_WS_QUOTE!$C44, IF(RIGHT(N44,1)="%", test_WS_QUOTE!$C44 * (1 - VALUE(SUBSTITUTE(N44,"%","")) / 100), test_WS_QUOTE!$C44 - VALUE(N44)))</f>
        <v>0</v>
      </c>
      <c r="N44" s="686"/>
      <c r="O44" s="695">
        <f>IF(P44="NOPROMO", test_WS_QUOTE!$C44, IF(RIGHT(P44,1)="%", test_WS_QUOTE!$C44 * (1 - VALUE(SUBSTITUTE(P44,"%","")) / 100), test_WS_QUOTE!$C44 - VALUE(P44)))</f>
        <v>0</v>
      </c>
      <c r="P44" s="686"/>
      <c r="Q44" s="696">
        <f>IF(R44="NOPROMO", test_WS_QUOTE!$C44, IF(RIGHT(R44,1)="%", test_WS_QUOTE!$C44 * (1 - VALUE(SUBSTITUTE(R44,"%","")) / 100), test_WS_QUOTE!$C44 - VALUE(R44)))</f>
        <v>0</v>
      </c>
      <c r="R44" s="686"/>
      <c r="S44" s="697">
        <f>IF(T44="NOPROMO", test_WS_QUOTE!$C44, IF(RIGHT(T44,1)="%", test_WS_QUOTE!$C44 * (1 - VALUE(SUBSTITUTE(T44,"%","")) / 100), test_WS_QUOTE!$C44 - VALUE(T44)))</f>
        <v>0</v>
      </c>
      <c r="T44" s="686"/>
      <c r="U44" s="698">
        <f>IF(V44="NOPROMO", test_WS_QUOTE!$C44, IF(RIGHT(V44,1)="%", test_WS_QUOTE!$C44 * (1 - VALUE(SUBSTITUTE(V44,"%","")) / 100), test_WS_QUOTE!$C44 - VALUE(V44)))</f>
        <v>0</v>
      </c>
      <c r="V44" s="686"/>
      <c r="W44" s="699">
        <f>IF(X44="NOPROMO", test_WS_QUOTE!$C44, IF(RIGHT(X44,1)="%", test_WS_QUOTE!$C44 * (1 - VALUE(SUBSTITUTE(X44,"%","")) / 100), test_WS_QUOTE!$C44 - VALUE(X44)))</f>
        <v>0</v>
      </c>
      <c r="X44" s="686"/>
      <c r="Y44" s="678">
        <f>IF(Z44="NOPROMO", test_WS_QUOTE!$C44, IF(RIGHT(Z44,1)="%", test_WS_QUOTE!$C44 * (1 - VALUE(SUBSTITUTE(Z44,"%","")) / 100), test_WS_QUOTE!$C44 - VALUE(Z44)))</f>
        <v>0</v>
      </c>
      <c r="Z44" s="686"/>
      <c r="AA44" s="700">
        <f>IF(AB44="NOPROMO", test_WS_QUOTE!$C44, IF(RIGHT(AB44,1)="%", test_WS_QUOTE!$C44 * (1 - VALUE(SUBSTITUTE(AB44,"%","")) / 100), test_WS_QUOTE!$C44 - VALUE(AB44)))</f>
        <v>0</v>
      </c>
      <c r="AB44" s="686"/>
      <c r="AC44" s="680">
        <f>IF(AD44="NOPROMO", test_WS_QUOTE!$C44, IF(RIGHT(AD44,1)="%", test_WS_QUOTE!$C44 * (1 - VALUE(SUBSTITUTE(AD44,"%","")) / 100), test_WS_QUOTE!$C44 - VALUE(AD44)))</f>
        <v>0</v>
      </c>
      <c r="AD44" s="681"/>
      <c r="AE44" s="702"/>
      <c r="AF44" s="662"/>
      <c r="AG44" s="663"/>
    </row>
    <row r="45">
      <c r="A45" s="609"/>
      <c r="B45" s="689"/>
      <c r="C45" s="665">
        <f>IF(D45="NOPROMO", test_WS_QUOTE!$C45, IF(RIGHT(D45,1)="%", test_WS_QUOTE!$C45 * (1 - VALUE(SUBSTITUTE(D45,"%","")) / 100), test_WS_QUOTE!$C45 - VALUE(D45)))</f>
        <v>0</v>
      </c>
      <c r="D45" s="686"/>
      <c r="E45" s="667">
        <f>IF(F45="NOPROMO", test_WS_QUOTE!$C45, IF(RIGHT(F45,1)="%", test_WS_QUOTE!$C45 * (1 - VALUE(SUBSTITUTE(F45,"%","")) / 100), test_WS_QUOTE!$C45 - VALUE(F45)))</f>
        <v>0</v>
      </c>
      <c r="F45" s="690"/>
      <c r="G45" s="691">
        <f>IF(H45="NOPROMO", test_WS_QUOTE!$C45, IF(RIGHT(H45,1)="%", test_WS_QUOTE!$C45 * (1 - VALUE(SUBSTITUTE(H45,"%","")) / 100), test_WS_QUOTE!$C45 - VALUE(H45)))</f>
        <v>0</v>
      </c>
      <c r="H45" s="686"/>
      <c r="I45" s="692">
        <f>IF(J45="NOPROMO", test_WS_QUOTE!$C45, IF(RIGHT(J45,1)="%", test_WS_QUOTE!$C45 * (1 - VALUE(SUBSTITUTE(J45,"%","")) / 100), test_WS_QUOTE!$C45 - VALUE(J45)))</f>
        <v>0</v>
      </c>
      <c r="J45" s="686"/>
      <c r="K45" s="693">
        <f>IF(L45="NOPROMO", test_WS_QUOTE!$C45, IF(RIGHT(L45,1)="%", test_WS_QUOTE!$C45 * (1 - VALUE(SUBSTITUTE(L45,"%","")) / 100), test_WS_QUOTE!$C45 - VALUE(L45)))</f>
        <v>0</v>
      </c>
      <c r="L45" s="686"/>
      <c r="M45" s="694">
        <f>IF(N45="NOPROMO", test_WS_QUOTE!$C45, IF(RIGHT(N45,1)="%", test_WS_QUOTE!$C45 * (1 - VALUE(SUBSTITUTE(N45,"%","")) / 100), test_WS_QUOTE!$C45 - VALUE(N45)))</f>
        <v>0</v>
      </c>
      <c r="N45" s="686"/>
      <c r="O45" s="695">
        <f>IF(P45="NOPROMO", test_WS_QUOTE!$C45, IF(RIGHT(P45,1)="%", test_WS_QUOTE!$C45 * (1 - VALUE(SUBSTITUTE(P45,"%","")) / 100), test_WS_QUOTE!$C45 - VALUE(P45)))</f>
        <v>0</v>
      </c>
      <c r="P45" s="686"/>
      <c r="Q45" s="696">
        <f>IF(R45="NOPROMO", test_WS_QUOTE!$C45, IF(RIGHT(R45,1)="%", test_WS_QUOTE!$C45 * (1 - VALUE(SUBSTITUTE(R45,"%","")) / 100), test_WS_QUOTE!$C45 - VALUE(R45)))</f>
        <v>0</v>
      </c>
      <c r="R45" s="686"/>
      <c r="S45" s="697">
        <f>IF(T45="NOPROMO", test_WS_QUOTE!$C45, IF(RIGHT(T45,1)="%", test_WS_QUOTE!$C45 * (1 - VALUE(SUBSTITUTE(T45,"%","")) / 100), test_WS_QUOTE!$C45 - VALUE(T45)))</f>
        <v>0</v>
      </c>
      <c r="T45" s="686"/>
      <c r="U45" s="698">
        <f>IF(V45="NOPROMO", test_WS_QUOTE!$C45, IF(RIGHT(V45,1)="%", test_WS_QUOTE!$C45 * (1 - VALUE(SUBSTITUTE(V45,"%","")) / 100), test_WS_QUOTE!$C45 - VALUE(V45)))</f>
        <v>0</v>
      </c>
      <c r="V45" s="686"/>
      <c r="W45" s="699">
        <f>IF(X45="NOPROMO", test_WS_QUOTE!$C45, IF(RIGHT(X45,1)="%", test_WS_QUOTE!$C45 * (1 - VALUE(SUBSTITUTE(X45,"%","")) / 100), test_WS_QUOTE!$C45 - VALUE(X45)))</f>
        <v>0</v>
      </c>
      <c r="X45" s="686"/>
      <c r="Y45" s="678">
        <f>IF(Z45="NOPROMO", test_WS_QUOTE!$C45, IF(RIGHT(Z45,1)="%", test_WS_QUOTE!$C45 * (1 - VALUE(SUBSTITUTE(Z45,"%","")) / 100), test_WS_QUOTE!$C45 - VALUE(Z45)))</f>
        <v>0</v>
      </c>
      <c r="Z45" s="686"/>
      <c r="AA45" s="700">
        <f>IF(AB45="NOPROMO", test_WS_QUOTE!$C45, IF(RIGHT(AB45,1)="%", test_WS_QUOTE!$C45 * (1 - VALUE(SUBSTITUTE(AB45,"%","")) / 100), test_WS_QUOTE!$C45 - VALUE(AB45)))</f>
        <v>0</v>
      </c>
      <c r="AB45" s="686"/>
      <c r="AC45" s="680">
        <f>IF(AD45="NOPROMO", test_WS_QUOTE!$C45, IF(RIGHT(AD45,1)="%", test_WS_QUOTE!$C45 * (1 - VALUE(SUBSTITUTE(AD45,"%","")) / 100), test_WS_QUOTE!$C45 - VALUE(AD45)))</f>
        <v>0</v>
      </c>
      <c r="AD45" s="681"/>
      <c r="AE45" s="702"/>
      <c r="AF45" s="662"/>
      <c r="AG45" s="663"/>
    </row>
    <row r="46">
      <c r="A46" s="609"/>
      <c r="B46" s="689"/>
      <c r="C46" s="665">
        <f>IF(D46="NOPROMO", test_WS_QUOTE!$C46, IF(RIGHT(D46,1)="%", test_WS_QUOTE!$C46 * (1 - VALUE(SUBSTITUTE(D46,"%","")) / 100), test_WS_QUOTE!$C46 - VALUE(D46)))</f>
        <v>0</v>
      </c>
      <c r="D46" s="686"/>
      <c r="E46" s="667">
        <f>IF(F46="NOPROMO", test_WS_QUOTE!$C46, IF(RIGHT(F46,1)="%", test_WS_QUOTE!$C46 * (1 - VALUE(SUBSTITUTE(F46,"%","")) / 100), test_WS_QUOTE!$C46 - VALUE(F46)))</f>
        <v>0</v>
      </c>
      <c r="F46" s="690"/>
      <c r="G46" s="691">
        <f>IF(H46="NOPROMO", test_WS_QUOTE!$C46, IF(RIGHT(H46,1)="%", test_WS_QUOTE!$C46 * (1 - VALUE(SUBSTITUTE(H46,"%","")) / 100), test_WS_QUOTE!$C46 - VALUE(H46)))</f>
        <v>0</v>
      </c>
      <c r="H46" s="686"/>
      <c r="I46" s="692">
        <f>IF(J46="NOPROMO", test_WS_QUOTE!$C46, IF(RIGHT(J46,1)="%", test_WS_QUOTE!$C46 * (1 - VALUE(SUBSTITUTE(J46,"%","")) / 100), test_WS_QUOTE!$C46 - VALUE(J46)))</f>
        <v>0</v>
      </c>
      <c r="J46" s="686"/>
      <c r="K46" s="693">
        <f>IF(L46="NOPROMO", test_WS_QUOTE!$C46, IF(RIGHT(L46,1)="%", test_WS_QUOTE!$C46 * (1 - VALUE(SUBSTITUTE(L46,"%","")) / 100), test_WS_QUOTE!$C46 - VALUE(L46)))</f>
        <v>0</v>
      </c>
      <c r="L46" s="686"/>
      <c r="M46" s="694">
        <f>IF(N46="NOPROMO", test_WS_QUOTE!$C46, IF(RIGHT(N46,1)="%", test_WS_QUOTE!$C46 * (1 - VALUE(SUBSTITUTE(N46,"%","")) / 100), test_WS_QUOTE!$C46 - VALUE(N46)))</f>
        <v>0</v>
      </c>
      <c r="N46" s="686"/>
      <c r="O46" s="695">
        <f>IF(P46="NOPROMO", test_WS_QUOTE!$C46, IF(RIGHT(P46,1)="%", test_WS_QUOTE!$C46 * (1 - VALUE(SUBSTITUTE(P46,"%","")) / 100), test_WS_QUOTE!$C46 - VALUE(P46)))</f>
        <v>0</v>
      </c>
      <c r="P46" s="686"/>
      <c r="Q46" s="696">
        <f>IF(R46="NOPROMO", test_WS_QUOTE!$C46, IF(RIGHT(R46,1)="%", test_WS_QUOTE!$C46 * (1 - VALUE(SUBSTITUTE(R46,"%","")) / 100), test_WS_QUOTE!$C46 - VALUE(R46)))</f>
        <v>0</v>
      </c>
      <c r="R46" s="686"/>
      <c r="S46" s="697">
        <f>IF(T46="NOPROMO", test_WS_QUOTE!$C46, IF(RIGHT(T46,1)="%", test_WS_QUOTE!$C46 * (1 - VALUE(SUBSTITUTE(T46,"%","")) / 100), test_WS_QUOTE!$C46 - VALUE(T46)))</f>
        <v>0</v>
      </c>
      <c r="T46" s="686"/>
      <c r="U46" s="698">
        <f>IF(V46="NOPROMO", test_WS_QUOTE!$C46, IF(RIGHT(V46,1)="%", test_WS_QUOTE!$C46 * (1 - VALUE(SUBSTITUTE(V46,"%","")) / 100), test_WS_QUOTE!$C46 - VALUE(V46)))</f>
        <v>0</v>
      </c>
      <c r="V46" s="686"/>
      <c r="W46" s="699">
        <f>IF(X46="NOPROMO", test_WS_QUOTE!$C46, IF(RIGHT(X46,1)="%", test_WS_QUOTE!$C46 * (1 - VALUE(SUBSTITUTE(X46,"%","")) / 100), test_WS_QUOTE!$C46 - VALUE(X46)))</f>
        <v>0</v>
      </c>
      <c r="X46" s="686"/>
      <c r="Y46" s="678">
        <f>IF(Z46="NOPROMO", test_WS_QUOTE!$C46, IF(RIGHT(Z46,1)="%", test_WS_QUOTE!$C46 * (1 - VALUE(SUBSTITUTE(Z46,"%","")) / 100), test_WS_QUOTE!$C46 - VALUE(Z46)))</f>
        <v>0</v>
      </c>
      <c r="Z46" s="686"/>
      <c r="AA46" s="700">
        <f>IF(AB46="NOPROMO", test_WS_QUOTE!$C46, IF(RIGHT(AB46,1)="%", test_WS_QUOTE!$C46 * (1 - VALUE(SUBSTITUTE(AB46,"%","")) / 100), test_WS_QUOTE!$C46 - VALUE(AB46)))</f>
        <v>0</v>
      </c>
      <c r="AB46" s="686"/>
      <c r="AC46" s="680">
        <f>IF(AD46="NOPROMO", test_WS_QUOTE!$C46, IF(RIGHT(AD46,1)="%", test_WS_QUOTE!$C46 * (1 - VALUE(SUBSTITUTE(AD46,"%","")) / 100), test_WS_QUOTE!$C46 - VALUE(AD46)))</f>
        <v>0</v>
      </c>
      <c r="AD46" s="681"/>
      <c r="AE46" s="702"/>
      <c r="AF46" s="682"/>
      <c r="AG46" s="663"/>
    </row>
    <row r="47">
      <c r="A47" s="609"/>
      <c r="B47" s="689"/>
      <c r="C47" s="665">
        <f>IF(D47="NOPROMO", test_WS_QUOTE!$C47, IF(RIGHT(D47,1)="%", test_WS_QUOTE!$C47 * (1 - VALUE(SUBSTITUTE(D47,"%","")) / 100), test_WS_QUOTE!$C47 - VALUE(D47)))</f>
        <v>0</v>
      </c>
      <c r="D47" s="686"/>
      <c r="E47" s="667">
        <f>IF(F47="NOPROMO", test_WS_QUOTE!$C47, IF(RIGHT(F47,1)="%", test_WS_QUOTE!$C47 * (1 - VALUE(SUBSTITUTE(F47,"%","")) / 100), test_WS_QUOTE!$C47 - VALUE(F47)))</f>
        <v>0</v>
      </c>
      <c r="F47" s="690"/>
      <c r="G47" s="691">
        <f>IF(H47="NOPROMO", test_WS_QUOTE!$C47, IF(RIGHT(H47,1)="%", test_WS_QUOTE!$C47 * (1 - VALUE(SUBSTITUTE(H47,"%","")) / 100), test_WS_QUOTE!$C47 - VALUE(H47)))</f>
        <v>0</v>
      </c>
      <c r="H47" s="686"/>
      <c r="I47" s="692">
        <f>IF(J47="NOPROMO", test_WS_QUOTE!$C47, IF(RIGHT(J47,1)="%", test_WS_QUOTE!$C47 * (1 - VALUE(SUBSTITUTE(J47,"%","")) / 100), test_WS_QUOTE!$C47 - VALUE(J47)))</f>
        <v>0</v>
      </c>
      <c r="J47" s="686"/>
      <c r="K47" s="693">
        <f>IF(L47="NOPROMO", test_WS_QUOTE!$C47, IF(RIGHT(L47,1)="%", test_WS_QUOTE!$C47 * (1 - VALUE(SUBSTITUTE(L47,"%","")) / 100), test_WS_QUOTE!$C47 - VALUE(L47)))</f>
        <v>0</v>
      </c>
      <c r="L47" s="686"/>
      <c r="M47" s="694">
        <f>IF(N47="NOPROMO", test_WS_QUOTE!$C47, IF(RIGHT(N47,1)="%", test_WS_QUOTE!$C47 * (1 - VALUE(SUBSTITUTE(N47,"%","")) / 100), test_WS_QUOTE!$C47 - VALUE(N47)))</f>
        <v>0</v>
      </c>
      <c r="N47" s="686"/>
      <c r="O47" s="695">
        <f>IF(P47="NOPROMO", test_WS_QUOTE!$C47, IF(RIGHT(P47,1)="%", test_WS_QUOTE!$C47 * (1 - VALUE(SUBSTITUTE(P47,"%","")) / 100), test_WS_QUOTE!$C47 - VALUE(P47)))</f>
        <v>0</v>
      </c>
      <c r="P47" s="686"/>
      <c r="Q47" s="696">
        <f>IF(R47="NOPROMO", test_WS_QUOTE!$C47, IF(RIGHT(R47,1)="%", test_WS_QUOTE!$C47 * (1 - VALUE(SUBSTITUTE(R47,"%","")) / 100), test_WS_QUOTE!$C47 - VALUE(R47)))</f>
        <v>0</v>
      </c>
      <c r="R47" s="686"/>
      <c r="S47" s="697">
        <f>IF(T47="NOPROMO", test_WS_QUOTE!$C47, IF(RIGHT(T47,1)="%", test_WS_QUOTE!$C47 * (1 - VALUE(SUBSTITUTE(T47,"%","")) / 100), test_WS_QUOTE!$C47 - VALUE(T47)))</f>
        <v>0</v>
      </c>
      <c r="T47" s="686"/>
      <c r="U47" s="698">
        <f>IF(V47="NOPROMO", test_WS_QUOTE!$C47, IF(RIGHT(V47,1)="%", test_WS_QUOTE!$C47 * (1 - VALUE(SUBSTITUTE(V47,"%","")) / 100), test_WS_QUOTE!$C47 - VALUE(V47)))</f>
        <v>0</v>
      </c>
      <c r="V47" s="686"/>
      <c r="W47" s="699">
        <f>IF(X47="NOPROMO", test_WS_QUOTE!$C47, IF(RIGHT(X47,1)="%", test_WS_QUOTE!$C47 * (1 - VALUE(SUBSTITUTE(X47,"%","")) / 100), test_WS_QUOTE!$C47 - VALUE(X47)))</f>
        <v>0</v>
      </c>
      <c r="X47" s="686"/>
      <c r="Y47" s="678">
        <f>IF(Z47="NOPROMO", test_WS_QUOTE!$C47, IF(RIGHT(Z47,1)="%", test_WS_QUOTE!$C47 * (1 - VALUE(SUBSTITUTE(Z47,"%","")) / 100), test_WS_QUOTE!$C47 - VALUE(Z47)))</f>
        <v>0</v>
      </c>
      <c r="Z47" s="686"/>
      <c r="AA47" s="700">
        <f>IF(AB47="NOPROMO", test_WS_QUOTE!$C47, IF(RIGHT(AB47,1)="%", test_WS_QUOTE!$C47 * (1 - VALUE(SUBSTITUTE(AB47,"%","")) / 100), test_WS_QUOTE!$C47 - VALUE(AB47)))</f>
        <v>0</v>
      </c>
      <c r="AB47" s="686"/>
      <c r="AC47" s="680">
        <f>IF(AD47="NOPROMO", test_WS_QUOTE!$C47, IF(RIGHT(AD47,1)="%", test_WS_QUOTE!$C47 * (1 - VALUE(SUBSTITUTE(AD47,"%","")) / 100), test_WS_QUOTE!$C47 - VALUE(AD47)))</f>
        <v>0</v>
      </c>
      <c r="AD47" s="681"/>
      <c r="AE47" s="702"/>
      <c r="AF47" s="682"/>
      <c r="AG47" s="663"/>
    </row>
    <row r="48">
      <c r="A48" s="609"/>
      <c r="B48" s="689"/>
      <c r="C48" s="665">
        <f>IF(D48="NOPROMO", test_WS_QUOTE!$C48, IF(RIGHT(D48,1)="%", test_WS_QUOTE!$C48 * (1 - VALUE(SUBSTITUTE(D48,"%","")) / 100), test_WS_QUOTE!$C48 - VALUE(D48)))</f>
        <v>0</v>
      </c>
      <c r="D48" s="686"/>
      <c r="E48" s="667">
        <f>IF(F48="NOPROMO", test_WS_QUOTE!$C48, IF(RIGHT(F48,1)="%", test_WS_QUOTE!$C48 * (1 - VALUE(SUBSTITUTE(F48,"%","")) / 100), test_WS_QUOTE!$C48 - VALUE(F48)))</f>
        <v>0</v>
      </c>
      <c r="F48" s="690"/>
      <c r="G48" s="691">
        <f>IF(H48="NOPROMO", test_WS_QUOTE!$C48, IF(RIGHT(H48,1)="%", test_WS_QUOTE!$C48 * (1 - VALUE(SUBSTITUTE(H48,"%","")) / 100), test_WS_QUOTE!$C48 - VALUE(H48)))</f>
        <v>0</v>
      </c>
      <c r="H48" s="686"/>
      <c r="I48" s="692">
        <f>IF(J48="NOPROMO", test_WS_QUOTE!$C48, IF(RIGHT(J48,1)="%", test_WS_QUOTE!$C48 * (1 - VALUE(SUBSTITUTE(J48,"%","")) / 100), test_WS_QUOTE!$C48 - VALUE(J48)))</f>
        <v>0</v>
      </c>
      <c r="J48" s="686"/>
      <c r="K48" s="693">
        <f>IF(L48="NOPROMO", test_WS_QUOTE!$C48, IF(RIGHT(L48,1)="%", test_WS_QUOTE!$C48 * (1 - VALUE(SUBSTITUTE(L48,"%","")) / 100), test_WS_QUOTE!$C48 - VALUE(L48)))</f>
        <v>0</v>
      </c>
      <c r="L48" s="686"/>
      <c r="M48" s="694">
        <f>IF(N48="NOPROMO", test_WS_QUOTE!$C48, IF(RIGHT(N48,1)="%", test_WS_QUOTE!$C48 * (1 - VALUE(SUBSTITUTE(N48,"%","")) / 100), test_WS_QUOTE!$C48 - VALUE(N48)))</f>
        <v>0</v>
      </c>
      <c r="N48" s="686"/>
      <c r="O48" s="695">
        <f>IF(P48="NOPROMO", test_WS_QUOTE!$C48, IF(RIGHT(P48,1)="%", test_WS_QUOTE!$C48 * (1 - VALUE(SUBSTITUTE(P48,"%","")) / 100), test_WS_QUOTE!$C48 - VALUE(P48)))</f>
        <v>0</v>
      </c>
      <c r="P48" s="686"/>
      <c r="Q48" s="696">
        <f>IF(R48="NOPROMO", test_WS_QUOTE!$C48, IF(RIGHT(R48,1)="%", test_WS_QUOTE!$C48 * (1 - VALUE(SUBSTITUTE(R48,"%","")) / 100), test_WS_QUOTE!$C48 - VALUE(R48)))</f>
        <v>0</v>
      </c>
      <c r="R48" s="686"/>
      <c r="S48" s="697">
        <f>IF(T48="NOPROMO", test_WS_QUOTE!$C48, IF(RIGHT(T48,1)="%", test_WS_QUOTE!$C48 * (1 - VALUE(SUBSTITUTE(T48,"%","")) / 100), test_WS_QUOTE!$C48 - VALUE(T48)))</f>
        <v>0</v>
      </c>
      <c r="T48" s="686"/>
      <c r="U48" s="698">
        <f>IF(V48="NOPROMO", test_WS_QUOTE!$C48, IF(RIGHT(V48,1)="%", test_WS_QUOTE!$C48 * (1 - VALUE(SUBSTITUTE(V48,"%","")) / 100), test_WS_QUOTE!$C48 - VALUE(V48)))</f>
        <v>0</v>
      </c>
      <c r="V48" s="686"/>
      <c r="W48" s="699">
        <f>IF(X48="NOPROMO", test_WS_QUOTE!$C48, IF(RIGHT(X48,1)="%", test_WS_QUOTE!$C48 * (1 - VALUE(SUBSTITUTE(X48,"%","")) / 100), test_WS_QUOTE!$C48 - VALUE(X48)))</f>
        <v>0</v>
      </c>
      <c r="X48" s="686"/>
      <c r="Y48" s="678">
        <f>IF(Z48="NOPROMO", test_WS_QUOTE!$C48, IF(RIGHT(Z48,1)="%", test_WS_QUOTE!$C48 * (1 - VALUE(SUBSTITUTE(Z48,"%","")) / 100), test_WS_QUOTE!$C48 - VALUE(Z48)))</f>
        <v>0</v>
      </c>
      <c r="Z48" s="686"/>
      <c r="AA48" s="700">
        <f>IF(AB48="NOPROMO", test_WS_QUOTE!$C48, IF(RIGHT(AB48,1)="%", test_WS_QUOTE!$C48 * (1 - VALUE(SUBSTITUTE(AB48,"%","")) / 100), test_WS_QUOTE!$C48 - VALUE(AB48)))</f>
        <v>0</v>
      </c>
      <c r="AB48" s="686"/>
      <c r="AC48" s="680">
        <f>IF(AD48="NOPROMO", test_WS_QUOTE!$C48, IF(RIGHT(AD48,1)="%", test_WS_QUOTE!$C48 * (1 - VALUE(SUBSTITUTE(AD48,"%","")) / 100), test_WS_QUOTE!$C48 - VALUE(AD48)))</f>
        <v>0</v>
      </c>
      <c r="AD48" s="681"/>
      <c r="AE48" s="702"/>
      <c r="AF48" s="682"/>
      <c r="AG48" s="663"/>
    </row>
    <row r="49">
      <c r="A49" s="609"/>
      <c r="B49" s="689"/>
      <c r="C49" s="665">
        <f>IF(D49="NOPROMO", test_WS_QUOTE!$C49, IF(RIGHT(D49,1)="%", test_WS_QUOTE!$C49 * (1 - VALUE(SUBSTITUTE(D49,"%","")) / 100), test_WS_QUOTE!$C49 - VALUE(D49)))</f>
        <v>0</v>
      </c>
      <c r="D49" s="686"/>
      <c r="E49" s="667">
        <f>IF(F49="NOPROMO", test_WS_QUOTE!$C49, IF(RIGHT(F49,1)="%", test_WS_QUOTE!$C49 * (1 - VALUE(SUBSTITUTE(F49,"%","")) / 100), test_WS_QUOTE!$C49 - VALUE(F49)))</f>
        <v>0</v>
      </c>
      <c r="F49" s="690"/>
      <c r="G49" s="691">
        <f>IF(H49="NOPROMO", test_WS_QUOTE!$C49, IF(RIGHT(H49,1)="%", test_WS_QUOTE!$C49 * (1 - VALUE(SUBSTITUTE(H49,"%","")) / 100), test_WS_QUOTE!$C49 - VALUE(H49)))</f>
        <v>0</v>
      </c>
      <c r="H49" s="686"/>
      <c r="I49" s="692">
        <f>IF(J49="NOPROMO", test_WS_QUOTE!$C49, IF(RIGHT(J49,1)="%", test_WS_QUOTE!$C49 * (1 - VALUE(SUBSTITUTE(J49,"%","")) / 100), test_WS_QUOTE!$C49 - VALUE(J49)))</f>
        <v>0</v>
      </c>
      <c r="J49" s="686"/>
      <c r="K49" s="693">
        <f>IF(L49="NOPROMO", test_WS_QUOTE!$C49, IF(RIGHT(L49,1)="%", test_WS_QUOTE!$C49 * (1 - VALUE(SUBSTITUTE(L49,"%","")) / 100), test_WS_QUOTE!$C49 - VALUE(L49)))</f>
        <v>0</v>
      </c>
      <c r="L49" s="686"/>
      <c r="M49" s="694">
        <f>IF(N49="NOPROMO", test_WS_QUOTE!$C49, IF(RIGHT(N49,1)="%", test_WS_QUOTE!$C49 * (1 - VALUE(SUBSTITUTE(N49,"%","")) / 100), test_WS_QUOTE!$C49 - VALUE(N49)))</f>
        <v>0</v>
      </c>
      <c r="N49" s="686"/>
      <c r="O49" s="695">
        <f>IF(P49="NOPROMO", test_WS_QUOTE!$C49, IF(RIGHT(P49,1)="%", test_WS_QUOTE!$C49 * (1 - VALUE(SUBSTITUTE(P49,"%","")) / 100), test_WS_QUOTE!$C49 - VALUE(P49)))</f>
        <v>0</v>
      </c>
      <c r="P49" s="686"/>
      <c r="Q49" s="696">
        <f>IF(R49="NOPROMO", test_WS_QUOTE!$C49, IF(RIGHT(R49,1)="%", test_WS_QUOTE!$C49 * (1 - VALUE(SUBSTITUTE(R49,"%","")) / 100), test_WS_QUOTE!$C49 - VALUE(R49)))</f>
        <v>0</v>
      </c>
      <c r="R49" s="686"/>
      <c r="S49" s="697">
        <f>IF(T49="NOPROMO", test_WS_QUOTE!$C49, IF(RIGHT(T49,1)="%", test_WS_QUOTE!$C49 * (1 - VALUE(SUBSTITUTE(T49,"%","")) / 100), test_WS_QUOTE!$C49 - VALUE(T49)))</f>
        <v>0</v>
      </c>
      <c r="T49" s="686"/>
      <c r="U49" s="698">
        <f>IF(V49="NOPROMO", test_WS_QUOTE!$C49, IF(RIGHT(V49,1)="%", test_WS_QUOTE!$C49 * (1 - VALUE(SUBSTITUTE(V49,"%","")) / 100), test_WS_QUOTE!$C49 - VALUE(V49)))</f>
        <v>0</v>
      </c>
      <c r="V49" s="686"/>
      <c r="W49" s="699">
        <f>IF(X49="NOPROMO", test_WS_QUOTE!$C49, IF(RIGHT(X49,1)="%", test_WS_QUOTE!$C49 * (1 - VALUE(SUBSTITUTE(X49,"%","")) / 100), test_WS_QUOTE!$C49 - VALUE(X49)))</f>
        <v>0</v>
      </c>
      <c r="X49" s="686"/>
      <c r="Y49" s="678">
        <f>IF(Z49="NOPROMO", test_WS_QUOTE!$C49, IF(RIGHT(Z49,1)="%", test_WS_QUOTE!$C49 * (1 - VALUE(SUBSTITUTE(Z49,"%","")) / 100), test_WS_QUOTE!$C49 - VALUE(Z49)))</f>
        <v>0</v>
      </c>
      <c r="Z49" s="686"/>
      <c r="AA49" s="700">
        <f>IF(AB49="NOPROMO", test_WS_QUOTE!$C49, IF(RIGHT(AB49,1)="%", test_WS_QUOTE!$C49 * (1 - VALUE(SUBSTITUTE(AB49,"%","")) / 100), test_WS_QUOTE!$C49 - VALUE(AB49)))</f>
        <v>0</v>
      </c>
      <c r="AB49" s="686"/>
      <c r="AC49" s="680">
        <f>IF(AD49="NOPROMO", test_WS_QUOTE!$C49, IF(RIGHT(AD49,1)="%", test_WS_QUOTE!$C49 * (1 - VALUE(SUBSTITUTE(AD49,"%","")) / 100), test_WS_QUOTE!$C49 - VALUE(AD49)))</f>
        <v>0</v>
      </c>
      <c r="AD49" s="681"/>
      <c r="AE49" s="702"/>
      <c r="AF49" s="682"/>
      <c r="AG49" s="663"/>
    </row>
    <row r="50">
      <c r="A50" s="609"/>
      <c r="B50" s="689"/>
      <c r="C50" s="665">
        <f>IF(D50="NOPROMO", test_WS_QUOTE!$C50, IF(RIGHT(D50,1)="%", test_WS_QUOTE!$C50 * (1 - VALUE(SUBSTITUTE(D50,"%","")) / 100), test_WS_QUOTE!$C50 - VALUE(D50)))</f>
        <v>0</v>
      </c>
      <c r="D50" s="705"/>
      <c r="E50" s="667">
        <f>IF(F50="NOPROMO", test_WS_QUOTE!$C50, IF(RIGHT(F50,1)="%", test_WS_QUOTE!$C50 * (1 - VALUE(SUBSTITUTE(F50,"%","")) / 100), test_WS_QUOTE!$C50 - VALUE(F50)))</f>
        <v>0</v>
      </c>
      <c r="F50" s="705"/>
      <c r="G50" s="691">
        <f>IF(H50="NOPROMO", test_WS_QUOTE!$C50, IF(RIGHT(H50,1)="%", test_WS_QUOTE!$C50 * (1 - VALUE(SUBSTITUTE(H50,"%","")) / 100), test_WS_QUOTE!$C50 - VALUE(H50)))</f>
        <v>0</v>
      </c>
      <c r="H50" s="686"/>
      <c r="I50" s="692">
        <f>IF(J50="NOPROMO", test_WS_QUOTE!$C50, IF(RIGHT(J50,1)="%", test_WS_QUOTE!$C50 * (1 - VALUE(SUBSTITUTE(J50,"%","")) / 100), test_WS_QUOTE!$C50 - VALUE(J50)))</f>
        <v>0</v>
      </c>
      <c r="J50" s="686"/>
      <c r="K50" s="693">
        <f>IF(L50="NOPROMO", test_WS_QUOTE!$C50, IF(RIGHT(L50,1)="%", test_WS_QUOTE!$C50 * (1 - VALUE(SUBSTITUTE(L50,"%","")) / 100), test_WS_QUOTE!$C50 - VALUE(L50)))</f>
        <v>0</v>
      </c>
      <c r="L50" s="686"/>
      <c r="M50" s="694">
        <f>IF(N50="NOPROMO", test_WS_QUOTE!$C50, IF(RIGHT(N50,1)="%", test_WS_QUOTE!$C50 * (1 - VALUE(SUBSTITUTE(N50,"%","")) / 100), test_WS_QUOTE!$C50 - VALUE(N50)))</f>
        <v>0</v>
      </c>
      <c r="N50" s="686"/>
      <c r="O50" s="695">
        <f>IF(P50="NOPROMO", test_WS_QUOTE!$C50, IF(RIGHT(P50,1)="%", test_WS_QUOTE!$C50 * (1 - VALUE(SUBSTITUTE(P50,"%","")) / 100), test_WS_QUOTE!$C50 - VALUE(P50)))</f>
        <v>0</v>
      </c>
      <c r="P50" s="686"/>
      <c r="Q50" s="696">
        <f>IF(R50="NOPROMO", test_WS_QUOTE!$C50, IF(RIGHT(R50,1)="%", test_WS_QUOTE!$C50 * (1 - VALUE(SUBSTITUTE(R50,"%","")) / 100), test_WS_QUOTE!$C50 - VALUE(R50)))</f>
        <v>0</v>
      </c>
      <c r="R50" s="686"/>
      <c r="S50" s="697">
        <f>IF(T50="NOPROMO", test_WS_QUOTE!$C50, IF(RIGHT(T50,1)="%", test_WS_QUOTE!$C50 * (1 - VALUE(SUBSTITUTE(T50,"%","")) / 100), test_WS_QUOTE!$C50 - VALUE(T50)))</f>
        <v>0</v>
      </c>
      <c r="T50" s="686"/>
      <c r="U50" s="698">
        <f>IF(V50="NOPROMO", test_WS_QUOTE!$C50, IF(RIGHT(V50,1)="%", test_WS_QUOTE!$C50 * (1 - VALUE(SUBSTITUTE(V50,"%","")) / 100), test_WS_QUOTE!$C50 - VALUE(V50)))</f>
        <v>0</v>
      </c>
      <c r="V50" s="686"/>
      <c r="W50" s="699">
        <f>IF(X50="NOPROMO", test_WS_QUOTE!$C50, IF(RIGHT(X50,1)="%", test_WS_QUOTE!$C50 * (1 - VALUE(SUBSTITUTE(X50,"%","")) / 100), test_WS_QUOTE!$C50 - VALUE(X50)))</f>
        <v>0</v>
      </c>
      <c r="X50" s="686"/>
      <c r="Y50" s="678">
        <f>IF(Z50="NOPROMO", test_WS_QUOTE!$C50, IF(RIGHT(Z50,1)="%", test_WS_QUOTE!$C50 * (1 - VALUE(SUBSTITUTE(Z50,"%","")) / 100), test_WS_QUOTE!$C50 - VALUE(Z50)))</f>
        <v>0</v>
      </c>
      <c r="Z50" s="686"/>
      <c r="AA50" s="700">
        <f>IF(AB50="NOPROMO", test_WS_QUOTE!$C50, IF(RIGHT(AB50,1)="%", test_WS_QUOTE!$C50 * (1 - VALUE(SUBSTITUTE(AB50,"%","")) / 100), test_WS_QUOTE!$C50 - VALUE(AB50)))</f>
        <v>0</v>
      </c>
      <c r="AB50" s="686"/>
      <c r="AC50" s="680">
        <f>IF(AD50="NOPROMO", test_WS_QUOTE!$C50, IF(RIGHT(AD50,1)="%", test_WS_QUOTE!$C50 * (1 - VALUE(SUBSTITUTE(AD50,"%","")) / 100), test_WS_QUOTE!$C50 - VALUE(AD50)))</f>
        <v>0</v>
      </c>
      <c r="AD50" s="681"/>
      <c r="AE50" s="702"/>
      <c r="AF50" s="682"/>
      <c r="AG50" s="663"/>
    </row>
    <row r="51">
      <c r="A51" s="609"/>
      <c r="B51" s="689"/>
      <c r="C51" s="665">
        <f>IF(D51="NOPROMO", test_WS_QUOTE!$C51, IF(RIGHT(D51,1)="%", test_WS_QUOTE!$C51 * (1 - VALUE(SUBSTITUTE(D51,"%","")) / 100), test_WS_QUOTE!$C51 - VALUE(D51)))</f>
        <v>0</v>
      </c>
      <c r="D51" s="706"/>
      <c r="E51" s="667">
        <f>IF(F51="NOPROMO", test_WS_QUOTE!$C51, IF(RIGHT(F51,1)="%", test_WS_QUOTE!$C51 * (1 - VALUE(SUBSTITUTE(F51,"%","")) / 100), test_WS_QUOTE!$C51 - VALUE(F51)))</f>
        <v>0</v>
      </c>
      <c r="F51" s="706"/>
      <c r="G51" s="691">
        <f>IF(H51="NOPROMO", test_WS_QUOTE!$C51, IF(RIGHT(H51,1)="%", test_WS_QUOTE!$C51 * (1 - VALUE(SUBSTITUTE(H51,"%","")) / 100), test_WS_QUOTE!$C51 - VALUE(H51)))</f>
        <v>0</v>
      </c>
      <c r="H51" s="686"/>
      <c r="I51" s="692">
        <f>IF(J51="NOPROMO", test_WS_QUOTE!$C51, IF(RIGHT(J51,1)="%", test_WS_QUOTE!$C51 * (1 - VALUE(SUBSTITUTE(J51,"%","")) / 100), test_WS_QUOTE!$C51 - VALUE(J51)))</f>
        <v>0</v>
      </c>
      <c r="J51" s="686"/>
      <c r="K51" s="693">
        <f>IF(L51="NOPROMO", test_WS_QUOTE!$C51, IF(RIGHT(L51,1)="%", test_WS_QUOTE!$C51 * (1 - VALUE(SUBSTITUTE(L51,"%","")) / 100), test_WS_QUOTE!$C51 - VALUE(L51)))</f>
        <v>0</v>
      </c>
      <c r="L51" s="686"/>
      <c r="M51" s="694">
        <f>IF(N51="NOPROMO", test_WS_QUOTE!$C51, IF(RIGHT(N51,1)="%", test_WS_QUOTE!$C51 * (1 - VALUE(SUBSTITUTE(N51,"%","")) / 100), test_WS_QUOTE!$C51 - VALUE(N51)))</f>
        <v>0</v>
      </c>
      <c r="N51" s="686"/>
      <c r="O51" s="695">
        <f>IF(P51="NOPROMO", test_WS_QUOTE!$C51, IF(RIGHT(P51,1)="%", test_WS_QUOTE!$C51 * (1 - VALUE(SUBSTITUTE(P51,"%","")) / 100), test_WS_QUOTE!$C51 - VALUE(P51)))</f>
        <v>0</v>
      </c>
      <c r="P51" s="686"/>
      <c r="Q51" s="696">
        <f>IF(R51="NOPROMO", test_WS_QUOTE!$C51, IF(RIGHT(R51,1)="%", test_WS_QUOTE!$C51 * (1 - VALUE(SUBSTITUTE(R51,"%","")) / 100), test_WS_QUOTE!$C51 - VALUE(R51)))</f>
        <v>0</v>
      </c>
      <c r="R51" s="686"/>
      <c r="S51" s="697">
        <f>IF(T51="NOPROMO", test_WS_QUOTE!$C51, IF(RIGHT(T51,1)="%", test_WS_QUOTE!$C51 * (1 - VALUE(SUBSTITUTE(T51,"%","")) / 100), test_WS_QUOTE!$C51 - VALUE(T51)))</f>
        <v>0</v>
      </c>
      <c r="T51" s="686"/>
      <c r="U51" s="698">
        <f>IF(V51="NOPROMO", test_WS_QUOTE!$C51, IF(RIGHT(V51,1)="%", test_WS_QUOTE!$C51 * (1 - VALUE(SUBSTITUTE(V51,"%","")) / 100), test_WS_QUOTE!$C51 - VALUE(V51)))</f>
        <v>0</v>
      </c>
      <c r="V51" s="686"/>
      <c r="W51" s="699">
        <f>IF(X51="NOPROMO", test_WS_QUOTE!$C51, IF(RIGHT(X51,1)="%", test_WS_QUOTE!$C51 * (1 - VALUE(SUBSTITUTE(X51,"%","")) / 100), test_WS_QUOTE!$C51 - VALUE(X51)))</f>
        <v>0</v>
      </c>
      <c r="X51" s="686"/>
      <c r="Y51" s="678">
        <f>IF(Z51="NOPROMO", test_WS_QUOTE!$C51, IF(RIGHT(Z51,1)="%", test_WS_QUOTE!$C51 * (1 - VALUE(SUBSTITUTE(Z51,"%","")) / 100), test_WS_QUOTE!$C51 - VALUE(Z51)))</f>
        <v>0</v>
      </c>
      <c r="Z51" s="686"/>
      <c r="AA51" s="700">
        <f>IF(AB51="NOPROMO", test_WS_QUOTE!$C51, IF(RIGHT(AB51,1)="%", test_WS_QUOTE!$C51 * (1 - VALUE(SUBSTITUTE(AB51,"%","")) / 100), test_WS_QUOTE!$C51 - VALUE(AB51)))</f>
        <v>0</v>
      </c>
      <c r="AB51" s="686"/>
      <c r="AC51" s="680">
        <f>IF(AD51="NOPROMO", test_WS_QUOTE!$C51, IF(RIGHT(AD51,1)="%", test_WS_QUOTE!$C51 * (1 - VALUE(SUBSTITUTE(AD51,"%","")) / 100), test_WS_QUOTE!$C51 - VALUE(AD51)))</f>
        <v>0</v>
      </c>
      <c r="AD51" s="681"/>
      <c r="AE51" s="702"/>
      <c r="AF51" s="662"/>
      <c r="AG51" s="663"/>
    </row>
    <row r="52">
      <c r="A52" s="609"/>
      <c r="B52" s="689"/>
      <c r="C52" s="665">
        <f>IF(D52="NOPROMO", test_WS_QUOTE!$C52, IF(RIGHT(D52,1)="%", test_WS_QUOTE!$C52 * (1 - VALUE(SUBSTITUTE(D52,"%","")) / 100), test_WS_QUOTE!$C52 - VALUE(D52)))</f>
        <v>0</v>
      </c>
      <c r="D52" s="706"/>
      <c r="E52" s="667">
        <f>IF(F52="NOPROMO", test_WS_QUOTE!$C52, IF(RIGHT(F52,1)="%", test_WS_QUOTE!$C52 * (1 - VALUE(SUBSTITUTE(F52,"%","")) / 100), test_WS_QUOTE!$C52 - VALUE(F52)))</f>
        <v>0</v>
      </c>
      <c r="F52" s="706"/>
      <c r="G52" s="691">
        <f>IF(H52="NOPROMO", test_WS_QUOTE!$C52, IF(RIGHT(H52,1)="%", test_WS_QUOTE!$C52 * (1 - VALUE(SUBSTITUTE(H52,"%","")) / 100), test_WS_QUOTE!$C52 - VALUE(H52)))</f>
        <v>0</v>
      </c>
      <c r="H52" s="686"/>
      <c r="I52" s="692">
        <f>IF(J52="NOPROMO", test_WS_QUOTE!$C52, IF(RIGHT(J52,1)="%", test_WS_QUOTE!$C52 * (1 - VALUE(SUBSTITUTE(J52,"%","")) / 100), test_WS_QUOTE!$C52 - VALUE(J52)))</f>
        <v>0</v>
      </c>
      <c r="J52" s="686"/>
      <c r="K52" s="693">
        <f>IF(L52="NOPROMO", test_WS_QUOTE!$C52, IF(RIGHT(L52,1)="%", test_WS_QUOTE!$C52 * (1 - VALUE(SUBSTITUTE(L52,"%","")) / 100), test_WS_QUOTE!$C52 - VALUE(L52)))</f>
        <v>0</v>
      </c>
      <c r="L52" s="686"/>
      <c r="M52" s="694">
        <f>IF(N52="NOPROMO", test_WS_QUOTE!$C52, IF(RIGHT(N52,1)="%", test_WS_QUOTE!$C52 * (1 - VALUE(SUBSTITUTE(N52,"%","")) / 100), test_WS_QUOTE!$C52 - VALUE(N52)))</f>
        <v>0</v>
      </c>
      <c r="N52" s="686"/>
      <c r="O52" s="695">
        <f>IF(P52="NOPROMO", test_WS_QUOTE!$C52, IF(RIGHT(P52,1)="%", test_WS_QUOTE!$C52 * (1 - VALUE(SUBSTITUTE(P52,"%","")) / 100), test_WS_QUOTE!$C52 - VALUE(P52)))</f>
        <v>0</v>
      </c>
      <c r="P52" s="686"/>
      <c r="Q52" s="696">
        <f>IF(R52="NOPROMO", test_WS_QUOTE!$C52, IF(RIGHT(R52,1)="%", test_WS_QUOTE!$C52 * (1 - VALUE(SUBSTITUTE(R52,"%","")) / 100), test_WS_QUOTE!$C52 - VALUE(R52)))</f>
        <v>0</v>
      </c>
      <c r="R52" s="686"/>
      <c r="S52" s="697">
        <f>IF(T52="NOPROMO", test_WS_QUOTE!$C52, IF(RIGHT(T52,1)="%", test_WS_QUOTE!$C52 * (1 - VALUE(SUBSTITUTE(T52,"%","")) / 100), test_WS_QUOTE!$C52 - VALUE(T52)))</f>
        <v>0</v>
      </c>
      <c r="T52" s="686"/>
      <c r="U52" s="698">
        <f>IF(V52="NOPROMO", test_WS_QUOTE!$C52, IF(RIGHT(V52,1)="%", test_WS_QUOTE!$C52 * (1 - VALUE(SUBSTITUTE(V52,"%","")) / 100), test_WS_QUOTE!$C52 - VALUE(V52)))</f>
        <v>0</v>
      </c>
      <c r="V52" s="686"/>
      <c r="W52" s="699">
        <f>IF(X52="NOPROMO", test_WS_QUOTE!$C52, IF(RIGHT(X52,1)="%", test_WS_QUOTE!$C52 * (1 - VALUE(SUBSTITUTE(X52,"%","")) / 100), test_WS_QUOTE!$C52 - VALUE(X52)))</f>
        <v>0</v>
      </c>
      <c r="X52" s="686"/>
      <c r="Y52" s="678">
        <f>IF(Z52="NOPROMO", test_WS_QUOTE!$C52, IF(RIGHT(Z52,1)="%", test_WS_QUOTE!$C52 * (1 - VALUE(SUBSTITUTE(Z52,"%","")) / 100), test_WS_QUOTE!$C52 - VALUE(Z52)))</f>
        <v>0</v>
      </c>
      <c r="Z52" s="686"/>
      <c r="AA52" s="700">
        <f>IF(AB52="NOPROMO", test_WS_QUOTE!$C52, IF(RIGHT(AB52,1)="%", test_WS_QUOTE!$C52 * (1 - VALUE(SUBSTITUTE(AB52,"%","")) / 100), test_WS_QUOTE!$C52 - VALUE(AB52)))</f>
        <v>0</v>
      </c>
      <c r="AB52" s="686"/>
      <c r="AC52" s="680">
        <f>IF(AD52="NOPROMO", test_WS_QUOTE!$C52, IF(RIGHT(AD52,1)="%", test_WS_QUOTE!$C52 * (1 - VALUE(SUBSTITUTE(AD52,"%","")) / 100), test_WS_QUOTE!$C52 - VALUE(AD52)))</f>
        <v>0</v>
      </c>
      <c r="AD52" s="681"/>
      <c r="AE52" s="702"/>
      <c r="AF52" s="662"/>
      <c r="AG52" s="663"/>
    </row>
    <row r="53">
      <c r="A53" s="609"/>
      <c r="B53" s="689"/>
      <c r="C53" s="665">
        <f>IF(D53="NOPROMO", test_WS_QUOTE!$C53, IF(RIGHT(D53,1)="%", test_WS_QUOTE!$C53 * (1 - VALUE(SUBSTITUTE(D53,"%","")) / 100), test_WS_QUOTE!$C53 - VALUE(D53)))</f>
        <v>0</v>
      </c>
      <c r="D53" s="701"/>
      <c r="E53" s="667">
        <f>IF(F53="NOPROMO", test_WS_QUOTE!$C53, IF(RIGHT(F53,1)="%", test_WS_QUOTE!$C53 * (1 - VALUE(SUBSTITUTE(F53,"%","")) / 100), test_WS_QUOTE!$C53 - VALUE(F53)))</f>
        <v>0</v>
      </c>
      <c r="F53" s="701"/>
      <c r="G53" s="691">
        <f>IF(H53="NOPROMO", test_WS_QUOTE!$C53, IF(RIGHT(H53,1)="%", test_WS_QUOTE!$C53 * (1 - VALUE(SUBSTITUTE(H53,"%","")) / 100), test_WS_QUOTE!$C53 - VALUE(H53)))</f>
        <v>0</v>
      </c>
      <c r="H53" s="686"/>
      <c r="I53" s="692">
        <f>IF(J53="NOPROMO", test_WS_QUOTE!$C53, IF(RIGHT(J53,1)="%", test_WS_QUOTE!$C53 * (1 - VALUE(SUBSTITUTE(J53,"%","")) / 100), test_WS_QUOTE!$C53 - VALUE(J53)))</f>
        <v>0</v>
      </c>
      <c r="J53" s="686"/>
      <c r="K53" s="693">
        <f>IF(L53="NOPROMO", test_WS_QUOTE!$C53, IF(RIGHT(L53,1)="%", test_WS_QUOTE!$C53 * (1 - VALUE(SUBSTITUTE(L53,"%","")) / 100), test_WS_QUOTE!$C53 - VALUE(L53)))</f>
        <v>0</v>
      </c>
      <c r="L53" s="686"/>
      <c r="M53" s="694">
        <f>IF(N53="NOPROMO", test_WS_QUOTE!$C53, IF(RIGHT(N53,1)="%", test_WS_QUOTE!$C53 * (1 - VALUE(SUBSTITUTE(N53,"%","")) / 100), test_WS_QUOTE!$C53 - VALUE(N53)))</f>
        <v>0</v>
      </c>
      <c r="N53" s="686"/>
      <c r="O53" s="695">
        <f>IF(P53="NOPROMO", test_WS_QUOTE!$C53, IF(RIGHT(P53,1)="%", test_WS_QUOTE!$C53 * (1 - VALUE(SUBSTITUTE(P53,"%","")) / 100), test_WS_QUOTE!$C53 - VALUE(P53)))</f>
        <v>0</v>
      </c>
      <c r="P53" s="686"/>
      <c r="Q53" s="696">
        <f>IF(R53="NOPROMO", test_WS_QUOTE!$C53, IF(RIGHT(R53,1)="%", test_WS_QUOTE!$C53 * (1 - VALUE(SUBSTITUTE(R53,"%","")) / 100), test_WS_QUOTE!$C53 - VALUE(R53)))</f>
        <v>0</v>
      </c>
      <c r="R53" s="686"/>
      <c r="S53" s="697">
        <f>IF(T53="NOPROMO", test_WS_QUOTE!$C53, IF(RIGHT(T53,1)="%", test_WS_QUOTE!$C53 * (1 - VALUE(SUBSTITUTE(T53,"%","")) / 100), test_WS_QUOTE!$C53 - VALUE(T53)))</f>
        <v>0</v>
      </c>
      <c r="T53" s="686"/>
      <c r="U53" s="698">
        <f>IF(V53="NOPROMO", test_WS_QUOTE!$C53, IF(RIGHT(V53,1)="%", test_WS_QUOTE!$C53 * (1 - VALUE(SUBSTITUTE(V53,"%","")) / 100), test_WS_QUOTE!$C53 - VALUE(V53)))</f>
        <v>0</v>
      </c>
      <c r="V53" s="686"/>
      <c r="W53" s="699">
        <f>IF(X53="NOPROMO", test_WS_QUOTE!$C53, IF(RIGHT(X53,1)="%", test_WS_QUOTE!$C53 * (1 - VALUE(SUBSTITUTE(X53,"%","")) / 100), test_WS_QUOTE!$C53 - VALUE(X53)))</f>
        <v>0</v>
      </c>
      <c r="X53" s="686"/>
      <c r="Y53" s="678">
        <f>IF(Z53="NOPROMO", test_WS_QUOTE!$C53, IF(RIGHT(Z53,1)="%", test_WS_QUOTE!$C53 * (1 - VALUE(SUBSTITUTE(Z53,"%","")) / 100), test_WS_QUOTE!$C53 - VALUE(Z53)))</f>
        <v>0</v>
      </c>
      <c r="Z53" s="686"/>
      <c r="AA53" s="700">
        <f>IF(AB53="NOPROMO", test_WS_QUOTE!$C53, IF(RIGHT(AB53,1)="%", test_WS_QUOTE!$C53 * (1 - VALUE(SUBSTITUTE(AB53,"%","")) / 100), test_WS_QUOTE!$C53 - VALUE(AB53)))</f>
        <v>0</v>
      </c>
      <c r="AB53" s="686"/>
      <c r="AC53" s="680">
        <f>IF(AD53="NOPROMO", test_WS_QUOTE!$C53, IF(RIGHT(AD53,1)="%", test_WS_QUOTE!$C53 * (1 - VALUE(SUBSTITUTE(AD53,"%","")) / 100), test_WS_QUOTE!$C53 - VALUE(AD53)))</f>
        <v>0</v>
      </c>
      <c r="AD53" s="681"/>
      <c r="AE53" s="702"/>
      <c r="AF53" s="662"/>
      <c r="AG53" s="663"/>
    </row>
    <row r="54">
      <c r="A54" s="609"/>
      <c r="B54" s="689"/>
      <c r="C54" s="665">
        <f>IF(D54="NOPROMO", test_WS_QUOTE!$C54, IF(RIGHT(D54,1)="%", test_WS_QUOTE!$C54 * (1 - VALUE(SUBSTITUTE(D54,"%","")) / 100), test_WS_QUOTE!$C54 - VALUE(D54)))</f>
        <v>0</v>
      </c>
      <c r="D54" s="701"/>
      <c r="E54" s="667">
        <f>IF(F54="NOPROMO", test_WS_QUOTE!$C54, IF(RIGHT(F54,1)="%", test_WS_QUOTE!$C54 * (1 - VALUE(SUBSTITUTE(F54,"%","")) / 100), test_WS_QUOTE!$C54 - VALUE(F54)))</f>
        <v>0</v>
      </c>
      <c r="F54" s="701"/>
      <c r="G54" s="691">
        <f>IF(H54="NOPROMO", test_WS_QUOTE!$C54, IF(RIGHT(H54,1)="%", test_WS_QUOTE!$C54 * (1 - VALUE(SUBSTITUTE(H54,"%","")) / 100), test_WS_QUOTE!$C54 - VALUE(H54)))</f>
        <v>0</v>
      </c>
      <c r="H54" s="686"/>
      <c r="I54" s="692">
        <f>IF(J54="NOPROMO", test_WS_QUOTE!$C54, IF(RIGHT(J54,1)="%", test_WS_QUOTE!$C54 * (1 - VALUE(SUBSTITUTE(J54,"%","")) / 100), test_WS_QUOTE!$C54 - VALUE(J54)))</f>
        <v>0</v>
      </c>
      <c r="J54" s="686"/>
      <c r="K54" s="693">
        <f>IF(L54="NOPROMO", test_WS_QUOTE!$C54, IF(RIGHT(L54,1)="%", test_WS_QUOTE!$C54 * (1 - VALUE(SUBSTITUTE(L54,"%","")) / 100), test_WS_QUOTE!$C54 - VALUE(L54)))</f>
        <v>0</v>
      </c>
      <c r="L54" s="686"/>
      <c r="M54" s="694">
        <f>IF(N54="NOPROMO", test_WS_QUOTE!$C54, IF(RIGHT(N54,1)="%", test_WS_QUOTE!$C54 * (1 - VALUE(SUBSTITUTE(N54,"%","")) / 100), test_WS_QUOTE!$C54 - VALUE(N54)))</f>
        <v>0</v>
      </c>
      <c r="N54" s="686"/>
      <c r="O54" s="695">
        <f>IF(P54="NOPROMO", test_WS_QUOTE!$C54, IF(RIGHT(P54,1)="%", test_WS_QUOTE!$C54 * (1 - VALUE(SUBSTITUTE(P54,"%","")) / 100), test_WS_QUOTE!$C54 - VALUE(P54)))</f>
        <v>0</v>
      </c>
      <c r="P54" s="686"/>
      <c r="Q54" s="696">
        <f>IF(R54="NOPROMO", test_WS_QUOTE!$C54, IF(RIGHT(R54,1)="%", test_WS_QUOTE!$C54 * (1 - VALUE(SUBSTITUTE(R54,"%","")) / 100), test_WS_QUOTE!$C54 - VALUE(R54)))</f>
        <v>0</v>
      </c>
      <c r="R54" s="686"/>
      <c r="S54" s="697">
        <f>IF(T54="NOPROMO", test_WS_QUOTE!$C54, IF(RIGHT(T54,1)="%", test_WS_QUOTE!$C54 * (1 - VALUE(SUBSTITUTE(T54,"%","")) / 100), test_WS_QUOTE!$C54 - VALUE(T54)))</f>
        <v>0</v>
      </c>
      <c r="T54" s="686"/>
      <c r="U54" s="698">
        <f>IF(V54="NOPROMO", test_WS_QUOTE!$C54, IF(RIGHT(V54,1)="%", test_WS_QUOTE!$C54 * (1 - VALUE(SUBSTITUTE(V54,"%","")) / 100), test_WS_QUOTE!$C54 - VALUE(V54)))</f>
        <v>0</v>
      </c>
      <c r="V54" s="686"/>
      <c r="W54" s="699">
        <f>IF(X54="NOPROMO", test_WS_QUOTE!$C54, IF(RIGHT(X54,1)="%", test_WS_QUOTE!$C54 * (1 - VALUE(SUBSTITUTE(X54,"%","")) / 100), test_WS_QUOTE!$C54 - VALUE(X54)))</f>
        <v>0</v>
      </c>
      <c r="X54" s="686"/>
      <c r="Y54" s="678">
        <f>IF(Z54="NOPROMO", test_WS_QUOTE!$C54, IF(RIGHT(Z54,1)="%", test_WS_QUOTE!$C54 * (1 - VALUE(SUBSTITUTE(Z54,"%","")) / 100), test_WS_QUOTE!$C54 - VALUE(Z54)))</f>
        <v>0</v>
      </c>
      <c r="Z54" s="686"/>
      <c r="AA54" s="700">
        <f>IF(AB54="NOPROMO", test_WS_QUOTE!$C54, IF(RIGHT(AB54,1)="%", test_WS_QUOTE!$C54 * (1 - VALUE(SUBSTITUTE(AB54,"%","")) / 100), test_WS_QUOTE!$C54 - VALUE(AB54)))</f>
        <v>0</v>
      </c>
      <c r="AB54" s="686"/>
      <c r="AC54" s="680">
        <f>IF(AD54="NOPROMO", test_WS_QUOTE!$C54, IF(RIGHT(AD54,1)="%", test_WS_QUOTE!$C54 * (1 - VALUE(SUBSTITUTE(AD54,"%","")) / 100), test_WS_QUOTE!$C54 - VALUE(AD54)))</f>
        <v>0</v>
      </c>
      <c r="AD54" s="681"/>
      <c r="AE54" s="702"/>
      <c r="AF54" s="662"/>
      <c r="AG54" s="663"/>
    </row>
    <row r="55">
      <c r="A55" s="609"/>
      <c r="B55" s="689"/>
      <c r="C55" s="665">
        <f>IF(D55="NOPROMO", test_WS_QUOTE!$C55, IF(RIGHT(D55,1)="%", test_WS_QUOTE!$C55 * (1 - VALUE(SUBSTITUTE(D55,"%","")) / 100), test_WS_QUOTE!$C55 - VALUE(D55)))</f>
        <v>0</v>
      </c>
      <c r="D55" s="701"/>
      <c r="E55" s="667">
        <f>IF(F55="NOPROMO", test_WS_QUOTE!$C55, IF(RIGHT(F55,1)="%", test_WS_QUOTE!$C55 * (1 - VALUE(SUBSTITUTE(F55,"%","")) / 100), test_WS_QUOTE!$C55 - VALUE(F55)))</f>
        <v>0</v>
      </c>
      <c r="F55" s="701"/>
      <c r="G55" s="691">
        <f>IF(H55="NOPROMO", test_WS_QUOTE!$C55, IF(RIGHT(H55,1)="%", test_WS_QUOTE!$C55 * (1 - VALUE(SUBSTITUTE(H55,"%","")) / 100), test_WS_QUOTE!$C55 - VALUE(H55)))</f>
        <v>0</v>
      </c>
      <c r="H55" s="686"/>
      <c r="I55" s="692">
        <f>IF(J55="NOPROMO", test_WS_QUOTE!$C55, IF(RIGHT(J55,1)="%", test_WS_QUOTE!$C55 * (1 - VALUE(SUBSTITUTE(J55,"%","")) / 100), test_WS_QUOTE!$C55 - VALUE(J55)))</f>
        <v>0</v>
      </c>
      <c r="J55" s="686"/>
      <c r="K55" s="693">
        <f>IF(L55="NOPROMO", test_WS_QUOTE!$C55, IF(RIGHT(L55,1)="%", test_WS_QUOTE!$C55 * (1 - VALUE(SUBSTITUTE(L55,"%","")) / 100), test_WS_QUOTE!$C55 - VALUE(L55)))</f>
        <v>0</v>
      </c>
      <c r="L55" s="686"/>
      <c r="M55" s="694">
        <f>IF(N55="NOPROMO", test_WS_QUOTE!$C55, IF(RIGHT(N55,1)="%", test_WS_QUOTE!$C55 * (1 - VALUE(SUBSTITUTE(N55,"%","")) / 100), test_WS_QUOTE!$C55 - VALUE(N55)))</f>
        <v>0</v>
      </c>
      <c r="N55" s="686"/>
      <c r="O55" s="695">
        <f>IF(P55="NOPROMO", test_WS_QUOTE!$C55, IF(RIGHT(P55,1)="%", test_WS_QUOTE!$C55 * (1 - VALUE(SUBSTITUTE(P55,"%","")) / 100), test_WS_QUOTE!$C55 - VALUE(P55)))</f>
        <v>0</v>
      </c>
      <c r="P55" s="686"/>
      <c r="Q55" s="696">
        <f>IF(R55="NOPROMO", test_WS_QUOTE!$C55, IF(RIGHT(R55,1)="%", test_WS_QUOTE!$C55 * (1 - VALUE(SUBSTITUTE(R55,"%","")) / 100), test_WS_QUOTE!$C55 - VALUE(R55)))</f>
        <v>0</v>
      </c>
      <c r="R55" s="686"/>
      <c r="S55" s="697">
        <f>IF(T55="NOPROMO", test_WS_QUOTE!$C55, IF(RIGHT(T55,1)="%", test_WS_QUOTE!$C55 * (1 - VALUE(SUBSTITUTE(T55,"%","")) / 100), test_WS_QUOTE!$C55 - VALUE(T55)))</f>
        <v>0</v>
      </c>
      <c r="T55" s="686"/>
      <c r="U55" s="698">
        <f>IF(V55="NOPROMO", test_WS_QUOTE!$C55, IF(RIGHT(V55,1)="%", test_WS_QUOTE!$C55 * (1 - VALUE(SUBSTITUTE(V55,"%","")) / 100), test_WS_QUOTE!$C55 - VALUE(V55)))</f>
        <v>0</v>
      </c>
      <c r="V55" s="686"/>
      <c r="W55" s="699">
        <f>IF(X55="NOPROMO", test_WS_QUOTE!$C55, IF(RIGHT(X55,1)="%", test_WS_QUOTE!$C55 * (1 - VALUE(SUBSTITUTE(X55,"%","")) / 100), test_WS_QUOTE!$C55 - VALUE(X55)))</f>
        <v>0</v>
      </c>
      <c r="X55" s="686"/>
      <c r="Y55" s="678">
        <f>IF(Z55="NOPROMO", test_WS_QUOTE!$C55, IF(RIGHT(Z55,1)="%", test_WS_QUOTE!$C55 * (1 - VALUE(SUBSTITUTE(Z55,"%","")) / 100), test_WS_QUOTE!$C55 - VALUE(Z55)))</f>
        <v>0</v>
      </c>
      <c r="Z55" s="686"/>
      <c r="AA55" s="700">
        <f>IF(AB55="NOPROMO", test_WS_QUOTE!$C55, IF(RIGHT(AB55,1)="%", test_WS_QUOTE!$C55 * (1 - VALUE(SUBSTITUTE(AB55,"%","")) / 100), test_WS_QUOTE!$C55 - VALUE(AB55)))</f>
        <v>0</v>
      </c>
      <c r="AB55" s="686"/>
      <c r="AC55" s="680">
        <f>IF(AD55="NOPROMO", test_WS_QUOTE!$C55, IF(RIGHT(AD55,1)="%", test_WS_QUOTE!$C55 * (1 - VALUE(SUBSTITUTE(AD55,"%","")) / 100), test_WS_QUOTE!$C55 - VALUE(AD55)))</f>
        <v>0</v>
      </c>
      <c r="AD55" s="681"/>
      <c r="AE55" s="702"/>
      <c r="AF55" s="662"/>
      <c r="AG55" s="663"/>
    </row>
    <row r="56">
      <c r="A56" s="629" t="s">
        <v>2958</v>
      </c>
      <c r="B56" s="707" t="s">
        <v>2959</v>
      </c>
      <c r="C56" s="708">
        <f>IF(D56="NOPROMO", test_WS_QUOTE!$C56, IF(RIGHT(D56,1)="%", test_WS_QUOTE!$C56 * (1 - VALUE(SUBSTITUTE(D56,"%","")) / 100), test_WS_QUOTE!$C56 - VALUE(D56)))</f>
        <v>25</v>
      </c>
      <c r="D56" s="709" t="s">
        <v>2988</v>
      </c>
      <c r="E56" s="708">
        <f>IF(F56="NOPROMO", test_WS_QUOTE!$C56, IF(RIGHT(F56,1)="%", test_WS_QUOTE!$C56 * (1 - VALUE(SUBSTITUTE(F56,"%","")) / 100), test_WS_QUOTE!$C56 - VALUE(F56)))</f>
        <v>25</v>
      </c>
      <c r="F56" s="709" t="s">
        <v>2988</v>
      </c>
      <c r="G56" s="708">
        <f>IF(H56="NOPROMO", test_WS_QUOTE!$C56, IF(RIGHT(H56,1)="%", test_WS_QUOTE!$C56 * (1 - VALUE(SUBSTITUTE(H56,"%","")) / 100), test_WS_QUOTE!$C56 - VALUE(H56)))</f>
        <v>25</v>
      </c>
      <c r="H56" s="709" t="s">
        <v>2988</v>
      </c>
      <c r="I56" s="708">
        <f>IF(J56="NOPROMO", test_WS_QUOTE!$C56, IF(RIGHT(J56,1)="%", test_WS_QUOTE!$C56 * (1 - VALUE(SUBSTITUTE(J56,"%","")) / 100), test_WS_QUOTE!$C56 - VALUE(J56)))</f>
        <v>25</v>
      </c>
      <c r="J56" s="709" t="s">
        <v>2988</v>
      </c>
      <c r="K56" s="708">
        <f>IF(L56="NOPROMO", test_WS_QUOTE!$C56, IF(RIGHT(L56,1)="%", test_WS_QUOTE!$C56 * (1 - VALUE(SUBSTITUTE(L56,"%","")) / 100), test_WS_QUOTE!$C56 - VALUE(L56)))</f>
        <v>25</v>
      </c>
      <c r="L56" s="709" t="s">
        <v>2988</v>
      </c>
      <c r="M56" s="708">
        <f>IF(N56="NOPROMO", test_WS_QUOTE!$C56, IF(RIGHT(N56,1)="%", test_WS_QUOTE!$C56 * (1 - VALUE(SUBSTITUTE(N56,"%","")) / 100), test_WS_QUOTE!$C56 - VALUE(N56)))</f>
        <v>25</v>
      </c>
      <c r="N56" s="709" t="s">
        <v>2988</v>
      </c>
      <c r="O56" s="708">
        <f>IF(P56="NOPROMO", test_WS_QUOTE!$C56, IF(RIGHT(P56,1)="%", test_WS_QUOTE!$C56 * (1 - VALUE(SUBSTITUTE(P56,"%","")) / 100), test_WS_QUOTE!$C56 - VALUE(P56)))</f>
        <v>25</v>
      </c>
      <c r="P56" s="709" t="s">
        <v>2988</v>
      </c>
      <c r="Q56" s="708">
        <f>IF(R56="NOPROMO", test_WS_QUOTE!$C56, IF(RIGHT(R56,1)="%", test_WS_QUOTE!$C56 * (1 - VALUE(SUBSTITUTE(R56,"%","")) / 100), test_WS_QUOTE!$C56 - VALUE(R56)))</f>
        <v>25</v>
      </c>
      <c r="R56" s="709" t="s">
        <v>2988</v>
      </c>
      <c r="S56" s="708">
        <f>IF(T56="NOPROMO", test_WS_QUOTE!$C56, IF(RIGHT(T56,1)="%", test_WS_QUOTE!$C56 * (1 - VALUE(SUBSTITUTE(T56,"%","")) / 100), test_WS_QUOTE!$C56 - VALUE(T56)))</f>
        <v>25</v>
      </c>
      <c r="T56" s="709" t="s">
        <v>2988</v>
      </c>
      <c r="U56" s="708">
        <f>IF(V56="NOPROMO", test_WS_QUOTE!$C56, IF(RIGHT(V56,1)="%", test_WS_QUOTE!$C56 * (1 - VALUE(SUBSTITUTE(V56,"%","")) / 100), test_WS_QUOTE!$C56 - VALUE(V56)))</f>
        <v>25</v>
      </c>
      <c r="V56" s="709" t="s">
        <v>2988</v>
      </c>
      <c r="W56" s="708">
        <f>IF(X56="NOPROMO", test_WS_QUOTE!$C56, IF(RIGHT(X56,1)="%", test_WS_QUOTE!$C56 * (1 - VALUE(SUBSTITUTE(X56,"%","")) / 100), test_WS_QUOTE!$C56 - VALUE(X56)))</f>
        <v>25</v>
      </c>
      <c r="X56" s="709" t="s">
        <v>2988</v>
      </c>
      <c r="Y56" s="708">
        <f>IF(Z56="NOPROMO", test_WS_QUOTE!$C56, IF(RIGHT(Z56,1)="%", test_WS_QUOTE!$C56 * (1 - VALUE(SUBSTITUTE(Z56,"%","")) / 100), test_WS_QUOTE!$C56 - VALUE(Z56)))</f>
        <v>25</v>
      </c>
      <c r="Z56" s="709" t="s">
        <v>2988</v>
      </c>
      <c r="AA56" s="708">
        <f>IF(AB56="NOPROMO", test_WS_QUOTE!$C56, IF(RIGHT(AB56,1)="%", test_WS_QUOTE!$C56 * (1 - VALUE(SUBSTITUTE(AB56,"%","")) / 100), test_WS_QUOTE!$C56 - VALUE(AB56)))</f>
        <v>25</v>
      </c>
      <c r="AB56" s="709" t="s">
        <v>2988</v>
      </c>
      <c r="AC56" s="708">
        <f>IF(AD56="NOPROMO", test_WS_QUOTE!$C56, IF(RIGHT(AD56,1)="%", test_WS_QUOTE!$C56 * (1 - VALUE(SUBSTITUTE(AD56,"%","")) / 100), test_WS_QUOTE!$C56 - VALUE(AD56)))</f>
        <v>25</v>
      </c>
      <c r="AD56" s="710" t="s">
        <v>2988</v>
      </c>
      <c r="AE56" s="702"/>
      <c r="AF56" s="662"/>
      <c r="AG56" s="663"/>
    </row>
  </sheetData>
  <mergeCells count="26">
    <mergeCell ref="AA1:AD1"/>
    <mergeCell ref="AE1:AE2"/>
    <mergeCell ref="AF1:AF2"/>
    <mergeCell ref="AG1:AG2"/>
    <mergeCell ref="AA2:AB2"/>
    <mergeCell ref="AC2:AD2"/>
    <mergeCell ref="C1:D1"/>
    <mergeCell ref="E1:F1"/>
    <mergeCell ref="G1:J1"/>
    <mergeCell ref="K1:N1"/>
    <mergeCell ref="O1:R1"/>
    <mergeCell ref="S1:V1"/>
    <mergeCell ref="W1:Z1"/>
    <mergeCell ref="Q2:R2"/>
    <mergeCell ref="S2:T2"/>
    <mergeCell ref="U2:V2"/>
    <mergeCell ref="W2:X2"/>
    <mergeCell ref="Y2:Z2"/>
    <mergeCell ref="C2:D2"/>
    <mergeCell ref="E2:F2"/>
    <mergeCell ref="G2:H2"/>
    <mergeCell ref="I2:J2"/>
    <mergeCell ref="K2:L2"/>
    <mergeCell ref="M2:N2"/>
    <mergeCell ref="O2:P2"/>
    <mergeCell ref="C3:AD3"/>
  </mergeCells>
  <dataValidations>
    <dataValidation type="list" allowBlank="1" showErrorMessage="1" sqref="AG3:AG56">
      <formula1>elenchi3!$A$2:$A$50</formula1>
    </dataValidation>
  </dataValidations>
  <printOptions gridLines="1" horizontalCentered="1"/>
  <pageMargins bottom="0.761562495068878" footer="0.0" header="0.0" left="0.19685039370078738" right="0.19685039370078738" top="0.19685039370078738"/>
  <pageSetup fitToHeight="0" paperSize="9" cellComments="atEnd" orientation="landscape" pageOrder="overThenDown"/>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21.25"/>
    <col customWidth="1" min="3" max="3" width="17.25"/>
    <col customWidth="1" min="4" max="4" width="10.5"/>
    <col customWidth="1" min="5" max="5" width="10.88"/>
    <col customWidth="1" min="6" max="6" width="15.13"/>
    <col customWidth="1" min="7" max="8" width="17.75"/>
    <col customWidth="1" min="9" max="9" width="10.38"/>
    <col customWidth="1" min="10" max="10" width="9.75"/>
    <col customWidth="1" min="11" max="11" width="15.88"/>
    <col customWidth="1" min="12" max="12" width="13.88"/>
    <col customWidth="1" min="13" max="13" width="11.5"/>
    <col customWidth="1" min="14" max="14" width="13.88"/>
    <col customWidth="1" min="15" max="15" width="26.63"/>
    <col customWidth="1" min="16" max="16" width="13.88"/>
    <col customWidth="1" min="17" max="17" width="14.38"/>
    <col customWidth="1" min="18" max="18" width="24.25"/>
    <col customWidth="1" min="19" max="19" width="14.38"/>
    <col customWidth="1" min="20" max="20" width="21.88"/>
    <col customWidth="1" min="21" max="21" width="19.25"/>
    <col customWidth="1" min="22" max="22" width="25.5"/>
    <col customWidth="1" min="23" max="23" width="29.5"/>
    <col customWidth="1" min="24" max="24" width="24.88"/>
    <col customWidth="1" min="25" max="25" width="37.63"/>
    <col customWidth="1" min="26" max="26" width="19.63"/>
    <col customWidth="1" min="27" max="27" width="7.5"/>
    <col customWidth="1" min="28" max="28" width="16.0"/>
    <col customWidth="1" min="29" max="29" width="12.88"/>
    <col customWidth="1" min="30" max="30" width="17.0"/>
    <col customWidth="1" min="31" max="32" width="13.25"/>
    <col customWidth="1" min="33" max="34" width="15.25"/>
  </cols>
  <sheetData>
    <row r="1">
      <c r="A1" s="37" t="str">
        <f>IFERROR(__xludf.DUMMYFUNCTION("IMPORTRANGE(""https://docs.google.com/spreadsheets/d/18iHbFEZ6msv3IU3InH0K5SEgnjM_8H0uHajc7c4fMiQ/edit?gid=1323612867#gid=1323612867"", ""elenchi!A1:AH1460"")"),"NOTE PAGAMENTI")</f>
        <v>NOTE PAGAMENTI</v>
      </c>
      <c r="B1" s="53" t="str">
        <f>IFERROR(__xludf.DUMMYFUNCTION("""COMPUTED_VALUE"""),"COME CI HA CONOSCIUTO")</f>
        <v>COME CI HA CONOSCIUTO</v>
      </c>
      <c r="C1" s="711" t="str">
        <f>IFERROR(__xludf.DUMMYFUNCTION("""COMPUTED_VALUE"""),"ORARIO STUDIO MEDICO")</f>
        <v>ORARIO STUDIO MEDICO</v>
      </c>
      <c r="D1" s="48" t="str">
        <f>IFERROR(__xludf.DUMMYFUNCTION("""COMPUTED_VALUE"""),"STUDIO")</f>
        <v>STUDIO</v>
      </c>
      <c r="E1" s="712" t="str">
        <f>IFERROR(__xludf.DUMMYFUNCTION("""COMPUTED_VALUE"""),"ORA INIZIO 
CORSI E AFFITTI")</f>
        <v>ORA INIZIO 
CORSI E AFFITTI</v>
      </c>
      <c r="F1" s="712" t="str">
        <f>IFERROR(__xludf.DUMMYFUNCTION("""COMPUTED_VALUE"""),"ORA FINE 
CORSI E AFFITTI")</f>
        <v>ORA FINE 
CORSI E AFFITTI</v>
      </c>
      <c r="G1" s="48" t="str">
        <f>IFERROR(__xludf.DUMMYFUNCTION("""COMPUTED_VALUE"""),"LIVELLO (5)")</f>
        <v>LIVELLO (5)</v>
      </c>
      <c r="H1" s="48" t="str">
        <f>IFERROR(__xludf.DUMMYFUNCTION("""COMPUTED_VALUE"""),"FASCIA ETÀ (4)")</f>
        <v>FASCIA ETÀ (4)</v>
      </c>
      <c r="I1" s="48" t="str">
        <f>IFERROR(__xludf.DUMMYFUNCTION("""COMPUTED_VALUE"""),"woocommerce - sito")</f>
        <v>woocommerce - sito</v>
      </c>
      <c r="J1" s="48" t="str">
        <f>IFERROR(__xludf.DUMMYFUNCTION("""COMPUTED_VALUE"""),"TESSERA
ENTE")</f>
        <v>TESSERA
ENTE</v>
      </c>
      <c r="K1" s="48" t="str">
        <f>IFERROR(__xludf.DUMMYFUNCTION("""COMPUTED_VALUE"""),"DETAGLIO ISCRIZIONE")</f>
        <v>DETAGLIO ISCRIZIONE</v>
      </c>
      <c r="L1" s="48" t="str">
        <f>IFERROR(__xludf.DUMMYFUNCTION("""COMPUTED_VALUE"""),"N. LEZIONI")</f>
        <v>N. LEZIONI</v>
      </c>
      <c r="M1" s="48" t="str">
        <f>IFERROR(__xludf.DUMMYFUNCTION("""COMPUTED_VALUE"""),"CHI SCRIVE TEAM")</f>
        <v>CHI SCRIVE TEAM</v>
      </c>
      <c r="N1" s="48" t="str">
        <f>IFERROR(__xludf.DUMMYFUNCTION("""COMPUTED_VALUE"""),"VENDITA")</f>
        <v>VENDITA</v>
      </c>
      <c r="O1" s="48" t="str">
        <f>IFERROR(__xludf.DUMMYFUNCTION("""COMPUTED_VALUE"""),"CONCLUSIONE PROVA")</f>
        <v>CONCLUSIONE PROVA</v>
      </c>
      <c r="P1" s="713" t="str">
        <f>IFERROR(__xludf.DUMMYFUNCTION("""COMPUTED_VALUE""")," QUOTE CORSI")</f>
        <v>QUOTE CORSI</v>
      </c>
      <c r="Q1" s="48" t="str">
        <f>IFERROR(__xludf.DUMMYFUNCTION("""COMPUTED_VALUE"""),"CATEGORIE")</f>
        <v>CATEGORIE</v>
      </c>
      <c r="R1" s="711" t="str">
        <f>IFERROR(__xludf.DUMMYFUNCTION("""COMPUTED_VALUE"""),"CODICE CORSO (con link)")</f>
        <v>CODICE CORSO (con link)</v>
      </c>
      <c r="S1" s="48" t="str">
        <f>IFERROR(__xludf.DUMMYFUNCTION("""COMPUTED_VALUE"""),"limite max di persone per ogni corso")</f>
        <v>limite max di persone per ogni corso</v>
      </c>
      <c r="T1" s="712" t="str">
        <f>IFERROR(__xludf.DUMMYFUNCTION("""COMPUTED_VALUE"""),"(CHIUSO)
CODICE CORSO 
CHIUSI E APERTI")</f>
        <v>(CHIUSO)
CODICE CORSO 
CHIUSI E APERTI</v>
      </c>
      <c r="U1" s="48" t="str">
        <f>IFERROR(__xludf.DUMMYFUNCTION("""COMPUTED_VALUE"""),"DETTAGLIO (6)")</f>
        <v>DETTAGLIO (6)</v>
      </c>
      <c r="V1" s="48" t="str">
        <f>IFERROR(__xludf.DUMMYFUNCTION("""COMPUTED_VALUE"""),"Frequenza di ripetizione corso")</f>
        <v>Frequenza di ripetizione corso</v>
      </c>
      <c r="W1" s="48" t="str">
        <f>IFERROR(__xludf.DUMMYFUNCTION("""COMPUTED_VALUE"""),"Cosa Portare")</f>
        <v>Cosa Portare</v>
      </c>
      <c r="X1" s="48" t="str">
        <f>IFERROR(__xludf.DUMMYFUNCTION("""COMPUTED_VALUE"""),"Medico o PT")</f>
        <v>Medico o PT</v>
      </c>
      <c r="Y1" s="48" t="str">
        <f>IFERROR(__xludf.DUMMYFUNCTION("""COMPUTED_VALUE"""),"NOME CORSO (3)")</f>
        <v>NOME CORSO (3)</v>
      </c>
      <c r="Z1" s="714" t="str">
        <f>IFERROR(__xludf.DUMMYFUNCTION("""COMPUTED_VALUE"""),"INSEGNANTE (1 e 2)")</f>
        <v>INSEGNANTE (1 e 2)</v>
      </c>
      <c r="AA1" s="48" t="str">
        <f>IFERROR(__xludf.DUMMYFUNCTION("""COMPUTED_VALUE"""),"LEZ")</f>
        <v>LEZ</v>
      </c>
      <c r="AB1" s="712" t="str">
        <f>IFERROR(__xludf.DUMMYFUNCTION("""COMPUTED_VALUE"""),"Lunedì")</f>
        <v>Lunedì</v>
      </c>
      <c r="AC1" s="712" t="str">
        <f>IFERROR(__xludf.DUMMYFUNCTION("""COMPUTED_VALUE"""),"Martedì")</f>
        <v>Martedì</v>
      </c>
      <c r="AD1" s="712" t="str">
        <f>IFERROR(__xludf.DUMMYFUNCTION("""COMPUTED_VALUE"""),"Mercoledì")</f>
        <v>Mercoledì</v>
      </c>
      <c r="AE1" s="712" t="str">
        <f>IFERROR(__xludf.DUMMYFUNCTION("""COMPUTED_VALUE"""),"Giovedì")</f>
        <v>Giovedì</v>
      </c>
      <c r="AF1" s="712" t="str">
        <f>IFERROR(__xludf.DUMMYFUNCTION("""COMPUTED_VALUE"""),"Venerdì")</f>
        <v>Venerdì</v>
      </c>
      <c r="AG1" s="712" t="str">
        <f>IFERROR(__xludf.DUMMYFUNCTION("""COMPUTED_VALUE"""),"Sabato")</f>
        <v>Sabato</v>
      </c>
      <c r="AH1" s="712" t="str">
        <f>IFERROR(__xludf.DUMMYFUNCTION("""COMPUTED_VALUE"""),"Domenica")</f>
        <v>Domenica</v>
      </c>
    </row>
    <row r="2">
      <c r="A2" s="48" t="str">
        <f>IFERROR(__xludf.DUMMYFUNCTION("""COMPUTED_VALUE"""),"A/B")</f>
        <v>A/B</v>
      </c>
      <c r="B2" s="48" t="str">
        <f>IFERROR(__xludf.DUMMYFUNCTION("""COMPUTED_VALUE"""),"ABITA IN ZONA")</f>
        <v>ABITA IN ZONA</v>
      </c>
      <c r="C2" s="711" t="str">
        <f>IFERROR(__xludf.DUMMYFUNCTION("""COMPUTED_VALUE"""),"07:00")</f>
        <v>07:00</v>
      </c>
      <c r="D2" s="48" t="str">
        <f>IFERROR(__xludf.DUMMYFUNCTION("""COMPUTED_VALUE"""),"STUDIO 01")</f>
        <v>STUDIO 01</v>
      </c>
      <c r="E2" s="712" t="str">
        <f>IFERROR(__xludf.DUMMYFUNCTION("""COMPUTED_VALUE"""),"07:00")</f>
        <v>07:00</v>
      </c>
      <c r="F2" s="712" t="str">
        <f>IFERROR(__xludf.DUMMYFUNCTION("""COMPUTED_VALUE"""),"07:50")</f>
        <v>07:50</v>
      </c>
      <c r="G2" s="48" t="str">
        <f>IFERROR(__xludf.DUMMYFUNCTION("""COMPUTED_VALUE"""),"Accademia")</f>
        <v>Accademia</v>
      </c>
      <c r="H2" s="48" t="str">
        <f>IFERROR(__xludf.DUMMYFUNCTION("""COMPUTED_VALUE"""),"Bambini 3 - 4 anni")</f>
        <v>Bambini 3 - 4 anni</v>
      </c>
      <c r="I2" s="48" t="str">
        <f>IFERROR(__xludf.DUMMYFUNCTION("""COMPUTED_VALUE"""),"ACQUISTA")</f>
        <v>ACQUISTA</v>
      </c>
      <c r="J2" s="48" t="str">
        <f>IFERROR(__xludf.DUMMYFUNCTION("""COMPUTED_VALUE"""),"CSEN")</f>
        <v>CSEN</v>
      </c>
      <c r="K2" s="48" t="str">
        <f>IFERROR(__xludf.DUMMYFUNCTION("""COMPUTED_VALUE"""),"deve pagare D")</f>
        <v>deve pagare D</v>
      </c>
      <c r="L2" s="48">
        <f>IFERROR(__xludf.DUMMYFUNCTION("""COMPUTED_VALUE"""),3.0)</f>
        <v>3</v>
      </c>
      <c r="M2" s="48" t="str">
        <f>IFERROR(__xludf.DUMMYFUNCTION("""COMPUTED_VALUE"""),"Alexandra")</f>
        <v>Alexandra</v>
      </c>
      <c r="N2" s="48" t="str">
        <f>IFERROR(__xludf.DUMMYFUNCTION("""COMPUTED_VALUE"""),"BONIFICO")</f>
        <v>BONIFICO</v>
      </c>
      <c r="O2" s="715" t="str">
        <f>IFERROR(__xludf.DUMMYFUNCTION("""COMPUTED_VALUE"""),"MODULO")</f>
        <v>MODULO</v>
      </c>
      <c r="P2" s="713">
        <f>IFERROR(__xludf.DUMMYFUNCTION("""COMPUTED_VALUE"""),1300.0)</f>
        <v>1300</v>
      </c>
      <c r="Q2" s="48" t="str">
        <f>IFERROR(__xludf.DUMMYFUNCTION("""COMPUTED_VALUE"""),"Aerial")</f>
        <v>Aerial</v>
      </c>
      <c r="R2" s="48"/>
      <c r="S2" s="711" t="str">
        <f>IFERROR(__xludf.DUMMYFUNCTION("""COMPUTED_VALUE"""),"")</f>
        <v/>
      </c>
      <c r="T2" s="712"/>
      <c r="U2" s="48" t="str">
        <f>IFERROR(__xludf.DUMMYFUNCTION("""COMPUTED_VALUE"""),"AFFITTO")</f>
        <v>AFFITTO</v>
      </c>
      <c r="V2" s="712" t="str">
        <f>IFERROR(__xludf.DUMMYFUNCTION("""COMPUTED_VALUE"""),"1")</f>
        <v>1</v>
      </c>
      <c r="W2" s="48" t="str">
        <f>IFERROR(__xludf.DUMMYFUNCTION("""COMPUTED_VALUE"""),"Asciugamano")</f>
        <v>Asciugamano</v>
      </c>
      <c r="X2" s="48" t="str">
        <f>IFERROR(__xludf.DUMMYFUNCTION("""COMPUTED_VALUE"""),"Donato")</f>
        <v>Donato</v>
      </c>
      <c r="Y2" s="48" t="str">
        <f>IFERROR(__xludf.DUMMYFUNCTION("""COMPUTED_VALUE"""),"Acrobatica")</f>
        <v>Acrobatica</v>
      </c>
      <c r="Z2" s="716" t="str">
        <f>IFERROR(__xludf.DUMMYFUNCTION("""COMPUTED_VALUE"""),"Aldrin Magarro")</f>
        <v>Aldrin Magarro</v>
      </c>
      <c r="AA2" s="48">
        <f>IFERROR(__xludf.DUMMYFUNCTION("""COMPUTED_VALUE"""),1.0)</f>
        <v>1</v>
      </c>
      <c r="AB2" s="712" t="str">
        <f>IFERROR(__xludf.DUMMYFUNCTION("""COMPUTED_VALUE"""),"lun - 01/09/25")</f>
        <v>lun - 01/09/25</v>
      </c>
      <c r="AC2" s="712" t="str">
        <f>IFERROR(__xludf.DUMMYFUNCTION("""COMPUTED_VALUE"""),"mar - 02/09/25")</f>
        <v>mar - 02/09/25</v>
      </c>
      <c r="AD2" s="712" t="str">
        <f>IFERROR(__xludf.DUMMYFUNCTION("""COMPUTED_VALUE"""),"mer - 03/09/25")</f>
        <v>mer - 03/09/25</v>
      </c>
      <c r="AE2" s="712" t="str">
        <f>IFERROR(__xludf.DUMMYFUNCTION("""COMPUTED_VALUE"""),"gio - 04/09/25")</f>
        <v>gio - 04/09/25</v>
      </c>
      <c r="AF2" s="712" t="str">
        <f>IFERROR(__xludf.DUMMYFUNCTION("""COMPUTED_VALUE"""),"ven - 05/09/25")</f>
        <v>ven - 05/09/25</v>
      </c>
      <c r="AG2" s="712" t="str">
        <f>IFERROR(__xludf.DUMMYFUNCTION("""COMPUTED_VALUE"""),"sab - 06/09/25")</f>
        <v>sab - 06/09/25</v>
      </c>
      <c r="AH2" s="712" t="str">
        <f>IFERROR(__xludf.DUMMYFUNCTION("""COMPUTED_VALUE"""),"dom - 07/09/25
CHIUSO")</f>
        <v>dom - 07/09/25
CHIUSO</v>
      </c>
    </row>
    <row r="3">
      <c r="A3" s="712" t="str">
        <f>IFERROR(__xludf.DUMMYFUNCTION("""COMPUTED_VALUE"""),"B/B BPM")</f>
        <v>B/B BPM</v>
      </c>
      <c r="B3" s="48" t="str">
        <f>IFERROR(__xludf.DUMMYFUNCTION("""COMPUTED_VALUE"""),"CONVENZIONATI")</f>
        <v>CONVENZIONATI</v>
      </c>
      <c r="C3" s="711" t="str">
        <f>IFERROR(__xludf.DUMMYFUNCTION("""COMPUTED_VALUE"""),"07:10")</f>
        <v>07:10</v>
      </c>
      <c r="D3" s="48" t="str">
        <f>IFERROR(__xludf.DUMMYFUNCTION("""COMPUTED_VALUE"""),"STUDIO 02")</f>
        <v>STUDIO 02</v>
      </c>
      <c r="E3" s="712" t="str">
        <f>IFERROR(__xludf.DUMMYFUNCTION("""COMPUTED_VALUE"""),"07:30")</f>
        <v>07:30</v>
      </c>
      <c r="F3" s="712" t="str">
        <f>IFERROR(__xludf.DUMMYFUNCTION("""COMPUTED_VALUE"""),"08:20")</f>
        <v>08:20</v>
      </c>
      <c r="G3" s="48" t="str">
        <f>IFERROR(__xludf.DUMMYFUNCTION("""COMPUTED_VALUE"""),"Agonisti")</f>
        <v>Agonisti</v>
      </c>
      <c r="H3" s="712" t="str">
        <f>IFERROR(__xludf.DUMMYFUNCTION("""COMPUTED_VALUE"""),"Bambini 3 - 5 anni")</f>
        <v>Bambini 3 - 5 anni</v>
      </c>
      <c r="I3" s="48" t="str">
        <f>IFERROR(__xludf.DUMMYFUNCTION("""COMPUTED_VALUE"""),"COMPLETO")</f>
        <v>COMPLETO</v>
      </c>
      <c r="J3" s="48" t="str">
        <f>IFERROR(__xludf.DUMMYFUNCTION("""COMPUTED_VALUE"""),"FGI")</f>
        <v>FGI</v>
      </c>
      <c r="K3" s="48" t="str">
        <f>IFERROR(__xludf.DUMMYFUNCTION("""COMPUTED_VALUE"""),"deve pagare U")</f>
        <v>deve pagare U</v>
      </c>
      <c r="L3" s="48">
        <f>IFERROR(__xludf.DUMMYFUNCTION("""COMPUTED_VALUE"""),4.0)</f>
        <v>4</v>
      </c>
      <c r="M3" s="48" t="str">
        <f>IFERROR(__xludf.DUMMYFUNCTION("""COMPUTED_VALUE"""),"Estefany")</f>
        <v>Estefany</v>
      </c>
      <c r="N3" s="48" t="str">
        <f>IFERROR(__xludf.DUMMYFUNCTION("""COMPUTED_VALUE"""),"EMAIL")</f>
        <v>EMAIL</v>
      </c>
      <c r="O3" s="717" t="str">
        <f>IFERROR(__xludf.DUMMYFUNCTION("""COMPUTED_VALUE"""),"CANCELLARE")</f>
        <v>CANCELLARE</v>
      </c>
      <c r="P3" s="713">
        <f>IFERROR(__xludf.DUMMYFUNCTION("""COMPUTED_VALUE"""),1300.0)</f>
        <v>1300</v>
      </c>
      <c r="Q3" s="48" t="str">
        <f>IFERROR(__xludf.DUMMYFUNCTION("""COMPUTED_VALUE"""),"Affitto")</f>
        <v>Affitto</v>
      </c>
      <c r="R3" s="48"/>
      <c r="S3" s="711" t="str">
        <f>IFERROR(__xludf.DUMMYFUNCTION("""COMPUTED_VALUE"""),"")</f>
        <v/>
      </c>
      <c r="T3" s="48"/>
      <c r="U3" s="711" t="str">
        <f>IFERROR(__xludf.DUMMYFUNCTION("""COMPUTED_VALUE"""),"APERTO")</f>
        <v>APERTO</v>
      </c>
      <c r="V3" s="712" t="str">
        <f>IFERROR(__xludf.DUMMYFUNCTION("""COMPUTED_VALUE"""),"2")</f>
        <v>2</v>
      </c>
      <c r="W3" s="48" t="str">
        <f>IFERROR(__xludf.DUMMYFUNCTION("""COMPUTED_VALUE"""),"Asciugamano, pantaloncino, grip")</f>
        <v>Asciugamano, pantaloncino, grip</v>
      </c>
      <c r="X3" s="48" t="str">
        <f>IFERROR(__xludf.DUMMYFUNCTION("""COMPUTED_VALUE"""),"ecc")</f>
        <v>ecc</v>
      </c>
      <c r="Y3" s="48" t="str">
        <f>IFERROR(__xludf.DUMMYFUNCTION("""COMPUTED_VALUE"""),"Afro")</f>
        <v>Afro</v>
      </c>
      <c r="Z3" s="716" t="str">
        <f>IFERROR(__xludf.DUMMYFUNCTION("""COMPUTED_VALUE"""),"Alessandra Marino")</f>
        <v>Alessandra Marino</v>
      </c>
      <c r="AA3" s="48">
        <f>IFERROR(__xludf.DUMMYFUNCTION("""COMPUTED_VALUE"""),2.0)</f>
        <v>2</v>
      </c>
      <c r="AB3" s="712" t="str">
        <f>IFERROR(__xludf.DUMMYFUNCTION("""COMPUTED_VALUE"""),"lun - 08/09/25
PROVA FITNESS
PROVA DANZA")</f>
        <v>lun - 08/09/25
PROVA FITNESS
PROVA DANZA</v>
      </c>
      <c r="AC3" s="712" t="str">
        <f>IFERROR(__xludf.DUMMYFUNCTION("""COMPUTED_VALUE"""),"mar - 09/09/25
PROVA FITNESS
PROVA DANZA")</f>
        <v>mar - 09/09/25
PROVA FITNESS
PROVA DANZA</v>
      </c>
      <c r="AD3" s="712" t="str">
        <f>IFERROR(__xludf.DUMMYFUNCTION("""COMPUTED_VALUE"""),"mer - 10/09/25
PROVA FITNESS
PROVA DANZA")</f>
        <v>mer - 10/09/25
PROVA FITNESS
PROVA DANZA</v>
      </c>
      <c r="AE3" s="712" t="str">
        <f>IFERROR(__xludf.DUMMYFUNCTION("""COMPUTED_VALUE"""),"gio - 11/09/25
PROVA FITNESS
PROVA DANZA")</f>
        <v>gio - 11/09/25
PROVA FITNESS
PROVA DANZA</v>
      </c>
      <c r="AF3" s="712" t="str">
        <f>IFERROR(__xludf.DUMMYFUNCTION("""COMPUTED_VALUE"""),"ven - 12/09/25
PROVA FITNESS
PROVA DANZA")</f>
        <v>ven - 12/09/25
PROVA FITNESS
PROVA DANZA</v>
      </c>
      <c r="AG3" s="712" t="str">
        <f>IFERROR(__xludf.DUMMYFUNCTION("""COMPUTED_VALUE"""),"sab - 13/09/25
PROVA FITNESS
PROVA DANZA")</f>
        <v>sab - 13/09/25
PROVA FITNESS
PROVA DANZA</v>
      </c>
      <c r="AH3" s="712" t="str">
        <f>IFERROR(__xludf.DUMMYFUNCTION("""COMPUTED_VALUE"""),"dom - 14/09/25
CHIUSO")</f>
        <v>dom - 14/09/25
CHIUSO</v>
      </c>
    </row>
    <row r="4">
      <c r="A4" s="48" t="str">
        <f>IFERROR(__xludf.DUMMYFUNCTION("""COMPUTED_VALUE"""),"Bancomat BPM")</f>
        <v>Bancomat BPM</v>
      </c>
      <c r="B4" s="48" t="str">
        <f>IFERROR(__xludf.DUMMYFUNCTION("""COMPUTED_VALUE"""),"EX TESSERATO")</f>
        <v>EX TESSERATO</v>
      </c>
      <c r="C4" s="711" t="str">
        <f>IFERROR(__xludf.DUMMYFUNCTION("""COMPUTED_VALUE"""),"07:15")</f>
        <v>07:15</v>
      </c>
      <c r="D4" s="48" t="str">
        <f>IFERROR(__xludf.DUMMYFUNCTION("""COMPUTED_VALUE"""),"STUDIO 11")</f>
        <v>STUDIO 11</v>
      </c>
      <c r="E4" s="712" t="str">
        <f>IFERROR(__xludf.DUMMYFUNCTION("""COMPUTED_VALUE"""),"08:00")</f>
        <v>08:00</v>
      </c>
      <c r="F4" s="712" t="str">
        <f>IFERROR(__xludf.DUMMYFUNCTION("""COMPUTED_VALUE"""),"08:50")</f>
        <v>08:50</v>
      </c>
      <c r="G4" s="48" t="str">
        <f>IFERROR(__xludf.DUMMYFUNCTION("""COMPUTED_VALUE"""),"Avanzato")</f>
        <v>Avanzato</v>
      </c>
      <c r="H4" s="711" t="str">
        <f>IFERROR(__xludf.DUMMYFUNCTION("""COMPUTED_VALUE"""),"Bambini 3 anni")</f>
        <v>Bambini 3 anni</v>
      </c>
      <c r="I4" s="48" t="str">
        <f>IFERROR(__xludf.DUMMYFUNCTION("""COMPUTED_VALUE"""),"PROVA")</f>
        <v>PROVA</v>
      </c>
      <c r="J4" s="48" t="str">
        <f>IFERROR(__xludf.DUMMYFUNCTION("""COMPUTED_VALUE"""),"FIDS")</f>
        <v>FIDS</v>
      </c>
      <c r="K4" s="48" t="str">
        <f>IFERROR(__xludf.DUMMYFUNCTION("""COMPUTED_VALUE"""),"iscritto Donna")</f>
        <v>iscritto Donna</v>
      </c>
      <c r="L4" s="48">
        <f>IFERROR(__xludf.DUMMYFUNCTION("""COMPUTED_VALUE"""),10.0)</f>
        <v>10</v>
      </c>
      <c r="M4" s="48" t="str">
        <f>IFERROR(__xludf.DUMMYFUNCTION("""COMPUTED_VALUE"""),"Giuditta")</f>
        <v>Giuditta</v>
      </c>
      <c r="N4" s="48" t="str">
        <f>IFERROR(__xludf.DUMMYFUNCTION("""COMPUTED_VALUE"""),"ONLINE")</f>
        <v>ONLINE</v>
      </c>
      <c r="O4" s="717" t="str">
        <f>IFERROR(__xludf.DUMMYFUNCTION("""COMPUTED_VALUE"""),"CHIAMARE")</f>
        <v>CHIAMARE</v>
      </c>
      <c r="P4" s="713">
        <f>IFERROR(__xludf.DUMMYFUNCTION("""COMPUTED_VALUE"""),950.0)</f>
        <v>950</v>
      </c>
      <c r="Q4" s="48" t="str">
        <f>IFERROR(__xludf.DUMMYFUNCTION("""COMPUTED_VALUE"""),"Ballo")</f>
        <v>Ballo</v>
      </c>
      <c r="R4" s="48"/>
      <c r="S4" s="711" t="str">
        <f>IFERROR(__xludf.DUMMYFUNCTION("""COMPUTED_VALUE"""),"")</f>
        <v/>
      </c>
      <c r="T4" s="48"/>
      <c r="U4" s="48" t="str">
        <f>IFERROR(__xludf.DUMMYFUNCTION("""COMPUTED_VALUE"""),"BLACK")</f>
        <v>BLACK</v>
      </c>
      <c r="V4" s="712" t="str">
        <f>IFERROR(__xludf.DUMMYFUNCTION("""COMPUTED_VALUE"""),"3")</f>
        <v>3</v>
      </c>
      <c r="W4" s="48" t="str">
        <f>IFERROR(__xludf.DUMMYFUNCTION("""COMPUTED_VALUE"""),"Asciugamano, scarpe, borraccia")</f>
        <v>Asciugamano, scarpe, borraccia</v>
      </c>
      <c r="X4" s="48" t="str">
        <f>IFERROR(__xludf.DUMMYFUNCTION("""COMPUTED_VALUE"""),"Medico")</f>
        <v>Medico</v>
      </c>
      <c r="Y4" s="48" t="str">
        <f>IFERROR(__xludf.DUMMYFUNCTION("""COMPUTED_VALUE"""),"Afro Fusion")</f>
        <v>Afro Fusion</v>
      </c>
      <c r="Z4" s="716" t="str">
        <f>IFERROR(__xludf.DUMMYFUNCTION("""COMPUTED_VALUE"""),"Alex Bonni")</f>
        <v>Alex Bonni</v>
      </c>
      <c r="AA4" s="48">
        <f>IFERROR(__xludf.DUMMYFUNCTION("""COMPUTED_VALUE"""),3.0)</f>
        <v>3</v>
      </c>
      <c r="AB4" s="712" t="str">
        <f>IFERROR(__xludf.DUMMYFUNCTION("""COMPUTED_VALUE"""),"lun - 15/09/25
PROVA BALLO
PROVA AERIAL")</f>
        <v>lun - 15/09/25
PROVA BALLO
PROVA AERIAL</v>
      </c>
      <c r="AC4" s="712" t="str">
        <f>IFERROR(__xludf.DUMMYFUNCTION("""COMPUTED_VALUE"""),"mar - 16/09/25
PROVA BALLO
PROVA AERIAL")</f>
        <v>mar - 16/09/25
PROVA BALLO
PROVA AERIAL</v>
      </c>
      <c r="AD4" s="712" t="str">
        <f>IFERROR(__xludf.DUMMYFUNCTION("""COMPUTED_VALUE"""),"mer - 17/09/25
PROVA BALLO
PROVA AERIAL")</f>
        <v>mer - 17/09/25
PROVA BALLO
PROVA AERIAL</v>
      </c>
      <c r="AE4" s="712" t="str">
        <f>IFERROR(__xludf.DUMMYFUNCTION("""COMPUTED_VALUE"""),"gio - 18/09/25
PROVA BALLO
PROVA AERIAL")</f>
        <v>gio - 18/09/25
PROVA BALLO
PROVA AERIAL</v>
      </c>
      <c r="AF4" s="712" t="str">
        <f>IFERROR(__xludf.DUMMYFUNCTION("""COMPUTED_VALUE"""),"ven - 19/09/25
PROVA BALLO
PROVA AERIAL")</f>
        <v>ven - 19/09/25
PROVA BALLO
PROVA AERIAL</v>
      </c>
      <c r="AG4" s="712" t="str">
        <f>IFERROR(__xludf.DUMMYFUNCTION("""COMPUTED_VALUE"""),"sab - 20/09/25
PROVA BALLO
PROVA AERIAL")</f>
        <v>sab - 20/09/25
PROVA BALLO
PROVA AERIAL</v>
      </c>
      <c r="AH4" s="712" t="str">
        <f>IFERROR(__xludf.DUMMYFUNCTION("""COMPUTED_VALUE"""),"dom - 21/09/25
CHIUSO")</f>
        <v>dom - 21/09/25
CHIUSO</v>
      </c>
    </row>
    <row r="5">
      <c r="A5" s="711" t="str">
        <f>IFERROR(__xludf.DUMMYFUNCTION("""COMPUTED_VALUE"""),"Bancomat Poste")</f>
        <v>Bancomat Poste</v>
      </c>
      <c r="B5" s="48" t="str">
        <f>IFERROR(__xludf.DUMMYFUNCTION("""COMPUTED_VALUE"""),"FB")</f>
        <v>FB</v>
      </c>
      <c r="C5" s="711" t="str">
        <f>IFERROR(__xludf.DUMMYFUNCTION("""COMPUTED_VALUE"""),"07:20")</f>
        <v>07:20</v>
      </c>
      <c r="D5" s="48" t="str">
        <f>IFERROR(__xludf.DUMMYFUNCTION("""COMPUTED_VALUE"""),"STUDIO 12")</f>
        <v>STUDIO 12</v>
      </c>
      <c r="E5" s="712" t="str">
        <f>IFERROR(__xludf.DUMMYFUNCTION("""COMPUTED_VALUE"""),"08:30")</f>
        <v>08:30</v>
      </c>
      <c r="F5" s="712" t="str">
        <f>IFERROR(__xludf.DUMMYFUNCTION("""COMPUTED_VALUE"""),"09:20")</f>
        <v>09:20</v>
      </c>
      <c r="G5" s="712" t="str">
        <f>IFERROR(__xludf.DUMMYFUNCTION("""COMPUTED_VALUE"""),"Avanzato ON1")</f>
        <v>Avanzato ON1</v>
      </c>
      <c r="H5" s="48" t="str">
        <f>IFERROR(__xludf.DUMMYFUNCTION("""COMPUTED_VALUE"""),"Bambini 5 anni")</f>
        <v>Bambini 5 anni</v>
      </c>
      <c r="I5" s="712"/>
      <c r="J5" s="48" t="str">
        <f>IFERROR(__xludf.DUMMYFUNCTION("""COMPUTED_VALUE"""),"LIBERTAS")</f>
        <v>LIBERTAS</v>
      </c>
      <c r="K5" s="48" t="str">
        <f>IFERROR(__xludf.DUMMYFUNCTION("""COMPUTED_VALUE"""),"iscritto Uomo")</f>
        <v>iscritto Uomo</v>
      </c>
      <c r="L5" s="48">
        <f>IFERROR(__xludf.DUMMYFUNCTION("""COMPUTED_VALUE"""),12.0)</f>
        <v>12</v>
      </c>
      <c r="M5" s="48" t="str">
        <f>IFERROR(__xludf.DUMMYFUNCTION("""COMPUTED_VALUE"""),"Jasir")</f>
        <v>Jasir</v>
      </c>
      <c r="N5" s="48" t="str">
        <f>IFERROR(__xludf.DUMMYFUNCTION("""COMPUTED_VALUE"""),"SEDE Alexandra")</f>
        <v>SEDE Alexandra</v>
      </c>
      <c r="O5" s="717" t="str">
        <f>IFERROR(__xludf.DUMMYFUNCTION("""COMPUTED_VALUE"""),"NON SI ISCRIVE")</f>
        <v>NON SI ISCRIVE</v>
      </c>
      <c r="P5" s="713">
        <f>IFERROR(__xludf.DUMMYFUNCTION("""COMPUTED_VALUE"""),1950.0)</f>
        <v>1950</v>
      </c>
      <c r="Q5" s="48" t="str">
        <f>IFERROR(__xludf.DUMMYFUNCTION("""COMPUTED_VALUE"""),"Bambini")</f>
        <v>Bambini</v>
      </c>
      <c r="R5" s="48"/>
      <c r="S5" s="711" t="str">
        <f>IFERROR(__xludf.DUMMYFUNCTION("""COMPUTED_VALUE"""),"")</f>
        <v/>
      </c>
      <c r="T5" s="712"/>
      <c r="U5" s="48" t="str">
        <f>IFERROR(__xludf.DUMMYFUNCTION("""COMPUTED_VALUE"""),"COMPLETO")</f>
        <v>COMPLETO</v>
      </c>
      <c r="V5" s="712" t="str">
        <f>IFERROR(__xludf.DUMMYFUNCTION("""COMPUTED_VALUE"""),"4")</f>
        <v>4</v>
      </c>
      <c r="W5" s="48" t="str">
        <f>IFERROR(__xludf.DUMMYFUNCTION("""COMPUTED_VALUE"""),"Asciugamano, scarpe, tappetino")</f>
        <v>Asciugamano, scarpe, tappetino</v>
      </c>
      <c r="X5" s="48" t="str">
        <f>IFERROR(__xludf.DUMMYFUNCTION("""COMPUTED_VALUE"""),"Nella")</f>
        <v>Nella</v>
      </c>
      <c r="Y5" s="48" t="str">
        <f>IFERROR(__xludf.DUMMYFUNCTION("""COMPUTED_VALUE"""),"Afro Tradizionale")</f>
        <v>Afro Tradizionale</v>
      </c>
      <c r="Z5" s="716" t="str">
        <f>IFERROR(__xludf.DUMMYFUNCTION("""COMPUTED_VALUE"""),"Amber Dutta")</f>
        <v>Amber Dutta</v>
      </c>
      <c r="AA5" s="48">
        <f>IFERROR(__xludf.DUMMYFUNCTION("""COMPUTED_VALUE"""),4.0)</f>
        <v>4</v>
      </c>
      <c r="AB5" s="712" t="str">
        <f>IFERROR(__xludf.DUMMYFUNCTION("""COMPUTED_VALUE"""),"lun - 22/09/25
PROVA BAMBINI E RAGAZZI")</f>
        <v>lun - 22/09/25
PROVA BAMBINI E RAGAZZI</v>
      </c>
      <c r="AC5" s="712" t="str">
        <f>IFERROR(__xludf.DUMMYFUNCTION("""COMPUTED_VALUE"""),"mar - 23/09/25
PROVA BAMBINI E RAGAZZI")</f>
        <v>mar - 23/09/25
PROVA BAMBINI E RAGAZZI</v>
      </c>
      <c r="AD5" s="712" t="str">
        <f>IFERROR(__xludf.DUMMYFUNCTION("""COMPUTED_VALUE"""),"mer - 24/09/25
PROVA BAMBINI E RAGAZZI")</f>
        <v>mer - 24/09/25
PROVA BAMBINI E RAGAZZI</v>
      </c>
      <c r="AE5" s="712" t="str">
        <f>IFERROR(__xludf.DUMMYFUNCTION("""COMPUTED_VALUE"""),"gio - 25/09/25
PROVA BAMBINI E RAGAZZI")</f>
        <v>gio - 25/09/25
PROVA BAMBINI E RAGAZZI</v>
      </c>
      <c r="AF5" s="712" t="str">
        <f>IFERROR(__xludf.DUMMYFUNCTION("""COMPUTED_VALUE"""),"ven - 26/09/25
PROVA BAMBINI E RAGAZZI")</f>
        <v>ven - 26/09/25
PROVA BAMBINI E RAGAZZI</v>
      </c>
      <c r="AG5" s="712" t="str">
        <f>IFERROR(__xludf.DUMMYFUNCTION("""COMPUTED_VALUE"""),"sab - 27/09/25
PROVA BAMBINI E RAGAZZI")</f>
        <v>sab - 27/09/25
PROVA BAMBINI E RAGAZZI</v>
      </c>
      <c r="AH5" s="712" t="str">
        <f>IFERROR(__xludf.DUMMYFUNCTION("""COMPUTED_VALUE"""),"dom - 28/09/25
CHIUSO")</f>
        <v>dom - 28/09/25
CHIUSO</v>
      </c>
    </row>
    <row r="6">
      <c r="A6" s="48" t="str">
        <f>IFERROR(__xludf.DUMMYFUNCTION("""COMPUTED_VALUE"""),"C/C BPM")</f>
        <v>C/C BPM</v>
      </c>
      <c r="B6" s="48" t="str">
        <f>IFERROR(__xludf.DUMMYFUNCTION("""COMPUTED_VALUE"""),"GOOGLE")</f>
        <v>GOOGLE</v>
      </c>
      <c r="C6" s="711" t="str">
        <f>IFERROR(__xludf.DUMMYFUNCTION("""COMPUTED_VALUE"""),"07:30")</f>
        <v>07:30</v>
      </c>
      <c r="D6" s="48" t="str">
        <f>IFERROR(__xludf.DUMMYFUNCTION("""COMPUTED_VALUE"""),"STUDIO 13")</f>
        <v>STUDIO 13</v>
      </c>
      <c r="E6" s="712" t="str">
        <f>IFERROR(__xludf.DUMMYFUNCTION("""COMPUTED_VALUE"""),"09:00")</f>
        <v>09:00</v>
      </c>
      <c r="F6" s="712" t="str">
        <f>IFERROR(__xludf.DUMMYFUNCTION("""COMPUTED_VALUE"""),"09:50")</f>
        <v>09:50</v>
      </c>
      <c r="G6" s="711" t="str">
        <f>IFERROR(__xludf.DUMMYFUNCTION("""COMPUTED_VALUE"""),"Base")</f>
        <v>Base</v>
      </c>
      <c r="H6" s="48" t="str">
        <f>IFERROR(__xludf.DUMMYFUNCTION("""COMPUTED_VALUE"""),"Bambini 6 - 10 anni")</f>
        <v>Bambini 6 - 10 anni</v>
      </c>
      <c r="I6" s="48"/>
      <c r="J6" s="48" t="str">
        <f>IFERROR(__xludf.DUMMYFUNCTION("""COMPUTED_VALUE"""),"OPES")</f>
        <v>OPES</v>
      </c>
      <c r="K6" s="712" t="str">
        <f>IFERROR(__xludf.DUMMYFUNCTION("""COMPUTED_VALUE"""),"lezione welfare")</f>
        <v>lezione welfare</v>
      </c>
      <c r="L6" s="48">
        <f>IFERROR(__xludf.DUMMYFUNCTION("""COMPUTED_VALUE"""),14.0)</f>
        <v>14</v>
      </c>
      <c r="M6" s="48" t="str">
        <f>IFERROR(__xludf.DUMMYFUNCTION("""COMPUTED_VALUE"""),"Joel")</f>
        <v>Joel</v>
      </c>
      <c r="N6" s="48" t="str">
        <f>IFERROR(__xludf.DUMMYFUNCTION("""COMPUTED_VALUE"""),"SEDE Estefany")</f>
        <v>SEDE Estefany</v>
      </c>
      <c r="O6" s="717" t="str">
        <f>IFERROR(__xludf.DUMMYFUNCTION("""COMPUTED_VALUE"""),"TESSERA FATTA")</f>
        <v>TESSERA FATTA</v>
      </c>
      <c r="P6" s="713">
        <f>IFERROR(__xludf.DUMMYFUNCTION("""COMPUTED_VALUE"""),1775.0)</f>
        <v>1775</v>
      </c>
      <c r="Q6" s="48" t="str">
        <f>IFERROR(__xludf.DUMMYFUNCTION("""COMPUTED_VALUE"""),"Danza")</f>
        <v>Danza</v>
      </c>
      <c r="R6" s="48"/>
      <c r="S6" s="711" t="str">
        <f>IFERROR(__xludf.DUMMYFUNCTION("""COMPUTED_VALUE"""),"")</f>
        <v/>
      </c>
      <c r="T6" s="48"/>
      <c r="U6" s="48" t="str">
        <f>IFERROR(__xludf.DUMMYFUNCTION("""COMPUTED_VALUE"""),"IN PROG.")</f>
        <v>IN PROG.</v>
      </c>
      <c r="V6" s="711"/>
      <c r="W6" s="48" t="str">
        <f>IFERROR(__xludf.DUMMYFUNCTION("""COMPUTED_VALUE"""),"Body, scarpe mezzapunta, chignon")</f>
        <v>Body, scarpe mezzapunta, chignon</v>
      </c>
      <c r="X6" s="48" t="str">
        <f>IFERROR(__xludf.DUMMYFUNCTION("""COMPUTED_VALUE"""),"Nisi")</f>
        <v>Nisi</v>
      </c>
      <c r="Y6" s="48" t="str">
        <f>IFERROR(__xludf.DUMMYFUNCTION("""COMPUTED_VALUE"""),"Afro-Dancehall")</f>
        <v>Afro-Dancehall</v>
      </c>
      <c r="Z6" s="716" t="str">
        <f>IFERROR(__xludf.DUMMYFUNCTION("""COMPUTED_VALUE"""),"Ambra Galluzzo")</f>
        <v>Ambra Galluzzo</v>
      </c>
      <c r="AA6" s="48">
        <f>IFERROR(__xludf.DUMMYFUNCTION("""COMPUTED_VALUE"""),5.0)</f>
        <v>5</v>
      </c>
      <c r="AB6" s="712" t="str">
        <f>IFERROR(__xludf.DUMMYFUNCTION("""COMPUTED_VALUE"""),"lun - 29/09/25")</f>
        <v>lun - 29/09/25</v>
      </c>
      <c r="AC6" s="712" t="str">
        <f>IFERROR(__xludf.DUMMYFUNCTION("""COMPUTED_VALUE"""),"mar - 30/09/25")</f>
        <v>mar - 30/09/25</v>
      </c>
      <c r="AD6" s="712" t="str">
        <f>IFERROR(__xludf.DUMMYFUNCTION("""COMPUTED_VALUE"""),"mer - 01/10/25")</f>
        <v>mer - 01/10/25</v>
      </c>
      <c r="AE6" s="712" t="str">
        <f>IFERROR(__xludf.DUMMYFUNCTION("""COMPUTED_VALUE"""),"gio - 02/10/25")</f>
        <v>gio - 02/10/25</v>
      </c>
      <c r="AF6" s="712" t="str">
        <f>IFERROR(__xludf.DUMMYFUNCTION("""COMPUTED_VALUE"""),"ven - 03/10/25")</f>
        <v>ven - 03/10/25</v>
      </c>
      <c r="AG6" s="712" t="str">
        <f>IFERROR(__xludf.DUMMYFUNCTION("""COMPUTED_VALUE"""),"sab - 04/10/25")</f>
        <v>sab - 04/10/25</v>
      </c>
      <c r="AH6" s="712" t="str">
        <f>IFERROR(__xludf.DUMMYFUNCTION("""COMPUTED_VALUE"""),"dom - 05/10/25")</f>
        <v>dom - 05/10/25</v>
      </c>
    </row>
    <row r="7">
      <c r="A7" s="48" t="str">
        <f>IFERROR(__xludf.DUMMYFUNCTION("""COMPUTED_VALUE"""),"C/C online Poste")</f>
        <v>C/C online Poste</v>
      </c>
      <c r="B7" s="48" t="str">
        <f>IFERROR(__xludf.DUMMYFUNCTION("""COMPUTED_VALUE"""),"HA UN'ATTIVITÀ IN ZONA")</f>
        <v>HA UN'ATTIVITÀ IN ZONA</v>
      </c>
      <c r="C7" s="711" t="str">
        <f>IFERROR(__xludf.DUMMYFUNCTION("""COMPUTED_VALUE"""),"07:40")</f>
        <v>07:40</v>
      </c>
      <c r="D7" s="48" t="str">
        <f>IFERROR(__xludf.DUMMYFUNCTION("""COMPUTED_VALUE"""),"STUDIO 14")</f>
        <v>STUDIO 14</v>
      </c>
      <c r="E7" s="712" t="str">
        <f>IFERROR(__xludf.DUMMYFUNCTION("""COMPUTED_VALUE"""),"09:00")</f>
        <v>09:00</v>
      </c>
      <c r="F7" s="712" t="str">
        <f>IFERROR(__xludf.DUMMYFUNCTION("""COMPUTED_VALUE"""),"09:50")</f>
        <v>09:50</v>
      </c>
      <c r="G7" s="48" t="str">
        <f>IFERROR(__xludf.DUMMYFUNCTION("""COMPUTED_VALUE"""),"Base 1")</f>
        <v>Base 1</v>
      </c>
      <c r="H7" s="48" t="str">
        <f>IFERROR(__xludf.DUMMYFUNCTION("""COMPUTED_VALUE"""),"Bambini 6 - 8 anni")</f>
        <v>Bambini 6 - 8 anni</v>
      </c>
      <c r="I7" s="48"/>
      <c r="J7" s="48" t="str">
        <f>IFERROR(__xludf.DUMMYFUNCTION("""COMPUTED_VALUE"""),"ENDAS")</f>
        <v>ENDAS</v>
      </c>
      <c r="K7" s="712" t="str">
        <f>IFERROR(__xludf.DUMMYFUNCTION("""COMPUTED_VALUE"""),"prova Donna")</f>
        <v>prova Donna</v>
      </c>
      <c r="L7" s="48">
        <f>IFERROR(__xludf.DUMMYFUNCTION("""COMPUTED_VALUE"""),15.0)</f>
        <v>15</v>
      </c>
      <c r="M7" s="48" t="str">
        <f>IFERROR(__xludf.DUMMYFUNCTION("""COMPUTED_VALUE"""),"Kevin")</f>
        <v>Kevin</v>
      </c>
      <c r="N7" s="48" t="str">
        <f>IFERROR(__xludf.DUMMYFUNCTION("""COMPUTED_VALUE"""),"SEDE Giuditta")</f>
        <v>SEDE Giuditta</v>
      </c>
      <c r="O7" s="717" t="str">
        <f>IFERROR(__xludf.DUMMYFUNCTION("""COMPUTED_VALUE"""),"NON RISPONDE")</f>
        <v>NON RISPONDE</v>
      </c>
      <c r="P7" s="713">
        <f>IFERROR(__xludf.DUMMYFUNCTION("""COMPUTED_VALUE"""),1775.0)</f>
        <v>1775</v>
      </c>
      <c r="Q7" s="48" t="str">
        <f>IFERROR(__xludf.DUMMYFUNCTION("""COMPUTED_VALUE"""),"Fitness")</f>
        <v>Fitness</v>
      </c>
      <c r="R7" s="48"/>
      <c r="S7" s="711" t="str">
        <f>IFERROR(__xludf.DUMMYFUNCTION("""COMPUTED_VALUE"""),"")</f>
        <v/>
      </c>
      <c r="T7" s="712"/>
      <c r="U7" s="48" t="str">
        <f>IFERROR(__xludf.DUMMYFUNCTION("""COMPUTED_VALUE"""),"ISCRIVITI")</f>
        <v>ISCRIVITI</v>
      </c>
      <c r="V7" s="711"/>
      <c r="W7" s="48" t="str">
        <f>IFERROR(__xludf.DUMMYFUNCTION("""COMPUTED_VALUE"""),"Scarpe da ballo")</f>
        <v>Scarpe da ballo</v>
      </c>
      <c r="X7" s="48" t="str">
        <f>IFERROR(__xludf.DUMMYFUNCTION("""COMPUTED_VALUE"""),"Personal")</f>
        <v>Personal</v>
      </c>
      <c r="Y7" s="48" t="str">
        <f>IFERROR(__xludf.DUMMYFUNCTION("""COMPUTED_VALUE"""),"Afrobeat")</f>
        <v>Afrobeat</v>
      </c>
      <c r="Z7" s="716" t="str">
        <f>IFERROR(__xludf.DUMMYFUNCTION("""COMPUTED_VALUE"""),"Anahita")</f>
        <v>Anahita</v>
      </c>
      <c r="AA7" s="48">
        <f>IFERROR(__xludf.DUMMYFUNCTION("""COMPUTED_VALUE"""),6.0)</f>
        <v>6</v>
      </c>
      <c r="AB7" s="712" t="str">
        <f>IFERROR(__xludf.DUMMYFUNCTION("""COMPUTED_VALUE"""),"lun - 06/10/25")</f>
        <v>lun - 06/10/25</v>
      </c>
      <c r="AC7" s="712" t="str">
        <f>IFERROR(__xludf.DUMMYFUNCTION("""COMPUTED_VALUE"""),"mar - 07/10/25")</f>
        <v>mar - 07/10/25</v>
      </c>
      <c r="AD7" s="712" t="str">
        <f>IFERROR(__xludf.DUMMYFUNCTION("""COMPUTED_VALUE"""),"mer - 08/10/25")</f>
        <v>mer - 08/10/25</v>
      </c>
      <c r="AE7" s="712" t="str">
        <f>IFERROR(__xludf.DUMMYFUNCTION("""COMPUTED_VALUE"""),"gio - 09/10/25")</f>
        <v>gio - 09/10/25</v>
      </c>
      <c r="AF7" s="712" t="str">
        <f>IFERROR(__xludf.DUMMYFUNCTION("""COMPUTED_VALUE"""),"ven - 10/10/25")</f>
        <v>ven - 10/10/25</v>
      </c>
      <c r="AG7" s="712" t="str">
        <f>IFERROR(__xludf.DUMMYFUNCTION("""COMPUTED_VALUE"""),"sab - 11/10/25")</f>
        <v>sab - 11/10/25</v>
      </c>
      <c r="AH7" s="712" t="str">
        <f>IFERROR(__xludf.DUMMYFUNCTION("""COMPUTED_VALUE"""),"dom - 12/10/25")</f>
        <v>dom - 12/10/25</v>
      </c>
    </row>
    <row r="8">
      <c r="A8" s="48" t="str">
        <f>IFERROR(__xludf.DUMMYFUNCTION("""COMPUTED_VALUE"""),"C/C Poste")</f>
        <v>C/C Poste</v>
      </c>
      <c r="B8" s="48" t="str">
        <f>IFERROR(__xludf.DUMMYFUNCTION("""COMPUTED_VALUE"""),"INSEGNANTI")</f>
        <v>INSEGNANTI</v>
      </c>
      <c r="C8" s="711" t="str">
        <f>IFERROR(__xludf.DUMMYFUNCTION("""COMPUTED_VALUE"""),"07:45")</f>
        <v>07:45</v>
      </c>
      <c r="D8" s="48" t="str">
        <f>IFERROR(__xludf.DUMMYFUNCTION("""COMPUTED_VALUE"""),"STUDIO 15")</f>
        <v>STUDIO 15</v>
      </c>
      <c r="E8" s="712" t="str">
        <f>IFERROR(__xludf.DUMMYFUNCTION("""COMPUTED_VALUE"""),"09:10")</f>
        <v>09:10</v>
      </c>
      <c r="F8" s="712" t="str">
        <f>IFERROR(__xludf.DUMMYFUNCTION("""COMPUTED_VALUE"""),"10:00")</f>
        <v>10:00</v>
      </c>
      <c r="G8" s="48" t="str">
        <f>IFERROR(__xludf.DUMMYFUNCTION("""COMPUTED_VALUE"""),"Base 2")</f>
        <v>Base 2</v>
      </c>
      <c r="H8" s="712" t="str">
        <f>IFERROR(__xludf.DUMMYFUNCTION("""COMPUTED_VALUE"""),"Bambini 7 - 10 anni")</f>
        <v>Bambini 7 - 10 anni</v>
      </c>
      <c r="I8" s="48"/>
      <c r="J8" s="48"/>
      <c r="K8" s="48" t="str">
        <f>IFERROR(__xludf.DUMMYFUNCTION("""COMPUTED_VALUE"""),"prova pagata D")</f>
        <v>prova pagata D</v>
      </c>
      <c r="L8" s="48">
        <f>IFERROR(__xludf.DUMMYFUNCTION("""COMPUTED_VALUE"""),16.0)</f>
        <v>16</v>
      </c>
      <c r="M8" s="48" t="str">
        <f>IFERROR(__xludf.DUMMYFUNCTION("""COMPUTED_VALUE"""),"Massi")</f>
        <v>Massi</v>
      </c>
      <c r="N8" s="48" t="str">
        <f>IFERROR(__xludf.DUMMYFUNCTION("""COMPUTED_VALUE"""),"SEDE Joel")</f>
        <v>SEDE Joel</v>
      </c>
      <c r="O8" s="717"/>
      <c r="P8" s="713">
        <f>IFERROR(__xludf.DUMMYFUNCTION("""COMPUTED_VALUE"""),580.0)</f>
        <v>580</v>
      </c>
      <c r="Q8" s="48" t="str">
        <f>IFERROR(__xludf.DUMMYFUNCTION("""COMPUTED_VALUE"""),"Prenotazione")</f>
        <v>Prenotazione</v>
      </c>
      <c r="R8" s="48"/>
      <c r="S8" s="711" t="str">
        <f>IFERROR(__xludf.DUMMYFUNCTION("""COMPUTED_VALUE"""),"")</f>
        <v/>
      </c>
      <c r="T8" s="48"/>
      <c r="U8" s="48" t="str">
        <f>IFERROR(__xludf.DUMMYFUNCTION("""COMPUTED_VALUE"""),"NUOVO")</f>
        <v>NUOVO</v>
      </c>
      <c r="V8" s="711"/>
      <c r="W8" s="48" t="str">
        <f>IFERROR(__xludf.DUMMYFUNCTION("""COMPUTED_VALUE"""),"Body, antiscivolo, chignon")</f>
        <v>Body, antiscivolo, chignon</v>
      </c>
      <c r="X8" s="48" t="str">
        <f>IFERROR(__xludf.DUMMYFUNCTION("""COMPUTED_VALUE"""),"Yuri")</f>
        <v>Yuri</v>
      </c>
      <c r="Y8" s="48" t="str">
        <f>IFERROR(__xludf.DUMMYFUNCTION("""COMPUTED_VALUE"""),"Afrotwerk Fusion")</f>
        <v>Afrotwerk Fusion</v>
      </c>
      <c r="Z8" s="716" t="str">
        <f>IFERROR(__xludf.DUMMYFUNCTION("""COMPUTED_VALUE"""),"Andrea Piccirillo")</f>
        <v>Andrea Piccirillo</v>
      </c>
      <c r="AA8" s="48">
        <f>IFERROR(__xludf.DUMMYFUNCTION("""COMPUTED_VALUE"""),7.0)</f>
        <v>7</v>
      </c>
      <c r="AB8" s="712" t="str">
        <f>IFERROR(__xludf.DUMMYFUNCTION("""COMPUTED_VALUE"""),"lun - 13/10/25")</f>
        <v>lun - 13/10/25</v>
      </c>
      <c r="AC8" s="712" t="str">
        <f>IFERROR(__xludf.DUMMYFUNCTION("""COMPUTED_VALUE"""),"mar - 14/10/25")</f>
        <v>mar - 14/10/25</v>
      </c>
      <c r="AD8" s="712" t="str">
        <f>IFERROR(__xludf.DUMMYFUNCTION("""COMPUTED_VALUE"""),"mer - 15/10/25")</f>
        <v>mer - 15/10/25</v>
      </c>
      <c r="AE8" s="712" t="str">
        <f>IFERROR(__xludf.DUMMYFUNCTION("""COMPUTED_VALUE"""),"gio - 16/10/25")</f>
        <v>gio - 16/10/25</v>
      </c>
      <c r="AF8" s="712" t="str">
        <f>IFERROR(__xludf.DUMMYFUNCTION("""COMPUTED_VALUE"""),"ven - 17/10/25")</f>
        <v>ven - 17/10/25</v>
      </c>
      <c r="AG8" s="712" t="str">
        <f>IFERROR(__xludf.DUMMYFUNCTION("""COMPUTED_VALUE"""),"sab - 18/10/25")</f>
        <v>sab - 18/10/25</v>
      </c>
      <c r="AH8" s="712" t="str">
        <f>IFERROR(__xludf.DUMMYFUNCTION("""COMPUTED_VALUE"""),"dom - 19/10/25")</f>
        <v>dom - 19/10/25</v>
      </c>
    </row>
    <row r="9">
      <c r="A9" s="48" t="str">
        <f>IFERROR(__xludf.DUMMYFUNCTION("""COMPUTED_VALUE"""),"Contanti")</f>
        <v>Contanti</v>
      </c>
      <c r="B9" s="48" t="str">
        <f>IFERROR(__xludf.DUMMYFUNCTION("""COMPUTED_VALUE"""),"INSTAGRAM")</f>
        <v>INSTAGRAM</v>
      </c>
      <c r="C9" s="711" t="str">
        <f>IFERROR(__xludf.DUMMYFUNCTION("""COMPUTED_VALUE"""),"07:50")</f>
        <v>07:50</v>
      </c>
      <c r="D9" s="48" t="str">
        <f>IFERROR(__xludf.DUMMYFUNCTION("""COMPUTED_VALUE"""),"STUDIO 21")</f>
        <v>STUDIO 21</v>
      </c>
      <c r="E9" s="712" t="str">
        <f>IFERROR(__xludf.DUMMYFUNCTION("""COMPUTED_VALUE"""),"09:30")</f>
        <v>09:30</v>
      </c>
      <c r="F9" s="712" t="str">
        <f>IFERROR(__xludf.DUMMYFUNCTION("""COMPUTED_VALUE"""),"10:00")</f>
        <v>10:00</v>
      </c>
      <c r="G9" s="712" t="str">
        <f>IFERROR(__xludf.DUMMYFUNCTION("""COMPUTED_VALUE"""),"Base 2/Interm.")</f>
        <v>Base 2/Interm.</v>
      </c>
      <c r="H9" s="712" t="str">
        <f>IFERROR(__xludf.DUMMYFUNCTION("""COMPUTED_VALUE"""),"Bambini 8 - 12 anni")</f>
        <v>Bambini 8 - 12 anni</v>
      </c>
      <c r="I9" s="712"/>
      <c r="J9" s="48"/>
      <c r="K9" s="712" t="str">
        <f>IFERROR(__xludf.DUMMYFUNCTION("""COMPUTED_VALUE"""),"prova pagata U")</f>
        <v>prova pagata U</v>
      </c>
      <c r="L9" s="48">
        <f>IFERROR(__xludf.DUMMYFUNCTION("""COMPUTED_VALUE"""),18.0)</f>
        <v>18</v>
      </c>
      <c r="M9" s="48" t="str">
        <f>IFERROR(__xludf.DUMMYFUNCTION("""COMPUTED_VALUE"""),"Nura")</f>
        <v>Nura</v>
      </c>
      <c r="N9" s="48" t="str">
        <f>IFERROR(__xludf.DUMMYFUNCTION("""COMPUTED_VALUE"""),"SEDE Nura")</f>
        <v>SEDE Nura</v>
      </c>
      <c r="O9" s="717"/>
      <c r="P9" s="713">
        <f>IFERROR(__xludf.DUMMYFUNCTION("""COMPUTED_VALUE"""),300.0)</f>
        <v>300</v>
      </c>
      <c r="Q9" s="48"/>
      <c r="R9" s="48"/>
      <c r="S9" s="711" t="str">
        <f>IFERROR(__xludf.DUMMYFUNCTION("""COMPUTED_VALUE"""),"")</f>
        <v/>
      </c>
      <c r="T9" s="48"/>
      <c r="U9" s="711" t="str">
        <f>IFERROR(__xludf.DUMMYFUNCTION("""COMPUTED_VALUE"""),"POSTO DONNA")</f>
        <v>POSTO DONNA</v>
      </c>
      <c r="V9" s="711"/>
      <c r="W9" s="48" t="str">
        <f>IFERROR(__xludf.DUMMYFUNCTION("""COMPUTED_VALUE"""),"Leggins, antiscivolo")</f>
        <v>Leggins, antiscivolo</v>
      </c>
      <c r="X9" s="48"/>
      <c r="Y9" s="48" t="str">
        <f>IFERROR(__xludf.DUMMYFUNCTION("""COMPUTED_VALUE"""),"Allenamento Cardio")</f>
        <v>Allenamento Cardio</v>
      </c>
      <c r="Z9" s="716" t="str">
        <f>IFERROR(__xludf.DUMMYFUNCTION("""COMPUTED_VALUE"""),"Angela Stanisci")</f>
        <v>Angela Stanisci</v>
      </c>
      <c r="AA9" s="48">
        <f>IFERROR(__xludf.DUMMYFUNCTION("""COMPUTED_VALUE"""),8.0)</f>
        <v>8</v>
      </c>
      <c r="AB9" s="712" t="str">
        <f>IFERROR(__xludf.DUMMYFUNCTION("""COMPUTED_VALUE"""),"lun - 20/10/25")</f>
        <v>lun - 20/10/25</v>
      </c>
      <c r="AC9" s="712" t="str">
        <f>IFERROR(__xludf.DUMMYFUNCTION("""COMPUTED_VALUE"""),"mar - 21/10/25")</f>
        <v>mar - 21/10/25</v>
      </c>
      <c r="AD9" s="712" t="str">
        <f>IFERROR(__xludf.DUMMYFUNCTION("""COMPUTED_VALUE"""),"mer - 22/10/25")</f>
        <v>mer - 22/10/25</v>
      </c>
      <c r="AE9" s="712" t="str">
        <f>IFERROR(__xludf.DUMMYFUNCTION("""COMPUTED_VALUE"""),"gio - 23/10/25")</f>
        <v>gio - 23/10/25</v>
      </c>
      <c r="AF9" s="712" t="str">
        <f>IFERROR(__xludf.DUMMYFUNCTION("""COMPUTED_VALUE"""),"ven - 24/10/25")</f>
        <v>ven - 24/10/25</v>
      </c>
      <c r="AG9" s="712" t="str">
        <f>IFERROR(__xludf.DUMMYFUNCTION("""COMPUTED_VALUE"""),"sab - 25/10/25")</f>
        <v>sab - 25/10/25</v>
      </c>
      <c r="AH9" s="712" t="str">
        <f>IFERROR(__xludf.DUMMYFUNCTION("""COMPUTED_VALUE"""),"dom - 26/10/25")</f>
        <v>dom - 26/10/25</v>
      </c>
    </row>
    <row r="10">
      <c r="A10" s="48" t="str">
        <f>IFERROR(__xludf.DUMMYFUNCTION("""COMPUTED_VALUE"""),"Satispay online")</f>
        <v>Satispay online</v>
      </c>
      <c r="B10" s="48" t="str">
        <f>IFERROR(__xludf.DUMMYFUNCTION("""COMPUTED_VALUE"""),"LAVORO")</f>
        <v>LAVORO</v>
      </c>
      <c r="C10" s="711" t="str">
        <f>IFERROR(__xludf.DUMMYFUNCTION("""COMPUTED_VALUE"""),"08:00")</f>
        <v>08:00</v>
      </c>
      <c r="D10" s="48" t="str">
        <f>IFERROR(__xludf.DUMMYFUNCTION("""COMPUTED_VALUE"""),"STUDIO 22")</f>
        <v>STUDIO 22</v>
      </c>
      <c r="E10" s="712" t="str">
        <f>IFERROR(__xludf.DUMMYFUNCTION("""COMPUTED_VALUE"""),"10:00")</f>
        <v>10:00</v>
      </c>
      <c r="F10" s="712" t="str">
        <f>IFERROR(__xludf.DUMMYFUNCTION("""COMPUTED_VALUE"""),"10:20")</f>
        <v>10:20</v>
      </c>
      <c r="G10" s="712" t="str">
        <f>IFERROR(__xludf.DUMMYFUNCTION("""COMPUTED_VALUE"""),"Coreografico")</f>
        <v>Coreografico</v>
      </c>
      <c r="H10" s="48" t="str">
        <f>IFERROR(__xludf.DUMMYFUNCTION("""COMPUTED_VALUE"""),"Bambini 9 - 12 anni")</f>
        <v>Bambini 9 - 12 anni</v>
      </c>
      <c r="I10" s="712"/>
      <c r="J10" s="48"/>
      <c r="K10" s="711" t="str">
        <f>IFERROR(__xludf.DUMMYFUNCTION("""COMPUTED_VALUE"""),"prova Uomo")</f>
        <v>prova Uomo</v>
      </c>
      <c r="L10" s="48">
        <f>IFERROR(__xludf.DUMMYFUNCTION("""COMPUTED_VALUE"""),29.0)</f>
        <v>29</v>
      </c>
      <c r="M10" s="48" t="str">
        <f>IFERROR(__xludf.DUMMYFUNCTION("""COMPUTED_VALUE"""),"Sara")</f>
        <v>Sara</v>
      </c>
      <c r="N10" s="48" t="str">
        <f>IFERROR(__xludf.DUMMYFUNCTION("""COMPUTED_VALUE"""),"TELEFONO")</f>
        <v>TELEFONO</v>
      </c>
      <c r="O10" s="717"/>
      <c r="P10" s="713">
        <f>IFERROR(__xludf.DUMMYFUNCTION("""COMPUTED_VALUE"""),480.0)</f>
        <v>480</v>
      </c>
      <c r="Q10" s="48"/>
      <c r="R10" s="48"/>
      <c r="S10" s="711" t="str">
        <f>IFERROR(__xludf.DUMMYFUNCTION("""COMPUTED_VALUE"""),"")</f>
        <v/>
      </c>
      <c r="T10" s="48"/>
      <c r="U10" s="48" t="str">
        <f>IFERROR(__xludf.DUMMYFUNCTION("""COMPUTED_VALUE"""),"POSTO UOMO")</f>
        <v>POSTO UOMO</v>
      </c>
      <c r="V10" s="711"/>
      <c r="W10" s="48"/>
      <c r="X10" s="48"/>
      <c r="Y10" s="48" t="str">
        <f>IFERROR(__xludf.DUMMYFUNCTION("""COMPUTED_VALUE"""),"Bachata")</f>
        <v>Bachata</v>
      </c>
      <c r="Z10" s="716" t="str">
        <f>IFERROR(__xludf.DUMMYFUNCTION("""COMPUTED_VALUE"""),"Anna Franzini")</f>
        <v>Anna Franzini</v>
      </c>
      <c r="AA10" s="48">
        <f>IFERROR(__xludf.DUMMYFUNCTION("""COMPUTED_VALUE"""),9.0)</f>
        <v>9</v>
      </c>
      <c r="AB10" s="712" t="str">
        <f>IFERROR(__xludf.DUMMYFUNCTION("""COMPUTED_VALUE"""),"lun - 27/10/25")</f>
        <v>lun - 27/10/25</v>
      </c>
      <c r="AC10" s="712" t="str">
        <f>IFERROR(__xludf.DUMMYFUNCTION("""COMPUTED_VALUE"""),"mar - 28/10/25")</f>
        <v>mar - 28/10/25</v>
      </c>
      <c r="AD10" s="712" t="str">
        <f>IFERROR(__xludf.DUMMYFUNCTION("""COMPUTED_VALUE"""),"mer - 29/10/25")</f>
        <v>mer - 29/10/25</v>
      </c>
      <c r="AE10" s="712" t="str">
        <f>IFERROR(__xludf.DUMMYFUNCTION("""COMPUTED_VALUE"""),"gio - 30/10/25")</f>
        <v>gio - 30/10/25</v>
      </c>
      <c r="AF10" s="712" t="str">
        <f>IFERROR(__xludf.DUMMYFUNCTION("""COMPUTED_VALUE"""),"ven - 31/10/25")</f>
        <v>ven - 31/10/25</v>
      </c>
      <c r="AG10" s="712" t="str">
        <f>IFERROR(__xludf.DUMMYFUNCTION("""COMPUTED_VALUE"""),"sab - 01/11/25
CHIUSO")</f>
        <v>sab - 01/11/25
CHIUSO</v>
      </c>
      <c r="AH10" s="712" t="str">
        <f>IFERROR(__xludf.DUMMYFUNCTION("""COMPUTED_VALUE"""),"dom - 02/11/25
CHIUSO")</f>
        <v>dom - 02/11/25
CHIUSO</v>
      </c>
    </row>
    <row r="11">
      <c r="A11" s="48" t="str">
        <f>IFERROR(__xludf.DUMMYFUNCTION("""COMPUTED_VALUE"""),"Satispay sede")</f>
        <v>Satispay sede</v>
      </c>
      <c r="B11" s="48" t="str">
        <f>IFERROR(__xludf.DUMMYFUNCTION("""COMPUTED_VALUE"""),"PASSAPAROLA")</f>
        <v>PASSAPAROLA</v>
      </c>
      <c r="C11" s="711" t="str">
        <f>IFERROR(__xludf.DUMMYFUNCTION("""COMPUTED_VALUE"""),"08:10")</f>
        <v>08:10</v>
      </c>
      <c r="D11" s="48" t="str">
        <f>IFERROR(__xludf.DUMMYFUNCTION("""COMPUTED_VALUE"""),"STUDIO 23")</f>
        <v>STUDIO 23</v>
      </c>
      <c r="E11" s="712" t="str">
        <f>IFERROR(__xludf.DUMMYFUNCTION("""COMPUTED_VALUE"""),"10:30")</f>
        <v>10:30</v>
      </c>
      <c r="F11" s="712" t="str">
        <f>IFERROR(__xludf.DUMMYFUNCTION("""COMPUTED_VALUE"""),"10:30")</f>
        <v>10:30</v>
      </c>
      <c r="G11" s="711" t="str">
        <f>IFERROR(__xludf.DUMMYFUNCTION("""COMPUTED_VALUE"""),"Intermedio")</f>
        <v>Intermedio</v>
      </c>
      <c r="H11" s="712" t="str">
        <f>IFERROR(__xludf.DUMMYFUNCTION("""COMPUTED_VALUE"""),"Età 11-17 anni")</f>
        <v>Età 11-17 anni</v>
      </c>
      <c r="I11" s="48"/>
      <c r="J11" s="48"/>
      <c r="K11" s="711" t="str">
        <f>IFERROR(__xludf.DUMMYFUNCTION("""COMPUTED_VALUE"""),"tessera")</f>
        <v>tessera</v>
      </c>
      <c r="L11" s="48">
        <f>IFERROR(__xludf.DUMMYFUNCTION("""COMPUTED_VALUE"""),31.0)</f>
        <v>31</v>
      </c>
      <c r="M11" s="48" t="str">
        <f>IFERROR(__xludf.DUMMYFUNCTION("""COMPUTED_VALUE"""),"SITO")</f>
        <v>SITO</v>
      </c>
      <c r="N11" s="48"/>
      <c r="O11" s="717"/>
      <c r="P11" s="713">
        <f>IFERROR(__xludf.DUMMYFUNCTION("""COMPUTED_VALUE"""),480.0)</f>
        <v>480</v>
      </c>
      <c r="Q11" s="48"/>
      <c r="R11" s="48"/>
      <c r="S11" s="711" t="str">
        <f>IFERROR(__xludf.DUMMYFUNCTION("""COMPUTED_VALUE"""),"")</f>
        <v/>
      </c>
      <c r="T11" s="48"/>
      <c r="U11" s="711" t="str">
        <f>IFERROR(__xludf.DUMMYFUNCTION("""COMPUTED_VALUE"""),"PRIVATO")</f>
        <v>PRIVATO</v>
      </c>
      <c r="V11" s="711"/>
      <c r="W11" s="48"/>
      <c r="X11" s="48"/>
      <c r="Y11" s="48" t="str">
        <f>IFERROR(__xludf.DUMMYFUNCTION("""COMPUTED_VALUE"""),"Bachata Dominicana")</f>
        <v>Bachata Dominicana</v>
      </c>
      <c r="Z11" s="716" t="str">
        <f>IFERROR(__xludf.DUMMYFUNCTION("""COMPUTED_VALUE"""),"Annachiara Conti")</f>
        <v>Annachiara Conti</v>
      </c>
      <c r="AA11" s="48">
        <f>IFERROR(__xludf.DUMMYFUNCTION("""COMPUTED_VALUE"""),10.0)</f>
        <v>10</v>
      </c>
      <c r="AB11" s="712" t="str">
        <f>IFERROR(__xludf.DUMMYFUNCTION("""COMPUTED_VALUE"""),"lun - 03/11/25")</f>
        <v>lun - 03/11/25</v>
      </c>
      <c r="AC11" s="712" t="str">
        <f>IFERROR(__xludf.DUMMYFUNCTION("""COMPUTED_VALUE"""),"mar - 04/11/25")</f>
        <v>mar - 04/11/25</v>
      </c>
      <c r="AD11" s="712" t="str">
        <f>IFERROR(__xludf.DUMMYFUNCTION("""COMPUTED_VALUE"""),"mer - 05/11/25")</f>
        <v>mer - 05/11/25</v>
      </c>
      <c r="AE11" s="712" t="str">
        <f>IFERROR(__xludf.DUMMYFUNCTION("""COMPUTED_VALUE"""),"gio - 06/11/25")</f>
        <v>gio - 06/11/25</v>
      </c>
      <c r="AF11" s="712" t="str">
        <f>IFERROR(__xludf.DUMMYFUNCTION("""COMPUTED_VALUE"""),"ven - 07/11/25")</f>
        <v>ven - 07/11/25</v>
      </c>
      <c r="AG11" s="712" t="str">
        <f>IFERROR(__xludf.DUMMYFUNCTION("""COMPUTED_VALUE"""),"sab - 08/11/25")</f>
        <v>sab - 08/11/25</v>
      </c>
      <c r="AH11" s="712" t="str">
        <f>IFERROR(__xludf.DUMMYFUNCTION("""COMPUTED_VALUE"""),"dom - 09/11/25")</f>
        <v>dom - 09/11/25</v>
      </c>
    </row>
    <row r="12">
      <c r="A12" s="48" t="str">
        <f>IFERROR(__xludf.DUMMYFUNCTION("""COMPUTED_VALUE"""),"Scalapay online")</f>
        <v>Scalapay online</v>
      </c>
      <c r="B12" s="48" t="str">
        <f>IFERROR(__xludf.DUMMYFUNCTION("""COMPUTED_VALUE"""),"SCUOLA")</f>
        <v>SCUOLA</v>
      </c>
      <c r="C12" s="711" t="str">
        <f>IFERROR(__xludf.DUMMYFUNCTION("""COMPUTED_VALUE"""),"08:15")</f>
        <v>08:15</v>
      </c>
      <c r="D12" s="48" t="str">
        <f>IFERROR(__xludf.DUMMYFUNCTION("""COMPUTED_VALUE"""),"STUDIO 24")</f>
        <v>STUDIO 24</v>
      </c>
      <c r="E12" s="712" t="str">
        <f>IFERROR(__xludf.DUMMYFUNCTION("""COMPUTED_VALUE"""),"11:00")</f>
        <v>11:00</v>
      </c>
      <c r="F12" s="712" t="str">
        <f>IFERROR(__xludf.DUMMYFUNCTION("""COMPUTED_VALUE"""),"10:50")</f>
        <v>10:50</v>
      </c>
      <c r="G12" s="711" t="str">
        <f>IFERROR(__xludf.DUMMYFUNCTION("""COMPUTED_VALUE"""),"Intermedio 1")</f>
        <v>Intermedio 1</v>
      </c>
      <c r="H12" s="712" t="str">
        <f>IFERROR(__xludf.DUMMYFUNCTION("""COMPUTED_VALUE"""),"Età 8 - 15 anni")</f>
        <v>Età 8 - 15 anni</v>
      </c>
      <c r="I12" s="48"/>
      <c r="J12" s="48"/>
      <c r="K12" s="711"/>
      <c r="L12" s="48">
        <f>IFERROR(__xludf.DUMMYFUNCTION("""COMPUTED_VALUE"""),32.0)</f>
        <v>32</v>
      </c>
      <c r="M12" s="48" t="str">
        <f>IFERROR(__xludf.DUMMYFUNCTION("""COMPUTED_VALUE"""),"Zoila")</f>
        <v>Zoila</v>
      </c>
      <c r="N12" s="48"/>
      <c r="O12" s="718"/>
      <c r="P12" s="713">
        <f>IFERROR(__xludf.DUMMYFUNCTION("""COMPUTED_VALUE"""),680.0)</f>
        <v>680</v>
      </c>
      <c r="Q12" s="48"/>
      <c r="R12" s="48"/>
      <c r="S12" s="711" t="str">
        <f>IFERROR(__xludf.DUMMYFUNCTION("""COMPUTED_VALUE"""),"")</f>
        <v/>
      </c>
      <c r="T12" s="712"/>
      <c r="U12" s="711" t="str">
        <f>IFERROR(__xludf.DUMMYFUNCTION("""COMPUTED_VALUE"""),"PROMO")</f>
        <v>PROMO</v>
      </c>
      <c r="V12" s="711"/>
      <c r="W12" s="48"/>
      <c r="X12" s="48"/>
      <c r="Y12" s="48" t="str">
        <f>IFERROR(__xludf.DUMMYFUNCTION("""COMPUTED_VALUE"""),"Bachata Figurata")</f>
        <v>Bachata Figurata</v>
      </c>
      <c r="Z12" s="716" t="str">
        <f>IFERROR(__xludf.DUMMYFUNCTION("""COMPUTED_VALUE"""),"Aurelio Niceta")</f>
        <v>Aurelio Niceta</v>
      </c>
      <c r="AA12" s="48">
        <f>IFERROR(__xludf.DUMMYFUNCTION("""COMPUTED_VALUE"""),11.0)</f>
        <v>11</v>
      </c>
      <c r="AB12" s="712" t="str">
        <f>IFERROR(__xludf.DUMMYFUNCTION("""COMPUTED_VALUE"""),"lun - 10/11/25")</f>
        <v>lun - 10/11/25</v>
      </c>
      <c r="AC12" s="712" t="str">
        <f>IFERROR(__xludf.DUMMYFUNCTION("""COMPUTED_VALUE"""),"mar - 11/11/25")</f>
        <v>mar - 11/11/25</v>
      </c>
      <c r="AD12" s="712" t="str">
        <f>IFERROR(__xludf.DUMMYFUNCTION("""COMPUTED_VALUE"""),"mer - 12/11/25")</f>
        <v>mer - 12/11/25</v>
      </c>
      <c r="AE12" s="712" t="str">
        <f>IFERROR(__xludf.DUMMYFUNCTION("""COMPUTED_VALUE"""),"gio - 13/11/25")</f>
        <v>gio - 13/11/25</v>
      </c>
      <c r="AF12" s="712" t="str">
        <f>IFERROR(__xludf.DUMMYFUNCTION("""COMPUTED_VALUE"""),"ven - 14/11/25")</f>
        <v>ven - 14/11/25</v>
      </c>
      <c r="AG12" s="712" t="str">
        <f>IFERROR(__xludf.DUMMYFUNCTION("""COMPUTED_VALUE"""),"sab - 15/11/25")</f>
        <v>sab - 15/11/25</v>
      </c>
      <c r="AH12" s="712" t="str">
        <f>IFERROR(__xludf.DUMMYFUNCTION("""COMPUTED_VALUE"""),"dom - 16/11/25")</f>
        <v>dom - 16/11/25</v>
      </c>
    </row>
    <row r="13">
      <c r="A13" s="48" t="str">
        <f>IFERROR(__xludf.DUMMYFUNCTION("""COMPUTED_VALUE"""),"Scalapay sede")</f>
        <v>Scalapay sede</v>
      </c>
      <c r="B13" s="48" t="str">
        <f>IFERROR(__xludf.DUMMYFUNCTION("""COMPUTED_VALUE"""),"SEGRETERIA")</f>
        <v>SEGRETERIA</v>
      </c>
      <c r="C13" s="711" t="str">
        <f>IFERROR(__xludf.DUMMYFUNCTION("""COMPUTED_VALUE"""),"08:20")</f>
        <v>08:20</v>
      </c>
      <c r="D13" s="48" t="str">
        <f>IFERROR(__xludf.DUMMYFUNCTION("""COMPUTED_VALUE"""),"STUDIO 25")</f>
        <v>STUDIO 25</v>
      </c>
      <c r="E13" s="712" t="str">
        <f>IFERROR(__xludf.DUMMYFUNCTION("""COMPUTED_VALUE"""),"11:30")</f>
        <v>11:30</v>
      </c>
      <c r="F13" s="712" t="str">
        <f>IFERROR(__xludf.DUMMYFUNCTION("""COMPUTED_VALUE"""),"11:00")</f>
        <v>11:00</v>
      </c>
      <c r="G13" s="48" t="str">
        <f>IFERROR(__xludf.DUMMYFUNCTION("""COMPUTED_VALUE"""),"Intermedio 2")</f>
        <v>Intermedio 2</v>
      </c>
      <c r="H13" s="48" t="str">
        <f>IFERROR(__xludf.DUMMYFUNCTION("""COMPUTED_VALUE"""),"Over 40")</f>
        <v>Over 40</v>
      </c>
      <c r="I13" s="712"/>
      <c r="J13" s="48"/>
      <c r="K13" s="711"/>
      <c r="L13" s="48">
        <f>IFERROR(__xludf.DUMMYFUNCTION("""COMPUTED_VALUE"""),34.0)</f>
        <v>34</v>
      </c>
      <c r="M13" s="48"/>
      <c r="N13" s="719"/>
      <c r="O13" s="718"/>
      <c r="P13" s="713">
        <f>IFERROR(__xludf.DUMMYFUNCTION("""COMPUTED_VALUE"""),750.0)</f>
        <v>750</v>
      </c>
      <c r="Q13" s="48"/>
      <c r="R13" s="48"/>
      <c r="S13" s="711" t="str">
        <f>IFERROR(__xludf.DUMMYFUNCTION("""COMPUTED_VALUE"""),"")</f>
        <v/>
      </c>
      <c r="T13" s="712"/>
      <c r="U13" s="48" t="str">
        <f>IFERROR(__xludf.DUMMYFUNCTION("""COMPUTED_VALUE"""),"PROVA GRATIS")</f>
        <v>PROVA GRATIS</v>
      </c>
      <c r="V13" s="711"/>
      <c r="W13" s="48"/>
      <c r="X13" s="48"/>
      <c r="Y13" s="48" t="str">
        <f>IFERROR(__xludf.DUMMYFUNCTION("""COMPUTED_VALUE"""),"Bachata Sensual")</f>
        <v>Bachata Sensual</v>
      </c>
      <c r="Z13" s="716" t="str">
        <f>IFERROR(__xludf.DUMMYFUNCTION("""COMPUTED_VALUE"""),"Blue")</f>
        <v>Blue</v>
      </c>
      <c r="AA13" s="48">
        <f>IFERROR(__xludf.DUMMYFUNCTION("""COMPUTED_VALUE"""),12.0)</f>
        <v>12</v>
      </c>
      <c r="AB13" s="712" t="str">
        <f>IFERROR(__xludf.DUMMYFUNCTION("""COMPUTED_VALUE"""),"lun - 17/11/25")</f>
        <v>lun - 17/11/25</v>
      </c>
      <c r="AC13" s="712" t="str">
        <f>IFERROR(__xludf.DUMMYFUNCTION("""COMPUTED_VALUE"""),"mar - 18/11/25")</f>
        <v>mar - 18/11/25</v>
      </c>
      <c r="AD13" s="712" t="str">
        <f>IFERROR(__xludf.DUMMYFUNCTION("""COMPUTED_VALUE"""),"mer - 19/11/25")</f>
        <v>mer - 19/11/25</v>
      </c>
      <c r="AE13" s="712" t="str">
        <f>IFERROR(__xludf.DUMMYFUNCTION("""COMPUTED_VALUE"""),"gio - 20/11/25")</f>
        <v>gio - 20/11/25</v>
      </c>
      <c r="AF13" s="712" t="str">
        <f>IFERROR(__xludf.DUMMYFUNCTION("""COMPUTED_VALUE"""),"ven - 21/11/25")</f>
        <v>ven - 21/11/25</v>
      </c>
      <c r="AG13" s="712" t="str">
        <f>IFERROR(__xludf.DUMMYFUNCTION("""COMPUTED_VALUE"""),"sab - 22/11/25")</f>
        <v>sab - 22/11/25</v>
      </c>
      <c r="AH13" s="712" t="str">
        <f>IFERROR(__xludf.DUMMYFUNCTION("""COMPUTED_VALUE"""),"dom - 23/11/25")</f>
        <v>dom - 23/11/25</v>
      </c>
    </row>
    <row r="14">
      <c r="A14" s="48" t="str">
        <f>IFERROR(__xludf.DUMMYFUNCTION("""COMPUTED_VALUE"""),"Welfare FitPrime")</f>
        <v>Welfare FitPrime</v>
      </c>
      <c r="B14" s="48" t="str">
        <f>IFERROR(__xludf.DUMMYFUNCTION("""COMPUTED_VALUE"""),"SITO")</f>
        <v>SITO</v>
      </c>
      <c r="C14" s="711" t="str">
        <f>IFERROR(__xludf.DUMMYFUNCTION("""COMPUTED_VALUE"""),"08:30")</f>
        <v>08:30</v>
      </c>
      <c r="D14" s="48" t="str">
        <f>IFERROR(__xludf.DUMMYFUNCTION("""COMPUTED_VALUE"""),"STUDIO MEDICO")</f>
        <v>STUDIO MEDICO</v>
      </c>
      <c r="E14" s="712" t="str">
        <f>IFERROR(__xludf.DUMMYFUNCTION("""COMPUTED_VALUE"""),"12:00")</f>
        <v>12:00</v>
      </c>
      <c r="F14" s="712" t="str">
        <f>IFERROR(__xludf.DUMMYFUNCTION("""COMPUTED_VALUE"""),"11:20")</f>
        <v>11:20</v>
      </c>
      <c r="G14" s="48" t="str">
        <f>IFERROR(__xludf.DUMMYFUNCTION("""COMPUTED_VALUE"""),"Intermedio 3")</f>
        <v>Intermedio 3</v>
      </c>
      <c r="H14" s="711" t="str">
        <f>IFERROR(__xludf.DUMMYFUNCTION("""COMPUTED_VALUE"""),"Ragazzi 13 - 17 anni")</f>
        <v>Ragazzi 13 - 17 anni</v>
      </c>
      <c r="I14" s="48"/>
      <c r="J14" s="48"/>
      <c r="K14" s="48"/>
      <c r="L14" s="48">
        <f>IFERROR(__xludf.DUMMYFUNCTION("""COMPUTED_VALUE"""),35.0)</f>
        <v>35</v>
      </c>
      <c r="M14" s="48"/>
      <c r="N14" s="719"/>
      <c r="O14" s="718"/>
      <c r="P14" s="713">
        <f>IFERROR(__xludf.DUMMYFUNCTION("""COMPUTED_VALUE"""),150.0)</f>
        <v>150</v>
      </c>
      <c r="Q14" s="48"/>
      <c r="R14" s="48"/>
      <c r="S14" s="711" t="str">
        <f>IFERROR(__xludf.DUMMYFUNCTION("""COMPUTED_VALUE"""),"")</f>
        <v/>
      </c>
      <c r="T14" s="48"/>
      <c r="U14" s="48" t="str">
        <f>IFERROR(__xludf.DUMMYFUNCTION("""COMPUTED_VALUE"""),"CON SELEZIONE")</f>
        <v>CON SELEZIONE</v>
      </c>
      <c r="V14" s="711"/>
      <c r="W14" s="48"/>
      <c r="X14" s="48"/>
      <c r="Y14" s="48" t="str">
        <f>IFERROR(__xludf.DUMMYFUNCTION("""COMPUTED_VALUE"""),"Balboa")</f>
        <v>Balboa</v>
      </c>
      <c r="Z14" s="714" t="str">
        <f>IFERROR(__xludf.DUMMYFUNCTION("""COMPUTED_VALUE"""),"Carlo  Feller")</f>
        <v>Carlo  Feller</v>
      </c>
      <c r="AA14" s="48">
        <f>IFERROR(__xludf.DUMMYFUNCTION("""COMPUTED_VALUE"""),13.0)</f>
        <v>13</v>
      </c>
      <c r="AB14" s="712" t="str">
        <f>IFERROR(__xludf.DUMMYFUNCTION("""COMPUTED_VALUE"""),"lun - 24/11/25")</f>
        <v>lun - 24/11/25</v>
      </c>
      <c r="AC14" s="712" t="str">
        <f>IFERROR(__xludf.DUMMYFUNCTION("""COMPUTED_VALUE"""),"mar - 25/11/25")</f>
        <v>mar - 25/11/25</v>
      </c>
      <c r="AD14" s="712" t="str">
        <f>IFERROR(__xludf.DUMMYFUNCTION("""COMPUTED_VALUE"""),"mer - 26/11/25")</f>
        <v>mer - 26/11/25</v>
      </c>
      <c r="AE14" s="712" t="str">
        <f>IFERROR(__xludf.DUMMYFUNCTION("""COMPUTED_VALUE"""),"gio - 27/11/25")</f>
        <v>gio - 27/11/25</v>
      </c>
      <c r="AF14" s="712" t="str">
        <f>IFERROR(__xludf.DUMMYFUNCTION("""COMPUTED_VALUE"""),"ven - 28/11/25")</f>
        <v>ven - 28/11/25</v>
      </c>
      <c r="AG14" s="712" t="str">
        <f>IFERROR(__xludf.DUMMYFUNCTION("""COMPUTED_VALUE"""),"sab - 29/11/25")</f>
        <v>sab - 29/11/25</v>
      </c>
      <c r="AH14" s="712" t="str">
        <f>IFERROR(__xludf.DUMMYFUNCTION("""COMPUTED_VALUE"""),"dom - 30/11/25")</f>
        <v>dom - 30/11/25</v>
      </c>
    </row>
    <row r="15">
      <c r="A15" s="711" t="str">
        <f>IFERROR(__xludf.DUMMYFUNCTION("""COMPUTED_VALUE"""),"Welfare Pellegrini")</f>
        <v>Welfare Pellegrini</v>
      </c>
      <c r="B15" s="48" t="str">
        <f>IFERROR(__xludf.DUMMYFUNCTION("""COMPUTED_VALUE"""),"SOCIAL")</f>
        <v>SOCIAL</v>
      </c>
      <c r="C15" s="711" t="str">
        <f>IFERROR(__xludf.DUMMYFUNCTION("""COMPUTED_VALUE"""),"08:40")</f>
        <v>08:40</v>
      </c>
      <c r="D15" s="48"/>
      <c r="E15" s="712" t="str">
        <f>IFERROR(__xludf.DUMMYFUNCTION("""COMPUTED_VALUE"""),"12:30")</f>
        <v>12:30</v>
      </c>
      <c r="F15" s="712" t="str">
        <f>IFERROR(__xludf.DUMMYFUNCTION("""COMPUTED_VALUE"""),"11:30")</f>
        <v>11:30</v>
      </c>
      <c r="G15" s="712" t="str">
        <f>IFERROR(__xludf.DUMMYFUNCTION("""COMPUTED_VALUE"""),"Intermedio/Avanzato")</f>
        <v>Intermedio/Avanzato</v>
      </c>
      <c r="H15" s="711" t="str">
        <f>IFERROR(__xludf.DUMMYFUNCTION("""COMPUTED_VALUE"""),"Teen Girl 13 -17 anni")</f>
        <v>Teen Girl 13 -17 anni</v>
      </c>
      <c r="I15" s="711"/>
      <c r="J15" s="48"/>
      <c r="K15" s="711"/>
      <c r="L15" s="48">
        <f>IFERROR(__xludf.DUMMYFUNCTION("""COMPUTED_VALUE"""),36.0)</f>
        <v>36</v>
      </c>
      <c r="M15" s="48"/>
      <c r="N15" s="719"/>
      <c r="O15" s="718"/>
      <c r="P15" s="719">
        <f>IFERROR(__xludf.DUMMYFUNCTION("""COMPUTED_VALUE"""),50.0)</f>
        <v>50</v>
      </c>
      <c r="Q15" s="48"/>
      <c r="R15" s="48"/>
      <c r="S15" s="711" t="str">
        <f>IFERROR(__xludf.DUMMYFUNCTION("""COMPUTED_VALUE"""),"")</f>
        <v/>
      </c>
      <c r="T15" s="711"/>
      <c r="U15" s="711" t="str">
        <f>IFERROR(__xludf.DUMMYFUNCTION("""COMPUTED_VALUE"""),"SPINGERE")</f>
        <v>SPINGERE</v>
      </c>
      <c r="V15" s="711"/>
      <c r="W15" s="48"/>
      <c r="X15" s="48"/>
      <c r="Y15" s="48" t="str">
        <f>IFERROR(__xludf.DUMMYFUNCTION("""COMPUTED_VALUE"""),"Bollywood")</f>
        <v>Bollywood</v>
      </c>
      <c r="Z15" s="714" t="str">
        <f>IFERROR(__xludf.DUMMYFUNCTION("""COMPUTED_VALUE"""),"Carlos Cruz")</f>
        <v>Carlos Cruz</v>
      </c>
      <c r="AA15" s="48">
        <f>IFERROR(__xludf.DUMMYFUNCTION("""COMPUTED_VALUE"""),14.0)</f>
        <v>14</v>
      </c>
      <c r="AB15" s="712" t="str">
        <f>IFERROR(__xludf.DUMMYFUNCTION("""COMPUTED_VALUE"""),"lun - 01/12/25")</f>
        <v>lun - 01/12/25</v>
      </c>
      <c r="AC15" s="712" t="str">
        <f>IFERROR(__xludf.DUMMYFUNCTION("""COMPUTED_VALUE"""),"mar - 02/12/25")</f>
        <v>mar - 02/12/25</v>
      </c>
      <c r="AD15" s="712" t="str">
        <f>IFERROR(__xludf.DUMMYFUNCTION("""COMPUTED_VALUE"""),"mer - 03/12/25")</f>
        <v>mer - 03/12/25</v>
      </c>
      <c r="AE15" s="712" t="str">
        <f>IFERROR(__xludf.DUMMYFUNCTION("""COMPUTED_VALUE"""),"gio - 04/12/25")</f>
        <v>gio - 04/12/25</v>
      </c>
      <c r="AF15" s="712" t="str">
        <f>IFERROR(__xludf.DUMMYFUNCTION("""COMPUTED_VALUE"""),"ven - 05/12/25")</f>
        <v>ven - 05/12/25</v>
      </c>
      <c r="AG15" s="712" t="str">
        <f>IFERROR(__xludf.DUMMYFUNCTION("""COMPUTED_VALUE"""),"sab - 06/12/25")</f>
        <v>sab - 06/12/25</v>
      </c>
      <c r="AH15" s="712" t="str">
        <f>IFERROR(__xludf.DUMMYFUNCTION("""COMPUTED_VALUE"""),"dom - 07/12/25
CHIUSO")</f>
        <v>dom - 07/12/25
CHIUSO</v>
      </c>
    </row>
    <row r="16">
      <c r="A16" s="48" t="str">
        <f>IFERROR(__xludf.DUMMYFUNCTION("""COMPUTED_VALUE"""),"Welfare Wai")</f>
        <v>Welfare Wai</v>
      </c>
      <c r="B16" s="48" t="str">
        <f>IFERROR(__xludf.DUMMYFUNCTION("""COMPUTED_VALUE"""),"STAGE")</f>
        <v>STAGE</v>
      </c>
      <c r="C16" s="711" t="str">
        <f>IFERROR(__xludf.DUMMYFUNCTION("""COMPUTED_VALUE"""),"08:45")</f>
        <v>08:45</v>
      </c>
      <c r="D16" s="48"/>
      <c r="E16" s="712" t="str">
        <f>IFERROR(__xludf.DUMMYFUNCTION("""COMPUTED_VALUE"""),"13:00")</f>
        <v>13:00</v>
      </c>
      <c r="F16" s="712" t="str">
        <f>IFERROR(__xludf.DUMMYFUNCTION("""COMPUTED_VALUE"""),"11:50")</f>
        <v>11:50</v>
      </c>
      <c r="G16" s="48" t="str">
        <f>IFERROR(__xludf.DUMMYFUNCTION("""COMPUTED_VALUE"""),"Intro Intermedio")</f>
        <v>Intro Intermedio</v>
      </c>
      <c r="H16" s="711" t="str">
        <f>IFERROR(__xludf.DUMMYFUNCTION("""COMPUTED_VALUE"""),"Uomo e Donna")</f>
        <v>Uomo e Donna</v>
      </c>
      <c r="I16" s="720"/>
      <c r="J16" s="48"/>
      <c r="K16" s="720"/>
      <c r="L16" s="48">
        <f>IFERROR(__xludf.DUMMYFUNCTION("""COMPUTED_VALUE"""),37.0)</f>
        <v>37</v>
      </c>
      <c r="M16" s="48"/>
      <c r="N16" s="719"/>
      <c r="O16" s="717"/>
      <c r="P16" s="713">
        <f>IFERROR(__xludf.DUMMYFUNCTION("""COMPUTED_VALUE"""),100.0)</f>
        <v>100</v>
      </c>
      <c r="Q16" s="48"/>
      <c r="R16" s="48"/>
      <c r="S16" s="711" t="str">
        <f>IFERROR(__xludf.DUMMYFUNCTION("""COMPUTED_VALUE"""),"")</f>
        <v/>
      </c>
      <c r="T16" s="720"/>
      <c r="U16" s="48" t="str">
        <f>IFERROR(__xludf.DUMMYFUNCTION("""COMPUTED_VALUE"""),"ULTIMI POSTI")</f>
        <v>ULTIMI POSTI</v>
      </c>
      <c r="V16" s="711"/>
      <c r="W16" s="48"/>
      <c r="X16" s="48"/>
      <c r="Y16" s="48" t="str">
        <f>IFERROR(__xludf.DUMMYFUNCTION("""COMPUTED_VALUE"""),"Boogie Woogie")</f>
        <v>Boogie Woogie</v>
      </c>
      <c r="Z16" s="716" t="str">
        <f>IFERROR(__xludf.DUMMYFUNCTION("""COMPUTED_VALUE"""),"Carolina De Pontes")</f>
        <v>Carolina De Pontes</v>
      </c>
      <c r="AA16" s="48">
        <f>IFERROR(__xludf.DUMMYFUNCTION("""COMPUTED_VALUE"""),15.0)</f>
        <v>15</v>
      </c>
      <c r="AB16" s="712" t="str">
        <f>IFERROR(__xludf.DUMMYFUNCTION("""COMPUTED_VALUE"""),"lun - 08/12/25
CHIUSO")</f>
        <v>lun - 08/12/25
CHIUSO</v>
      </c>
      <c r="AC16" s="712" t="str">
        <f>IFERROR(__xludf.DUMMYFUNCTION("""COMPUTED_VALUE"""),"mar - 09/12/25")</f>
        <v>mar - 09/12/25</v>
      </c>
      <c r="AD16" s="712" t="str">
        <f>IFERROR(__xludf.DUMMYFUNCTION("""COMPUTED_VALUE"""),"mer - 10/12/25")</f>
        <v>mer - 10/12/25</v>
      </c>
      <c r="AE16" s="712" t="str">
        <f>IFERROR(__xludf.DUMMYFUNCTION("""COMPUTED_VALUE"""),"gio - 11/12/25")</f>
        <v>gio - 11/12/25</v>
      </c>
      <c r="AF16" s="712" t="str">
        <f>IFERROR(__xludf.DUMMYFUNCTION("""COMPUTED_VALUE"""),"ven - 12/12/25")</f>
        <v>ven - 12/12/25</v>
      </c>
      <c r="AG16" s="712" t="str">
        <f>IFERROR(__xludf.DUMMYFUNCTION("""COMPUTED_VALUE"""),"sab - 13/12/25")</f>
        <v>sab - 13/12/25</v>
      </c>
      <c r="AH16" s="712" t="str">
        <f>IFERROR(__xludf.DUMMYFUNCTION("""COMPUTED_VALUE"""),"dom - 14/12/25")</f>
        <v>dom - 14/12/25</v>
      </c>
    </row>
    <row r="17">
      <c r="A17" s="712" t="str">
        <f>IFERROR(__xludf.DUMMYFUNCTION("""COMPUTED_VALUE"""),"Welfare Wellhub")</f>
        <v>Welfare Wellhub</v>
      </c>
      <c r="B17" s="48" t="str">
        <f>IFERROR(__xludf.DUMMYFUNCTION("""COMPUTED_VALUE"""),"TESSERATI")</f>
        <v>TESSERATI</v>
      </c>
      <c r="C17" s="711" t="str">
        <f>IFERROR(__xludf.DUMMYFUNCTION("""COMPUTED_VALUE"""),"08:50")</f>
        <v>08:50</v>
      </c>
      <c r="D17" s="48"/>
      <c r="E17" s="712" t="str">
        <f>IFERROR(__xludf.DUMMYFUNCTION("""COMPUTED_VALUE"""),"13:15")</f>
        <v>13:15</v>
      </c>
      <c r="F17" s="712" t="str">
        <f>IFERROR(__xludf.DUMMYFUNCTION("""COMPUTED_VALUE"""),"12:00")</f>
        <v>12:00</v>
      </c>
      <c r="G17" s="712" t="str">
        <f>IFERROR(__xludf.DUMMYFUNCTION("""COMPUTED_VALUE"""),"Intro ON2")</f>
        <v>Intro ON2</v>
      </c>
      <c r="H17" s="48" t="str">
        <f>IFERROR(__xludf.DUMMYFUNCTION("""COMPUTED_VALUE"""),"Under 24")</f>
        <v>Under 24</v>
      </c>
      <c r="I17" s="48"/>
      <c r="J17" s="48"/>
      <c r="K17" s="48"/>
      <c r="L17" s="48">
        <f>IFERROR(__xludf.DUMMYFUNCTION("""COMPUTED_VALUE"""),38.0)</f>
        <v>38</v>
      </c>
      <c r="M17" s="48"/>
      <c r="N17" s="719"/>
      <c r="O17" s="717"/>
      <c r="P17" s="713">
        <f>IFERROR(__xludf.DUMMYFUNCTION("""COMPUTED_VALUE"""),150.0)</f>
        <v>150</v>
      </c>
      <c r="Q17" s="48"/>
      <c r="R17" s="48"/>
      <c r="S17" s="711" t="str">
        <f>IFERROR(__xludf.DUMMYFUNCTION("""COMPUTED_VALUE"""),"")</f>
        <v/>
      </c>
      <c r="T17" s="48"/>
      <c r="U17" s="711" t="str">
        <f>IFERROR(__xludf.DUMMYFUNCTION("""COMPUTED_VALUE"""),"CHIUDERE")</f>
        <v>CHIUDERE</v>
      </c>
      <c r="V17" s="711"/>
      <c r="W17" s="48"/>
      <c r="X17" s="48"/>
      <c r="Y17" s="48" t="str">
        <f>IFERROR(__xludf.DUMMYFUNCTION("""COMPUTED_VALUE"""),"Boogie Woogie Slow")</f>
        <v>Boogie Woogie Slow</v>
      </c>
      <c r="Z17" s="716" t="str">
        <f>IFERROR(__xludf.DUMMYFUNCTION("""COMPUTED_VALUE"""),"Cecilia Pacillo")</f>
        <v>Cecilia Pacillo</v>
      </c>
      <c r="AA17" s="48">
        <f>IFERROR(__xludf.DUMMYFUNCTION("""COMPUTED_VALUE"""),16.0)</f>
        <v>16</v>
      </c>
      <c r="AB17" s="712" t="str">
        <f>IFERROR(__xludf.DUMMYFUNCTION("""COMPUTED_VALUE"""),"lun - 15/12/25")</f>
        <v>lun - 15/12/25</v>
      </c>
      <c r="AC17" s="712" t="str">
        <f>IFERROR(__xludf.DUMMYFUNCTION("""COMPUTED_VALUE"""),"mar - 16/12/25")</f>
        <v>mar - 16/12/25</v>
      </c>
      <c r="AD17" s="712" t="str">
        <f>IFERROR(__xludf.DUMMYFUNCTION("""COMPUTED_VALUE"""),"mer - 17/12/25")</f>
        <v>mer - 17/12/25</v>
      </c>
      <c r="AE17" s="712" t="str">
        <f>IFERROR(__xludf.DUMMYFUNCTION("""COMPUTED_VALUE"""),"gio - 18/12/25")</f>
        <v>gio - 18/12/25</v>
      </c>
      <c r="AF17" s="712" t="str">
        <f>IFERROR(__xludf.DUMMYFUNCTION("""COMPUTED_VALUE"""),"ven - 19/12/25")</f>
        <v>ven - 19/12/25</v>
      </c>
      <c r="AG17" s="712" t="str">
        <f>IFERROR(__xludf.DUMMYFUNCTION("""COMPUTED_VALUE"""),"sab - 20/12/25")</f>
        <v>sab - 20/12/25</v>
      </c>
      <c r="AH17" s="712" t="str">
        <f>IFERROR(__xludf.DUMMYFUNCTION("""COMPUTED_VALUE"""),"dom - 21/12/25")</f>
        <v>dom - 21/12/25</v>
      </c>
    </row>
    <row r="18">
      <c r="A18" s="48" t="str">
        <f>IFERROR(__xludf.DUMMYFUNCTION("""COMPUTED_VALUE"""),"xpay")</f>
        <v>xpay</v>
      </c>
      <c r="B18" s="48" t="str">
        <f>IFERROR(__xludf.DUMMYFUNCTION("""COMPUTED_VALUE"""),"TRAM")</f>
        <v>TRAM</v>
      </c>
      <c r="C18" s="711" t="str">
        <f>IFERROR(__xludf.DUMMYFUNCTION("""COMPUTED_VALUE"""),"09:00")</f>
        <v>09:00</v>
      </c>
      <c r="D18" s="48"/>
      <c r="E18" s="712" t="str">
        <f>IFERROR(__xludf.DUMMYFUNCTION("""COMPUTED_VALUE"""),"13:30")</f>
        <v>13:30</v>
      </c>
      <c r="F18" s="712" t="str">
        <f>IFERROR(__xludf.DUMMYFUNCTION("""COMPUTED_VALUE"""),"12:20")</f>
        <v>12:20</v>
      </c>
      <c r="G18" s="48" t="str">
        <f>IFERROR(__xludf.DUMMYFUNCTION("""COMPUTED_VALUE"""),"Master")</f>
        <v>Master</v>
      </c>
      <c r="H18" s="48"/>
      <c r="I18" s="48"/>
      <c r="J18" s="48"/>
      <c r="K18" s="48"/>
      <c r="L18" s="48">
        <f>IFERROR(__xludf.DUMMYFUNCTION("""COMPUTED_VALUE"""),39.0)</f>
        <v>39</v>
      </c>
      <c r="M18" s="48"/>
      <c r="N18" s="719"/>
      <c r="O18" s="718"/>
      <c r="P18" s="713">
        <f>IFERROR(__xludf.DUMMYFUNCTION("""COMPUTED_VALUE"""),350.0)</f>
        <v>350</v>
      </c>
      <c r="Q18" s="48"/>
      <c r="R18" s="48"/>
      <c r="S18" s="711" t="str">
        <f>IFERROR(__xludf.DUMMYFUNCTION("""COMPUTED_VALUE"""),"")</f>
        <v/>
      </c>
      <c r="T18" s="48"/>
      <c r="U18" s="48"/>
      <c r="V18" s="711"/>
      <c r="W18" s="48"/>
      <c r="X18" s="48"/>
      <c r="Y18" s="48" t="str">
        <f>IFERROR(__xludf.DUMMYFUNCTION("""COMPUTED_VALUE"""),"Brasilian Fit")</f>
        <v>Brasilian Fit</v>
      </c>
      <c r="Z18" s="716" t="str">
        <f>IFERROR(__xludf.DUMMYFUNCTION("""COMPUTED_VALUE"""),"Cinzia Ceglie")</f>
        <v>Cinzia Ceglie</v>
      </c>
      <c r="AA18" s="48">
        <f>IFERROR(__xludf.DUMMYFUNCTION("""COMPUTED_VALUE"""),17.0)</f>
        <v>17</v>
      </c>
      <c r="AB18" s="712" t="str">
        <f>IFERROR(__xludf.DUMMYFUNCTION("""COMPUTED_VALUE"""),"lun - 22/12/25
NO BAMBINI")</f>
        <v>lun - 22/12/25
NO BAMBINI</v>
      </c>
      <c r="AC18" s="712" t="str">
        <f>IFERROR(__xludf.DUMMYFUNCTION("""COMPUTED_VALUE"""),"mar - 23/12/25
NO BAMBINI")</f>
        <v>mar - 23/12/25
NO BAMBINI</v>
      </c>
      <c r="AD18" s="712" t="str">
        <f>IFERROR(__xludf.DUMMYFUNCTION("""COMPUTED_VALUE"""),"mer - 24/12/25
CHIUSO")</f>
        <v>mer - 24/12/25
CHIUSO</v>
      </c>
      <c r="AE18" s="712" t="str">
        <f>IFERROR(__xludf.DUMMYFUNCTION("""COMPUTED_VALUE"""),"gio - 25/12/25
CHIUSO")</f>
        <v>gio - 25/12/25
CHIUSO</v>
      </c>
      <c r="AF18" s="712" t="str">
        <f>IFERROR(__xludf.DUMMYFUNCTION("""COMPUTED_VALUE"""),"ven - 26/12/25
CHIUSO")</f>
        <v>ven - 26/12/25
CHIUSO</v>
      </c>
      <c r="AG18" s="712" t="str">
        <f>IFERROR(__xludf.DUMMYFUNCTION("""COMPUTED_VALUE"""),"sab - 27/12/25
CHIUSO")</f>
        <v>sab - 27/12/25
CHIUSO</v>
      </c>
      <c r="AH18" s="712" t="str">
        <f>IFERROR(__xludf.DUMMYFUNCTION("""COMPUTED_VALUE"""),"dom - 28/12/25
CHIUSO")</f>
        <v>dom - 28/12/25
CHIUSO</v>
      </c>
    </row>
    <row r="19">
      <c r="A19" s="48" t="str">
        <f>IFERROR(__xludf.DUMMYFUNCTION("""COMPUTED_VALUE"""),"xpay_applepay")</f>
        <v>xpay_applepay</v>
      </c>
      <c r="B19" s="48" t="str">
        <f>IFERROR(__xludf.DUMMYFUNCTION("""COMPUTED_VALUE"""),"VOLANTINO")</f>
        <v>VOLANTINO</v>
      </c>
      <c r="C19" s="711" t="str">
        <f>IFERROR(__xludf.DUMMYFUNCTION("""COMPUTED_VALUE"""),"09:10")</f>
        <v>09:10</v>
      </c>
      <c r="D19" s="48"/>
      <c r="E19" s="712" t="str">
        <f>IFERROR(__xludf.DUMMYFUNCTION("""COMPUTED_VALUE"""),"14:00")</f>
        <v>14:00</v>
      </c>
      <c r="F19" s="712" t="str">
        <f>IFERROR(__xludf.DUMMYFUNCTION("""COMPUTED_VALUE"""),"12:30")</f>
        <v>12:30</v>
      </c>
      <c r="G19" s="48" t="str">
        <f>IFERROR(__xludf.DUMMYFUNCTION("""COMPUTED_VALUE"""),"Ripasso base")</f>
        <v>Ripasso base</v>
      </c>
      <c r="H19" s="48"/>
      <c r="I19" s="48"/>
      <c r="J19" s="48"/>
      <c r="K19" s="48"/>
      <c r="L19" s="48">
        <f>IFERROR(__xludf.DUMMYFUNCTION("""COMPUTED_VALUE"""),40.0)</f>
        <v>40</v>
      </c>
      <c r="M19" s="48"/>
      <c r="N19" s="719"/>
      <c r="O19" s="718"/>
      <c r="P19" s="713" t="str">
        <f>IFERROR(__xludf.DUMMYFUNCTION("""COMPUTED_VALUE""")," ")</f>
        <v/>
      </c>
      <c r="Q19" s="48"/>
      <c r="R19" s="48"/>
      <c r="S19" s="711" t="str">
        <f>IFERROR(__xludf.DUMMYFUNCTION("""COMPUTED_VALUE"""),"")</f>
        <v/>
      </c>
      <c r="T19" s="48"/>
      <c r="U19" s="48"/>
      <c r="V19" s="711"/>
      <c r="W19" s="48"/>
      <c r="X19" s="48"/>
      <c r="Y19" s="48" t="str">
        <f>IFERROR(__xludf.DUMMYFUNCTION("""COMPUTED_VALUE"""),"Break Dance")</f>
        <v>Break Dance</v>
      </c>
      <c r="Z19" s="716" t="str">
        <f>IFERROR(__xludf.DUMMYFUNCTION("""COMPUTED_VALUE"""),"Claudia Borri")</f>
        <v>Claudia Borri</v>
      </c>
      <c r="AA19" s="48">
        <f>IFERROR(__xludf.DUMMYFUNCTION("""COMPUTED_VALUE"""),18.0)</f>
        <v>18</v>
      </c>
      <c r="AB19" s="712" t="str">
        <f>IFERROR(__xludf.DUMMYFUNCTION("""COMPUTED_VALUE"""),"lun - 29/12/25
NO CORSI")</f>
        <v>lun - 29/12/25
NO CORSI</v>
      </c>
      <c r="AC19" s="712" t="str">
        <f>IFERROR(__xludf.DUMMYFUNCTION("""COMPUTED_VALUE"""),"mar - 30/12/25
NO CORSI")</f>
        <v>mar - 30/12/25
NO CORSI</v>
      </c>
      <c r="AD19" s="712" t="str">
        <f>IFERROR(__xludf.DUMMYFUNCTION("""COMPUTED_VALUE"""),"mer - 31/12/25
CHIUSO")</f>
        <v>mer - 31/12/25
CHIUSO</v>
      </c>
      <c r="AE19" s="712" t="str">
        <f>IFERROR(__xludf.DUMMYFUNCTION("""COMPUTED_VALUE"""),"gio - 01/01/26
CHIUSO")</f>
        <v>gio - 01/01/26
CHIUSO</v>
      </c>
      <c r="AF19" s="712" t="str">
        <f>IFERROR(__xludf.DUMMYFUNCTION("""COMPUTED_VALUE"""),"ven - 02/01/26
CHIUSO")</f>
        <v>ven - 02/01/26
CHIUSO</v>
      </c>
      <c r="AG19" s="712" t="str">
        <f>IFERROR(__xludf.DUMMYFUNCTION("""COMPUTED_VALUE"""),"sab - 03/01/26
CHIUSO")</f>
        <v>sab - 03/01/26
CHIUSO</v>
      </c>
      <c r="AH19" s="712" t="str">
        <f>IFERROR(__xludf.DUMMYFUNCTION("""COMPUTED_VALUE"""),"dom - 04/01/26
CHIUSO")</f>
        <v>dom - 04/01/26
CHIUSO</v>
      </c>
    </row>
    <row r="20">
      <c r="A20" s="48" t="str">
        <f>IFERROR(__xludf.DUMMYFUNCTION("""COMPUTED_VALUE"""),"xpay_applepay")</f>
        <v>xpay_applepay</v>
      </c>
      <c r="B20" s="48"/>
      <c r="C20" s="711" t="str">
        <f>IFERROR(__xludf.DUMMYFUNCTION("""COMPUTED_VALUE"""),"09:15")</f>
        <v>09:15</v>
      </c>
      <c r="D20" s="48"/>
      <c r="E20" s="712" t="str">
        <f>IFERROR(__xludf.DUMMYFUNCTION("""COMPUTED_VALUE"""),"14:30")</f>
        <v>14:30</v>
      </c>
      <c r="F20" s="712" t="str">
        <f>IFERROR(__xludf.DUMMYFUNCTION("""COMPUTED_VALUE"""),"12:30")</f>
        <v>12:30</v>
      </c>
      <c r="G20" s="712" t="str">
        <f>IFERROR(__xludf.DUMMYFUNCTION("""COMPUTED_VALUE"""),"Ripasso base 2")</f>
        <v>Ripasso base 2</v>
      </c>
      <c r="H20" s="711"/>
      <c r="I20" s="711"/>
      <c r="J20" s="48"/>
      <c r="K20" s="711"/>
      <c r="L20" s="48">
        <f>IFERROR(__xludf.DUMMYFUNCTION("""COMPUTED_VALUE"""),41.0)</f>
        <v>41</v>
      </c>
      <c r="M20" s="48"/>
      <c r="N20" s="719"/>
      <c r="O20" s="718"/>
      <c r="P20" s="713">
        <f>IFERROR(__xludf.DUMMYFUNCTION("""COMPUTED_VALUE"""),390.0)</f>
        <v>390</v>
      </c>
      <c r="Q20" s="48"/>
      <c r="R20" s="48"/>
      <c r="S20" s="711" t="str">
        <f>IFERROR(__xludf.DUMMYFUNCTION("""COMPUTED_VALUE"""),"")</f>
        <v/>
      </c>
      <c r="T20" s="711"/>
      <c r="U20" s="48"/>
      <c r="V20" s="711"/>
      <c r="W20" s="48"/>
      <c r="X20" s="48"/>
      <c r="Y20" s="48" t="str">
        <f>IFERROR(__xludf.DUMMYFUNCTION("""COMPUTED_VALUE"""),"Capoeira")</f>
        <v>Capoeira</v>
      </c>
      <c r="Z20" s="714" t="str">
        <f>IFERROR(__xludf.DUMMYFUNCTION("""COMPUTED_VALUE"""),"Claudio Rossi")</f>
        <v>Claudio Rossi</v>
      </c>
      <c r="AA20" s="48">
        <f>IFERROR(__xludf.DUMMYFUNCTION("""COMPUTED_VALUE"""),19.0)</f>
        <v>19</v>
      </c>
      <c r="AB20" s="712" t="str">
        <f>IFERROR(__xludf.DUMMYFUNCTION("""COMPUTED_VALUE"""),"lun - 05/01/26
NO CORSI")</f>
        <v>lun - 05/01/26
NO CORSI</v>
      </c>
      <c r="AC20" s="712" t="str">
        <f>IFERROR(__xludf.DUMMYFUNCTION("""COMPUTED_VALUE"""),"mar - 06/01/26
CHIUSO")</f>
        <v>mar - 06/01/26
CHIUSO</v>
      </c>
      <c r="AD20" s="712" t="str">
        <f>IFERROR(__xludf.DUMMYFUNCTION("""COMPUTED_VALUE"""),"mer - 07/01/26")</f>
        <v>mer - 07/01/26</v>
      </c>
      <c r="AE20" s="712" t="str">
        <f>IFERROR(__xludf.DUMMYFUNCTION("""COMPUTED_VALUE"""),"gio - 08/01/26")</f>
        <v>gio - 08/01/26</v>
      </c>
      <c r="AF20" s="712" t="str">
        <f>IFERROR(__xludf.DUMMYFUNCTION("""COMPUTED_VALUE"""),"ven - 09/01/26")</f>
        <v>ven - 09/01/26</v>
      </c>
      <c r="AG20" s="712" t="str">
        <f>IFERROR(__xludf.DUMMYFUNCTION("""COMPUTED_VALUE"""),"sab - 10/01/26")</f>
        <v>sab - 10/01/26</v>
      </c>
      <c r="AH20" s="712" t="str">
        <f>IFERROR(__xludf.DUMMYFUNCTION("""COMPUTED_VALUE"""),"dom - 11/01/26")</f>
        <v>dom - 11/01/26</v>
      </c>
    </row>
    <row r="21">
      <c r="A21" s="48" t="str">
        <f>IFERROR(__xludf.DUMMYFUNCTION("""COMPUTED_VALUE"""),"xpay_fastcheckout")</f>
        <v>xpay_fastcheckout</v>
      </c>
      <c r="B21" s="48"/>
      <c r="C21" s="711" t="str">
        <f>IFERROR(__xludf.DUMMYFUNCTION("""COMPUTED_VALUE"""),"09:20")</f>
        <v>09:20</v>
      </c>
      <c r="D21" s="48"/>
      <c r="E21" s="712" t="str">
        <f>IFERROR(__xludf.DUMMYFUNCTION("""COMPUTED_VALUE"""),"15:00")</f>
        <v>15:00</v>
      </c>
      <c r="F21" s="712" t="str">
        <f>IFERROR(__xludf.DUMMYFUNCTION("""COMPUTED_VALUE"""),"12:50")</f>
        <v>12:50</v>
      </c>
      <c r="G21" s="711" t="str">
        <f>IFERROR(__xludf.DUMMYFUNCTION("""COMPUTED_VALUE"""),"Ripasso figure")</f>
        <v>Ripasso figure</v>
      </c>
      <c r="H21" s="711"/>
      <c r="I21" s="711"/>
      <c r="J21" s="48"/>
      <c r="K21" s="711"/>
      <c r="L21" s="48"/>
      <c r="M21" s="48"/>
      <c r="N21" s="719"/>
      <c r="O21" s="718"/>
      <c r="P21" s="713">
        <f>IFERROR(__xludf.DUMMYFUNCTION("""COMPUTED_VALUE"""),680.0)</f>
        <v>680</v>
      </c>
      <c r="Q21" s="48"/>
      <c r="R21" s="48"/>
      <c r="S21" s="711" t="str">
        <f>IFERROR(__xludf.DUMMYFUNCTION("""COMPUTED_VALUE"""),"")</f>
        <v/>
      </c>
      <c r="T21" s="711"/>
      <c r="U21" s="48"/>
      <c r="V21" s="711"/>
      <c r="W21" s="48"/>
      <c r="X21" s="48"/>
      <c r="Y21" s="48" t="str">
        <f>IFERROR(__xludf.DUMMYFUNCTION("""COMPUTED_VALUE"""),"Cerchio e Tessuti")</f>
        <v>Cerchio e Tessuti</v>
      </c>
      <c r="Z21" s="714" t="str">
        <f>IFERROR(__xludf.DUMMYFUNCTION("""COMPUTED_VALUE"""),"Consuelo Dos Santos")</f>
        <v>Consuelo Dos Santos</v>
      </c>
      <c r="AA21" s="48">
        <f>IFERROR(__xludf.DUMMYFUNCTION("""COMPUTED_VALUE"""),20.0)</f>
        <v>20</v>
      </c>
      <c r="AB21" s="712" t="str">
        <f>IFERROR(__xludf.DUMMYFUNCTION("""COMPUTED_VALUE"""),"lun - 12/01/26")</f>
        <v>lun - 12/01/26</v>
      </c>
      <c r="AC21" s="712" t="str">
        <f>IFERROR(__xludf.DUMMYFUNCTION("""COMPUTED_VALUE"""),"mar - 13/01/26")</f>
        <v>mar - 13/01/26</v>
      </c>
      <c r="AD21" s="712" t="str">
        <f>IFERROR(__xludf.DUMMYFUNCTION("""COMPUTED_VALUE"""),"mer - 14/01/26")</f>
        <v>mer - 14/01/26</v>
      </c>
      <c r="AE21" s="712" t="str">
        <f>IFERROR(__xludf.DUMMYFUNCTION("""COMPUTED_VALUE"""),"gio - 15/01/26")</f>
        <v>gio - 15/01/26</v>
      </c>
      <c r="AF21" s="712" t="str">
        <f>IFERROR(__xludf.DUMMYFUNCTION("""COMPUTED_VALUE"""),"ven - 16/01/26")</f>
        <v>ven - 16/01/26</v>
      </c>
      <c r="AG21" s="712" t="str">
        <f>IFERROR(__xludf.DUMMYFUNCTION("""COMPUTED_VALUE"""),"sab - 17/01/26")</f>
        <v>sab - 17/01/26</v>
      </c>
      <c r="AH21" s="712" t="str">
        <f>IFERROR(__xludf.DUMMYFUNCTION("""COMPUTED_VALUE"""),"dom - 18/01/26")</f>
        <v>dom - 18/01/26</v>
      </c>
    </row>
    <row r="22">
      <c r="A22" s="48" t="str">
        <f>IFERROR(__xludf.DUMMYFUNCTION("""COMPUTED_VALUE"""),"xpay_googlepay")</f>
        <v>xpay_googlepay</v>
      </c>
      <c r="B22" s="48"/>
      <c r="C22" s="711" t="str">
        <f>IFERROR(__xludf.DUMMYFUNCTION("""COMPUTED_VALUE"""),"09:30")</f>
        <v>09:30</v>
      </c>
      <c r="D22" s="48"/>
      <c r="E22" s="712" t="str">
        <f>IFERROR(__xludf.DUMMYFUNCTION("""COMPUTED_VALUE"""),"15:30")</f>
        <v>15:30</v>
      </c>
      <c r="F22" s="712" t="str">
        <f>IFERROR(__xludf.DUMMYFUNCTION("""COMPUTED_VALUE"""),"13:00")</f>
        <v>13:00</v>
      </c>
      <c r="G22" s="712" t="str">
        <f>IFERROR(__xludf.DUMMYFUNCTION("""COMPUTED_VALUE"""),"Ripasso Intermedio")</f>
        <v>Ripasso Intermedio</v>
      </c>
      <c r="H22" s="48"/>
      <c r="I22" s="48"/>
      <c r="J22" s="48"/>
      <c r="K22" s="48"/>
      <c r="L22" s="48"/>
      <c r="M22" s="48"/>
      <c r="N22" s="719"/>
      <c r="O22" s="717"/>
      <c r="P22" s="713">
        <f>IFERROR(__xludf.DUMMYFUNCTION("""COMPUTED_VALUE"""),960.0)</f>
        <v>960</v>
      </c>
      <c r="Q22" s="48"/>
      <c r="R22" s="48"/>
      <c r="S22" s="711" t="str">
        <f>IFERROR(__xludf.DUMMYFUNCTION("""COMPUTED_VALUE"""),"")</f>
        <v/>
      </c>
      <c r="T22" s="48"/>
      <c r="U22" s="48"/>
      <c r="V22" s="711"/>
      <c r="W22" s="48"/>
      <c r="X22" s="48"/>
      <c r="Y22" s="48" t="str">
        <f>IFERROR(__xludf.DUMMYFUNCTION("""COMPUTED_VALUE"""),"Cha Cha Cha")</f>
        <v>Cha Cha Cha</v>
      </c>
      <c r="Z22" s="716" t="str">
        <f>IFERROR(__xludf.DUMMYFUNCTION("""COMPUTED_VALUE"""),"Daisy Assabi")</f>
        <v>Daisy Assabi</v>
      </c>
      <c r="AA22" s="48">
        <f>IFERROR(__xludf.DUMMYFUNCTION("""COMPUTED_VALUE"""),21.0)</f>
        <v>21</v>
      </c>
      <c r="AB22" s="712" t="str">
        <f>IFERROR(__xludf.DUMMYFUNCTION("""COMPUTED_VALUE"""),"lun - 19/01/26")</f>
        <v>lun - 19/01/26</v>
      </c>
      <c r="AC22" s="712" t="str">
        <f>IFERROR(__xludf.DUMMYFUNCTION("""COMPUTED_VALUE"""),"mar - 20/01/26")</f>
        <v>mar - 20/01/26</v>
      </c>
      <c r="AD22" s="712" t="str">
        <f>IFERROR(__xludf.DUMMYFUNCTION("""COMPUTED_VALUE"""),"mer - 21/01/26")</f>
        <v>mer - 21/01/26</v>
      </c>
      <c r="AE22" s="712" t="str">
        <f>IFERROR(__xludf.DUMMYFUNCTION("""COMPUTED_VALUE"""),"gio - 22/01/26")</f>
        <v>gio - 22/01/26</v>
      </c>
      <c r="AF22" s="712" t="str">
        <f>IFERROR(__xludf.DUMMYFUNCTION("""COMPUTED_VALUE"""),"ven - 23/01/26")</f>
        <v>ven - 23/01/26</v>
      </c>
      <c r="AG22" s="712" t="str">
        <f>IFERROR(__xludf.DUMMYFUNCTION("""COMPUTED_VALUE"""),"sab - 24/01/26")</f>
        <v>sab - 24/01/26</v>
      </c>
      <c r="AH22" s="712" t="str">
        <f>IFERROR(__xludf.DUMMYFUNCTION("""COMPUTED_VALUE"""),"dom - 25/01/26")</f>
        <v>dom - 25/01/26</v>
      </c>
    </row>
    <row r="23">
      <c r="A23" s="48"/>
      <c r="B23" s="48"/>
      <c r="C23" s="711" t="str">
        <f>IFERROR(__xludf.DUMMYFUNCTION("""COMPUTED_VALUE"""),"09:40")</f>
        <v>09:40</v>
      </c>
      <c r="D23" s="48"/>
      <c r="E23" s="712" t="str">
        <f>IFERROR(__xludf.DUMMYFUNCTION("""COMPUTED_VALUE"""),"16:00")</f>
        <v>16:00</v>
      </c>
      <c r="F23" s="712" t="str">
        <f>IFERROR(__xludf.DUMMYFUNCTION("""COMPUTED_VALUE"""),"13:20")</f>
        <v>13:20</v>
      </c>
      <c r="G23" s="711" t="str">
        <f>IFERROR(__xludf.DUMMYFUNCTION("""COMPUTED_VALUE"""),"Slow")</f>
        <v>Slow</v>
      </c>
      <c r="H23" s="720"/>
      <c r="I23" s="720"/>
      <c r="J23" s="48"/>
      <c r="K23" s="720"/>
      <c r="L23" s="48"/>
      <c r="M23" s="48"/>
      <c r="N23" s="719"/>
      <c r="O23" s="717"/>
      <c r="P23" s="713">
        <f>IFERROR(__xludf.DUMMYFUNCTION("""COMPUTED_VALUE"""),1060.0)</f>
        <v>1060</v>
      </c>
      <c r="Q23" s="48"/>
      <c r="R23" s="48"/>
      <c r="S23" s="711" t="str">
        <f>IFERROR(__xludf.DUMMYFUNCTION("""COMPUTED_VALUE"""),"")</f>
        <v/>
      </c>
      <c r="T23" s="720"/>
      <c r="U23" s="48"/>
      <c r="V23" s="711"/>
      <c r="W23" s="48"/>
      <c r="X23" s="48"/>
      <c r="Y23" s="48" t="str">
        <f>IFERROR(__xludf.DUMMYFUNCTION("""COMPUTED_VALUE"""),"Combat Misto, Boxe, Kick Boxing, Muay Thai")</f>
        <v>Combat Misto, Boxe, Kick Boxing, Muay Thai</v>
      </c>
      <c r="Z23" s="716" t="str">
        <f>IFERROR(__xludf.DUMMYFUNCTION("""COMPUTED_VALUE"""),"David Bellay")</f>
        <v>David Bellay</v>
      </c>
      <c r="AA23" s="48">
        <f>IFERROR(__xludf.DUMMYFUNCTION("""COMPUTED_VALUE"""),22.0)</f>
        <v>22</v>
      </c>
      <c r="AB23" s="712" t="str">
        <f>IFERROR(__xludf.DUMMYFUNCTION("""COMPUTED_VALUE"""),"lun - 26/01/26")</f>
        <v>lun - 26/01/26</v>
      </c>
      <c r="AC23" s="712" t="str">
        <f>IFERROR(__xludf.DUMMYFUNCTION("""COMPUTED_VALUE"""),"mar - 27/01/26")</f>
        <v>mar - 27/01/26</v>
      </c>
      <c r="AD23" s="712" t="str">
        <f>IFERROR(__xludf.DUMMYFUNCTION("""COMPUTED_VALUE"""),"mer - 28/01/26")</f>
        <v>mer - 28/01/26</v>
      </c>
      <c r="AE23" s="712" t="str">
        <f>IFERROR(__xludf.DUMMYFUNCTION("""COMPUTED_VALUE"""),"gio - 29/01/26")</f>
        <v>gio - 29/01/26</v>
      </c>
      <c r="AF23" s="712" t="str">
        <f>IFERROR(__xludf.DUMMYFUNCTION("""COMPUTED_VALUE"""),"ven - 30/01/26")</f>
        <v>ven - 30/01/26</v>
      </c>
      <c r="AG23" s="712" t="str">
        <f>IFERROR(__xludf.DUMMYFUNCTION("""COMPUTED_VALUE"""),"sab - 31/01/26")</f>
        <v>sab - 31/01/26</v>
      </c>
      <c r="AH23" s="712" t="str">
        <f>IFERROR(__xludf.DUMMYFUNCTION("""COMPUTED_VALUE"""),"dom - 01/02/26")</f>
        <v>dom - 01/02/26</v>
      </c>
    </row>
    <row r="24">
      <c r="A24" s="48"/>
      <c r="B24" s="48"/>
      <c r="C24" s="711" t="str">
        <f>IFERROR(__xludf.DUMMYFUNCTION("""COMPUTED_VALUE"""),"09:45")</f>
        <v>09:45</v>
      </c>
      <c r="D24" s="48"/>
      <c r="E24" s="712" t="str">
        <f>IFERROR(__xludf.DUMMYFUNCTION("""COMPUTED_VALUE"""),"16:15")</f>
        <v>16:15</v>
      </c>
      <c r="F24" s="712" t="str">
        <f>IFERROR(__xludf.DUMMYFUNCTION("""COMPUTED_VALUE"""),"13:30")</f>
        <v>13:30</v>
      </c>
      <c r="G24" s="48" t="str">
        <f>IFERROR(__xludf.DUMMYFUNCTION("""COMPUTED_VALUE"""),"Soft")</f>
        <v>Soft</v>
      </c>
      <c r="H24" s="48"/>
      <c r="I24" s="48"/>
      <c r="J24" s="48"/>
      <c r="K24" s="48"/>
      <c r="L24" s="48"/>
      <c r="M24" s="48"/>
      <c r="N24" s="719"/>
      <c r="O24" s="718"/>
      <c r="P24" s="713">
        <f>IFERROR(__xludf.DUMMYFUNCTION("""COMPUTED_VALUE"""),1160.0)</f>
        <v>1160</v>
      </c>
      <c r="Q24" s="48"/>
      <c r="R24" s="48"/>
      <c r="S24" s="711" t="str">
        <f>IFERROR(__xludf.DUMMYFUNCTION("""COMPUTED_VALUE"""),"")</f>
        <v/>
      </c>
      <c r="T24" s="48"/>
      <c r="U24" s="48"/>
      <c r="V24" s="711"/>
      <c r="W24" s="48"/>
      <c r="X24" s="48"/>
      <c r="Y24" s="48" t="str">
        <f>IFERROR(__xludf.DUMMYFUNCTION("""COMPUTED_VALUE"""),"Commercial")</f>
        <v>Commercial</v>
      </c>
      <c r="Z24" s="716" t="str">
        <f>IFERROR(__xludf.DUMMYFUNCTION("""COMPUTED_VALUE"""),"Dennis Pozzoli")</f>
        <v>Dennis Pozzoli</v>
      </c>
      <c r="AA24" s="48">
        <f>IFERROR(__xludf.DUMMYFUNCTION("""COMPUTED_VALUE"""),23.0)</f>
        <v>23</v>
      </c>
      <c r="AB24" s="712" t="str">
        <f>IFERROR(__xludf.DUMMYFUNCTION("""COMPUTED_VALUE"""),"lun - 02/02/26")</f>
        <v>lun - 02/02/26</v>
      </c>
      <c r="AC24" s="712" t="str">
        <f>IFERROR(__xludf.DUMMYFUNCTION("""COMPUTED_VALUE"""),"mar - 03/02/26")</f>
        <v>mar - 03/02/26</v>
      </c>
      <c r="AD24" s="712" t="str">
        <f>IFERROR(__xludf.DUMMYFUNCTION("""COMPUTED_VALUE"""),"mer - 04/02/26")</f>
        <v>mer - 04/02/26</v>
      </c>
      <c r="AE24" s="712" t="str">
        <f>IFERROR(__xludf.DUMMYFUNCTION("""COMPUTED_VALUE"""),"gio - 05/02/26")</f>
        <v>gio - 05/02/26</v>
      </c>
      <c r="AF24" s="712" t="str">
        <f>IFERROR(__xludf.DUMMYFUNCTION("""COMPUTED_VALUE"""),"ven - 06/02/26")</f>
        <v>ven - 06/02/26</v>
      </c>
      <c r="AG24" s="712" t="str">
        <f>IFERROR(__xludf.DUMMYFUNCTION("""COMPUTED_VALUE"""),"sab - 07/02/26")</f>
        <v>sab - 07/02/26</v>
      </c>
      <c r="AH24" s="712" t="str">
        <f>IFERROR(__xludf.DUMMYFUNCTION("""COMPUTED_VALUE"""),"dom - 08/02/26")</f>
        <v>dom - 08/02/26</v>
      </c>
    </row>
    <row r="25">
      <c r="A25" s="48"/>
      <c r="B25" s="48"/>
      <c r="C25" s="711" t="str">
        <f>IFERROR(__xludf.DUMMYFUNCTION("""COMPUTED_VALUE"""),"09:50")</f>
        <v>09:50</v>
      </c>
      <c r="D25" s="48"/>
      <c r="E25" s="712" t="str">
        <f>IFERROR(__xludf.DUMMYFUNCTION("""COMPUTED_VALUE"""),"16:30")</f>
        <v>16:30</v>
      </c>
      <c r="F25" s="712" t="str">
        <f>IFERROR(__xludf.DUMMYFUNCTION("""COMPUTED_VALUE"""),"13:50")</f>
        <v>13:50</v>
      </c>
      <c r="G25" s="48" t="str">
        <f>IFERROR(__xludf.DUMMYFUNCTION("""COMPUTED_VALUE"""),"Strong")</f>
        <v>Strong</v>
      </c>
      <c r="H25" s="720"/>
      <c r="I25" s="720"/>
      <c r="J25" s="48"/>
      <c r="K25" s="720"/>
      <c r="L25" s="48"/>
      <c r="M25" s="48"/>
      <c r="N25" s="719"/>
      <c r="O25" s="718"/>
      <c r="P25" s="713">
        <f>IFERROR(__xludf.DUMMYFUNCTION("""COMPUTED_VALUE"""),310.0)</f>
        <v>310</v>
      </c>
      <c r="Q25" s="48"/>
      <c r="R25" s="48"/>
      <c r="S25" s="711" t="str">
        <f>IFERROR(__xludf.DUMMYFUNCTION("""COMPUTED_VALUE"""),"")</f>
        <v/>
      </c>
      <c r="T25" s="720"/>
      <c r="U25" s="48"/>
      <c r="V25" s="711"/>
      <c r="W25" s="48"/>
      <c r="X25" s="48"/>
      <c r="Y25" s="48" t="str">
        <f>IFERROR(__xludf.DUMMYFUNCTION("""COMPUTED_VALUE"""),"Commercial Dance")</f>
        <v>Commercial Dance</v>
      </c>
      <c r="Z25" s="714" t="str">
        <f>IFERROR(__xludf.DUMMYFUNCTION("""COMPUTED_VALUE"""),"Dorian Kuqi")</f>
        <v>Dorian Kuqi</v>
      </c>
      <c r="AA25" s="48">
        <f>IFERROR(__xludf.DUMMYFUNCTION("""COMPUTED_VALUE"""),24.0)</f>
        <v>24</v>
      </c>
      <c r="AB25" s="712" t="str">
        <f>IFERROR(__xludf.DUMMYFUNCTION("""COMPUTED_VALUE"""),"lun - 09/02/26")</f>
        <v>lun - 09/02/26</v>
      </c>
      <c r="AC25" s="712" t="str">
        <f>IFERROR(__xludf.DUMMYFUNCTION("""COMPUTED_VALUE"""),"mar - 10/02/26")</f>
        <v>mar - 10/02/26</v>
      </c>
      <c r="AD25" s="712" t="str">
        <f>IFERROR(__xludf.DUMMYFUNCTION("""COMPUTED_VALUE"""),"mer - 11/02/26")</f>
        <v>mer - 11/02/26</v>
      </c>
      <c r="AE25" s="712" t="str">
        <f>IFERROR(__xludf.DUMMYFUNCTION("""COMPUTED_VALUE"""),"gio - 12/02/26")</f>
        <v>gio - 12/02/26</v>
      </c>
      <c r="AF25" s="712" t="str">
        <f>IFERROR(__xludf.DUMMYFUNCTION("""COMPUTED_VALUE"""),"ven - 13/02/26")</f>
        <v>ven - 13/02/26</v>
      </c>
      <c r="AG25" s="712" t="str">
        <f>IFERROR(__xludf.DUMMYFUNCTION("""COMPUTED_VALUE"""),"sab - 14/02/26")</f>
        <v>sab - 14/02/26</v>
      </c>
      <c r="AH25" s="712" t="str">
        <f>IFERROR(__xludf.DUMMYFUNCTION("""COMPUTED_VALUE"""),"dom - 15/02/26")</f>
        <v>dom - 15/02/26</v>
      </c>
    </row>
    <row r="26">
      <c r="A26" s="48"/>
      <c r="B26" s="48"/>
      <c r="C26" s="711" t="str">
        <f>IFERROR(__xludf.DUMMYFUNCTION("""COMPUTED_VALUE"""),"10:00")</f>
        <v>10:00</v>
      </c>
      <c r="D26" s="48"/>
      <c r="E26" s="712" t="str">
        <f>IFERROR(__xludf.DUMMYFUNCTION("""COMPUTED_VALUE"""),"17:00")</f>
        <v>17:00</v>
      </c>
      <c r="F26" s="712" t="str">
        <f>IFERROR(__xludf.DUMMYFUNCTION("""COMPUTED_VALUE"""),"14:00")</f>
        <v>14:00</v>
      </c>
      <c r="G26" s="48" t="str">
        <f>IFERROR(__xludf.DUMMYFUNCTION("""COMPUTED_VALUE"""),"Zaccaria")</f>
        <v>Zaccaria</v>
      </c>
      <c r="H26" s="48"/>
      <c r="I26" s="48"/>
      <c r="J26" s="48"/>
      <c r="K26" s="48"/>
      <c r="L26" s="48"/>
      <c r="M26" s="48"/>
      <c r="N26" s="719"/>
      <c r="O26" s="717"/>
      <c r="P26" s="713">
        <f>IFERROR(__xludf.DUMMYFUNCTION("""COMPUTED_VALUE"""),520.0)</f>
        <v>520</v>
      </c>
      <c r="Q26" s="48"/>
      <c r="R26" s="48"/>
      <c r="S26" s="711" t="str">
        <f>IFERROR(__xludf.DUMMYFUNCTION("""COMPUTED_VALUE"""),"")</f>
        <v/>
      </c>
      <c r="T26" s="48"/>
      <c r="U26" s="48"/>
      <c r="V26" s="711"/>
      <c r="W26" s="48"/>
      <c r="X26" s="48"/>
      <c r="Y26" s="48" t="str">
        <f>IFERROR(__xludf.DUMMYFUNCTION("""COMPUTED_VALUE"""),"Contemporaneo Contaminato")</f>
        <v>Contemporaneo Contaminato</v>
      </c>
      <c r="Z26" s="714" t="str">
        <f>IFERROR(__xludf.DUMMYFUNCTION("""COMPUTED_VALUE"""),"Eleonora Santoro")</f>
        <v>Eleonora Santoro</v>
      </c>
      <c r="AA26" s="48">
        <f>IFERROR(__xludf.DUMMYFUNCTION("""COMPUTED_VALUE"""),25.0)</f>
        <v>25</v>
      </c>
      <c r="AB26" s="712" t="str">
        <f>IFERROR(__xludf.DUMMYFUNCTION("""COMPUTED_VALUE"""),"lun - 16/02/26")</f>
        <v>lun - 16/02/26</v>
      </c>
      <c r="AC26" s="712" t="str">
        <f>IFERROR(__xludf.DUMMYFUNCTION("""COMPUTED_VALUE"""),"mar - 17/02/26")</f>
        <v>mar - 17/02/26</v>
      </c>
      <c r="AD26" s="712" t="str">
        <f>IFERROR(__xludf.DUMMYFUNCTION("""COMPUTED_VALUE"""),"mer - 18/02/26")</f>
        <v>mer - 18/02/26</v>
      </c>
      <c r="AE26" s="712" t="str">
        <f>IFERROR(__xludf.DUMMYFUNCTION("""COMPUTED_VALUE"""),"gio - 19/02/26
NO BAMBINI")</f>
        <v>gio - 19/02/26
NO BAMBINI</v>
      </c>
      <c r="AF26" s="712" t="str">
        <f>IFERROR(__xludf.DUMMYFUNCTION("""COMPUTED_VALUE"""),"ven - 20/02/26
NO BAMBINI")</f>
        <v>ven - 20/02/26
NO BAMBINI</v>
      </c>
      <c r="AG26" s="712" t="str">
        <f>IFERROR(__xludf.DUMMYFUNCTION("""COMPUTED_VALUE"""),"sab - 21/02/26
NO BAMBINI")</f>
        <v>sab - 21/02/26
NO BAMBINI</v>
      </c>
      <c r="AH26" s="712" t="str">
        <f>IFERROR(__xludf.DUMMYFUNCTION("""COMPUTED_VALUE"""),"dom - 22/02/26")</f>
        <v>dom - 22/02/26</v>
      </c>
    </row>
    <row r="27">
      <c r="A27" s="48"/>
      <c r="B27" s="48"/>
      <c r="C27" s="711" t="str">
        <f>IFERROR(__xludf.DUMMYFUNCTION("""COMPUTED_VALUE"""),"10:10")</f>
        <v>10:10</v>
      </c>
      <c r="D27" s="48"/>
      <c r="E27" s="712" t="str">
        <f>IFERROR(__xludf.DUMMYFUNCTION("""COMPUTED_VALUE"""),"17:10")</f>
        <v>17:10</v>
      </c>
      <c r="F27" s="712" t="str">
        <f>IFERROR(__xludf.DUMMYFUNCTION("""COMPUTED_VALUE"""),"14:20")</f>
        <v>14:20</v>
      </c>
      <c r="G27" s="48"/>
      <c r="H27" s="48"/>
      <c r="I27" s="48"/>
      <c r="J27" s="48"/>
      <c r="K27" s="48"/>
      <c r="L27" s="48"/>
      <c r="M27" s="48"/>
      <c r="N27" s="719"/>
      <c r="O27" s="718"/>
      <c r="P27" s="713">
        <f>IFERROR(__xludf.DUMMYFUNCTION("""COMPUTED_VALUE"""),260.0)</f>
        <v>260</v>
      </c>
      <c r="Q27" s="48"/>
      <c r="R27" s="48"/>
      <c r="S27" s="711" t="str">
        <f>IFERROR(__xludf.DUMMYFUNCTION("""COMPUTED_VALUE"""),"")</f>
        <v/>
      </c>
      <c r="T27" s="48"/>
      <c r="U27" s="48"/>
      <c r="V27" s="711"/>
      <c r="W27" s="48"/>
      <c r="X27" s="48"/>
      <c r="Y27" s="48" t="str">
        <f>IFERROR(__xludf.DUMMYFUNCTION("""COMPUTED_VALUE"""),"Contemporaneo partnering")</f>
        <v>Contemporaneo partnering</v>
      </c>
      <c r="Z27" s="716" t="str">
        <f>IFERROR(__xludf.DUMMYFUNCTION("""COMPUTED_VALUE"""),"Elisa Bartolini")</f>
        <v>Elisa Bartolini</v>
      </c>
      <c r="AA27" s="48">
        <f>IFERROR(__xludf.DUMMYFUNCTION("""COMPUTED_VALUE"""),26.0)</f>
        <v>26</v>
      </c>
      <c r="AB27" s="712" t="str">
        <f>IFERROR(__xludf.DUMMYFUNCTION("""COMPUTED_VALUE"""),"lun - 23/02/26")</f>
        <v>lun - 23/02/26</v>
      </c>
      <c r="AC27" s="712" t="str">
        <f>IFERROR(__xludf.DUMMYFUNCTION("""COMPUTED_VALUE"""),"mar - 24/02/26")</f>
        <v>mar - 24/02/26</v>
      </c>
      <c r="AD27" s="712" t="str">
        <f>IFERROR(__xludf.DUMMYFUNCTION("""COMPUTED_VALUE"""),"mer - 25/02/26")</f>
        <v>mer - 25/02/26</v>
      </c>
      <c r="AE27" s="712" t="str">
        <f>IFERROR(__xludf.DUMMYFUNCTION("""COMPUTED_VALUE"""),"gio - 26/02/26")</f>
        <v>gio - 26/02/26</v>
      </c>
      <c r="AF27" s="712" t="str">
        <f>IFERROR(__xludf.DUMMYFUNCTION("""COMPUTED_VALUE"""),"ven - 27/02/26")</f>
        <v>ven - 27/02/26</v>
      </c>
      <c r="AG27" s="712" t="str">
        <f>IFERROR(__xludf.DUMMYFUNCTION("""COMPUTED_VALUE"""),"sab - 28/02/26")</f>
        <v>sab - 28/02/26</v>
      </c>
      <c r="AH27" s="712" t="str">
        <f>IFERROR(__xludf.DUMMYFUNCTION("""COMPUTED_VALUE"""),"dom - 01/03/26")</f>
        <v>dom - 01/03/26</v>
      </c>
    </row>
    <row r="28">
      <c r="A28" s="48"/>
      <c r="B28" s="48"/>
      <c r="C28" s="711" t="str">
        <f>IFERROR(__xludf.DUMMYFUNCTION("""COMPUTED_VALUE"""),"10:15")</f>
        <v>10:15</v>
      </c>
      <c r="D28" s="48"/>
      <c r="E28" s="712" t="str">
        <f>IFERROR(__xludf.DUMMYFUNCTION("""COMPUTED_VALUE"""),"17:30")</f>
        <v>17:30</v>
      </c>
      <c r="F28" s="712" t="str">
        <f>IFERROR(__xludf.DUMMYFUNCTION("""COMPUTED_VALUE"""),"14:30")</f>
        <v>14:30</v>
      </c>
      <c r="G28" s="721"/>
      <c r="H28" s="721"/>
      <c r="I28" s="721"/>
      <c r="J28" s="48"/>
      <c r="K28" s="721"/>
      <c r="L28" s="48"/>
      <c r="M28" s="48"/>
      <c r="N28" s="719"/>
      <c r="O28" s="718"/>
      <c r="P28" s="713">
        <f>IFERROR(__xludf.DUMMYFUNCTION("""COMPUTED_VALUE"""),280.0)</f>
        <v>280</v>
      </c>
      <c r="Q28" s="48"/>
      <c r="R28" s="48"/>
      <c r="S28" s="711" t="str">
        <f>IFERROR(__xludf.DUMMYFUNCTION("""COMPUTED_VALUE"""),"")</f>
        <v/>
      </c>
      <c r="T28" s="721"/>
      <c r="U28" s="48"/>
      <c r="V28" s="711"/>
      <c r="W28" s="48"/>
      <c r="X28" s="48"/>
      <c r="Y28" s="48" t="str">
        <f>IFERROR(__xludf.DUMMYFUNCTION("""COMPUTED_VALUE"""),"DanceFit '80-'90")</f>
        <v>DanceFit '80-'90</v>
      </c>
      <c r="Z28" s="716" t="str">
        <f>IFERROR(__xludf.DUMMYFUNCTION("""COMPUTED_VALUE"""),"Elisa Bisoffi")</f>
        <v>Elisa Bisoffi</v>
      </c>
      <c r="AA28" s="48">
        <f>IFERROR(__xludf.DUMMYFUNCTION("""COMPUTED_VALUE"""),27.0)</f>
        <v>27</v>
      </c>
      <c r="AB28" s="712" t="str">
        <f>IFERROR(__xludf.DUMMYFUNCTION("""COMPUTED_VALUE"""),"lun - 02/03/26")</f>
        <v>lun - 02/03/26</v>
      </c>
      <c r="AC28" s="712" t="str">
        <f>IFERROR(__xludf.DUMMYFUNCTION("""COMPUTED_VALUE"""),"mar - 03/03/26")</f>
        <v>mar - 03/03/26</v>
      </c>
      <c r="AD28" s="712" t="str">
        <f>IFERROR(__xludf.DUMMYFUNCTION("""COMPUTED_VALUE"""),"mer - 04/03/26")</f>
        <v>mer - 04/03/26</v>
      </c>
      <c r="AE28" s="712" t="str">
        <f>IFERROR(__xludf.DUMMYFUNCTION("""COMPUTED_VALUE"""),"gio - 05/03/26")</f>
        <v>gio - 05/03/26</v>
      </c>
      <c r="AF28" s="712" t="str">
        <f>IFERROR(__xludf.DUMMYFUNCTION("""COMPUTED_VALUE"""),"ven - 06/03/26")</f>
        <v>ven - 06/03/26</v>
      </c>
      <c r="AG28" s="712" t="str">
        <f>IFERROR(__xludf.DUMMYFUNCTION("""COMPUTED_VALUE"""),"sab - 07/03/26")</f>
        <v>sab - 07/03/26</v>
      </c>
      <c r="AH28" s="712" t="str">
        <f>IFERROR(__xludf.DUMMYFUNCTION("""COMPUTED_VALUE"""),"dom - 08/03/26")</f>
        <v>dom - 08/03/26</v>
      </c>
    </row>
    <row r="29">
      <c r="A29" s="48"/>
      <c r="B29" s="48"/>
      <c r="C29" s="711" t="str">
        <f>IFERROR(__xludf.DUMMYFUNCTION("""COMPUTED_VALUE"""),"10:20")</f>
        <v>10:20</v>
      </c>
      <c r="D29" s="48"/>
      <c r="E29" s="712" t="str">
        <f>IFERROR(__xludf.DUMMYFUNCTION("""COMPUTED_VALUE"""),"18:00")</f>
        <v>18:00</v>
      </c>
      <c r="F29" s="712" t="str">
        <f>IFERROR(__xludf.DUMMYFUNCTION("""COMPUTED_VALUE"""),"14:30")</f>
        <v>14:30</v>
      </c>
      <c r="G29" s="721"/>
      <c r="H29" s="721"/>
      <c r="I29" s="721"/>
      <c r="J29" s="48"/>
      <c r="K29" s="721"/>
      <c r="L29" s="48"/>
      <c r="M29" s="48"/>
      <c r="N29" s="719"/>
      <c r="O29" s="718"/>
      <c r="P29" s="719">
        <f>IFERROR(__xludf.DUMMYFUNCTION("""COMPUTED_VALUE"""),0.0)</f>
        <v>0</v>
      </c>
      <c r="Q29" s="48"/>
      <c r="R29" s="48"/>
      <c r="S29" s="711" t="str">
        <f>IFERROR(__xludf.DUMMYFUNCTION("""COMPUTED_VALUE"""),"")</f>
        <v/>
      </c>
      <c r="T29" s="721"/>
      <c r="U29" s="48"/>
      <c r="V29" s="711"/>
      <c r="W29" s="48"/>
      <c r="X29" s="48"/>
      <c r="Y29" s="48" t="str">
        <f>IFERROR(__xludf.DUMMYFUNCTION("""COMPUTED_VALUE"""),"Dancehall")</f>
        <v>Dancehall</v>
      </c>
      <c r="Z29" s="716" t="str">
        <f>IFERROR(__xludf.DUMMYFUNCTION("""COMPUTED_VALUE"""),"Elisa Mazzarolo")</f>
        <v>Elisa Mazzarolo</v>
      </c>
      <c r="AA29" s="48">
        <f>IFERROR(__xludf.DUMMYFUNCTION("""COMPUTED_VALUE"""),28.0)</f>
        <v>28</v>
      </c>
      <c r="AB29" s="712" t="str">
        <f>IFERROR(__xludf.DUMMYFUNCTION("""COMPUTED_VALUE"""),"lun - 09/03/26")</f>
        <v>lun - 09/03/26</v>
      </c>
      <c r="AC29" s="712" t="str">
        <f>IFERROR(__xludf.DUMMYFUNCTION("""COMPUTED_VALUE"""),"mar - 10/03/26")</f>
        <v>mar - 10/03/26</v>
      </c>
      <c r="AD29" s="712" t="str">
        <f>IFERROR(__xludf.DUMMYFUNCTION("""COMPUTED_VALUE"""),"mer - 11/03/26")</f>
        <v>mer - 11/03/26</v>
      </c>
      <c r="AE29" s="712" t="str">
        <f>IFERROR(__xludf.DUMMYFUNCTION("""COMPUTED_VALUE"""),"gio - 12/03/26")</f>
        <v>gio - 12/03/26</v>
      </c>
      <c r="AF29" s="712" t="str">
        <f>IFERROR(__xludf.DUMMYFUNCTION("""COMPUTED_VALUE"""),"ven - 13/03/26")</f>
        <v>ven - 13/03/26</v>
      </c>
      <c r="AG29" s="712" t="str">
        <f>IFERROR(__xludf.DUMMYFUNCTION("""COMPUTED_VALUE"""),"sab - 14/03/26")</f>
        <v>sab - 14/03/26</v>
      </c>
      <c r="AH29" s="712" t="str">
        <f>IFERROR(__xludf.DUMMYFUNCTION("""COMPUTED_VALUE"""),"dom - 15/03/26")</f>
        <v>dom - 15/03/26</v>
      </c>
    </row>
    <row r="30">
      <c r="A30" s="48"/>
      <c r="B30" s="48"/>
      <c r="C30" s="711" t="str">
        <f>IFERROR(__xludf.DUMMYFUNCTION("""COMPUTED_VALUE"""),"10:30")</f>
        <v>10:30</v>
      </c>
      <c r="D30" s="48"/>
      <c r="E30" s="712" t="str">
        <f>IFERROR(__xludf.DUMMYFUNCTION("""COMPUTED_VALUE"""),"18:30")</f>
        <v>18:30</v>
      </c>
      <c r="F30" s="712" t="str">
        <f>IFERROR(__xludf.DUMMYFUNCTION("""COMPUTED_VALUE"""),"14:50")</f>
        <v>14:50</v>
      </c>
      <c r="G30" s="721"/>
      <c r="H30" s="721"/>
      <c r="I30" s="721"/>
      <c r="J30" s="48"/>
      <c r="K30" s="721"/>
      <c r="L30" s="48"/>
      <c r="M30" s="48"/>
      <c r="N30" s="719"/>
      <c r="O30" s="48"/>
      <c r="P30" s="713">
        <f>IFERROR(__xludf.DUMMYFUNCTION("""COMPUTED_VALUE"""),0.0)</f>
        <v>0</v>
      </c>
      <c r="Q30" s="48"/>
      <c r="R30" s="711" t="str">
        <f>IFERROR(__xludf.DUMMYFUNCTION("""COMPUTED_VALUE"""),"2526MODULOLUN09.Y")</f>
        <v>2526MODULOLUN09.Y</v>
      </c>
      <c r="S30" s="711">
        <f>IFERROR(__xludf.DUMMYFUNCTION("""COMPUTED_VALUE"""),40.0)</f>
        <v>40</v>
      </c>
      <c r="T30" s="721" t="str">
        <f>IFERROR(__xludf.DUMMYFUNCTION("""COMPUTED_VALUE"""),"2526MODULOLUN09.Y")</f>
        <v>2526MODULOLUN09.Y</v>
      </c>
      <c r="U30" s="48"/>
      <c r="V30" s="711"/>
      <c r="W30" s="48"/>
      <c r="X30" s="48"/>
      <c r="Y30" s="48" t="str">
        <f>IFERROR(__xludf.DUMMYFUNCTION("""COMPUTED_VALUE"""),"Danza Classica")</f>
        <v>Danza Classica</v>
      </c>
      <c r="Z30" s="714" t="str">
        <f>IFERROR(__xludf.DUMMYFUNCTION("""COMPUTED_VALUE"""),"Erica Di Carlo")</f>
        <v>Erica Di Carlo</v>
      </c>
      <c r="AA30" s="48">
        <f>IFERROR(__xludf.DUMMYFUNCTION("""COMPUTED_VALUE"""),29.0)</f>
        <v>29</v>
      </c>
      <c r="AB30" s="712" t="str">
        <f>IFERROR(__xludf.DUMMYFUNCTION("""COMPUTED_VALUE"""),"lun - 16/03/26")</f>
        <v>lun - 16/03/26</v>
      </c>
      <c r="AC30" s="712" t="str">
        <f>IFERROR(__xludf.DUMMYFUNCTION("""COMPUTED_VALUE"""),"mar - 17/03/26")</f>
        <v>mar - 17/03/26</v>
      </c>
      <c r="AD30" s="712" t="str">
        <f>IFERROR(__xludf.DUMMYFUNCTION("""COMPUTED_VALUE"""),"mer - 18/03/26")</f>
        <v>mer - 18/03/26</v>
      </c>
      <c r="AE30" s="712" t="str">
        <f>IFERROR(__xludf.DUMMYFUNCTION("""COMPUTED_VALUE"""),"gio - 19/03/26")</f>
        <v>gio - 19/03/26</v>
      </c>
      <c r="AF30" s="712" t="str">
        <f>IFERROR(__xludf.DUMMYFUNCTION("""COMPUTED_VALUE"""),"ven - 20/03/26")</f>
        <v>ven - 20/03/26</v>
      </c>
      <c r="AG30" s="712" t="str">
        <f>IFERROR(__xludf.DUMMYFUNCTION("""COMPUTED_VALUE"""),"sab - 21/03/26")</f>
        <v>sab - 21/03/26</v>
      </c>
      <c r="AH30" s="712" t="str">
        <f>IFERROR(__xludf.DUMMYFUNCTION("""COMPUTED_VALUE"""),"dom - 22/03/26")</f>
        <v>dom - 22/03/26</v>
      </c>
    </row>
    <row r="31">
      <c r="A31" s="48"/>
      <c r="B31" s="48"/>
      <c r="C31" s="711" t="str">
        <f>IFERROR(__xludf.DUMMYFUNCTION("""COMPUTED_VALUE"""),"10:40")</f>
        <v>10:40</v>
      </c>
      <c r="D31" s="48"/>
      <c r="E31" s="712" t="str">
        <f>IFERROR(__xludf.DUMMYFUNCTION("""COMPUTED_VALUE"""),"19:00")</f>
        <v>19:00</v>
      </c>
      <c r="F31" s="712" t="str">
        <f>IFERROR(__xludf.DUMMYFUNCTION("""COMPUTED_VALUE"""),"15:00")</f>
        <v>15:00</v>
      </c>
      <c r="G31" s="721"/>
      <c r="H31" s="721"/>
      <c r="I31" s="721"/>
      <c r="J31" s="48"/>
      <c r="K31" s="721"/>
      <c r="L31" s="48"/>
      <c r="M31" s="48"/>
      <c r="N31" s="719"/>
      <c r="O31" s="48"/>
      <c r="P31" s="713">
        <f>IFERROR(__xludf.DUMMYFUNCTION("""COMPUTED_VALUE"""),0.0)</f>
        <v>0</v>
      </c>
      <c r="Q31" s="48"/>
      <c r="R31" s="48"/>
      <c r="S31" s="711" t="str">
        <f>IFERROR(__xludf.DUMMYFUNCTION("""COMPUTED_VALUE"""),"")</f>
        <v/>
      </c>
      <c r="T31" s="721"/>
      <c r="U31" s="48"/>
      <c r="V31" s="711"/>
      <c r="W31" s="48"/>
      <c r="X31" s="48"/>
      <c r="Y31" s="48" t="str">
        <f>IFERROR(__xludf.DUMMYFUNCTION("""COMPUTED_VALUE"""),"Danza Contemporanea")</f>
        <v>Danza Contemporanea</v>
      </c>
      <c r="Z31" s="716" t="str">
        <f>IFERROR(__xludf.DUMMYFUNCTION("""COMPUTED_VALUE"""),"Erika Geddo")</f>
        <v>Erika Geddo</v>
      </c>
      <c r="AA31" s="48">
        <f>IFERROR(__xludf.DUMMYFUNCTION("""COMPUTED_VALUE"""),30.0)</f>
        <v>30</v>
      </c>
      <c r="AB31" s="712" t="str">
        <f>IFERROR(__xludf.DUMMYFUNCTION("""COMPUTED_VALUE"""),"lun - 23/03/26")</f>
        <v>lun - 23/03/26</v>
      </c>
      <c r="AC31" s="712" t="str">
        <f>IFERROR(__xludf.DUMMYFUNCTION("""COMPUTED_VALUE"""),"mar - 24/03/26")</f>
        <v>mar - 24/03/26</v>
      </c>
      <c r="AD31" s="712" t="str">
        <f>IFERROR(__xludf.DUMMYFUNCTION("""COMPUTED_VALUE"""),"mer - 25/03/26")</f>
        <v>mer - 25/03/26</v>
      </c>
      <c r="AE31" s="712" t="str">
        <f>IFERROR(__xludf.DUMMYFUNCTION("""COMPUTED_VALUE"""),"gio - 26/03/26")</f>
        <v>gio - 26/03/26</v>
      </c>
      <c r="AF31" s="712" t="str">
        <f>IFERROR(__xludf.DUMMYFUNCTION("""COMPUTED_VALUE"""),"ven - 27/03/26")</f>
        <v>ven - 27/03/26</v>
      </c>
      <c r="AG31" s="712" t="str">
        <f>IFERROR(__xludf.DUMMYFUNCTION("""COMPUTED_VALUE"""),"sab - 28/03/26")</f>
        <v>sab - 28/03/26</v>
      </c>
      <c r="AH31" s="712" t="str">
        <f>IFERROR(__xludf.DUMMYFUNCTION("""COMPUTED_VALUE"""),"dom - 29/03/26")</f>
        <v>dom - 29/03/26</v>
      </c>
    </row>
    <row r="32">
      <c r="A32" s="712"/>
      <c r="B32" s="48"/>
      <c r="C32" s="711" t="str">
        <f>IFERROR(__xludf.DUMMYFUNCTION("""COMPUTED_VALUE"""),"10:45")</f>
        <v>10:45</v>
      </c>
      <c r="D32" s="48"/>
      <c r="E32" s="712" t="str">
        <f>IFERROR(__xludf.DUMMYFUNCTION("""COMPUTED_VALUE"""),"19:30")</f>
        <v>19:30</v>
      </c>
      <c r="F32" s="712" t="str">
        <f>IFERROR(__xludf.DUMMYFUNCTION("""COMPUTED_VALUE"""),"15:20")</f>
        <v>15:20</v>
      </c>
      <c r="G32" s="721"/>
      <c r="H32" s="721"/>
      <c r="I32" s="721"/>
      <c r="J32" s="48"/>
      <c r="K32" s="721"/>
      <c r="L32" s="48"/>
      <c r="M32" s="48"/>
      <c r="N32" s="719"/>
      <c r="O32" s="48"/>
      <c r="P32" s="713">
        <f>IFERROR(__xludf.DUMMYFUNCTION("""COMPUTED_VALUE"""),0.0)</f>
        <v>0</v>
      </c>
      <c r="Q32" s="48"/>
      <c r="R32" s="711" t="str">
        <f>IFERROR(__xludf.DUMMYFUNCTION("""COMPUTED_VALUE"""),"2526MODULOLUN09.Y")</f>
        <v>2526MODULOLUN09.Y</v>
      </c>
      <c r="S32" s="711">
        <f>IFERROR(__xludf.DUMMYFUNCTION("""COMPUTED_VALUE"""),40.0)</f>
        <v>40</v>
      </c>
      <c r="T32" s="721" t="str">
        <f>IFERROR(__xludf.DUMMYFUNCTION("""COMPUTED_VALUE"""),"2526MODULOLUN09.Y")</f>
        <v>2526MODULOLUN09.Y</v>
      </c>
      <c r="U32" s="48"/>
      <c r="V32" s="711"/>
      <c r="W32" s="48"/>
      <c r="X32" s="48"/>
      <c r="Y32" s="48" t="str">
        <f>IFERROR(__xludf.DUMMYFUNCTION("""COMPUTED_VALUE"""),"Danza del Ventre")</f>
        <v>Danza del Ventre</v>
      </c>
      <c r="Z32" s="714" t="str">
        <f>IFERROR(__xludf.DUMMYFUNCTION("""COMPUTED_VALUE"""),"Fabio Luisetto")</f>
        <v>Fabio Luisetto</v>
      </c>
      <c r="AA32" s="48">
        <f>IFERROR(__xludf.DUMMYFUNCTION("""COMPUTED_VALUE"""),31.0)</f>
        <v>31</v>
      </c>
      <c r="AB32" s="712" t="str">
        <f>IFERROR(__xludf.DUMMYFUNCTION("""COMPUTED_VALUE"""),"lun - 30/03/26")</f>
        <v>lun - 30/03/26</v>
      </c>
      <c r="AC32" s="712" t="str">
        <f>IFERROR(__xludf.DUMMYFUNCTION("""COMPUTED_VALUE"""),"mar - 31/03/26")</f>
        <v>mar - 31/03/26</v>
      </c>
      <c r="AD32" s="712" t="str">
        <f>IFERROR(__xludf.DUMMYFUNCTION("""COMPUTED_VALUE"""),"mer - 01/04/26")</f>
        <v>mer - 01/04/26</v>
      </c>
      <c r="AE32" s="712" t="str">
        <f>IFERROR(__xludf.DUMMYFUNCTION("""COMPUTED_VALUE"""),"gio - 02/04/26
NO BAMBINI")</f>
        <v>gio - 02/04/26
NO BAMBINI</v>
      </c>
      <c r="AF32" s="712" t="str">
        <f>IFERROR(__xludf.DUMMYFUNCTION("""COMPUTED_VALUE"""),"ven - 03/04/26
NO BAMBINI")</f>
        <v>ven - 03/04/26
NO BAMBINI</v>
      </c>
      <c r="AG32" s="712" t="str">
        <f>IFERROR(__xludf.DUMMYFUNCTION("""COMPUTED_VALUE"""),"sab - 04/04/26
CHIUSO")</f>
        <v>sab - 04/04/26
CHIUSO</v>
      </c>
      <c r="AH32" s="712" t="str">
        <f>IFERROR(__xludf.DUMMYFUNCTION("""COMPUTED_VALUE"""),"dom - 05/04/26
CHIUSO")</f>
        <v>dom - 05/04/26
CHIUSO</v>
      </c>
    </row>
    <row r="33">
      <c r="A33" s="48"/>
      <c r="B33" s="48"/>
      <c r="C33" s="711" t="str">
        <f>IFERROR(__xludf.DUMMYFUNCTION("""COMPUTED_VALUE"""),"10:50")</f>
        <v>10:50</v>
      </c>
      <c r="D33" s="48"/>
      <c r="E33" s="712" t="str">
        <f>IFERROR(__xludf.DUMMYFUNCTION("""COMPUTED_VALUE"""),"19:30")</f>
        <v>19:30</v>
      </c>
      <c r="F33" s="712" t="str">
        <f>IFERROR(__xludf.DUMMYFUNCTION("""COMPUTED_VALUE"""),"15:30")</f>
        <v>15:30</v>
      </c>
      <c r="G33" s="721"/>
      <c r="H33" s="721"/>
      <c r="I33" s="721"/>
      <c r="J33" s="48"/>
      <c r="K33" s="721"/>
      <c r="L33" s="48"/>
      <c r="M33" s="48"/>
      <c r="N33" s="719"/>
      <c r="O33" s="48"/>
      <c r="P33" s="713" t="str">
        <f>IFERROR(__xludf.DUMMYFUNCTION("""COMPUTED_VALUE""")," ")</f>
        <v/>
      </c>
      <c r="Q33" s="48"/>
      <c r="R33" s="711" t="str">
        <f>IFERROR(__xludf.DUMMYFUNCTION("""COMPUTED_VALUE"""),"2526MODULOLUN09.Y")</f>
        <v>2526MODULOLUN09.Y</v>
      </c>
      <c r="S33" s="711">
        <f>IFERROR(__xludf.DUMMYFUNCTION("""COMPUTED_VALUE"""),40.0)</f>
        <v>40</v>
      </c>
      <c r="T33" s="721" t="str">
        <f>IFERROR(__xludf.DUMMYFUNCTION("""COMPUTED_VALUE"""),"2526MODULOLUN09.Y")</f>
        <v>2526MODULOLUN09.Y</v>
      </c>
      <c r="U33" s="48"/>
      <c r="V33" s="711"/>
      <c r="W33" s="48"/>
      <c r="X33" s="48"/>
      <c r="Y33" s="48" t="str">
        <f>IFERROR(__xludf.DUMMYFUNCTION("""COMPUTED_VALUE"""),"Danza Egiziana")</f>
        <v>Danza Egiziana</v>
      </c>
      <c r="Z33" s="716" t="str">
        <f>IFERROR(__xludf.DUMMYFUNCTION("""COMPUTED_VALUE"""),"Federica Furia")</f>
        <v>Federica Furia</v>
      </c>
      <c r="AA33" s="48">
        <f>IFERROR(__xludf.DUMMYFUNCTION("""COMPUTED_VALUE"""),32.0)</f>
        <v>32</v>
      </c>
      <c r="AB33" s="712" t="str">
        <f>IFERROR(__xludf.DUMMYFUNCTION("""COMPUTED_VALUE"""),"lun - 06/04/26
CHIUSO")</f>
        <v>lun - 06/04/26
CHIUSO</v>
      </c>
      <c r="AC33" s="712" t="str">
        <f>IFERROR(__xludf.DUMMYFUNCTION("""COMPUTED_VALUE"""),"mar - 07/04/26")</f>
        <v>mar - 07/04/26</v>
      </c>
      <c r="AD33" s="712" t="str">
        <f>IFERROR(__xludf.DUMMYFUNCTION("""COMPUTED_VALUE"""),"mer - 08/04/26")</f>
        <v>mer - 08/04/26</v>
      </c>
      <c r="AE33" s="712" t="str">
        <f>IFERROR(__xludf.DUMMYFUNCTION("""COMPUTED_VALUE"""),"gio - 09/04/26")</f>
        <v>gio - 09/04/26</v>
      </c>
      <c r="AF33" s="712" t="str">
        <f>IFERROR(__xludf.DUMMYFUNCTION("""COMPUTED_VALUE"""),"ven - 10/04/26")</f>
        <v>ven - 10/04/26</v>
      </c>
      <c r="AG33" s="712" t="str">
        <f>IFERROR(__xludf.DUMMYFUNCTION("""COMPUTED_VALUE"""),"sab - 11/04/26")</f>
        <v>sab - 11/04/26</v>
      </c>
      <c r="AH33" s="712" t="str">
        <f>IFERROR(__xludf.DUMMYFUNCTION("""COMPUTED_VALUE"""),"dom - 12/04/26")</f>
        <v>dom - 12/04/26</v>
      </c>
    </row>
    <row r="34">
      <c r="A34" s="48"/>
      <c r="B34" s="48"/>
      <c r="C34" s="711" t="str">
        <f>IFERROR(__xludf.DUMMYFUNCTION("""COMPUTED_VALUE"""),"11:00")</f>
        <v>11:00</v>
      </c>
      <c r="D34" s="48"/>
      <c r="E34" s="712" t="str">
        <f>IFERROR(__xludf.DUMMYFUNCTION("""COMPUTED_VALUE"""),"20:00")</f>
        <v>20:00</v>
      </c>
      <c r="F34" s="712" t="str">
        <f>IFERROR(__xludf.DUMMYFUNCTION("""COMPUTED_VALUE"""),"15:30")</f>
        <v>15:30</v>
      </c>
      <c r="G34" s="721"/>
      <c r="H34" s="721"/>
      <c r="I34" s="721"/>
      <c r="J34" s="48"/>
      <c r="K34" s="721"/>
      <c r="L34" s="48"/>
      <c r="M34" s="48"/>
      <c r="N34" s="719"/>
      <c r="O34" s="48"/>
      <c r="P34" s="713">
        <f>IFERROR(__xludf.DUMMYFUNCTION("""COMPUTED_VALUE"""),390.0)</f>
        <v>390</v>
      </c>
      <c r="Q34" s="48"/>
      <c r="R34" s="48"/>
      <c r="S34" s="711" t="str">
        <f>IFERROR(__xludf.DUMMYFUNCTION("""COMPUTED_VALUE"""),"")</f>
        <v/>
      </c>
      <c r="T34" s="721"/>
      <c r="U34" s="48"/>
      <c r="V34" s="711"/>
      <c r="W34" s="48"/>
      <c r="X34" s="48"/>
      <c r="Y34" s="48" t="str">
        <f>IFERROR(__xludf.DUMMYFUNCTION("""COMPUTED_VALUE"""),"Danza Moderna")</f>
        <v>Danza Moderna</v>
      </c>
      <c r="Z34" s="716" t="str">
        <f>IFERROR(__xludf.DUMMYFUNCTION("""COMPUTED_VALUE"""),"Fergie")</f>
        <v>Fergie</v>
      </c>
      <c r="AA34" s="48">
        <f>IFERROR(__xludf.DUMMYFUNCTION("""COMPUTED_VALUE"""),33.0)</f>
        <v>33</v>
      </c>
      <c r="AB34" s="712" t="str">
        <f>IFERROR(__xludf.DUMMYFUNCTION("""COMPUTED_VALUE"""),"lun - 13/04/26")</f>
        <v>lun - 13/04/26</v>
      </c>
      <c r="AC34" s="712" t="str">
        <f>IFERROR(__xludf.DUMMYFUNCTION("""COMPUTED_VALUE"""),"mar - 14/04/26")</f>
        <v>mar - 14/04/26</v>
      </c>
      <c r="AD34" s="712" t="str">
        <f>IFERROR(__xludf.DUMMYFUNCTION("""COMPUTED_VALUE"""),"mer - 15/04/26")</f>
        <v>mer - 15/04/26</v>
      </c>
      <c r="AE34" s="712" t="str">
        <f>IFERROR(__xludf.DUMMYFUNCTION("""COMPUTED_VALUE"""),"gio - 16/04/26")</f>
        <v>gio - 16/04/26</v>
      </c>
      <c r="AF34" s="712" t="str">
        <f>IFERROR(__xludf.DUMMYFUNCTION("""COMPUTED_VALUE"""),"ven - 17/04/26")</f>
        <v>ven - 17/04/26</v>
      </c>
      <c r="AG34" s="712" t="str">
        <f>IFERROR(__xludf.DUMMYFUNCTION("""COMPUTED_VALUE"""),"sab - 18/04/26")</f>
        <v>sab - 18/04/26</v>
      </c>
      <c r="AH34" s="712" t="str">
        <f>IFERROR(__xludf.DUMMYFUNCTION("""COMPUTED_VALUE"""),"dom - 19/04/26")</f>
        <v>dom - 19/04/26</v>
      </c>
    </row>
    <row r="35">
      <c r="A35" s="48"/>
      <c r="B35" s="48"/>
      <c r="C35" s="711" t="str">
        <f>IFERROR(__xludf.DUMMYFUNCTION("""COMPUTED_VALUE"""),"11:10")</f>
        <v>11:10</v>
      </c>
      <c r="D35" s="48"/>
      <c r="E35" s="712" t="str">
        <f>IFERROR(__xludf.DUMMYFUNCTION("""COMPUTED_VALUE"""),"20:30")</f>
        <v>20:30</v>
      </c>
      <c r="F35" s="712" t="str">
        <f>IFERROR(__xludf.DUMMYFUNCTION("""COMPUTED_VALUE"""),"15:50")</f>
        <v>15:50</v>
      </c>
      <c r="G35" s="721"/>
      <c r="H35" s="721"/>
      <c r="I35" s="721"/>
      <c r="J35" s="48"/>
      <c r="K35" s="721"/>
      <c r="L35" s="48"/>
      <c r="M35" s="48"/>
      <c r="N35" s="719"/>
      <c r="O35" s="48"/>
      <c r="P35" s="713">
        <f>IFERROR(__xludf.DUMMYFUNCTION("""COMPUTED_VALUE"""),580.0)</f>
        <v>580</v>
      </c>
      <c r="Q35" s="48"/>
      <c r="R35" s="48"/>
      <c r="S35" s="711" t="str">
        <f>IFERROR(__xludf.DUMMYFUNCTION("""COMPUTED_VALUE"""),"")</f>
        <v/>
      </c>
      <c r="T35" s="721"/>
      <c r="U35" s="48"/>
      <c r="V35" s="711"/>
      <c r="W35" s="48"/>
      <c r="X35" s="48"/>
      <c r="Y35" s="48" t="str">
        <f>IFERROR(__xludf.DUMMYFUNCTION("""COMPUTED_VALUE"""),"AFFITTO STUDIO")</f>
        <v>AFFITTO STUDIO</v>
      </c>
      <c r="Z35" s="716" t="str">
        <f>IFERROR(__xludf.DUMMYFUNCTION("""COMPUTED_VALUE"""),"Filomena Pellegrino")</f>
        <v>Filomena Pellegrino</v>
      </c>
      <c r="AA35" s="48">
        <f>IFERROR(__xludf.DUMMYFUNCTION("""COMPUTED_VALUE"""),34.0)</f>
        <v>34</v>
      </c>
      <c r="AB35" s="712" t="str">
        <f>IFERROR(__xludf.DUMMYFUNCTION("""COMPUTED_VALUE"""),"lun - 20/04/26")</f>
        <v>lun - 20/04/26</v>
      </c>
      <c r="AC35" s="712" t="str">
        <f>IFERROR(__xludf.DUMMYFUNCTION("""COMPUTED_VALUE"""),"mar - 21/04/26")</f>
        <v>mar - 21/04/26</v>
      </c>
      <c r="AD35" s="712" t="str">
        <f>IFERROR(__xludf.DUMMYFUNCTION("""COMPUTED_VALUE"""),"mer - 22/04/26")</f>
        <v>mer - 22/04/26</v>
      </c>
      <c r="AE35" s="712" t="str">
        <f>IFERROR(__xludf.DUMMYFUNCTION("""COMPUTED_VALUE"""),"gio - 23/04/26")</f>
        <v>gio - 23/04/26</v>
      </c>
      <c r="AF35" s="712" t="str">
        <f>IFERROR(__xludf.DUMMYFUNCTION("""COMPUTED_VALUE"""),"ven - 24/04/26")</f>
        <v>ven - 24/04/26</v>
      </c>
      <c r="AG35" s="712" t="str">
        <f>IFERROR(__xludf.DUMMYFUNCTION("""COMPUTED_VALUE"""),"sab - 25/04/26
CHIUSO")</f>
        <v>sab - 25/04/26
CHIUSO</v>
      </c>
      <c r="AH35" s="712" t="str">
        <f>IFERROR(__xludf.DUMMYFUNCTION("""COMPUTED_VALUE"""),"dom - 26/04/26
CHIUSO")</f>
        <v>dom - 26/04/26
CHIUSO</v>
      </c>
    </row>
    <row r="36">
      <c r="A36" s="48"/>
      <c r="B36" s="48"/>
      <c r="C36" s="711" t="str">
        <f>IFERROR(__xludf.DUMMYFUNCTION("""COMPUTED_VALUE"""),"11:15")</f>
        <v>11:15</v>
      </c>
      <c r="D36" s="48"/>
      <c r="E36" s="712" t="str">
        <f>IFERROR(__xludf.DUMMYFUNCTION("""COMPUTED_VALUE"""),"21:00")</f>
        <v>21:00</v>
      </c>
      <c r="F36" s="712" t="str">
        <f>IFERROR(__xludf.DUMMYFUNCTION("""COMPUTED_VALUE"""),"16:00")</f>
        <v>16:00</v>
      </c>
      <c r="G36" s="721"/>
      <c r="H36" s="721"/>
      <c r="I36" s="721"/>
      <c r="J36" s="48"/>
      <c r="K36" s="721"/>
      <c r="L36" s="48"/>
      <c r="M36" s="48"/>
      <c r="N36" s="719"/>
      <c r="O36" s="48"/>
      <c r="P36" s="719">
        <f>IFERROR(__xludf.DUMMYFUNCTION("""COMPUTED_VALUE"""),960.0)</f>
        <v>960</v>
      </c>
      <c r="Q36" s="48"/>
      <c r="R36" s="711" t="str">
        <f>IFERROR(__xludf.DUMMYFUNCTION("""COMPUTED_VALUE"""),"2526MODULOLUN09.Y")</f>
        <v>2526MODULOLUN09.Y</v>
      </c>
      <c r="S36" s="711">
        <f>IFERROR(__xludf.DUMMYFUNCTION("""COMPUTED_VALUE"""),40.0)</f>
        <v>40</v>
      </c>
      <c r="T36" s="721" t="str">
        <f>IFERROR(__xludf.DUMMYFUNCTION("""COMPUTED_VALUE"""),"2526MODULOLUN09.Y")</f>
        <v>2526MODULOLUN09.Y</v>
      </c>
      <c r="U36" s="48"/>
      <c r="V36" s="711"/>
      <c r="W36" s="48"/>
      <c r="X36" s="48"/>
      <c r="Y36" s="48" t="str">
        <f>IFERROR(__xludf.DUMMYFUNCTION("""COMPUTED_VALUE"""),"Electro Swing")</f>
        <v>Electro Swing</v>
      </c>
      <c r="Z36" s="716" t="str">
        <f>IFERROR(__xludf.DUMMYFUNCTION("""COMPUTED_VALUE"""),"Flavio Lombardi")</f>
        <v>Flavio Lombardi</v>
      </c>
      <c r="AA36" s="48">
        <f>IFERROR(__xludf.DUMMYFUNCTION("""COMPUTED_VALUE"""),35.0)</f>
        <v>35</v>
      </c>
      <c r="AB36" s="712" t="str">
        <f>IFERROR(__xludf.DUMMYFUNCTION("""COMPUTED_VALUE"""),"lun - 27/04/26")</f>
        <v>lun - 27/04/26</v>
      </c>
      <c r="AC36" s="712" t="str">
        <f>IFERROR(__xludf.DUMMYFUNCTION("""COMPUTED_VALUE"""),"mar - 28/04/26")</f>
        <v>mar - 28/04/26</v>
      </c>
      <c r="AD36" s="712" t="str">
        <f>IFERROR(__xludf.DUMMYFUNCTION("""COMPUTED_VALUE"""),"mer - 29/04/26")</f>
        <v>mer - 29/04/26</v>
      </c>
      <c r="AE36" s="712" t="str">
        <f>IFERROR(__xludf.DUMMYFUNCTION("""COMPUTED_VALUE"""),"gio - 30/04/26")</f>
        <v>gio - 30/04/26</v>
      </c>
      <c r="AF36" s="712" t="str">
        <f>IFERROR(__xludf.DUMMYFUNCTION("""COMPUTED_VALUE"""),"ven - 01/05/26
CHIUSO")</f>
        <v>ven - 01/05/26
CHIUSO</v>
      </c>
      <c r="AG36" s="712" t="str">
        <f>IFERROR(__xludf.DUMMYFUNCTION("""COMPUTED_VALUE"""),"sab - 02/05/26
CHIUSO")</f>
        <v>sab - 02/05/26
CHIUSO</v>
      </c>
      <c r="AH36" s="712" t="str">
        <f>IFERROR(__xludf.DUMMYFUNCTION("""COMPUTED_VALUE"""),"dom - 03/05/26
CHIUSO")</f>
        <v>dom - 03/05/26
CHIUSO</v>
      </c>
    </row>
    <row r="37">
      <c r="A37" s="48"/>
      <c r="B37" s="48"/>
      <c r="C37" s="711" t="str">
        <f>IFERROR(__xludf.DUMMYFUNCTION("""COMPUTED_VALUE"""),"11:20")</f>
        <v>11:20</v>
      </c>
      <c r="D37" s="48"/>
      <c r="E37" s="712" t="str">
        <f>IFERROR(__xludf.DUMMYFUNCTION("""COMPUTED_VALUE"""),"21:30")</f>
        <v>21:30</v>
      </c>
      <c r="F37" s="712" t="str">
        <f>IFERROR(__xludf.DUMMYFUNCTION("""COMPUTED_VALUE"""),"16:15")</f>
        <v>16:15</v>
      </c>
      <c r="G37" s="721"/>
      <c r="H37" s="721"/>
      <c r="I37" s="721"/>
      <c r="J37" s="48"/>
      <c r="K37" s="721"/>
      <c r="L37" s="48"/>
      <c r="M37" s="48"/>
      <c r="N37" s="719"/>
      <c r="O37" s="48"/>
      <c r="P37" s="713">
        <f>IFERROR(__xludf.DUMMYFUNCTION("""COMPUTED_VALUE"""),1350.0)</f>
        <v>1350</v>
      </c>
      <c r="Q37" s="48"/>
      <c r="R37" s="711" t="str">
        <f>IFERROR(__xludf.DUMMYFUNCTION("""COMPUTED_VALUE"""),"2526SEABRALUN09.Y")</f>
        <v>2526SEABRALUN09.Y</v>
      </c>
      <c r="S37" s="711">
        <f>IFERROR(__xludf.DUMMYFUNCTION("""COMPUTED_VALUE"""),20.0)</f>
        <v>20</v>
      </c>
      <c r="T37" s="721" t="str">
        <f>IFERROR(__xludf.DUMMYFUNCTION("""COMPUTED_VALUE"""),"2526SEABRALUN09.Y")</f>
        <v>2526SEABRALUN09.Y</v>
      </c>
      <c r="U37" s="48"/>
      <c r="V37" s="711"/>
      <c r="W37" s="48"/>
      <c r="X37" s="48"/>
      <c r="Y37" s="48" t="str">
        <f>IFERROR(__xludf.DUMMYFUNCTION("""COMPUTED_VALUE"""),"Flessibilità")</f>
        <v>Flessibilità</v>
      </c>
      <c r="Z37" s="716" t="str">
        <f>IFERROR(__xludf.DUMMYFUNCTION("""COMPUTED_VALUE"""),"Francesco Aruta")</f>
        <v>Francesco Aruta</v>
      </c>
      <c r="AA37" s="48">
        <f>IFERROR(__xludf.DUMMYFUNCTION("""COMPUTED_VALUE"""),36.0)</f>
        <v>36</v>
      </c>
      <c r="AB37" s="712" t="str">
        <f>IFERROR(__xludf.DUMMYFUNCTION("""COMPUTED_VALUE"""),"lun - 04/05/26")</f>
        <v>lun - 04/05/26</v>
      </c>
      <c r="AC37" s="712" t="str">
        <f>IFERROR(__xludf.DUMMYFUNCTION("""COMPUTED_VALUE"""),"mar - 05/05/26")</f>
        <v>mar - 05/05/26</v>
      </c>
      <c r="AD37" s="712" t="str">
        <f>IFERROR(__xludf.DUMMYFUNCTION("""COMPUTED_VALUE"""),"mer - 06/05/26")</f>
        <v>mer - 06/05/26</v>
      </c>
      <c r="AE37" s="712" t="str">
        <f>IFERROR(__xludf.DUMMYFUNCTION("""COMPUTED_VALUE"""),"gio - 07/05/26")</f>
        <v>gio - 07/05/26</v>
      </c>
      <c r="AF37" s="712" t="str">
        <f>IFERROR(__xludf.DUMMYFUNCTION("""COMPUTED_VALUE"""),"ven - 08/05/26")</f>
        <v>ven - 08/05/26</v>
      </c>
      <c r="AG37" s="712" t="str">
        <f>IFERROR(__xludf.DUMMYFUNCTION("""COMPUTED_VALUE"""),"sab - 09/05/26")</f>
        <v>sab - 09/05/26</v>
      </c>
      <c r="AH37" s="712" t="str">
        <f>IFERROR(__xludf.DUMMYFUNCTION("""COMPUTED_VALUE"""),"dom - 10/05/26")</f>
        <v>dom - 10/05/26</v>
      </c>
    </row>
    <row r="38">
      <c r="A38" s="48"/>
      <c r="B38" s="48"/>
      <c r="C38" s="711" t="str">
        <f>IFERROR(__xludf.DUMMYFUNCTION("""COMPUTED_VALUE"""),"11:30")</f>
        <v>11:30</v>
      </c>
      <c r="D38" s="48"/>
      <c r="E38" s="712" t="str">
        <f>IFERROR(__xludf.DUMMYFUNCTION("""COMPUTED_VALUE"""),"22:00")</f>
        <v>22:00</v>
      </c>
      <c r="F38" s="712" t="str">
        <f>IFERROR(__xludf.DUMMYFUNCTION("""COMPUTED_VALUE"""),"16:20")</f>
        <v>16:20</v>
      </c>
      <c r="G38" s="721"/>
      <c r="H38" s="721"/>
      <c r="I38" s="721"/>
      <c r="J38" s="48"/>
      <c r="K38" s="721"/>
      <c r="L38" s="48"/>
      <c r="M38" s="48"/>
      <c r="N38" s="719"/>
      <c r="O38" s="48"/>
      <c r="P38" s="713">
        <f>IFERROR(__xludf.DUMMYFUNCTION("""COMPUTED_VALUE"""),0.0)</f>
        <v>0</v>
      </c>
      <c r="Q38" s="48"/>
      <c r="R38" s="48"/>
      <c r="S38" s="711" t="str">
        <f>IFERROR(__xludf.DUMMYFUNCTION("""COMPUTED_VALUE"""),"")</f>
        <v/>
      </c>
      <c r="T38" s="721"/>
      <c r="U38" s="48"/>
      <c r="V38" s="711"/>
      <c r="W38" s="48"/>
      <c r="X38" s="48"/>
      <c r="Y38" s="48" t="str">
        <f>IFERROR(__xludf.DUMMYFUNCTION("""COMPUTED_VALUE"""),"Functional Training")</f>
        <v>Functional Training</v>
      </c>
      <c r="Z38" s="716" t="str">
        <f>IFERROR(__xludf.DUMMYFUNCTION("""COMPUTED_VALUE"""),"Gaya Ciani")</f>
        <v>Gaya Ciani</v>
      </c>
      <c r="AA38" s="48">
        <f>IFERROR(__xludf.DUMMYFUNCTION("""COMPUTED_VALUE"""),37.0)</f>
        <v>37</v>
      </c>
      <c r="AB38" s="712" t="str">
        <f>IFERROR(__xludf.DUMMYFUNCTION("""COMPUTED_VALUE"""),"lun - 11/05/26")</f>
        <v>lun - 11/05/26</v>
      </c>
      <c r="AC38" s="712" t="str">
        <f>IFERROR(__xludf.DUMMYFUNCTION("""COMPUTED_VALUE"""),"mar - 12/05/26")</f>
        <v>mar - 12/05/26</v>
      </c>
      <c r="AD38" s="712" t="str">
        <f>IFERROR(__xludf.DUMMYFUNCTION("""COMPUTED_VALUE"""),"mer - 13/05/26")</f>
        <v>mer - 13/05/26</v>
      </c>
      <c r="AE38" s="712" t="str">
        <f>IFERROR(__xludf.DUMMYFUNCTION("""COMPUTED_VALUE"""),"gio - 14/05/26")</f>
        <v>gio - 14/05/26</v>
      </c>
      <c r="AF38" s="712" t="str">
        <f>IFERROR(__xludf.DUMMYFUNCTION("""COMPUTED_VALUE"""),"ven - 15/05/26")</f>
        <v>ven - 15/05/26</v>
      </c>
      <c r="AG38" s="712" t="str">
        <f>IFERROR(__xludf.DUMMYFUNCTION("""COMPUTED_VALUE"""),"sab - 16/05/26")</f>
        <v>sab - 16/05/26</v>
      </c>
      <c r="AH38" s="712" t="str">
        <f>IFERROR(__xludf.DUMMYFUNCTION("""COMPUTED_VALUE"""),"dom - 17/05/26")</f>
        <v>dom - 17/05/26</v>
      </c>
    </row>
    <row r="39">
      <c r="A39" s="48"/>
      <c r="B39" s="48"/>
      <c r="C39" s="711" t="str">
        <f>IFERROR(__xludf.DUMMYFUNCTION("""COMPUTED_VALUE"""),"11:40")</f>
        <v>11:40</v>
      </c>
      <c r="D39" s="48"/>
      <c r="E39" s="712" t="str">
        <f>IFERROR(__xludf.DUMMYFUNCTION("""COMPUTED_VALUE"""),"22:30")</f>
        <v>22:30</v>
      </c>
      <c r="F39" s="712" t="str">
        <f>IFERROR(__xludf.DUMMYFUNCTION("""COMPUTED_VALUE"""),"16:30")</f>
        <v>16:30</v>
      </c>
      <c r="G39" s="721"/>
      <c r="H39" s="721"/>
      <c r="I39" s="721"/>
      <c r="J39" s="48"/>
      <c r="K39" s="721"/>
      <c r="L39" s="48"/>
      <c r="M39" s="48"/>
      <c r="N39" s="719"/>
      <c r="O39" s="48"/>
      <c r="P39" s="713">
        <f>IFERROR(__xludf.DUMMYFUNCTION("""COMPUTED_VALUE"""),800.0)</f>
        <v>800</v>
      </c>
      <c r="Q39" s="48"/>
      <c r="R39" s="48"/>
      <c r="S39" s="711" t="str">
        <f>IFERROR(__xludf.DUMMYFUNCTION("""COMPUTED_VALUE"""),"")</f>
        <v/>
      </c>
      <c r="T39" s="721"/>
      <c r="U39" s="48"/>
      <c r="V39" s="711"/>
      <c r="W39" s="48"/>
      <c r="X39" s="48"/>
      <c r="Y39" s="48" t="str">
        <f>IFERROR(__xludf.DUMMYFUNCTION("""COMPUTED_VALUE"""),"Fusion")</f>
        <v>Fusion</v>
      </c>
      <c r="Z39" s="716" t="str">
        <f>IFERROR(__xludf.DUMMYFUNCTION("""COMPUTED_VALUE"""),"Giada Todisco")</f>
        <v>Giada Todisco</v>
      </c>
      <c r="AA39" s="48">
        <f>IFERROR(__xludf.DUMMYFUNCTION("""COMPUTED_VALUE"""),38.0)</f>
        <v>38</v>
      </c>
      <c r="AB39" s="712" t="str">
        <f>IFERROR(__xludf.DUMMYFUNCTION("""COMPUTED_VALUE"""),"lun - 18/05/26")</f>
        <v>lun - 18/05/26</v>
      </c>
      <c r="AC39" s="712" t="str">
        <f>IFERROR(__xludf.DUMMYFUNCTION("""COMPUTED_VALUE"""),"mar - 19/05/26")</f>
        <v>mar - 19/05/26</v>
      </c>
      <c r="AD39" s="712" t="str">
        <f>IFERROR(__xludf.DUMMYFUNCTION("""COMPUTED_VALUE"""),"mer - 20/05/26")</f>
        <v>mer - 20/05/26</v>
      </c>
      <c r="AE39" s="712" t="str">
        <f>IFERROR(__xludf.DUMMYFUNCTION("""COMPUTED_VALUE"""),"gio - 21/05/26")</f>
        <v>gio - 21/05/26</v>
      </c>
      <c r="AF39" s="712" t="str">
        <f>IFERROR(__xludf.DUMMYFUNCTION("""COMPUTED_VALUE"""),"ven - 22/05/26")</f>
        <v>ven - 22/05/26</v>
      </c>
      <c r="AG39" s="712" t="str">
        <f>IFERROR(__xludf.DUMMYFUNCTION("""COMPUTED_VALUE"""),"sab - 23/05/26")</f>
        <v>sab - 23/05/26</v>
      </c>
      <c r="AH39" s="712" t="str">
        <f>IFERROR(__xludf.DUMMYFUNCTION("""COMPUTED_VALUE"""),"dom - 24/05/26")</f>
        <v>dom - 24/05/26</v>
      </c>
    </row>
    <row r="40">
      <c r="A40" s="48"/>
      <c r="B40" s="48"/>
      <c r="C40" s="711" t="str">
        <f>IFERROR(__xludf.DUMMYFUNCTION("""COMPUTED_VALUE"""),"11:45")</f>
        <v>11:45</v>
      </c>
      <c r="D40" s="48"/>
      <c r="E40" s="711"/>
      <c r="F40" s="712" t="str">
        <f>IFERROR(__xludf.DUMMYFUNCTION("""COMPUTED_VALUE"""),"16:50")</f>
        <v>16:50</v>
      </c>
      <c r="G40" s="721"/>
      <c r="H40" s="721"/>
      <c r="I40" s="721"/>
      <c r="J40" s="48"/>
      <c r="K40" s="721"/>
      <c r="L40" s="48"/>
      <c r="M40" s="48"/>
      <c r="N40" s="719"/>
      <c r="O40" s="48"/>
      <c r="P40" s="719">
        <f>IFERROR(__xludf.DUMMYFUNCTION("""COMPUTED_VALUE"""),800.0)</f>
        <v>800</v>
      </c>
      <c r="Q40" s="48"/>
      <c r="R40" s="48"/>
      <c r="S40" s="711" t="str">
        <f>IFERROR(__xludf.DUMMYFUNCTION("""COMPUTED_VALUE"""),"")</f>
        <v/>
      </c>
      <c r="T40" s="721"/>
      <c r="U40" s="48"/>
      <c r="V40" s="711"/>
      <c r="W40" s="48"/>
      <c r="X40" s="48"/>
      <c r="Y40" s="48" t="str">
        <f>IFERROR(__xludf.DUMMYFUNCTION("""COMPUTED_VALUE"""),"Gestualità Coreografica")</f>
        <v>Gestualità Coreografica</v>
      </c>
      <c r="Z40" s="716" t="str">
        <f>IFERROR(__xludf.DUMMYFUNCTION("""COMPUTED_VALUE"""),"Giulia D'Arienzo")</f>
        <v>Giulia D'Arienzo</v>
      </c>
      <c r="AA40" s="48">
        <f>IFERROR(__xludf.DUMMYFUNCTION("""COMPUTED_VALUE"""),39.0)</f>
        <v>39</v>
      </c>
      <c r="AB40" s="712" t="str">
        <f>IFERROR(__xludf.DUMMYFUNCTION("""COMPUTED_VALUE"""),"lun - 25/05/26")</f>
        <v>lun - 25/05/26</v>
      </c>
      <c r="AC40" s="712" t="str">
        <f>IFERROR(__xludf.DUMMYFUNCTION("""COMPUTED_VALUE"""),"mar - 26/05/26")</f>
        <v>mar - 26/05/26</v>
      </c>
      <c r="AD40" s="712" t="str">
        <f>IFERROR(__xludf.DUMMYFUNCTION("""COMPUTED_VALUE"""),"mer - 27/05/26")</f>
        <v>mer - 27/05/26</v>
      </c>
      <c r="AE40" s="712" t="str">
        <f>IFERROR(__xludf.DUMMYFUNCTION("""COMPUTED_VALUE"""),"gio - 28/05/26")</f>
        <v>gio - 28/05/26</v>
      </c>
      <c r="AF40" s="712" t="str">
        <f>IFERROR(__xludf.DUMMYFUNCTION("""COMPUTED_VALUE"""),"ven - 29/05/26")</f>
        <v>ven - 29/05/26</v>
      </c>
      <c r="AG40" s="712" t="str">
        <f>IFERROR(__xludf.DUMMYFUNCTION("""COMPUTED_VALUE"""),"sab - 30/05/26")</f>
        <v>sab - 30/05/26</v>
      </c>
      <c r="AH40" s="712" t="str">
        <f>IFERROR(__xludf.DUMMYFUNCTION("""COMPUTED_VALUE"""),"dom - 31/05/26
CHIUSO")</f>
        <v>dom - 31/05/26
CHIUSO</v>
      </c>
    </row>
    <row r="41">
      <c r="A41" s="48"/>
      <c r="B41" s="48"/>
      <c r="C41" s="711" t="str">
        <f>IFERROR(__xludf.DUMMYFUNCTION("""COMPUTED_VALUE"""),"11:50")</f>
        <v>11:50</v>
      </c>
      <c r="D41" s="48"/>
      <c r="E41" s="711"/>
      <c r="F41" s="712" t="str">
        <f>IFERROR(__xludf.DUMMYFUNCTION("""COMPUTED_VALUE"""),"17:00")</f>
        <v>17:00</v>
      </c>
      <c r="G41" s="721"/>
      <c r="H41" s="721"/>
      <c r="I41" s="721"/>
      <c r="J41" s="48"/>
      <c r="K41" s="721"/>
      <c r="L41" s="48"/>
      <c r="M41" s="48"/>
      <c r="N41" s="719"/>
      <c r="O41" s="48"/>
      <c r="P41" s="719">
        <f>IFERROR(__xludf.DUMMYFUNCTION("""COMPUTED_VALUE"""),1540.0)</f>
        <v>1540</v>
      </c>
      <c r="Q41" s="48"/>
      <c r="R41" s="48"/>
      <c r="S41" s="711" t="str">
        <f>IFERROR(__xludf.DUMMYFUNCTION("""COMPUTED_VALUE"""),"")</f>
        <v/>
      </c>
      <c r="T41" s="721"/>
      <c r="U41" s="48"/>
      <c r="V41" s="711"/>
      <c r="W41" s="48"/>
      <c r="X41" s="48"/>
      <c r="Y41" s="48" t="str">
        <f>IFERROR(__xludf.DUMMYFUNCTION("""COMPUTED_VALUE"""),"Gestualità Femminile")</f>
        <v>Gestualità Femminile</v>
      </c>
      <c r="Z41" s="716" t="str">
        <f>IFERROR(__xludf.DUMMYFUNCTION("""COMPUTED_VALUE"""),"Giulia Setti")</f>
        <v>Giulia Setti</v>
      </c>
      <c r="AA41" s="48">
        <f>IFERROR(__xludf.DUMMYFUNCTION("""COMPUTED_VALUE"""),40.0)</f>
        <v>40</v>
      </c>
      <c r="AB41" s="712" t="str">
        <f>IFERROR(__xludf.DUMMYFUNCTION("""COMPUTED_VALUE"""),"lun - 01/06/26
CHIUSO")</f>
        <v>lun - 01/06/26
CHIUSO</v>
      </c>
      <c r="AC41" s="712" t="str">
        <f>IFERROR(__xludf.DUMMYFUNCTION("""COMPUTED_VALUE"""),"mar - 02/06/26
CHIUSO")</f>
        <v>mar - 02/06/26
CHIUSO</v>
      </c>
      <c r="AD41" s="712" t="str">
        <f>IFERROR(__xludf.DUMMYFUNCTION("""COMPUTED_VALUE"""),"mer - 03/06/26
NO BAMBINI")</f>
        <v>mer - 03/06/26
NO BAMBINI</v>
      </c>
      <c r="AE41" s="712" t="str">
        <f>IFERROR(__xludf.DUMMYFUNCTION("""COMPUTED_VALUE"""),"gio - 04/06/26
NO BAMBINI")</f>
        <v>gio - 04/06/26
NO BAMBINI</v>
      </c>
      <c r="AF41" s="712" t="str">
        <f>IFERROR(__xludf.DUMMYFUNCTION("""COMPUTED_VALUE"""),"ven - 05/06/26
NO BAMBINI")</f>
        <v>ven - 05/06/26
NO BAMBINI</v>
      </c>
      <c r="AG41" s="712" t="str">
        <f>IFERROR(__xludf.DUMMYFUNCTION("""COMPUTED_VALUE"""),"sab - 06/06/26
NO BAMBINI")</f>
        <v>sab - 06/06/26
NO BAMBINI</v>
      </c>
      <c r="AH41" s="712" t="str">
        <f>IFERROR(__xludf.DUMMYFUNCTION("""COMPUTED_VALUE"""),"dom - 07/06/26")</f>
        <v>dom - 07/06/26</v>
      </c>
    </row>
    <row r="42">
      <c r="A42" s="48"/>
      <c r="B42" s="48"/>
      <c r="C42" s="711" t="str">
        <f>IFERROR(__xludf.DUMMYFUNCTION("""COMPUTED_VALUE"""),"12:00")</f>
        <v>12:00</v>
      </c>
      <c r="D42" s="48"/>
      <c r="E42" s="711"/>
      <c r="F42" s="712" t="str">
        <f>IFERROR(__xludf.DUMMYFUNCTION("""COMPUTED_VALUE"""),"17:00")</f>
        <v>17:00</v>
      </c>
      <c r="G42" s="721"/>
      <c r="H42" s="721"/>
      <c r="I42" s="721"/>
      <c r="J42" s="48"/>
      <c r="K42" s="721"/>
      <c r="L42" s="48"/>
      <c r="M42" s="48"/>
      <c r="N42" s="719"/>
      <c r="O42" s="48"/>
      <c r="P42" s="719">
        <f>IFERROR(__xludf.DUMMYFUNCTION("""COMPUTED_VALUE"""),1540.0)</f>
        <v>1540</v>
      </c>
      <c r="Q42" s="48"/>
      <c r="R42" s="711" t="str">
        <f>IFERROR(__xludf.DUMMYFUNCTION("""COMPUTED_VALUE"""),"2526MODULOLUN10.Y")</f>
        <v>2526MODULOLUN10.Y</v>
      </c>
      <c r="S42" s="711">
        <f>IFERROR(__xludf.DUMMYFUNCTION("""COMPUTED_VALUE"""),40.0)</f>
        <v>40</v>
      </c>
      <c r="T42" s="721" t="str">
        <f>IFERROR(__xludf.DUMMYFUNCTION("""COMPUTED_VALUE"""),"2526MODULOLUN10.Y")</f>
        <v>2526MODULOLUN10.Y</v>
      </c>
      <c r="U42" s="48"/>
      <c r="V42" s="711"/>
      <c r="W42" s="48"/>
      <c r="X42" s="48"/>
      <c r="Y42" s="48" t="str">
        <f>IFERROR(__xludf.DUMMYFUNCTION("""COMPUTED_VALUE"""),"Gioco Ginnastica")</f>
        <v>Gioco Ginnastica</v>
      </c>
      <c r="Z42" s="716" t="str">
        <f>IFERROR(__xludf.DUMMYFUNCTION("""COMPUTED_VALUE"""),"Giulio Gariano")</f>
        <v>Giulio Gariano</v>
      </c>
      <c r="AA42" s="48">
        <f>IFERROR(__xludf.DUMMYFUNCTION("""COMPUTED_VALUE"""),41.0)</f>
        <v>41</v>
      </c>
      <c r="AB42" s="712" t="str">
        <f>IFERROR(__xludf.DUMMYFUNCTION("""COMPUTED_VALUE"""),"lun - 08/06/26
NO BAMBINI")</f>
        <v>lun - 08/06/26
NO BAMBINI</v>
      </c>
      <c r="AC42" s="712" t="str">
        <f>IFERROR(__xludf.DUMMYFUNCTION("""COMPUTED_VALUE"""),"mar - 09/06/26
NO BAMBINI")</f>
        <v>mar - 09/06/26
NO BAMBINI</v>
      </c>
      <c r="AD42" s="712" t="str">
        <f>IFERROR(__xludf.DUMMYFUNCTION("""COMPUTED_VALUE"""),"mer - 10/06/26
NO BAMBINI")</f>
        <v>mer - 10/06/26
NO BAMBINI</v>
      </c>
      <c r="AE42" s="712" t="str">
        <f>IFERROR(__xludf.DUMMYFUNCTION("""COMPUTED_VALUE"""),"gio - 11/06/26
NO BAMBINI")</f>
        <v>gio - 11/06/26
NO BAMBINI</v>
      </c>
      <c r="AF42" s="712" t="str">
        <f>IFERROR(__xludf.DUMMYFUNCTION("""COMPUTED_VALUE"""),"ven - 12/06/26
SAGGI
NO BAMBINI")</f>
        <v>ven - 12/06/26
SAGGI
NO BAMBINI</v>
      </c>
      <c r="AG42" s="712" t="str">
        <f>IFERROR(__xludf.DUMMYFUNCTION("""COMPUTED_VALUE"""),"sab - 13/06/26
SAGGI
NO BAMBINI")</f>
        <v>sab - 13/06/26
SAGGI
NO BAMBINI</v>
      </c>
      <c r="AH42" s="712" t="str">
        <f>IFERROR(__xludf.DUMMYFUNCTION("""COMPUTED_VALUE"""),"dom - 14/06/26
SAGGI CHIUSO")</f>
        <v>dom - 14/06/26
SAGGI CHIUSO</v>
      </c>
    </row>
    <row r="43">
      <c r="A43" s="48"/>
      <c r="B43" s="48"/>
      <c r="C43" s="711" t="str">
        <f>IFERROR(__xludf.DUMMYFUNCTION("""COMPUTED_VALUE"""),"12:10")</f>
        <v>12:10</v>
      </c>
      <c r="D43" s="48"/>
      <c r="E43" s="711"/>
      <c r="F43" s="712" t="str">
        <f>IFERROR(__xludf.DUMMYFUNCTION("""COMPUTED_VALUE"""),"17:15")</f>
        <v>17:15</v>
      </c>
      <c r="G43" s="721"/>
      <c r="H43" s="721"/>
      <c r="I43" s="721"/>
      <c r="J43" s="48"/>
      <c r="K43" s="721"/>
      <c r="L43" s="48"/>
      <c r="M43" s="48"/>
      <c r="N43" s="719"/>
      <c r="O43" s="48"/>
      <c r="P43" s="719">
        <f>IFERROR(__xludf.DUMMYFUNCTION("""COMPUTED_VALUE"""),1260.0)</f>
        <v>1260</v>
      </c>
      <c r="Q43" s="48"/>
      <c r="R43" s="48"/>
      <c r="S43" s="711" t="str">
        <f>IFERROR(__xludf.DUMMYFUNCTION("""COMPUTED_VALUE"""),"")</f>
        <v/>
      </c>
      <c r="T43" s="721"/>
      <c r="U43" s="48"/>
      <c r="V43" s="711"/>
      <c r="W43" s="48"/>
      <c r="X43" s="48"/>
      <c r="Y43" s="48" t="str">
        <f>IFERROR(__xludf.DUMMYFUNCTION("""COMPUTED_VALUE"""),"Girly")</f>
        <v>Girly</v>
      </c>
      <c r="Z43" s="716" t="str">
        <f>IFERROR(__xludf.DUMMYFUNCTION("""COMPUTED_VALUE"""),"Giusy Palazzotto")</f>
        <v>Giusy Palazzotto</v>
      </c>
      <c r="AA43" s="48">
        <f>IFERROR(__xludf.DUMMYFUNCTION("""COMPUTED_VALUE"""),42.0)</f>
        <v>42</v>
      </c>
      <c r="AB43" s="712" t="str">
        <f>IFERROR(__xludf.DUMMYFUNCTION("""COMPUTED_VALUE"""),"lun - 15/06/26
NO BAMBINI")</f>
        <v>lun - 15/06/26
NO BAMBINI</v>
      </c>
      <c r="AC43" s="712" t="str">
        <f>IFERROR(__xludf.DUMMYFUNCTION("""COMPUTED_VALUE"""),"mar - 16/06/26
NO BAMBINI")</f>
        <v>mar - 16/06/26
NO BAMBINI</v>
      </c>
      <c r="AD43" s="712" t="str">
        <f>IFERROR(__xludf.DUMMYFUNCTION("""COMPUTED_VALUE"""),"mer - 17/06/26
NO BAMBINI")</f>
        <v>mer - 17/06/26
NO BAMBINI</v>
      </c>
      <c r="AE43" s="712" t="str">
        <f>IFERROR(__xludf.DUMMYFUNCTION("""COMPUTED_VALUE"""),"gio - 18/06/26
NO BAMBINI")</f>
        <v>gio - 18/06/26
NO BAMBINI</v>
      </c>
      <c r="AF43" s="712" t="str">
        <f>IFERROR(__xludf.DUMMYFUNCTION("""COMPUTED_VALUE"""),"ven - 19/06/26
NO BAMBINI")</f>
        <v>ven - 19/06/26
NO BAMBINI</v>
      </c>
      <c r="AG43" s="712" t="str">
        <f>IFERROR(__xludf.DUMMYFUNCTION("""COMPUTED_VALUE"""),"sab - 20/06/26
NO BAMBINI")</f>
        <v>sab - 20/06/26
NO BAMBINI</v>
      </c>
      <c r="AH43" s="712" t="str">
        <f>IFERROR(__xludf.DUMMYFUNCTION("""COMPUTED_VALUE"""),"dom - 21/06/26")</f>
        <v>dom - 21/06/26</v>
      </c>
    </row>
    <row r="44">
      <c r="A44" s="48"/>
      <c r="B44" s="48"/>
      <c r="C44" s="711" t="str">
        <f>IFERROR(__xludf.DUMMYFUNCTION("""COMPUTED_VALUE"""),"12:15")</f>
        <v>12:15</v>
      </c>
      <c r="D44" s="48"/>
      <c r="E44" s="711"/>
      <c r="F44" s="711" t="str">
        <f>IFERROR(__xludf.DUMMYFUNCTION("""COMPUTED_VALUE"""),"17:20")</f>
        <v>17:20</v>
      </c>
      <c r="G44" s="721"/>
      <c r="H44" s="721"/>
      <c r="I44" s="721"/>
      <c r="J44" s="48"/>
      <c r="K44" s="721"/>
      <c r="L44" s="48"/>
      <c r="M44" s="48"/>
      <c r="N44" s="719"/>
      <c r="O44" s="48"/>
      <c r="P44" s="719">
        <f>IFERROR(__xludf.DUMMYFUNCTION("""COMPUTED_VALUE"""),1170.0)</f>
        <v>1170</v>
      </c>
      <c r="Q44" s="48"/>
      <c r="R44" s="711" t="str">
        <f>IFERROR(__xludf.DUMMYFUNCTION("""COMPUTED_VALUE"""),"2526MODULOLUN10.Y")</f>
        <v>2526MODULOLUN10.Y</v>
      </c>
      <c r="S44" s="711">
        <f>IFERROR(__xludf.DUMMYFUNCTION("""COMPUTED_VALUE"""),40.0)</f>
        <v>40</v>
      </c>
      <c r="T44" s="721" t="str">
        <f>IFERROR(__xludf.DUMMYFUNCTION("""COMPUTED_VALUE"""),"2526MODULOLUN10.Y")</f>
        <v>2526MODULOLUN10.Y</v>
      </c>
      <c r="U44" s="48"/>
      <c r="V44" s="711"/>
      <c r="W44" s="48"/>
      <c r="X44" s="48"/>
      <c r="Y44" s="48" t="str">
        <f>IFERROR(__xludf.DUMMYFUNCTION("""COMPUTED_VALUE"""),"Heels")</f>
        <v>Heels</v>
      </c>
      <c r="Z44" s="714" t="str">
        <f>IFERROR(__xludf.DUMMYFUNCTION("""COMPUTED_VALUE"""),"Giusy Randazzo")</f>
        <v>Giusy Randazzo</v>
      </c>
      <c r="AA44" s="48">
        <f>IFERROR(__xludf.DUMMYFUNCTION("""COMPUTED_VALUE"""),43.0)</f>
        <v>43</v>
      </c>
      <c r="AB44" s="712" t="str">
        <f>IFERROR(__xludf.DUMMYFUNCTION("""COMPUTED_VALUE"""),"lun - 22/06/26
NO BAMBINI")</f>
        <v>lun - 22/06/26
NO BAMBINI</v>
      </c>
      <c r="AC44" s="712" t="str">
        <f>IFERROR(__xludf.DUMMYFUNCTION("""COMPUTED_VALUE"""),"mar - 23/06/26
NO BAMBINI")</f>
        <v>mar - 23/06/26
NO BAMBINI</v>
      </c>
      <c r="AD44" s="712" t="str">
        <f>IFERROR(__xludf.DUMMYFUNCTION("""COMPUTED_VALUE"""),"mer - 24/06/26
NO BAMBINI")</f>
        <v>mer - 24/06/26
NO BAMBINI</v>
      </c>
      <c r="AE44" s="712" t="str">
        <f>IFERROR(__xludf.DUMMYFUNCTION("""COMPUTED_VALUE"""),"gio - 25/06/26
NO BAMBINI")</f>
        <v>gio - 25/06/26
NO BAMBINI</v>
      </c>
      <c r="AF44" s="712" t="str">
        <f>IFERROR(__xludf.DUMMYFUNCTION("""COMPUTED_VALUE"""),"ven - 26/06/26
NO BAMBINI")</f>
        <v>ven - 26/06/26
NO BAMBINI</v>
      </c>
      <c r="AG44" s="712" t="str">
        <f>IFERROR(__xludf.DUMMYFUNCTION("""COMPUTED_VALUE"""),"sab - 27/06/26
NO BAMBINI")</f>
        <v>sab - 27/06/26
NO BAMBINI</v>
      </c>
      <c r="AH44" s="712" t="str">
        <f>IFERROR(__xludf.DUMMYFUNCTION("""COMPUTED_VALUE"""),"dom - 28/06/26")</f>
        <v>dom - 28/06/26</v>
      </c>
    </row>
    <row r="45">
      <c r="A45" s="48"/>
      <c r="B45" s="48"/>
      <c r="C45" s="711" t="str">
        <f>IFERROR(__xludf.DUMMYFUNCTION("""COMPUTED_VALUE"""),"12:20")</f>
        <v>12:20</v>
      </c>
      <c r="D45" s="48"/>
      <c r="E45" s="711"/>
      <c r="F45" s="711" t="str">
        <f>IFERROR(__xludf.DUMMYFUNCTION("""COMPUTED_VALUE"""),"17:50")</f>
        <v>17:50</v>
      </c>
      <c r="G45" s="721"/>
      <c r="H45" s="721"/>
      <c r="I45" s="721"/>
      <c r="J45" s="48"/>
      <c r="K45" s="721"/>
      <c r="L45" s="48"/>
      <c r="M45" s="48"/>
      <c r="N45" s="719"/>
      <c r="O45" s="48"/>
      <c r="P45" s="719">
        <f>IFERROR(__xludf.DUMMYFUNCTION("""COMPUTED_VALUE"""),0.0)</f>
        <v>0</v>
      </c>
      <c r="Q45" s="48"/>
      <c r="R45" s="711" t="str">
        <f>IFERROR(__xludf.DUMMYFUNCTION("""COMPUTED_VALUE"""),"2526MODULOLUN10.Y")</f>
        <v>2526MODULOLUN10.Y</v>
      </c>
      <c r="S45" s="711">
        <f>IFERROR(__xludf.DUMMYFUNCTION("""COMPUTED_VALUE"""),40.0)</f>
        <v>40</v>
      </c>
      <c r="T45" s="721" t="str">
        <f>IFERROR(__xludf.DUMMYFUNCTION("""COMPUTED_VALUE"""),"2526MODULOLUN10.Y")</f>
        <v>2526MODULOLUN10.Y</v>
      </c>
      <c r="U45" s="48"/>
      <c r="V45" s="711"/>
      <c r="W45" s="48"/>
      <c r="X45" s="48"/>
      <c r="Y45" s="48" t="str">
        <f>IFERROR(__xludf.DUMMYFUNCTION("""COMPUTED_VALUE"""),"Hip Hop")</f>
        <v>Hip Hop</v>
      </c>
      <c r="Z45" s="714" t="str">
        <f>IFERROR(__xludf.DUMMYFUNCTION("""COMPUTED_VALUE"""),"Greta Bonacina")</f>
        <v>Greta Bonacina</v>
      </c>
      <c r="AA45" s="48">
        <f>IFERROR(__xludf.DUMMYFUNCTION("""COMPUTED_VALUE"""),44.0)</f>
        <v>44</v>
      </c>
      <c r="AB45" s="712" t="str">
        <f>IFERROR(__xludf.DUMMYFUNCTION("""COMPUTED_VALUE"""),"lun - 29/06/26
NO BAMBINI")</f>
        <v>lun - 29/06/26
NO BAMBINI</v>
      </c>
      <c r="AC45" s="711" t="str">
        <f>IFERROR(__xludf.DUMMYFUNCTION("""COMPUTED_VALUE"""),"mar - 30/06/26
NO BAMBINI")</f>
        <v>mar - 30/06/26
NO BAMBINI</v>
      </c>
      <c r="AD45" s="711"/>
      <c r="AE45" s="711"/>
      <c r="AF45" s="711"/>
      <c r="AG45" s="711"/>
      <c r="AH45" s="711"/>
    </row>
    <row r="46">
      <c r="A46" s="48"/>
      <c r="B46" s="48"/>
      <c r="C46" s="711" t="str">
        <f>IFERROR(__xludf.DUMMYFUNCTION("""COMPUTED_VALUE"""),"12:30")</f>
        <v>12:30</v>
      </c>
      <c r="D46" s="48"/>
      <c r="E46" s="711"/>
      <c r="F46" s="711" t="str">
        <f>IFERROR(__xludf.DUMMYFUNCTION("""COMPUTED_VALUE"""),"18:00")</f>
        <v>18:00</v>
      </c>
      <c r="G46" s="721"/>
      <c r="H46" s="721"/>
      <c r="I46" s="721"/>
      <c r="J46" s="48"/>
      <c r="K46" s="721"/>
      <c r="L46" s="48"/>
      <c r="M46" s="48"/>
      <c r="N46" s="719"/>
      <c r="O46" s="48"/>
      <c r="P46" s="719" t="str">
        <f>IFERROR(__xludf.DUMMYFUNCTION("""COMPUTED_VALUE""")," ")</f>
        <v/>
      </c>
      <c r="Q46" s="48"/>
      <c r="R46" s="48"/>
      <c r="S46" s="711" t="str">
        <f>IFERROR(__xludf.DUMMYFUNCTION("""COMPUTED_VALUE"""),"")</f>
        <v/>
      </c>
      <c r="T46" s="721"/>
      <c r="U46" s="48"/>
      <c r="V46" s="711"/>
      <c r="W46" s="48"/>
      <c r="X46" s="48"/>
      <c r="Y46" s="48" t="str">
        <f>IFERROR(__xludf.DUMMYFUNCTION("""COMPUTED_VALUE"""),"House Dance")</f>
        <v>House Dance</v>
      </c>
      <c r="Z46" s="716" t="str">
        <f>IFERROR(__xludf.DUMMYFUNCTION("""COMPUTED_VALUE"""),"Ilaria Malin")</f>
        <v>Ilaria Malin</v>
      </c>
      <c r="AA46" s="48">
        <f>IFERROR(__xludf.DUMMYFUNCTION("""COMPUTED_VALUE"""),45.0)</f>
        <v>45</v>
      </c>
      <c r="AB46" s="711"/>
      <c r="AC46" s="711"/>
      <c r="AD46" s="711"/>
      <c r="AE46" s="711"/>
      <c r="AF46" s="711"/>
      <c r="AG46" s="711"/>
      <c r="AH46" s="711"/>
    </row>
    <row r="47">
      <c r="A47" s="48"/>
      <c r="B47" s="48"/>
      <c r="C47" s="711" t="str">
        <f>IFERROR(__xludf.DUMMYFUNCTION("""COMPUTED_VALUE"""),"12:40")</f>
        <v>12:40</v>
      </c>
      <c r="D47" s="48"/>
      <c r="E47" s="711"/>
      <c r="F47" s="711" t="str">
        <f>IFERROR(__xludf.DUMMYFUNCTION("""COMPUTED_VALUE"""),"18:20")</f>
        <v>18:20</v>
      </c>
      <c r="G47" s="721"/>
      <c r="H47" s="721"/>
      <c r="I47" s="721"/>
      <c r="J47" s="48"/>
      <c r="K47" s="721"/>
      <c r="L47" s="48"/>
      <c r="M47" s="48"/>
      <c r="N47" s="719"/>
      <c r="O47" s="48"/>
      <c r="P47" s="719">
        <f>IFERROR(__xludf.DUMMYFUNCTION("""COMPUTED_VALUE"""),370.0)</f>
        <v>370</v>
      </c>
      <c r="Q47" s="48"/>
      <c r="R47" s="48"/>
      <c r="S47" s="711" t="str">
        <f>IFERROR(__xludf.DUMMYFUNCTION("""COMPUTED_VALUE"""),"")</f>
        <v/>
      </c>
      <c r="T47" s="721"/>
      <c r="U47" s="48"/>
      <c r="V47" s="711"/>
      <c r="W47" s="48"/>
      <c r="X47" s="48"/>
      <c r="Y47" s="48" t="str">
        <f>IFERROR(__xludf.DUMMYFUNCTION("""COMPUTED_VALUE"""),"In Forma Ballando")</f>
        <v>In Forma Ballando</v>
      </c>
      <c r="Z47" s="716" t="str">
        <f>IFERROR(__xludf.DUMMYFUNCTION("""COMPUTED_VALUE"""),"Irene Roberti")</f>
        <v>Irene Roberti</v>
      </c>
      <c r="AA47" s="48">
        <f>IFERROR(__xludf.DUMMYFUNCTION("""COMPUTED_VALUE"""),46.0)</f>
        <v>46</v>
      </c>
      <c r="AB47" s="711"/>
      <c r="AC47" s="711"/>
      <c r="AD47" s="711"/>
      <c r="AE47" s="711"/>
      <c r="AF47" s="711"/>
      <c r="AG47" s="711"/>
      <c r="AH47" s="711"/>
    </row>
    <row r="48">
      <c r="A48" s="48"/>
      <c r="B48" s="48"/>
      <c r="C48" s="711" t="str">
        <f>IFERROR(__xludf.DUMMYFUNCTION("""COMPUTED_VALUE"""),"12:45")</f>
        <v>12:45</v>
      </c>
      <c r="D48" s="48"/>
      <c r="E48" s="711"/>
      <c r="F48" s="711" t="str">
        <f>IFERROR(__xludf.DUMMYFUNCTION("""COMPUTED_VALUE"""),"18:50")</f>
        <v>18:50</v>
      </c>
      <c r="G48" s="721"/>
      <c r="H48" s="721"/>
      <c r="I48" s="721"/>
      <c r="J48" s="48"/>
      <c r="K48" s="721"/>
      <c r="L48" s="48"/>
      <c r="M48" s="48"/>
      <c r="N48" s="719"/>
      <c r="O48" s="48"/>
      <c r="P48" s="719">
        <f>IFERROR(__xludf.DUMMYFUNCTION("""COMPUTED_VALUE"""),640.0)</f>
        <v>640</v>
      </c>
      <c r="Q48" s="48"/>
      <c r="R48" s="711" t="str">
        <f>IFERROR(__xludf.DUMMYFUNCTION("""COMPUTED_VALUE"""),"2526MODULOLUN10.Y")</f>
        <v>2526MODULOLUN10.Y</v>
      </c>
      <c r="S48" s="711">
        <f>IFERROR(__xludf.DUMMYFUNCTION("""COMPUTED_VALUE"""),40.0)</f>
        <v>40</v>
      </c>
      <c r="T48" s="721" t="str">
        <f>IFERROR(__xludf.DUMMYFUNCTION("""COMPUTED_VALUE"""),"2526MODULOLUN10.Y")</f>
        <v>2526MODULOLUN10.Y</v>
      </c>
      <c r="U48" s="48"/>
      <c r="V48" s="711"/>
      <c r="W48" s="48"/>
      <c r="X48" s="48"/>
      <c r="Y48" s="48" t="str">
        <f>IFERROR(__xludf.DUMMYFUNCTION("""COMPUTED_VALUE"""),"K-Pop")</f>
        <v>K-Pop</v>
      </c>
      <c r="Z48" s="716" t="str">
        <f>IFERROR(__xludf.DUMMYFUNCTION("""COMPUTED_VALUE"""),"Jorge Avila")</f>
        <v>Jorge Avila</v>
      </c>
      <c r="AA48" s="48">
        <f>IFERROR(__xludf.DUMMYFUNCTION("""COMPUTED_VALUE"""),47.0)</f>
        <v>47</v>
      </c>
      <c r="AB48" s="711"/>
      <c r="AC48" s="711"/>
      <c r="AD48" s="711"/>
      <c r="AE48" s="711"/>
      <c r="AF48" s="711"/>
      <c r="AG48" s="711"/>
      <c r="AH48" s="711"/>
    </row>
    <row r="49">
      <c r="A49" s="48"/>
      <c r="B49" s="48"/>
      <c r="C49" s="711" t="str">
        <f>IFERROR(__xludf.DUMMYFUNCTION("""COMPUTED_VALUE"""),"12:50")</f>
        <v>12:50</v>
      </c>
      <c r="D49" s="48"/>
      <c r="E49" s="711"/>
      <c r="F49" s="711" t="str">
        <f>IFERROR(__xludf.DUMMYFUNCTION("""COMPUTED_VALUE"""),"19:20")</f>
        <v>19:20</v>
      </c>
      <c r="G49" s="721"/>
      <c r="H49" s="721"/>
      <c r="I49" s="721"/>
      <c r="J49" s="48"/>
      <c r="K49" s="721"/>
      <c r="L49" s="48"/>
      <c r="M49" s="48"/>
      <c r="N49" s="719"/>
      <c r="O49" s="48"/>
      <c r="P49" s="719">
        <f>IFERROR(__xludf.DUMMYFUNCTION("""COMPUTED_VALUE"""),900.0)</f>
        <v>900</v>
      </c>
      <c r="Q49" s="48"/>
      <c r="R49" s="711" t="str">
        <f>IFERROR(__xludf.DUMMYFUNCTION("""COMPUTED_VALUE"""),"2526SEABRALUN10.Y")</f>
        <v>2526SEABRALUN10.Y</v>
      </c>
      <c r="S49" s="711">
        <f>IFERROR(__xludf.DUMMYFUNCTION("""COMPUTED_VALUE"""),20.0)</f>
        <v>20</v>
      </c>
      <c r="T49" s="721" t="str">
        <f>IFERROR(__xludf.DUMMYFUNCTION("""COMPUTED_VALUE"""),"2526SEABRALUN10.Y")</f>
        <v>2526SEABRALUN10.Y</v>
      </c>
      <c r="U49" s="48"/>
      <c r="V49" s="711"/>
      <c r="W49" s="48"/>
      <c r="X49" s="48"/>
      <c r="Y49" s="48" t="str">
        <f>IFERROR(__xludf.DUMMYFUNCTION("""COMPUTED_VALUE"""),"Lindy Hop")</f>
        <v>Lindy Hop</v>
      </c>
      <c r="Z49" s="714" t="str">
        <f>IFERROR(__xludf.DUMMYFUNCTION("""COMPUTED_VALUE"""),"Katia Antonucci")</f>
        <v>Katia Antonucci</v>
      </c>
      <c r="AA49" s="48">
        <f>IFERROR(__xludf.DUMMYFUNCTION("""COMPUTED_VALUE"""),48.0)</f>
        <v>48</v>
      </c>
      <c r="AB49" s="711"/>
      <c r="AC49" s="711"/>
      <c r="AD49" s="711"/>
      <c r="AE49" s="711"/>
      <c r="AF49" s="711"/>
      <c r="AG49" s="711"/>
      <c r="AH49" s="711"/>
    </row>
    <row r="50">
      <c r="A50" s="48"/>
      <c r="B50" s="48"/>
      <c r="C50" s="711" t="str">
        <f>IFERROR(__xludf.DUMMYFUNCTION("""COMPUTED_VALUE"""),"13:00")</f>
        <v>13:00</v>
      </c>
      <c r="D50" s="48"/>
      <c r="E50" s="711"/>
      <c r="F50" s="711" t="str">
        <f>IFERROR(__xludf.DUMMYFUNCTION("""COMPUTED_VALUE"""),"19:50")</f>
        <v>19:50</v>
      </c>
      <c r="G50" s="721"/>
      <c r="H50" s="721"/>
      <c r="I50" s="721"/>
      <c r="J50" s="48"/>
      <c r="K50" s="721"/>
      <c r="L50" s="48"/>
      <c r="M50" s="48"/>
      <c r="N50" s="719"/>
      <c r="O50" s="48"/>
      <c r="P50" s="719">
        <f>IFERROR(__xludf.DUMMYFUNCTION("""COMPUTED_VALUE"""),390.0)</f>
        <v>390</v>
      </c>
      <c r="Q50" s="48"/>
      <c r="R50" s="48"/>
      <c r="S50" s="711" t="str">
        <f>IFERROR(__xludf.DUMMYFUNCTION("""COMPUTED_VALUE"""),"")</f>
        <v/>
      </c>
      <c r="T50" s="721"/>
      <c r="U50" s="48"/>
      <c r="V50" s="711"/>
      <c r="W50" s="48"/>
      <c r="X50" s="48"/>
      <c r="Y50" s="48" t="str">
        <f>IFERROR(__xludf.DUMMYFUNCTION("""COMPUTED_VALUE"""),"Mamacita Company")</f>
        <v>Mamacita Company</v>
      </c>
      <c r="Z50" s="716" t="str">
        <f>IFERROR(__xludf.DUMMYFUNCTION("""COMPUTED_VALUE"""),"Leonardo Tazzi")</f>
        <v>Leonardo Tazzi</v>
      </c>
      <c r="AA50" s="48" t="str">
        <f>IFERROR(__xludf.DUMMYFUNCTION("""COMPUTED_VALUE"""),"TOTALE
Lezioni Adulti")</f>
        <v>TOTALE
Lezioni Adulti</v>
      </c>
      <c r="AB50" s="711">
        <f>IFERROR(__xludf.DUMMYFUNCTION("""COMPUTED_VALUE"""),36.0)</f>
        <v>36</v>
      </c>
      <c r="AC50" s="711">
        <f>IFERROR(__xludf.DUMMYFUNCTION("""COMPUTED_VALUE"""),38.0)</f>
        <v>38</v>
      </c>
      <c r="AD50" s="711">
        <f>IFERROR(__xludf.DUMMYFUNCTION("""COMPUTED_VALUE"""),38.0)</f>
        <v>38</v>
      </c>
      <c r="AE50" s="711">
        <f>IFERROR(__xludf.DUMMYFUNCTION("""COMPUTED_VALUE"""),38.0)</f>
        <v>38</v>
      </c>
      <c r="AF50" s="711">
        <f>IFERROR(__xludf.DUMMYFUNCTION("""COMPUTED_VALUE"""),37.0)</f>
        <v>37</v>
      </c>
      <c r="AG50" s="711">
        <f>IFERROR(__xludf.DUMMYFUNCTION("""COMPUTED_VALUE"""),34.0)</f>
        <v>34</v>
      </c>
      <c r="AH50" s="711">
        <f>IFERROR(__xludf.DUMMYFUNCTION("""COMPUTED_VALUE"""),30.0)</f>
        <v>30</v>
      </c>
    </row>
    <row r="51">
      <c r="A51" s="48"/>
      <c r="B51" s="48"/>
      <c r="C51" s="711" t="str">
        <f>IFERROR(__xludf.DUMMYFUNCTION("""COMPUTED_VALUE"""),"13:10")</f>
        <v>13:10</v>
      </c>
      <c r="D51" s="48"/>
      <c r="E51" s="711"/>
      <c r="F51" s="711" t="str">
        <f>IFERROR(__xludf.DUMMYFUNCTION("""COMPUTED_VALUE"""),"20:20")</f>
        <v>20:20</v>
      </c>
      <c r="G51" s="721"/>
      <c r="H51" s="721"/>
      <c r="I51" s="721"/>
      <c r="J51" s="48" t="str">
        <f>IFERROR(__xludf.DUMMYFUNCTION("""COMPUTED_VALUE"""),"Nuovo o Rinnovo")</f>
        <v>Nuovo o Rinnovo</v>
      </c>
      <c r="K51" s="721"/>
      <c r="L51" s="48"/>
      <c r="M51" s="48" t="str">
        <f>IFERROR(__xludf.DUMMYFUNCTION("""COMPUTED_VALUE"""),"CHI SCRIVE SU ATHENA")</f>
        <v>CHI SCRIVE SU ATHENA</v>
      </c>
      <c r="N51" s="719"/>
      <c r="O51" s="48"/>
      <c r="P51" s="719">
        <f>IFERROR(__xludf.DUMMYFUNCTION("""COMPUTED_VALUE"""),680.0)</f>
        <v>680</v>
      </c>
      <c r="Q51" s="48"/>
      <c r="R51" s="48"/>
      <c r="S51" s="711" t="str">
        <f>IFERROR(__xludf.DUMMYFUNCTION("""COMPUTED_VALUE"""),"")</f>
        <v/>
      </c>
      <c r="T51" s="721"/>
      <c r="U51" s="48"/>
      <c r="V51" s="711"/>
      <c r="W51" s="48"/>
      <c r="X51" s="48"/>
      <c r="Y51" s="48" t="str">
        <f>IFERROR(__xludf.DUMMYFUNCTION("""COMPUTED_VALUE"""),"Masala Bhangra")</f>
        <v>Masala Bhangra</v>
      </c>
      <c r="Z51" s="714" t="str">
        <f>IFERROR(__xludf.DUMMYFUNCTION("""COMPUTED_VALUE"""),"Luciana Muzio")</f>
        <v>Luciana Muzio</v>
      </c>
      <c r="AA51" s="48" t="str">
        <f>IFERROR(__xludf.DUMMYFUNCTION("""COMPUTED_VALUE"""),"TOTALE
Lezioni Bambini")</f>
        <v>TOTALE
Lezioni Bambini</v>
      </c>
      <c r="AB51" s="711">
        <f>IFERROR(__xludf.DUMMYFUNCTION("""COMPUTED_VALUE"""),31.0)</f>
        <v>31</v>
      </c>
      <c r="AC51" s="711">
        <f>IFERROR(__xludf.DUMMYFUNCTION("""COMPUTED_VALUE"""),33.0)</f>
        <v>33</v>
      </c>
      <c r="AD51" s="711">
        <f>IFERROR(__xludf.DUMMYFUNCTION("""COMPUTED_VALUE"""),34.0)</f>
        <v>34</v>
      </c>
      <c r="AE51" s="711">
        <f>IFERROR(__xludf.DUMMYFUNCTION("""COMPUTED_VALUE"""),32.0)</f>
        <v>32</v>
      </c>
      <c r="AF51" s="711">
        <f>IFERROR(__xludf.DUMMYFUNCTION("""COMPUTED_VALUE"""),31.0)</f>
        <v>31</v>
      </c>
      <c r="AG51" s="711">
        <f>IFERROR(__xludf.DUMMYFUNCTION("""COMPUTED_VALUE"""),29.0)</f>
        <v>29</v>
      </c>
      <c r="AH51" s="711">
        <f>IFERROR(__xludf.DUMMYFUNCTION("""COMPUTED_VALUE"""),30.0)</f>
        <v>30</v>
      </c>
    </row>
    <row r="52">
      <c r="A52" s="48"/>
      <c r="B52" s="48"/>
      <c r="C52" s="711" t="str">
        <f>IFERROR(__xludf.DUMMYFUNCTION("""COMPUTED_VALUE"""),"13:15")</f>
        <v>13:15</v>
      </c>
      <c r="D52" s="48"/>
      <c r="E52" s="711"/>
      <c r="F52" s="711" t="str">
        <f>IFERROR(__xludf.DUMMYFUNCTION("""COMPUTED_VALUE"""),"20:50")</f>
        <v>20:50</v>
      </c>
      <c r="G52" s="721"/>
      <c r="H52" s="721"/>
      <c r="I52" s="721"/>
      <c r="J52" s="48" t="str">
        <f>IFERROR(__xludf.DUMMYFUNCTION("""COMPUTED_VALUE"""),"Nuovo - Corrente")</f>
        <v>Nuovo - Corrente</v>
      </c>
      <c r="K52" s="721"/>
      <c r="L52" s="48"/>
      <c r="M52" s="48" t="str">
        <f>IFERROR(__xludf.DUMMYFUNCTION("""COMPUTED_VALUE"""),"Alexandra CERTIFICATO")</f>
        <v>Alexandra CERTIFICATO</v>
      </c>
      <c r="N52" s="719"/>
      <c r="O52" s="48"/>
      <c r="P52" s="719">
        <f>IFERROR(__xludf.DUMMYFUNCTION("""COMPUTED_VALUE"""),960.0)</f>
        <v>960</v>
      </c>
      <c r="Q52" s="48"/>
      <c r="R52" s="48"/>
      <c r="S52" s="711" t="str">
        <f>IFERROR(__xludf.DUMMYFUNCTION("""COMPUTED_VALUE"""),"")</f>
        <v/>
      </c>
      <c r="T52" s="721"/>
      <c r="U52" s="48"/>
      <c r="V52" s="711"/>
      <c r="W52" s="48"/>
      <c r="X52" s="48"/>
      <c r="Y52" s="48" t="str">
        <f>IFERROR(__xludf.DUMMYFUNCTION("""COMPUTED_VALUE"""),"Massaggi")</f>
        <v>Massaggi</v>
      </c>
      <c r="Z52" s="716" t="str">
        <f>IFERROR(__xludf.DUMMYFUNCTION("""COMPUTED_VALUE"""),"Marcello Merighi")</f>
        <v>Marcello Merighi</v>
      </c>
      <c r="AA52" s="48"/>
      <c r="AB52" s="711"/>
      <c r="AC52" s="711"/>
      <c r="AD52" s="711"/>
      <c r="AE52" s="711"/>
      <c r="AF52" s="711"/>
      <c r="AG52" s="711"/>
      <c r="AH52" s="711"/>
    </row>
    <row r="53">
      <c r="A53" s="48"/>
      <c r="B53" s="48"/>
      <c r="C53" s="711" t="str">
        <f>IFERROR(__xludf.DUMMYFUNCTION("""COMPUTED_VALUE"""),"13:20")</f>
        <v>13:20</v>
      </c>
      <c r="D53" s="48"/>
      <c r="E53" s="711"/>
      <c r="F53" s="711" t="str">
        <f>IFERROR(__xludf.DUMMYFUNCTION("""COMPUTED_VALUE"""),"21:20")</f>
        <v>21:20</v>
      </c>
      <c r="G53" s="721"/>
      <c r="H53" s="721"/>
      <c r="I53" s="721"/>
      <c r="J53" s="48" t="str">
        <f>IFERROR(__xludf.DUMMYFUNCTION("""COMPUTED_VALUE"""),"Rinnovo - Corrente")</f>
        <v>Rinnovo - Corrente</v>
      </c>
      <c r="K53" s="721"/>
      <c r="L53" s="48"/>
      <c r="M53" s="48" t="str">
        <f>IFERROR(__xludf.DUMMYFUNCTION("""COMPUTED_VALUE"""),"Alexandra DATI")</f>
        <v>Alexandra DATI</v>
      </c>
      <c r="N53" s="719"/>
      <c r="O53" s="48"/>
      <c r="P53" s="719">
        <f>IFERROR(__xludf.DUMMYFUNCTION("""COMPUTED_VALUE"""),660.0)</f>
        <v>660</v>
      </c>
      <c r="Q53" s="48"/>
      <c r="R53" s="714" t="str">
        <f>IFERROR(__xludf.DUMMYFUNCTION("""COMPUTED_VALUE"""),"2526STANISCILUN11.F")</f>
        <v>2526STANISCILUN11.F</v>
      </c>
      <c r="S53" s="711">
        <f>IFERROR(__xludf.DUMMYFUNCTION("""COMPUTED_VALUE"""),40.0)</f>
        <v>40</v>
      </c>
      <c r="T53" s="722" t="str">
        <f>IFERROR(__xludf.DUMMYFUNCTION("""COMPUTED_VALUE"""),"2526STANISCILUN11.F")</f>
        <v>2526STANISCILUN11.F</v>
      </c>
      <c r="U53" s="48"/>
      <c r="V53" s="711"/>
      <c r="W53" s="48"/>
      <c r="X53" s="48"/>
      <c r="Y53" s="48" t="str">
        <f>IFERROR(__xludf.DUMMYFUNCTION("""COMPUTED_VALUE"""),"Men Style Bachata")</f>
        <v>Men Style Bachata</v>
      </c>
      <c r="Z53" s="716" t="str">
        <f>IFERROR(__xludf.DUMMYFUNCTION("""COMPUTED_VALUE"""),"Margherita Bordoni")</f>
        <v>Margherita Bordoni</v>
      </c>
      <c r="AA53" s="48"/>
      <c r="AB53" s="711"/>
      <c r="AC53" s="711"/>
      <c r="AD53" s="711"/>
      <c r="AE53" s="711"/>
      <c r="AF53" s="711"/>
      <c r="AG53" s="711"/>
      <c r="AH53" s="711"/>
    </row>
    <row r="54">
      <c r="A54" s="48"/>
      <c r="B54" s="48"/>
      <c r="C54" s="711" t="str">
        <f>IFERROR(__xludf.DUMMYFUNCTION("""COMPUTED_VALUE"""),"13:30")</f>
        <v>13:30</v>
      </c>
      <c r="D54" s="48"/>
      <c r="E54" s="711"/>
      <c r="F54" s="711" t="str">
        <f>IFERROR(__xludf.DUMMYFUNCTION("""COMPUTED_VALUE"""),"22:00")</f>
        <v>22:00</v>
      </c>
      <c r="G54" s="721"/>
      <c r="H54" s="721"/>
      <c r="I54" s="721"/>
      <c r="J54" s="48" t="str">
        <f>IFERROR(__xludf.DUMMYFUNCTION("""COMPUTED_VALUE"""),"Nuovo - Successiva")</f>
        <v>Nuovo - Successiva</v>
      </c>
      <c r="K54" s="721"/>
      <c r="L54" s="48"/>
      <c r="M54" s="48" t="str">
        <f>IFERROR(__xludf.DUMMYFUNCTION("""COMPUTED_VALUE"""),"Alexandra PARTECIPAZ.")</f>
        <v>Alexandra PARTECIPAZ.</v>
      </c>
      <c r="N54" s="719"/>
      <c r="O54" s="48"/>
      <c r="P54" s="719">
        <f>IFERROR(__xludf.DUMMYFUNCTION("""COMPUTED_VALUE"""),660.0)</f>
        <v>660</v>
      </c>
      <c r="Q54" s="48"/>
      <c r="R54" s="711" t="str">
        <f>IFERROR(__xludf.DUMMYFUNCTION("""COMPUTED_VALUE"""),"2526MODULOLUN11.Y")</f>
        <v>2526MODULOLUN11.Y</v>
      </c>
      <c r="S54" s="711">
        <f>IFERROR(__xludf.DUMMYFUNCTION("""COMPUTED_VALUE"""),40.0)</f>
        <v>40</v>
      </c>
      <c r="T54" s="721" t="str">
        <f>IFERROR(__xludf.DUMMYFUNCTION("""COMPUTED_VALUE"""),"2526MODULOLUN11.Y")</f>
        <v>2526MODULOLUN11.Y</v>
      </c>
      <c r="U54" s="48"/>
      <c r="V54" s="711"/>
      <c r="W54" s="48"/>
      <c r="X54" s="48"/>
      <c r="Y54" s="48" t="str">
        <f>IFERROR(__xludf.DUMMYFUNCTION("""COMPUTED_VALUE"""),"Modern Contaminato")</f>
        <v>Modern Contaminato</v>
      </c>
      <c r="Z54" s="716" t="str">
        <f>IFERROR(__xludf.DUMMYFUNCTION("""COMPUTED_VALUE"""),"Margherita Vassallo")</f>
        <v>Margherita Vassallo</v>
      </c>
      <c r="AA54" s="48"/>
      <c r="AB54" s="711"/>
      <c r="AC54" s="711"/>
      <c r="AD54" s="711"/>
      <c r="AE54" s="711"/>
      <c r="AF54" s="711"/>
      <c r="AG54" s="711"/>
      <c r="AH54" s="711"/>
    </row>
    <row r="55">
      <c r="A55" s="48"/>
      <c r="B55" s="48"/>
      <c r="C55" s="711" t="str">
        <f>IFERROR(__xludf.DUMMYFUNCTION("""COMPUTED_VALUE"""),"13:40")</f>
        <v>13:40</v>
      </c>
      <c r="D55" s="48"/>
      <c r="E55" s="711"/>
      <c r="F55" s="711" t="str">
        <f>IFERROR(__xludf.DUMMYFUNCTION("""COMPUTED_VALUE"""),"22:20")</f>
        <v>22:20</v>
      </c>
      <c r="G55" s="721"/>
      <c r="H55" s="721"/>
      <c r="I55" s="721"/>
      <c r="J55" s="48" t="str">
        <f>IFERROR(__xludf.DUMMYFUNCTION("""COMPUTED_VALUE"""),"Rinnovo - Successiva")</f>
        <v>Rinnovo - Successiva</v>
      </c>
      <c r="K55" s="721"/>
      <c r="L55" s="48"/>
      <c r="M55" s="48" t="str">
        <f>IFERROR(__xludf.DUMMYFUNCTION("""COMPUTED_VALUE"""),"Alexandra TESSERA")</f>
        <v>Alexandra TESSERA</v>
      </c>
      <c r="N55" s="719"/>
      <c r="O55" s="48"/>
      <c r="P55" s="719">
        <f>IFERROR(__xludf.DUMMYFUNCTION("""COMPUTED_VALUE"""),0.0)</f>
        <v>0</v>
      </c>
      <c r="Q55" s="48"/>
      <c r="R55" s="48"/>
      <c r="S55" s="711" t="str">
        <f>IFERROR(__xludf.DUMMYFUNCTION("""COMPUTED_VALUE"""),"")</f>
        <v/>
      </c>
      <c r="T55" s="721"/>
      <c r="U55" s="48"/>
      <c r="V55" s="711"/>
      <c r="W55" s="48"/>
      <c r="X55" s="48"/>
      <c r="Y55" s="48" t="str">
        <f>IFERROR(__xludf.DUMMYFUNCTION("""COMPUTED_VALUE"""),"Modulo Accademy")</f>
        <v>Modulo Accademy</v>
      </c>
      <c r="Z55" s="716" t="str">
        <f>IFERROR(__xludf.DUMMYFUNCTION("""COMPUTED_VALUE"""),"Martina Campobello")</f>
        <v>Martina Campobello</v>
      </c>
      <c r="AA55" s="48"/>
      <c r="AB55" s="711"/>
      <c r="AC55" s="711"/>
      <c r="AD55" s="711"/>
      <c r="AE55" s="711"/>
      <c r="AF55" s="711"/>
      <c r="AG55" s="711"/>
      <c r="AH55" s="711"/>
    </row>
    <row r="56">
      <c r="A56" s="48"/>
      <c r="B56" s="48"/>
      <c r="C56" s="711" t="str">
        <f>IFERROR(__xludf.DUMMYFUNCTION("""COMPUTED_VALUE"""),"13:45")</f>
        <v>13:45</v>
      </c>
      <c r="D56" s="48"/>
      <c r="E56" s="711"/>
      <c r="F56" s="711" t="str">
        <f>IFERROR(__xludf.DUMMYFUNCTION("""COMPUTED_VALUE"""),"22:20")</f>
        <v>22:20</v>
      </c>
      <c r="G56" s="721"/>
      <c r="H56" s="721"/>
      <c r="I56" s="721"/>
      <c r="J56" s="48"/>
      <c r="K56" s="721"/>
      <c r="L56" s="48"/>
      <c r="M56" s="48" t="str">
        <f>IFERROR(__xludf.DUMMYFUNCTION("""COMPUTED_VALUE"""),"Estefany CERTIFICATO")</f>
        <v>Estefany CERTIFICATO</v>
      </c>
      <c r="N56" s="719"/>
      <c r="O56" s="48"/>
      <c r="P56" s="719">
        <f>IFERROR(__xludf.DUMMYFUNCTION("""COMPUTED_VALUE"""),20.0)</f>
        <v>20</v>
      </c>
      <c r="Q56" s="48"/>
      <c r="R56" s="711" t="str">
        <f>IFERROR(__xludf.DUMMYFUNCTION("""COMPUTED_VALUE"""),"2526MODULOLUN11.Y")</f>
        <v>2526MODULOLUN11.Y</v>
      </c>
      <c r="S56" s="711">
        <f>IFERROR(__xludf.DUMMYFUNCTION("""COMPUTED_VALUE"""),40.0)</f>
        <v>40</v>
      </c>
      <c r="T56" s="721" t="str">
        <f>IFERROR(__xludf.DUMMYFUNCTION("""COMPUTED_VALUE"""),"2526MODULOLUN11.Y")</f>
        <v>2526MODULOLUN11.Y</v>
      </c>
      <c r="U56" s="48"/>
      <c r="V56" s="711"/>
      <c r="W56" s="48"/>
      <c r="X56" s="48"/>
      <c r="Y56" s="48" t="str">
        <f>IFERROR(__xludf.DUMMYFUNCTION("""COMPUTED_VALUE"""),"Pasitos")</f>
        <v>Pasitos</v>
      </c>
      <c r="Z56" s="716" t="str">
        <f>IFERROR(__xludf.DUMMYFUNCTION("""COMPUTED_VALUE"""),"Massimiliano Nembri")</f>
        <v>Massimiliano Nembri</v>
      </c>
      <c r="AA56" s="48"/>
      <c r="AB56" s="711"/>
      <c r="AC56" s="711"/>
      <c r="AD56" s="711"/>
      <c r="AE56" s="711"/>
      <c r="AF56" s="711"/>
      <c r="AG56" s="711"/>
      <c r="AH56" s="711"/>
    </row>
    <row r="57">
      <c r="A57" s="48"/>
      <c r="B57" s="48"/>
      <c r="C57" s="711" t="str">
        <f>IFERROR(__xludf.DUMMYFUNCTION("""COMPUTED_VALUE"""),"13:50")</f>
        <v>13:50</v>
      </c>
      <c r="D57" s="48"/>
      <c r="E57" s="711"/>
      <c r="F57" s="711" t="str">
        <f>IFERROR(__xludf.DUMMYFUNCTION("""COMPUTED_VALUE"""),"22:50")</f>
        <v>22:50</v>
      </c>
      <c r="G57" s="48"/>
      <c r="H57" s="48"/>
      <c r="I57" s="48"/>
      <c r="J57" s="48"/>
      <c r="K57" s="48"/>
      <c r="L57" s="48"/>
      <c r="M57" s="48" t="str">
        <f>IFERROR(__xludf.DUMMYFUNCTION("""COMPUTED_VALUE"""),"Estefany DATI")</f>
        <v>Estefany DATI</v>
      </c>
      <c r="N57" s="719"/>
      <c r="O57" s="48"/>
      <c r="P57" s="719">
        <f>IFERROR(__xludf.DUMMYFUNCTION("""COMPUTED_VALUE"""),25.0)</f>
        <v>25</v>
      </c>
      <c r="Q57" s="48"/>
      <c r="R57" s="711" t="str">
        <f>IFERROR(__xludf.DUMMYFUNCTION("""COMPUTED_VALUE"""),"2526MODULOLUN11.Y")</f>
        <v>2526MODULOLUN11.Y</v>
      </c>
      <c r="S57" s="711">
        <f>IFERROR(__xludf.DUMMYFUNCTION("""COMPUTED_VALUE"""),40.0)</f>
        <v>40</v>
      </c>
      <c r="T57" s="711" t="str">
        <f>IFERROR(__xludf.DUMMYFUNCTION("""COMPUTED_VALUE"""),"2526MODULOLUN11.Y")</f>
        <v>2526MODULOLUN11.Y</v>
      </c>
      <c r="U57" s="48"/>
      <c r="V57" s="711"/>
      <c r="W57" s="48"/>
      <c r="X57" s="48"/>
      <c r="Y57" s="48" t="str">
        <f>IFERROR(__xludf.DUMMYFUNCTION("""COMPUTED_VALUE"""),"Pilates")</f>
        <v>Pilates</v>
      </c>
      <c r="Z57" s="716" t="str">
        <f>IFERROR(__xludf.DUMMYFUNCTION("""COMPUTED_VALUE"""),"Nicholas Cugge")</f>
        <v>Nicholas Cugge</v>
      </c>
      <c r="AA57" s="48"/>
      <c r="AB57" s="711"/>
      <c r="AC57" s="711"/>
      <c r="AD57" s="711"/>
      <c r="AE57" s="711"/>
      <c r="AF57" s="711"/>
      <c r="AG57" s="711"/>
      <c r="AH57" s="711"/>
    </row>
    <row r="58">
      <c r="A58" s="48"/>
      <c r="B58" s="48"/>
      <c r="C58" s="711" t="str">
        <f>IFERROR(__xludf.DUMMYFUNCTION("""COMPUTED_VALUE"""),"14:00")</f>
        <v>14:00</v>
      </c>
      <c r="D58" s="48"/>
      <c r="E58" s="711"/>
      <c r="F58" s="711" t="str">
        <f>IFERROR(__xludf.DUMMYFUNCTION("""COMPUTED_VALUE"""),"23:20")</f>
        <v>23:20</v>
      </c>
      <c r="G58" s="48"/>
      <c r="H58" s="48"/>
      <c r="I58" s="48"/>
      <c r="J58" s="48"/>
      <c r="K58" s="48"/>
      <c r="L58" s="48"/>
      <c r="M58" s="48" t="str">
        <f>IFERROR(__xludf.DUMMYFUNCTION("""COMPUTED_VALUE"""),"Estefany PARTECIPAZ.")</f>
        <v>Estefany PARTECIPAZ.</v>
      </c>
      <c r="N58" s="719"/>
      <c r="O58" s="48"/>
      <c r="P58" s="719">
        <f>IFERROR(__xludf.DUMMYFUNCTION("""COMPUTED_VALUE"""),0.0)</f>
        <v>0</v>
      </c>
      <c r="Q58" s="48"/>
      <c r="R58" s="48"/>
      <c r="S58" s="711" t="str">
        <f>IFERROR(__xludf.DUMMYFUNCTION("""COMPUTED_VALUE"""),"")</f>
        <v/>
      </c>
      <c r="T58" s="48"/>
      <c r="U58" s="48"/>
      <c r="V58" s="711"/>
      <c r="W58" s="48"/>
      <c r="X58" s="48"/>
      <c r="Y58" s="48" t="str">
        <f>IFERROR(__xludf.DUMMYFUNCTION("""COMPUTED_VALUE"""),"Pole - Filly")</f>
        <v>Pole - Filly</v>
      </c>
      <c r="Z58" s="716" t="str">
        <f>IFERROR(__xludf.DUMMYFUNCTION("""COMPUTED_VALUE"""),"Perla Davide")</f>
        <v>Perla Davide</v>
      </c>
      <c r="AA58" s="48"/>
      <c r="AB58" s="711"/>
      <c r="AC58" s="711"/>
      <c r="AD58" s="711"/>
      <c r="AE58" s="711"/>
      <c r="AF58" s="711"/>
      <c r="AG58" s="711"/>
      <c r="AH58" s="711"/>
    </row>
    <row r="59">
      <c r="A59" s="48"/>
      <c r="B59" s="48"/>
      <c r="C59" s="711" t="str">
        <f>IFERROR(__xludf.DUMMYFUNCTION("""COMPUTED_VALUE"""),"14:10")</f>
        <v>14:10</v>
      </c>
      <c r="D59" s="48"/>
      <c r="E59" s="711"/>
      <c r="F59" s="711"/>
      <c r="G59" s="721"/>
      <c r="H59" s="721"/>
      <c r="I59" s="721"/>
      <c r="J59" s="48"/>
      <c r="K59" s="721"/>
      <c r="L59" s="48"/>
      <c r="M59" s="48" t="str">
        <f>IFERROR(__xludf.DUMMYFUNCTION("""COMPUTED_VALUE"""),"Estefany TESSERA")</f>
        <v>Estefany TESSERA</v>
      </c>
      <c r="N59" s="719"/>
      <c r="O59" s="48"/>
      <c r="P59" s="719">
        <f>IFERROR(__xludf.DUMMYFUNCTION("""COMPUTED_VALUE"""),0.0)</f>
        <v>0</v>
      </c>
      <c r="Q59" s="48"/>
      <c r="R59" s="48"/>
      <c r="S59" s="711" t="str">
        <f>IFERROR(__xludf.DUMMYFUNCTION("""COMPUTED_VALUE"""),"")</f>
        <v/>
      </c>
      <c r="T59" s="721"/>
      <c r="U59" s="48"/>
      <c r="V59" s="711"/>
      <c r="W59" s="48"/>
      <c r="X59" s="48"/>
      <c r="Y59" s="48" t="str">
        <f>IFERROR(__xludf.DUMMYFUNCTION("""COMPUTED_VALUE"""),"Pole Dance Gym")</f>
        <v>Pole Dance Gym</v>
      </c>
      <c r="Z59" s="716" t="str">
        <f>IFERROR(__xludf.DUMMYFUNCTION("""COMPUTED_VALUE"""),"Pietro Bonu")</f>
        <v>Pietro Bonu</v>
      </c>
      <c r="AA59" s="48"/>
      <c r="AB59" s="711"/>
      <c r="AC59" s="711"/>
      <c r="AD59" s="711"/>
      <c r="AE59" s="711"/>
      <c r="AF59" s="711"/>
      <c r="AG59" s="711"/>
      <c r="AH59" s="711"/>
    </row>
    <row r="60">
      <c r="A60" s="48"/>
      <c r="B60" s="48"/>
      <c r="C60" s="711" t="str">
        <f>IFERROR(__xludf.DUMMYFUNCTION("""COMPUTED_VALUE"""),"14:15")</f>
        <v>14:15</v>
      </c>
      <c r="D60" s="48"/>
      <c r="E60" s="711"/>
      <c r="F60" s="711"/>
      <c r="G60" s="721"/>
      <c r="H60" s="721"/>
      <c r="I60" s="721"/>
      <c r="J60" s="48"/>
      <c r="K60" s="721"/>
      <c r="L60" s="48"/>
      <c r="M60" s="48" t="str">
        <f>IFERROR(__xludf.DUMMYFUNCTION("""COMPUTED_VALUE"""),"Giuditta CERTIFICATO")</f>
        <v>Giuditta CERTIFICATO</v>
      </c>
      <c r="N60" s="719"/>
      <c r="O60" s="48"/>
      <c r="P60" s="719">
        <f>IFERROR(__xludf.DUMMYFUNCTION("""COMPUTED_VALUE"""),0.0)</f>
        <v>0</v>
      </c>
      <c r="Q60" s="48"/>
      <c r="R60" s="711" t="str">
        <f>IFERROR(__xludf.DUMMYFUNCTION("""COMPUTED_VALUE"""),"2526MODULOLUN11.Y")</f>
        <v>2526MODULOLUN11.Y</v>
      </c>
      <c r="S60" s="711">
        <f>IFERROR(__xludf.DUMMYFUNCTION("""COMPUTED_VALUE"""),40.0)</f>
        <v>40</v>
      </c>
      <c r="T60" s="721" t="str">
        <f>IFERROR(__xludf.DUMMYFUNCTION("""COMPUTED_VALUE"""),"2526MODULOLUN11.Y")</f>
        <v>2526MODULOLUN11.Y</v>
      </c>
      <c r="U60" s="48"/>
      <c r="V60" s="711"/>
      <c r="W60" s="48"/>
      <c r="X60" s="48"/>
      <c r="Y60" s="48" t="str">
        <f>IFERROR(__xludf.DUMMYFUNCTION("""COMPUTED_VALUE"""),"Portamento Heels")</f>
        <v>Portamento Heels</v>
      </c>
      <c r="Z60" s="714" t="str">
        <f>IFERROR(__xludf.DUMMYFUNCTION("""COMPUTED_VALUE"""),"Raffaella Russo")</f>
        <v>Raffaella Russo</v>
      </c>
      <c r="AA60" s="48"/>
      <c r="AB60" s="711"/>
      <c r="AC60" s="711"/>
      <c r="AD60" s="711"/>
      <c r="AE60" s="711"/>
      <c r="AF60" s="711"/>
      <c r="AG60" s="711"/>
      <c r="AH60" s="711"/>
    </row>
    <row r="61">
      <c r="A61" s="48"/>
      <c r="B61" s="48"/>
      <c r="C61" s="711" t="str">
        <f>IFERROR(__xludf.DUMMYFUNCTION("""COMPUTED_VALUE"""),"14:20")</f>
        <v>14:20</v>
      </c>
      <c r="D61" s="48"/>
      <c r="E61" s="711"/>
      <c r="F61" s="711"/>
      <c r="G61" s="721"/>
      <c r="H61" s="721"/>
      <c r="I61" s="721"/>
      <c r="J61" s="48"/>
      <c r="K61" s="721"/>
      <c r="L61" s="48"/>
      <c r="M61" s="48" t="str">
        <f>IFERROR(__xludf.DUMMYFUNCTION("""COMPUTED_VALUE"""),"Giuditta DATI")</f>
        <v>Giuditta DATI</v>
      </c>
      <c r="N61" s="719"/>
      <c r="O61" s="48"/>
      <c r="P61" s="719">
        <f>IFERROR(__xludf.DUMMYFUNCTION("""COMPUTED_VALUE"""),0.0)</f>
        <v>0</v>
      </c>
      <c r="Q61" s="48"/>
      <c r="R61" s="711" t="str">
        <f>IFERROR(__xludf.DUMMYFUNCTION("""COMPUTED_VALUE"""),"2526SEABRALUN11.Y")</f>
        <v>2526SEABRALUN11.Y</v>
      </c>
      <c r="S61" s="711">
        <f>IFERROR(__xludf.DUMMYFUNCTION("""COMPUTED_VALUE"""),20.0)</f>
        <v>20</v>
      </c>
      <c r="T61" s="721" t="str">
        <f>IFERROR(__xludf.DUMMYFUNCTION("""COMPUTED_VALUE"""),"2526SEABRALUN11.Y")</f>
        <v>2526SEABRALUN11.Y</v>
      </c>
      <c r="U61" s="48"/>
      <c r="V61" s="711"/>
      <c r="W61" s="48"/>
      <c r="X61" s="48"/>
      <c r="Y61" s="48" t="str">
        <f>IFERROR(__xludf.DUMMYFUNCTION("""COMPUTED_VALUE"""),"Prenotazione Studio")</f>
        <v>Prenotazione Studio</v>
      </c>
      <c r="Z61" s="714" t="str">
        <f>IFERROR(__xludf.DUMMYFUNCTION("""COMPUTED_VALUE"""),"Roberto Mele")</f>
        <v>Roberto Mele</v>
      </c>
      <c r="AA61" s="48"/>
      <c r="AB61" s="711"/>
      <c r="AC61" s="711"/>
      <c r="AD61" s="711"/>
      <c r="AE61" s="711"/>
      <c r="AF61" s="711"/>
      <c r="AG61" s="711"/>
      <c r="AH61" s="711"/>
    </row>
    <row r="62">
      <c r="A62" s="48"/>
      <c r="B62" s="48"/>
      <c r="C62" s="711" t="str">
        <f>IFERROR(__xludf.DUMMYFUNCTION("""COMPUTED_VALUE"""),"14:30")</f>
        <v>14:30</v>
      </c>
      <c r="D62" s="48"/>
      <c r="E62" s="711"/>
      <c r="F62" s="711"/>
      <c r="G62" s="721"/>
      <c r="H62" s="721"/>
      <c r="I62" s="721"/>
      <c r="J62" s="48"/>
      <c r="K62" s="721"/>
      <c r="L62" s="48"/>
      <c r="M62" s="48" t="str">
        <f>IFERROR(__xludf.DUMMYFUNCTION("""COMPUTED_VALUE"""),"Giuditta PARTECIPAZ.")</f>
        <v>Giuditta PARTECIPAZ.</v>
      </c>
      <c r="N62" s="719"/>
      <c r="O62" s="48"/>
      <c r="P62" s="719">
        <f>IFERROR(__xludf.DUMMYFUNCTION("""COMPUTED_VALUE"""),0.0)</f>
        <v>0</v>
      </c>
      <c r="Q62" s="48"/>
      <c r="R62" s="48"/>
      <c r="S62" s="711" t="str">
        <f>IFERROR(__xludf.DUMMYFUNCTION("""COMPUTED_VALUE"""),"")</f>
        <v/>
      </c>
      <c r="T62" s="721"/>
      <c r="U62" s="48"/>
      <c r="V62" s="711"/>
      <c r="W62" s="48"/>
      <c r="X62" s="48"/>
      <c r="Y62" s="48" t="str">
        <f>IFERROR(__xludf.DUMMYFUNCTION("""COMPUTED_VALUE"""),"Reggaeton")</f>
        <v>Reggaeton</v>
      </c>
      <c r="Z62" s="714" t="str">
        <f>IFERROR(__xludf.DUMMYFUNCTION("""COMPUTED_VALUE"""),"Ronald Almeida")</f>
        <v>Ronald Almeida</v>
      </c>
      <c r="AA62" s="48"/>
      <c r="AB62" s="711"/>
      <c r="AC62" s="711"/>
      <c r="AD62" s="711"/>
      <c r="AE62" s="711"/>
      <c r="AF62" s="711"/>
      <c r="AG62" s="711"/>
      <c r="AH62" s="711"/>
    </row>
    <row r="63">
      <c r="A63" s="48"/>
      <c r="B63" s="48"/>
      <c r="C63" s="711" t="str">
        <f>IFERROR(__xludf.DUMMYFUNCTION("""COMPUTED_VALUE"""),"14:40")</f>
        <v>14:40</v>
      </c>
      <c r="D63" s="48"/>
      <c r="E63" s="711"/>
      <c r="F63" s="711"/>
      <c r="G63" s="721"/>
      <c r="H63" s="721"/>
      <c r="I63" s="721"/>
      <c r="J63" s="48"/>
      <c r="K63" s="721"/>
      <c r="L63" s="48"/>
      <c r="M63" s="48" t="str">
        <f>IFERROR(__xludf.DUMMYFUNCTION("""COMPUTED_VALUE"""),"Giuditta TESSERA")</f>
        <v>Giuditta TESSERA</v>
      </c>
      <c r="N63" s="719"/>
      <c r="O63" s="48"/>
      <c r="P63" s="719">
        <f>IFERROR(__xludf.DUMMYFUNCTION("""COMPUTED_VALUE"""),0.0)</f>
        <v>0</v>
      </c>
      <c r="Q63" s="48"/>
      <c r="R63" s="48"/>
      <c r="S63" s="711" t="str">
        <f>IFERROR(__xludf.DUMMYFUNCTION("""COMPUTED_VALUE"""),"")</f>
        <v/>
      </c>
      <c r="T63" s="721"/>
      <c r="U63" s="48"/>
      <c r="V63" s="711"/>
      <c r="W63" s="48"/>
      <c r="X63" s="48"/>
      <c r="Y63" s="48" t="str">
        <f>IFERROR(__xludf.DUMMYFUNCTION("""COMPUTED_VALUE"""),"Salsa")</f>
        <v>Salsa</v>
      </c>
      <c r="Z63" s="716" t="str">
        <f>IFERROR(__xludf.DUMMYFUNCTION("""COMPUTED_VALUE"""),"Roy Ilagou")</f>
        <v>Roy Ilagou</v>
      </c>
      <c r="AA63" s="48"/>
      <c r="AB63" s="711"/>
      <c r="AC63" s="711"/>
      <c r="AD63" s="711"/>
      <c r="AE63" s="711"/>
      <c r="AF63" s="711"/>
      <c r="AG63" s="711"/>
      <c r="AH63" s="711"/>
    </row>
    <row r="64">
      <c r="A64" s="48"/>
      <c r="B64" s="48"/>
      <c r="C64" s="711" t="str">
        <f>IFERROR(__xludf.DUMMYFUNCTION("""COMPUTED_VALUE"""),"14:45")</f>
        <v>14:45</v>
      </c>
      <c r="D64" s="48"/>
      <c r="E64" s="711"/>
      <c r="F64" s="711"/>
      <c r="G64" s="721"/>
      <c r="H64" s="721"/>
      <c r="I64" s="721"/>
      <c r="J64" s="48"/>
      <c r="K64" s="721"/>
      <c r="L64" s="48"/>
      <c r="M64" s="48" t="str">
        <f>IFERROR(__xludf.DUMMYFUNCTION("""COMPUTED_VALUE"""),"Joel CERTIFICATO")</f>
        <v>Joel CERTIFICATO</v>
      </c>
      <c r="N64" s="719"/>
      <c r="O64" s="48"/>
      <c r="P64" s="719">
        <f>IFERROR(__xludf.DUMMYFUNCTION("""COMPUTED_VALUE"""),0.0)</f>
        <v>0</v>
      </c>
      <c r="Q64" s="48"/>
      <c r="R64" s="48"/>
      <c r="S64" s="711" t="str">
        <f>IFERROR(__xludf.DUMMYFUNCTION("""COMPUTED_VALUE"""),"")</f>
        <v/>
      </c>
      <c r="T64" s="721"/>
      <c r="U64" s="48"/>
      <c r="V64" s="711"/>
      <c r="W64" s="48"/>
      <c r="X64" s="48"/>
      <c r="Y64" s="48" t="str">
        <f>IFERROR(__xludf.DUMMYFUNCTION("""COMPUTED_VALUE"""),"Salsa Cubana")</f>
        <v>Salsa Cubana</v>
      </c>
      <c r="Z64" s="716" t="str">
        <f>IFERROR(__xludf.DUMMYFUNCTION("""COMPUTED_VALUE"""),"Samuel Puggioni")</f>
        <v>Samuel Puggioni</v>
      </c>
      <c r="AA64" s="48"/>
      <c r="AB64" s="711"/>
      <c r="AC64" s="711"/>
      <c r="AD64" s="711"/>
      <c r="AE64" s="711"/>
      <c r="AF64" s="711"/>
      <c r="AG64" s="711"/>
      <c r="AH64" s="711"/>
    </row>
    <row r="65">
      <c r="A65" s="48"/>
      <c r="B65" s="48"/>
      <c r="C65" s="711" t="str">
        <f>IFERROR(__xludf.DUMMYFUNCTION("""COMPUTED_VALUE"""),"14:50")</f>
        <v>14:50</v>
      </c>
      <c r="D65" s="48"/>
      <c r="E65" s="711"/>
      <c r="F65" s="711"/>
      <c r="G65" s="721"/>
      <c r="H65" s="721"/>
      <c r="I65" s="721"/>
      <c r="J65" s="48"/>
      <c r="K65" s="721"/>
      <c r="L65" s="48"/>
      <c r="M65" s="48" t="str">
        <f>IFERROR(__xludf.DUMMYFUNCTION("""COMPUTED_VALUE"""),"Joel DATI")</f>
        <v>Joel DATI</v>
      </c>
      <c r="N65" s="719"/>
      <c r="O65" s="48"/>
      <c r="P65" s="719">
        <f>IFERROR(__xludf.DUMMYFUNCTION("""COMPUTED_VALUE"""),30.0)</f>
        <v>30</v>
      </c>
      <c r="Q65" s="48"/>
      <c r="R65" s="714" t="str">
        <f>IFERROR(__xludf.DUMMYFUNCTION("""COMPUTED_VALUE"""),"2526STANISCILUN12.F")</f>
        <v>2526STANISCILUN12.F</v>
      </c>
      <c r="S65" s="711">
        <f>IFERROR(__xludf.DUMMYFUNCTION("""COMPUTED_VALUE"""),40.0)</f>
        <v>40</v>
      </c>
      <c r="T65" s="722" t="str">
        <f>IFERROR(__xludf.DUMMYFUNCTION("""COMPUTED_VALUE"""),"2526STANISCILUN12.F")</f>
        <v>2526STANISCILUN12.F</v>
      </c>
      <c r="U65" s="48"/>
      <c r="V65" s="711"/>
      <c r="W65" s="48"/>
      <c r="X65" s="48"/>
      <c r="Y65" s="48" t="str">
        <f>IFERROR(__xludf.DUMMYFUNCTION("""COMPUTED_VALUE"""),"Salsa Cubana e Rueda")</f>
        <v>Salsa Cubana e Rueda</v>
      </c>
      <c r="Z65" s="716" t="str">
        <f>IFERROR(__xludf.DUMMYFUNCTION("""COMPUTED_VALUE"""),"Silvia Grande")</f>
        <v>Silvia Grande</v>
      </c>
      <c r="AA65" s="48"/>
      <c r="AB65" s="711"/>
      <c r="AC65" s="711"/>
      <c r="AD65" s="711"/>
      <c r="AE65" s="711"/>
      <c r="AF65" s="711"/>
      <c r="AG65" s="711"/>
      <c r="AH65" s="711"/>
    </row>
    <row r="66">
      <c r="A66" s="48"/>
      <c r="B66" s="48"/>
      <c r="C66" s="711" t="str">
        <f>IFERROR(__xludf.DUMMYFUNCTION("""COMPUTED_VALUE"""),"15:00")</f>
        <v>15:00</v>
      </c>
      <c r="D66" s="48"/>
      <c r="E66" s="711"/>
      <c r="F66" s="711"/>
      <c r="G66" s="721"/>
      <c r="H66" s="721"/>
      <c r="I66" s="721"/>
      <c r="J66" s="48"/>
      <c r="K66" s="721"/>
      <c r="L66" s="48"/>
      <c r="M66" s="48" t="str">
        <f>IFERROR(__xludf.DUMMYFUNCTION("""COMPUTED_VALUE"""),"Joel PARTECIPAZ.")</f>
        <v>Joel PARTECIPAZ.</v>
      </c>
      <c r="N66" s="719"/>
      <c r="O66" s="48"/>
      <c r="P66" s="719">
        <f>IFERROR(__xludf.DUMMYFUNCTION("""COMPUTED_VALUE"""),25.0)</f>
        <v>25</v>
      </c>
      <c r="Q66" s="48"/>
      <c r="R66" s="711" t="str">
        <f>IFERROR(__xludf.DUMMYFUNCTION("""COMPUTED_VALUE"""),"2526MODULOLUN12.Y")</f>
        <v>2526MODULOLUN12.Y</v>
      </c>
      <c r="S66" s="711">
        <f>IFERROR(__xludf.DUMMYFUNCTION("""COMPUTED_VALUE"""),40.0)</f>
        <v>40</v>
      </c>
      <c r="T66" s="721" t="str">
        <f>IFERROR(__xludf.DUMMYFUNCTION("""COMPUTED_VALUE"""),"2526MODULOLUN12.Y")</f>
        <v>2526MODULOLUN12.Y</v>
      </c>
      <c r="U66" s="48"/>
      <c r="V66" s="711"/>
      <c r="W66" s="48"/>
      <c r="X66" s="48"/>
      <c r="Y66" s="48" t="str">
        <f>IFERROR(__xludf.DUMMYFUNCTION("""COMPUTED_VALUE"""),"Salsa New York Style On 2")</f>
        <v>Salsa New York Style On 2</v>
      </c>
      <c r="Z66" s="716" t="str">
        <f>IFERROR(__xludf.DUMMYFUNCTION("""COMPUTED_VALUE"""),"Silvia Silvestri")</f>
        <v>Silvia Silvestri</v>
      </c>
      <c r="AA66" s="48"/>
      <c r="AB66" s="711"/>
      <c r="AC66" s="711"/>
      <c r="AD66" s="711"/>
      <c r="AE66" s="711"/>
      <c r="AF66" s="711"/>
      <c r="AG66" s="711"/>
      <c r="AH66" s="711"/>
    </row>
    <row r="67">
      <c r="A67" s="48"/>
      <c r="B67" s="48"/>
      <c r="C67" s="711" t="str">
        <f>IFERROR(__xludf.DUMMYFUNCTION("""COMPUTED_VALUE"""),"15:10")</f>
        <v>15:10</v>
      </c>
      <c r="D67" s="48"/>
      <c r="E67" s="711"/>
      <c r="F67" s="711"/>
      <c r="G67" s="48"/>
      <c r="H67" s="48"/>
      <c r="I67" s="48"/>
      <c r="J67" s="48"/>
      <c r="K67" s="48"/>
      <c r="L67" s="48"/>
      <c r="M67" s="48" t="str">
        <f>IFERROR(__xludf.DUMMYFUNCTION("""COMPUTED_VALUE"""),"Joel TESSERA")</f>
        <v>Joel TESSERA</v>
      </c>
      <c r="N67" s="719"/>
      <c r="O67" s="48"/>
      <c r="P67" s="719"/>
      <c r="Q67" s="48"/>
      <c r="R67" s="48"/>
      <c r="S67" s="711" t="str">
        <f>IFERROR(__xludf.DUMMYFUNCTION("""COMPUTED_VALUE"""),"")</f>
        <v/>
      </c>
      <c r="T67" s="48"/>
      <c r="U67" s="48"/>
      <c r="V67" s="711"/>
      <c r="W67" s="48"/>
      <c r="X67" s="48"/>
      <c r="Y67" s="48" t="str">
        <f>IFERROR(__xludf.DUMMYFUNCTION("""COMPUTED_VALUE"""),"Salsa y Bachata")</f>
        <v>Salsa y Bachata</v>
      </c>
      <c r="Z67" s="716" t="str">
        <f>IFERROR(__xludf.DUMMYFUNCTION("""COMPUTED_VALUE"""),"Simone Carizzoni")</f>
        <v>Simone Carizzoni</v>
      </c>
      <c r="AA67" s="48"/>
      <c r="AB67" s="711"/>
      <c r="AC67" s="711"/>
      <c r="AD67" s="711"/>
      <c r="AE67" s="711"/>
      <c r="AF67" s="711"/>
      <c r="AG67" s="711"/>
      <c r="AH67" s="711"/>
    </row>
    <row r="68">
      <c r="A68" s="48"/>
      <c r="B68" s="48"/>
      <c r="C68" s="711" t="str">
        <f>IFERROR(__xludf.DUMMYFUNCTION("""COMPUTED_VALUE"""),"15:15")</f>
        <v>15:15</v>
      </c>
      <c r="D68" s="48"/>
      <c r="E68" s="711"/>
      <c r="F68" s="711"/>
      <c r="G68" s="721"/>
      <c r="H68" s="721"/>
      <c r="I68" s="721"/>
      <c r="J68" s="48"/>
      <c r="K68" s="721"/>
      <c r="L68" s="48"/>
      <c r="M68" s="48" t="str">
        <f>IFERROR(__xludf.DUMMYFUNCTION("""COMPUTED_VALUE"""),"Nura CERTIFICATO")</f>
        <v>Nura CERTIFICATO</v>
      </c>
      <c r="N68" s="719"/>
      <c r="O68" s="48"/>
      <c r="P68" s="719"/>
      <c r="Q68" s="48"/>
      <c r="R68" s="711" t="str">
        <f>IFERROR(__xludf.DUMMYFUNCTION("""COMPUTED_VALUE"""),"2526MODULOLUN12.Y")</f>
        <v>2526MODULOLUN12.Y</v>
      </c>
      <c r="S68" s="711">
        <f>IFERROR(__xludf.DUMMYFUNCTION("""COMPUTED_VALUE"""),40.0)</f>
        <v>40</v>
      </c>
      <c r="T68" s="721" t="str">
        <f>IFERROR(__xludf.DUMMYFUNCTION("""COMPUTED_VALUE"""),"2526MODULOLUN12.Y")</f>
        <v>2526MODULOLUN12.Y</v>
      </c>
      <c r="U68" s="48"/>
      <c r="V68" s="711"/>
      <c r="W68" s="48"/>
      <c r="X68" s="48"/>
      <c r="Y68" s="48" t="str">
        <f>IFERROR(__xludf.DUMMYFUNCTION("""COMPUTED_VALUE"""),"Samba")</f>
        <v>Samba</v>
      </c>
      <c r="Z68" s="716" t="str">
        <f>IFERROR(__xludf.DUMMYFUNCTION("""COMPUTED_VALUE"""),"Sissi Miram")</f>
        <v>Sissi Miram</v>
      </c>
      <c r="AA68" s="48"/>
      <c r="AB68" s="711"/>
      <c r="AC68" s="711"/>
      <c r="AD68" s="711"/>
      <c r="AE68" s="711"/>
      <c r="AF68" s="711"/>
      <c r="AG68" s="711"/>
      <c r="AH68" s="711"/>
    </row>
    <row r="69">
      <c r="A69" s="48"/>
      <c r="B69" s="48"/>
      <c r="C69" s="711" t="str">
        <f>IFERROR(__xludf.DUMMYFUNCTION("""COMPUTED_VALUE"""),"15:20")</f>
        <v>15:20</v>
      </c>
      <c r="D69" s="48"/>
      <c r="E69" s="711"/>
      <c r="F69" s="711"/>
      <c r="G69" s="721"/>
      <c r="H69" s="721"/>
      <c r="I69" s="721"/>
      <c r="J69" s="48"/>
      <c r="K69" s="721"/>
      <c r="L69" s="48"/>
      <c r="M69" s="48" t="str">
        <f>IFERROR(__xludf.DUMMYFUNCTION("""COMPUTED_VALUE"""),"Nura DATI")</f>
        <v>Nura DATI</v>
      </c>
      <c r="N69" s="719"/>
      <c r="O69" s="48"/>
      <c r="P69" s="719"/>
      <c r="Q69" s="48"/>
      <c r="R69" s="48"/>
      <c r="S69" s="711" t="str">
        <f>IFERROR(__xludf.DUMMYFUNCTION("""COMPUTED_VALUE"""),"")</f>
        <v/>
      </c>
      <c r="T69" s="721"/>
      <c r="U69" s="48"/>
      <c r="V69" s="711"/>
      <c r="W69" s="48"/>
      <c r="X69" s="48"/>
      <c r="Y69" s="48" t="str">
        <f>IFERROR(__xludf.DUMMYFUNCTION("""COMPUTED_VALUE"""),"Sbarra a Terra")</f>
        <v>Sbarra a Terra</v>
      </c>
      <c r="Z69" s="716" t="str">
        <f>IFERROR(__xludf.DUMMYFUNCTION("""COMPUTED_VALUE"""),"Stefano Battistella")</f>
        <v>Stefano Battistella</v>
      </c>
      <c r="AA69" s="48"/>
      <c r="AB69" s="711"/>
      <c r="AC69" s="711"/>
      <c r="AD69" s="711"/>
      <c r="AE69" s="711"/>
      <c r="AF69" s="711"/>
      <c r="AG69" s="711"/>
      <c r="AH69" s="711"/>
    </row>
    <row r="70">
      <c r="A70" s="48"/>
      <c r="B70" s="48"/>
      <c r="C70" s="711" t="str">
        <f>IFERROR(__xludf.DUMMYFUNCTION("""COMPUTED_VALUE"""),"15:30")</f>
        <v>15:30</v>
      </c>
      <c r="D70" s="48"/>
      <c r="E70" s="711"/>
      <c r="F70" s="711"/>
      <c r="G70" s="721"/>
      <c r="H70" s="721"/>
      <c r="I70" s="721"/>
      <c r="J70" s="48"/>
      <c r="K70" s="721"/>
      <c r="L70" s="48"/>
      <c r="M70" s="48" t="str">
        <f>IFERROR(__xludf.DUMMYFUNCTION("""COMPUTED_VALUE"""),"Nura PARTECIPAZ.")</f>
        <v>Nura PARTECIPAZ.</v>
      </c>
      <c r="N70" s="719"/>
      <c r="O70" s="48"/>
      <c r="P70" s="719"/>
      <c r="Q70" s="48"/>
      <c r="R70" s="48"/>
      <c r="S70" s="711" t="str">
        <f>IFERROR(__xludf.DUMMYFUNCTION("""COMPUTED_VALUE"""),"")</f>
        <v/>
      </c>
      <c r="T70" s="721"/>
      <c r="U70" s="48"/>
      <c r="V70" s="711"/>
      <c r="W70" s="48"/>
      <c r="X70" s="48"/>
      <c r="Y70" s="48" t="str">
        <f>IFERROR(__xludf.DUMMYFUNCTION("""COMPUTED_VALUE"""),"Seabra Accademy")</f>
        <v>Seabra Accademy</v>
      </c>
      <c r="Z70" s="716" t="str">
        <f>IFERROR(__xludf.DUMMYFUNCTION("""COMPUTED_VALUE"""),"Stefano Saracchi")</f>
        <v>Stefano Saracchi</v>
      </c>
      <c r="AA70" s="48"/>
      <c r="AB70" s="711"/>
      <c r="AC70" s="711"/>
      <c r="AD70" s="711"/>
      <c r="AE70" s="711"/>
      <c r="AF70" s="711"/>
      <c r="AG70" s="711"/>
      <c r="AH70" s="711"/>
    </row>
    <row r="71">
      <c r="A71" s="48"/>
      <c r="B71" s="48"/>
      <c r="C71" s="711" t="str">
        <f>IFERROR(__xludf.DUMMYFUNCTION("""COMPUTED_VALUE"""),"15:40")</f>
        <v>15:40</v>
      </c>
      <c r="D71" s="48"/>
      <c r="E71" s="711"/>
      <c r="F71" s="711"/>
      <c r="G71" s="721"/>
      <c r="H71" s="721"/>
      <c r="I71" s="721"/>
      <c r="J71" s="48"/>
      <c r="K71" s="721"/>
      <c r="L71" s="48"/>
      <c r="M71" s="48" t="str">
        <f>IFERROR(__xludf.DUMMYFUNCTION("""COMPUTED_VALUE"""),"Nura TESSERA")</f>
        <v>Nura TESSERA</v>
      </c>
      <c r="N71" s="719"/>
      <c r="O71" s="48"/>
      <c r="P71" s="719"/>
      <c r="Q71" s="48"/>
      <c r="R71" s="714" t="str">
        <f>IFERROR(__xludf.DUMMYFUNCTION("""COMPUTED_VALUE"""),"2526KUQILUN12.F")</f>
        <v>2526KUQILUN12.F</v>
      </c>
      <c r="S71" s="711">
        <f>IFERROR(__xludf.DUMMYFUNCTION("""COMPUTED_VALUE"""),20.0)</f>
        <v>20</v>
      </c>
      <c r="T71" s="722" t="str">
        <f>IFERROR(__xludf.DUMMYFUNCTION("""COMPUTED_VALUE"""),"2526KUQILUN12.F")</f>
        <v>2526KUQILUN12.F</v>
      </c>
      <c r="U71" s="48"/>
      <c r="V71" s="711"/>
      <c r="W71" s="48"/>
      <c r="X71" s="48"/>
      <c r="Y71" s="48" t="str">
        <f>IFERROR(__xludf.DUMMYFUNCTION("""COMPUTED_VALUE"""),"Solo Jazz")</f>
        <v>Solo Jazz</v>
      </c>
      <c r="Z71" s="716" t="str">
        <f>IFERROR(__xludf.DUMMYFUNCTION("""COMPUTED_VALUE"""),"Viktoriia Tiutina")</f>
        <v>Viktoriia Tiutina</v>
      </c>
      <c r="AA71" s="48"/>
      <c r="AB71" s="711"/>
      <c r="AC71" s="711"/>
      <c r="AD71" s="711"/>
      <c r="AE71" s="711"/>
      <c r="AF71" s="711"/>
      <c r="AG71" s="711"/>
      <c r="AH71" s="711"/>
    </row>
    <row r="72">
      <c r="A72" s="48"/>
      <c r="B72" s="48"/>
      <c r="C72" s="711" t="str">
        <f>IFERROR(__xludf.DUMMYFUNCTION("""COMPUTED_VALUE"""),"15:45")</f>
        <v>15:45</v>
      </c>
      <c r="D72" s="48"/>
      <c r="E72" s="711"/>
      <c r="F72" s="711"/>
      <c r="G72" s="721"/>
      <c r="H72" s="721"/>
      <c r="I72" s="721"/>
      <c r="J72" s="48"/>
      <c r="K72" s="721"/>
      <c r="L72" s="48"/>
      <c r="M72" s="48"/>
      <c r="N72" s="719"/>
      <c r="O72" s="48"/>
      <c r="P72" s="719"/>
      <c r="Q72" s="48"/>
      <c r="R72" s="711" t="str">
        <f>IFERROR(__xludf.DUMMYFUNCTION("""COMPUTED_VALUE"""),"2526MODULOLUN12.Y")</f>
        <v>2526MODULOLUN12.Y</v>
      </c>
      <c r="S72" s="711">
        <f>IFERROR(__xludf.DUMMYFUNCTION("""COMPUTED_VALUE"""),40.0)</f>
        <v>40</v>
      </c>
      <c r="T72" s="721" t="str">
        <f>IFERROR(__xludf.DUMMYFUNCTION("""COMPUTED_VALUE"""),"2526MODULOLUN12.Y")</f>
        <v>2526MODULOLUN12.Y</v>
      </c>
      <c r="U72" s="48"/>
      <c r="V72" s="711"/>
      <c r="W72" s="48"/>
      <c r="X72" s="48"/>
      <c r="Y72" s="48" t="str">
        <f>IFERROR(__xludf.DUMMYFUNCTION("""COMPUTED_VALUE"""),"Street Jazz")</f>
        <v>Street Jazz</v>
      </c>
      <c r="Z72" s="716" t="str">
        <f>IFERROR(__xludf.DUMMYFUNCTION("""COMPUTED_VALUE"""),"Crissa")</f>
        <v>Crissa</v>
      </c>
      <c r="AA72" s="48"/>
      <c r="AB72" s="711"/>
      <c r="AC72" s="711"/>
      <c r="AD72" s="711"/>
      <c r="AE72" s="711"/>
      <c r="AF72" s="711"/>
      <c r="AG72" s="711"/>
      <c r="AH72" s="711"/>
    </row>
    <row r="73">
      <c r="A73" s="48"/>
      <c r="B73" s="48"/>
      <c r="C73" s="711" t="str">
        <f>IFERROR(__xludf.DUMMYFUNCTION("""COMPUTED_VALUE"""),"15:50")</f>
        <v>15:50</v>
      </c>
      <c r="D73" s="48"/>
      <c r="E73" s="711"/>
      <c r="F73" s="711"/>
      <c r="G73" s="721"/>
      <c r="H73" s="721"/>
      <c r="I73" s="721"/>
      <c r="J73" s="48"/>
      <c r="K73" s="721"/>
      <c r="L73" s="48"/>
      <c r="M73" s="48"/>
      <c r="N73" s="719"/>
      <c r="O73" s="48"/>
      <c r="P73" s="719"/>
      <c r="Q73" s="48"/>
      <c r="R73" s="711" t="str">
        <f>IFERROR(__xludf.DUMMYFUNCTION("""COMPUTED_VALUE"""),"2526SEABRALUN12.Y")</f>
        <v>2526SEABRALUN12.Y</v>
      </c>
      <c r="S73" s="711">
        <f>IFERROR(__xludf.DUMMYFUNCTION("""COMPUTED_VALUE"""),20.0)</f>
        <v>20</v>
      </c>
      <c r="T73" s="721" t="str">
        <f>IFERROR(__xludf.DUMMYFUNCTION("""COMPUTED_VALUE"""),"2526SEABRALUN12.Y")</f>
        <v>2526SEABRALUN12.Y</v>
      </c>
      <c r="U73" s="48"/>
      <c r="V73" s="711"/>
      <c r="W73" s="48"/>
      <c r="X73" s="48"/>
      <c r="Y73" s="48" t="str">
        <f>IFERROR(__xludf.DUMMYFUNCTION("""COMPUTED_VALUE"""),"Tabata")</f>
        <v>Tabata</v>
      </c>
      <c r="Z73" s="716" t="str">
        <f>IFERROR(__xludf.DUMMYFUNCTION("""COMPUTED_VALUE"""),"Asia Berny")</f>
        <v>Asia Berny</v>
      </c>
      <c r="AA73" s="48"/>
      <c r="AB73" s="711"/>
      <c r="AC73" s="711"/>
      <c r="AD73" s="711"/>
      <c r="AE73" s="711"/>
      <c r="AF73" s="711"/>
      <c r="AG73" s="711"/>
      <c r="AH73" s="711"/>
    </row>
    <row r="74">
      <c r="A74" s="48"/>
      <c r="B74" s="48"/>
      <c r="C74" s="711" t="str">
        <f>IFERROR(__xludf.DUMMYFUNCTION("""COMPUTED_VALUE"""),"16:00")</f>
        <v>16:00</v>
      </c>
      <c r="D74" s="48"/>
      <c r="E74" s="711"/>
      <c r="F74" s="711"/>
      <c r="G74" s="721"/>
      <c r="H74" s="721"/>
      <c r="I74" s="721"/>
      <c r="J74" s="48"/>
      <c r="K74" s="721"/>
      <c r="L74" s="721"/>
      <c r="M74" s="721"/>
      <c r="N74" s="719"/>
      <c r="O74" s="48"/>
      <c r="P74" s="719"/>
      <c r="Q74" s="48"/>
      <c r="R74" s="714" t="str">
        <f>IFERROR(__xludf.DUMMYFUNCTION("""COMPUTED_VALUE"""),"2526CRUZLUN13.F")</f>
        <v>2526CRUZLUN13.F</v>
      </c>
      <c r="S74" s="711">
        <f>IFERROR(__xludf.DUMMYFUNCTION("""COMPUTED_VALUE"""),11.0)</f>
        <v>11</v>
      </c>
      <c r="T74" s="722" t="str">
        <f>IFERROR(__xludf.DUMMYFUNCTION("""COMPUTED_VALUE"""),"2526CRUZLUN13.F")</f>
        <v>2526CRUZLUN13.F</v>
      </c>
      <c r="U74" s="721"/>
      <c r="V74" s="711"/>
      <c r="W74" s="721"/>
      <c r="X74" s="721"/>
      <c r="Y74" s="48" t="str">
        <f>IFERROR(__xludf.DUMMYFUNCTION("""COMPUTED_VALUE"""),"Tango Argentino")</f>
        <v>Tango Argentino</v>
      </c>
      <c r="Z74" s="716" t="str">
        <f>IFERROR(__xludf.DUMMYFUNCTION("""COMPUTED_VALUE"""),"Antonella Di Gennaro")</f>
        <v>Antonella Di Gennaro</v>
      </c>
      <c r="AA74" s="48"/>
      <c r="AB74" s="711"/>
      <c r="AC74" s="711"/>
      <c r="AD74" s="711"/>
      <c r="AE74" s="711"/>
      <c r="AF74" s="711"/>
      <c r="AG74" s="711"/>
      <c r="AH74" s="711"/>
    </row>
    <row r="75">
      <c r="A75" s="48"/>
      <c r="B75" s="48"/>
      <c r="C75" s="711" t="str">
        <f>IFERROR(__xludf.DUMMYFUNCTION("""COMPUTED_VALUE"""),"16:10")</f>
        <v>16:10</v>
      </c>
      <c r="D75" s="48"/>
      <c r="E75" s="711"/>
      <c r="F75" s="711"/>
      <c r="G75" s="721"/>
      <c r="H75" s="721"/>
      <c r="I75" s="721"/>
      <c r="J75" s="48"/>
      <c r="K75" s="721"/>
      <c r="L75" s="721"/>
      <c r="M75" s="721"/>
      <c r="N75" s="719"/>
      <c r="O75" s="48"/>
      <c r="P75" s="719"/>
      <c r="Q75" s="48"/>
      <c r="R75" s="48"/>
      <c r="S75" s="711" t="str">
        <f>IFERROR(__xludf.DUMMYFUNCTION("""COMPUTED_VALUE"""),"")</f>
        <v/>
      </c>
      <c r="T75" s="721"/>
      <c r="U75" s="721"/>
      <c r="V75" s="711"/>
      <c r="W75" s="721"/>
      <c r="X75" s="721"/>
      <c r="Y75" s="48" t="str">
        <f>IFERROR(__xludf.DUMMYFUNCTION("""COMPUTED_VALUE"""),"Tecnica Punte")</f>
        <v>Tecnica Punte</v>
      </c>
      <c r="Z75" s="48" t="str">
        <f>IFERROR(__xludf.DUMMYFUNCTION("""COMPUTED_VALUE"""),"Alice Cenzon")</f>
        <v>Alice Cenzon</v>
      </c>
      <c r="AA75" s="48"/>
      <c r="AB75" s="711"/>
      <c r="AC75" s="711"/>
      <c r="AD75" s="711"/>
      <c r="AE75" s="711"/>
      <c r="AF75" s="711"/>
      <c r="AG75" s="711"/>
      <c r="AH75" s="711"/>
    </row>
    <row r="76">
      <c r="A76" s="48"/>
      <c r="B76" s="48"/>
      <c r="C76" s="711" t="str">
        <f>IFERROR(__xludf.DUMMYFUNCTION("""COMPUTED_VALUE"""),"16:15")</f>
        <v>16:15</v>
      </c>
      <c r="D76" s="48"/>
      <c r="E76" s="711"/>
      <c r="F76" s="711"/>
      <c r="G76" s="721"/>
      <c r="H76" s="721"/>
      <c r="I76" s="721"/>
      <c r="J76" s="48"/>
      <c r="K76" s="721"/>
      <c r="L76" s="721"/>
      <c r="M76" s="721"/>
      <c r="N76" s="719"/>
      <c r="O76" s="48"/>
      <c r="P76" s="719"/>
      <c r="Q76" s="48"/>
      <c r="R76" s="48"/>
      <c r="S76" s="711" t="str">
        <f>IFERROR(__xludf.DUMMYFUNCTION("""COMPUTED_VALUE"""),"")</f>
        <v/>
      </c>
      <c r="T76" s="721"/>
      <c r="U76" s="721"/>
      <c r="V76" s="711"/>
      <c r="W76" s="721"/>
      <c r="X76" s="721"/>
      <c r="Y76" s="48" t="str">
        <f>IFERROR(__xludf.DUMMYFUNCTION("""COMPUTED_VALUE"""),"Total Body")</f>
        <v>Total Body</v>
      </c>
      <c r="Z76" s="48" t="str">
        <f>IFERROR(__xludf.DUMMYFUNCTION("""COMPUTED_VALUE"""),"Ilaria Vallesi")</f>
        <v>Ilaria Vallesi</v>
      </c>
      <c r="AA76" s="48"/>
      <c r="AB76" s="711"/>
      <c r="AC76" s="711"/>
      <c r="AD76" s="711"/>
      <c r="AE76" s="711"/>
      <c r="AF76" s="711"/>
      <c r="AG76" s="711"/>
      <c r="AH76" s="711"/>
    </row>
    <row r="77">
      <c r="A77" s="48"/>
      <c r="B77" s="48"/>
      <c r="C77" s="711" t="str">
        <f>IFERROR(__xludf.DUMMYFUNCTION("""COMPUTED_VALUE"""),"16:20")</f>
        <v>16:20</v>
      </c>
      <c r="D77" s="48"/>
      <c r="E77" s="711"/>
      <c r="F77" s="711"/>
      <c r="G77" s="721"/>
      <c r="H77" s="721"/>
      <c r="I77" s="721"/>
      <c r="J77" s="48"/>
      <c r="K77" s="721"/>
      <c r="L77" s="721"/>
      <c r="M77" s="721"/>
      <c r="N77" s="719"/>
      <c r="O77" s="48"/>
      <c r="P77" s="719"/>
      <c r="Q77" s="48"/>
      <c r="R77" s="48"/>
      <c r="S77" s="711" t="str">
        <f>IFERROR(__xludf.DUMMYFUNCTION("""COMPUTED_VALUE"""),"")</f>
        <v/>
      </c>
      <c r="T77" s="721"/>
      <c r="U77" s="721"/>
      <c r="V77" s="711"/>
      <c r="W77" s="721"/>
      <c r="X77" s="721"/>
      <c r="Y77" s="48" t="str">
        <f>IFERROR(__xludf.DUMMYFUNCTION("""COMPUTED_VALUE"""),"Urban Coreografico")</f>
        <v>Urban Coreografico</v>
      </c>
      <c r="Z77" s="48" t="str">
        <f>IFERROR(__xludf.DUMMYFUNCTION("""COMPUTED_VALUE"""),"Michele Grande")</f>
        <v>Michele Grande</v>
      </c>
      <c r="AA77" s="48"/>
      <c r="AB77" s="711"/>
      <c r="AC77" s="711"/>
      <c r="AD77" s="711"/>
      <c r="AE77" s="711"/>
      <c r="AF77" s="711"/>
      <c r="AG77" s="711"/>
      <c r="AH77" s="711"/>
    </row>
    <row r="78">
      <c r="A78" s="48"/>
      <c r="B78" s="48"/>
      <c r="C78" s="711" t="str">
        <f>IFERROR(__xludf.DUMMYFUNCTION("""COMPUTED_VALUE"""),"16:30")</f>
        <v>16:30</v>
      </c>
      <c r="D78" s="721"/>
      <c r="E78" s="711"/>
      <c r="F78" s="711"/>
      <c r="G78" s="721"/>
      <c r="H78" s="721"/>
      <c r="I78" s="721"/>
      <c r="J78" s="48"/>
      <c r="K78" s="721"/>
      <c r="L78" s="721"/>
      <c r="M78" s="721"/>
      <c r="N78" s="719"/>
      <c r="O78" s="48"/>
      <c r="P78" s="719"/>
      <c r="Q78" s="48"/>
      <c r="R78" s="711" t="str">
        <f>IFERROR(__xludf.DUMMYFUNCTION("""COMPUTED_VALUE"""),"2526MODULOLUN13.Y")</f>
        <v>2526MODULOLUN13.Y</v>
      </c>
      <c r="S78" s="711">
        <f>IFERROR(__xludf.DUMMYFUNCTION("""COMPUTED_VALUE"""),40.0)</f>
        <v>40</v>
      </c>
      <c r="T78" s="721" t="str">
        <f>IFERROR(__xludf.DUMMYFUNCTION("""COMPUTED_VALUE"""),"2526MODULOLUN13.Y")</f>
        <v>2526MODULOLUN13.Y</v>
      </c>
      <c r="U78" s="721"/>
      <c r="V78" s="711"/>
      <c r="W78" s="721"/>
      <c r="X78" s="721"/>
      <c r="Y78" s="48" t="str">
        <f>IFERROR(__xludf.DUMMYFUNCTION("""COMPUTED_VALUE"""),"Urban Female")</f>
        <v>Urban Female</v>
      </c>
      <c r="Z78" s="48" t="str">
        <f>IFERROR(__xludf.DUMMYFUNCTION("""COMPUTED_VALUE"""),"Marija Emilova")</f>
        <v>Marija Emilova</v>
      </c>
      <c r="AA78" s="48"/>
      <c r="AB78" s="711"/>
      <c r="AC78" s="711"/>
      <c r="AD78" s="711"/>
      <c r="AE78" s="711"/>
      <c r="AF78" s="711"/>
      <c r="AG78" s="711"/>
      <c r="AH78" s="711"/>
    </row>
    <row r="79">
      <c r="A79" s="48"/>
      <c r="B79" s="48"/>
      <c r="C79" s="711" t="str">
        <f>IFERROR(__xludf.DUMMYFUNCTION("""COMPUTED_VALUE"""),"16:40")</f>
        <v>16:40</v>
      </c>
      <c r="D79" s="721"/>
      <c r="E79" s="711"/>
      <c r="F79" s="711"/>
      <c r="G79" s="721"/>
      <c r="H79" s="721"/>
      <c r="I79" s="721"/>
      <c r="J79" s="48"/>
      <c r="K79" s="721"/>
      <c r="L79" s="721"/>
      <c r="M79" s="721"/>
      <c r="N79" s="719"/>
      <c r="O79" s="48"/>
      <c r="P79" s="719"/>
      <c r="Q79" s="48"/>
      <c r="R79" s="714" t="str">
        <f>IFERROR(__xludf.DUMMYFUNCTION("""COMPUTED_VALUE"""),"2526STANISCILUN13.F")</f>
        <v>2526STANISCILUN13.F</v>
      </c>
      <c r="S79" s="711">
        <f>IFERROR(__xludf.DUMMYFUNCTION("""COMPUTED_VALUE"""),15.0)</f>
        <v>15</v>
      </c>
      <c r="T79" s="722" t="str">
        <f>IFERROR(__xludf.DUMMYFUNCTION("""COMPUTED_VALUE"""),"2526STANISCILUN13.F")</f>
        <v>2526STANISCILUN13.F</v>
      </c>
      <c r="U79" s="721"/>
      <c r="V79" s="711"/>
      <c r="W79" s="721"/>
      <c r="X79" s="721"/>
      <c r="Y79" s="48" t="str">
        <f>IFERROR(__xludf.DUMMYFUNCTION("""COMPUTED_VALUE"""),"Urban Mix")</f>
        <v>Urban Mix</v>
      </c>
      <c r="Z79" s="48"/>
      <c r="AA79" s="48"/>
      <c r="AB79" s="711"/>
      <c r="AC79" s="711"/>
      <c r="AD79" s="711"/>
      <c r="AE79" s="711"/>
      <c r="AF79" s="711"/>
      <c r="AG79" s="711"/>
      <c r="AH79" s="711"/>
    </row>
    <row r="80">
      <c r="A80" s="48"/>
      <c r="B80" s="48"/>
      <c r="C80" s="711" t="str">
        <f>IFERROR(__xludf.DUMMYFUNCTION("""COMPUTED_VALUE"""),"16:45")</f>
        <v>16:45</v>
      </c>
      <c r="D80" s="721"/>
      <c r="E80" s="711"/>
      <c r="F80" s="711"/>
      <c r="G80" s="721"/>
      <c r="H80" s="721"/>
      <c r="I80" s="721"/>
      <c r="J80" s="48"/>
      <c r="K80" s="721"/>
      <c r="L80" s="721"/>
      <c r="M80" s="721"/>
      <c r="N80" s="719"/>
      <c r="O80" s="48"/>
      <c r="P80" s="719"/>
      <c r="Q80" s="48"/>
      <c r="R80" s="711" t="str">
        <f>IFERROR(__xludf.DUMMYFUNCTION("""COMPUTED_VALUE"""),"2526MODULOLUN13.Y")</f>
        <v>2526MODULOLUN13.Y</v>
      </c>
      <c r="S80" s="711">
        <f>IFERROR(__xludf.DUMMYFUNCTION("""COMPUTED_VALUE"""),40.0)</f>
        <v>40</v>
      </c>
      <c r="T80" s="721" t="str">
        <f>IFERROR(__xludf.DUMMYFUNCTION("""COMPUTED_VALUE"""),"2526MODULOLUN13.Y")</f>
        <v>2526MODULOLUN13.Y</v>
      </c>
      <c r="U80" s="721"/>
      <c r="V80" s="711"/>
      <c r="W80" s="721"/>
      <c r="X80" s="721"/>
      <c r="Y80" s="48" t="str">
        <f>IFERROR(__xludf.DUMMYFUNCTION("""COMPUTED_VALUE"""),"Video Dance")</f>
        <v>Video Dance</v>
      </c>
      <c r="Z80" s="48"/>
      <c r="AA80" s="48"/>
      <c r="AB80" s="711"/>
      <c r="AC80" s="711"/>
      <c r="AD80" s="711"/>
      <c r="AE80" s="711"/>
      <c r="AF80" s="711"/>
      <c r="AG80" s="711"/>
      <c r="AH80" s="711"/>
    </row>
    <row r="81">
      <c r="A81" s="48"/>
      <c r="B81" s="48"/>
      <c r="C81" s="711" t="str">
        <f>IFERROR(__xludf.DUMMYFUNCTION("""COMPUTED_VALUE"""),"16:50")</f>
        <v>16:50</v>
      </c>
      <c r="D81" s="721"/>
      <c r="E81" s="711"/>
      <c r="F81" s="711"/>
      <c r="G81" s="721"/>
      <c r="H81" s="721"/>
      <c r="I81" s="721"/>
      <c r="J81" s="48"/>
      <c r="K81" s="721"/>
      <c r="L81" s="721"/>
      <c r="M81" s="721"/>
      <c r="N81" s="719"/>
      <c r="O81" s="48"/>
      <c r="P81" s="719"/>
      <c r="Q81" s="48"/>
      <c r="R81" s="714" t="str">
        <f>IFERROR(__xludf.DUMMYFUNCTION("""COMPUTED_VALUE"""),"2526KUQILUN13.F")</f>
        <v>2526KUQILUN13.F</v>
      </c>
      <c r="S81" s="711">
        <f>IFERROR(__xludf.DUMMYFUNCTION("""COMPUTED_VALUE"""),20.0)</f>
        <v>20</v>
      </c>
      <c r="T81" s="722" t="str">
        <f>IFERROR(__xludf.DUMMYFUNCTION("""COMPUTED_VALUE"""),"2526KUQILUN13.F")</f>
        <v>2526KUQILUN13.F</v>
      </c>
      <c r="U81" s="721"/>
      <c r="V81" s="711"/>
      <c r="W81" s="721"/>
      <c r="X81" s="721"/>
      <c r="Y81" s="48" t="str">
        <f>IFERROR(__xludf.DUMMYFUNCTION("""COMPUTED_VALUE"""),"Voguing")</f>
        <v>Voguing</v>
      </c>
      <c r="Z81" s="48"/>
      <c r="AA81" s="48"/>
      <c r="AB81" s="711"/>
      <c r="AC81" s="711"/>
      <c r="AD81" s="711"/>
      <c r="AE81" s="711"/>
      <c r="AF81" s="711"/>
      <c r="AG81" s="711"/>
      <c r="AH81" s="711"/>
    </row>
    <row r="82">
      <c r="A82" s="48"/>
      <c r="B82" s="48"/>
      <c r="C82" s="711" t="str">
        <f>IFERROR(__xludf.DUMMYFUNCTION("""COMPUTED_VALUE"""),"17:00")</f>
        <v>17:00</v>
      </c>
      <c r="D82" s="721"/>
      <c r="E82" s="711"/>
      <c r="F82" s="711"/>
      <c r="G82" s="721"/>
      <c r="H82" s="721"/>
      <c r="I82" s="721"/>
      <c r="J82" s="48"/>
      <c r="K82" s="721"/>
      <c r="L82" s="721"/>
      <c r="M82" s="721"/>
      <c r="N82" s="719"/>
      <c r="O82" s="48"/>
      <c r="P82" s="719"/>
      <c r="Q82" s="48"/>
      <c r="R82" s="48"/>
      <c r="S82" s="711" t="str">
        <f>IFERROR(__xludf.DUMMYFUNCTION("""COMPUTED_VALUE"""),"")</f>
        <v/>
      </c>
      <c r="T82" s="721"/>
      <c r="U82" s="721"/>
      <c r="V82" s="711"/>
      <c r="W82" s="721"/>
      <c r="X82" s="721"/>
      <c r="Y82" s="48" t="str">
        <f>IFERROR(__xludf.DUMMYFUNCTION("""COMPUTED_VALUE"""),"Jazz Funck  Brasil")</f>
        <v>Jazz Funck  Brasil</v>
      </c>
      <c r="Z82" s="48"/>
      <c r="AA82" s="48"/>
      <c r="AB82" s="711"/>
      <c r="AC82" s="711"/>
      <c r="AD82" s="711"/>
      <c r="AE82" s="711"/>
      <c r="AF82" s="711"/>
      <c r="AG82" s="711"/>
      <c r="AH82" s="711"/>
    </row>
    <row r="83">
      <c r="A83" s="48"/>
      <c r="B83" s="48"/>
      <c r="C83" s="711" t="str">
        <f>IFERROR(__xludf.DUMMYFUNCTION("""COMPUTED_VALUE"""),"17:10")</f>
        <v>17:10</v>
      </c>
      <c r="D83" s="721"/>
      <c r="E83" s="711"/>
      <c r="F83" s="711"/>
      <c r="G83" s="721"/>
      <c r="H83" s="721"/>
      <c r="I83" s="721"/>
      <c r="J83" s="48"/>
      <c r="K83" s="721"/>
      <c r="L83" s="721"/>
      <c r="M83" s="721"/>
      <c r="N83" s="719"/>
      <c r="O83" s="48"/>
      <c r="P83" s="719"/>
      <c r="Q83" s="48"/>
      <c r="R83" s="48"/>
      <c r="S83" s="711" t="str">
        <f>IFERROR(__xludf.DUMMYFUNCTION("""COMPUTED_VALUE"""),"")</f>
        <v/>
      </c>
      <c r="T83" s="721"/>
      <c r="U83" s="721"/>
      <c r="V83" s="711"/>
      <c r="W83" s="721"/>
      <c r="X83" s="721"/>
      <c r="Y83" s="48" t="str">
        <f>IFERROR(__xludf.DUMMYFUNCTION("""COMPUTED_VALUE"""),"Yoga")</f>
        <v>Yoga</v>
      </c>
      <c r="Z83" s="48"/>
      <c r="AA83" s="48"/>
      <c r="AB83" s="711"/>
      <c r="AC83" s="711"/>
      <c r="AD83" s="711"/>
      <c r="AE83" s="711"/>
      <c r="AF83" s="711"/>
      <c r="AG83" s="711"/>
      <c r="AH83" s="711"/>
    </row>
    <row r="84">
      <c r="A84" s="48"/>
      <c r="B84" s="48"/>
      <c r="C84" s="711" t="str">
        <f>IFERROR(__xludf.DUMMYFUNCTION("""COMPUTED_VALUE"""),"17:15")</f>
        <v>17:15</v>
      </c>
      <c r="D84" s="721"/>
      <c r="E84" s="711"/>
      <c r="F84" s="711"/>
      <c r="G84" s="721"/>
      <c r="H84" s="721"/>
      <c r="I84" s="721"/>
      <c r="J84" s="48"/>
      <c r="K84" s="721"/>
      <c r="L84" s="721"/>
      <c r="M84" s="721"/>
      <c r="N84" s="719"/>
      <c r="O84" s="48"/>
      <c r="P84" s="719"/>
      <c r="Q84" s="48"/>
      <c r="R84" s="711" t="str">
        <f>IFERROR(__xludf.DUMMYFUNCTION("""COMPUTED_VALUE"""),"2526MODULOLUN13.Y")</f>
        <v>2526MODULOLUN13.Y</v>
      </c>
      <c r="S84" s="711">
        <f>IFERROR(__xludf.DUMMYFUNCTION("""COMPUTED_VALUE"""),40.0)</f>
        <v>40</v>
      </c>
      <c r="T84" s="721" t="str">
        <f>IFERROR(__xludf.DUMMYFUNCTION("""COMPUTED_VALUE"""),"2526MODULOLUN13.Y")</f>
        <v>2526MODULOLUN13.Y</v>
      </c>
      <c r="U84" s="721"/>
      <c r="V84" s="711"/>
      <c r="W84" s="721"/>
      <c r="X84" s="721"/>
      <c r="Y84" s="48" t="str">
        <f>IFERROR(__xludf.DUMMYFUNCTION("""COMPUTED_VALUE"""),"Modern Contemporary")</f>
        <v>Modern Contemporary</v>
      </c>
      <c r="Z84" s="48"/>
      <c r="AA84" s="48"/>
      <c r="AB84" s="711"/>
      <c r="AC84" s="711"/>
      <c r="AD84" s="711"/>
      <c r="AE84" s="711"/>
      <c r="AF84" s="711"/>
      <c r="AG84" s="711"/>
      <c r="AH84" s="711"/>
    </row>
    <row r="85">
      <c r="A85" s="48"/>
      <c r="B85" s="48"/>
      <c r="C85" s="711" t="str">
        <f>IFERROR(__xludf.DUMMYFUNCTION("""COMPUTED_VALUE"""),"17:20")</f>
        <v>17:20</v>
      </c>
      <c r="D85" s="721"/>
      <c r="E85" s="711"/>
      <c r="F85" s="711"/>
      <c r="G85" s="721"/>
      <c r="H85" s="721"/>
      <c r="I85" s="721"/>
      <c r="J85" s="48"/>
      <c r="K85" s="721"/>
      <c r="L85" s="721"/>
      <c r="M85" s="721"/>
      <c r="N85" s="719"/>
      <c r="O85" s="48"/>
      <c r="P85" s="719"/>
      <c r="Q85" s="48"/>
      <c r="R85" s="711" t="str">
        <f>IFERROR(__xludf.DUMMYFUNCTION("""COMPUTED_VALUE"""),"2526SEABRALUN13.Y")</f>
        <v>2526SEABRALUN13.Y</v>
      </c>
      <c r="S85" s="711">
        <f>IFERROR(__xludf.DUMMYFUNCTION("""COMPUTED_VALUE"""),20.0)</f>
        <v>20</v>
      </c>
      <c r="T85" s="721" t="str">
        <f>IFERROR(__xludf.DUMMYFUNCTION("""COMPUTED_VALUE"""),"2526SEABRALUN13.Y")</f>
        <v>2526SEABRALUN13.Y</v>
      </c>
      <c r="U85" s="721"/>
      <c r="V85" s="711"/>
      <c r="W85" s="721"/>
      <c r="X85" s="721"/>
      <c r="Y85" s="48" t="str">
        <f>IFERROR(__xludf.DUMMYFUNCTION("""COMPUTED_VALUE"""),"Men Style Salsa")</f>
        <v>Men Style Salsa</v>
      </c>
      <c r="Z85" s="48"/>
      <c r="AA85" s="48"/>
      <c r="AB85" s="711"/>
      <c r="AC85" s="711"/>
      <c r="AD85" s="711"/>
      <c r="AE85" s="711"/>
      <c r="AF85" s="711"/>
      <c r="AG85" s="711"/>
      <c r="AH85" s="711"/>
    </row>
    <row r="86">
      <c r="A86" s="48"/>
      <c r="B86" s="48"/>
      <c r="C86" s="711" t="str">
        <f>IFERROR(__xludf.DUMMYFUNCTION("""COMPUTED_VALUE"""),"17:30")</f>
        <v>17:30</v>
      </c>
      <c r="D86" s="721"/>
      <c r="E86" s="711"/>
      <c r="F86" s="711"/>
      <c r="G86" s="721"/>
      <c r="H86" s="721"/>
      <c r="I86" s="721"/>
      <c r="J86" s="48"/>
      <c r="K86" s="721"/>
      <c r="L86" s="721"/>
      <c r="M86" s="721"/>
      <c r="N86" s="719"/>
      <c r="O86" s="48"/>
      <c r="P86" s="719"/>
      <c r="Q86" s="48"/>
      <c r="R86" s="48"/>
      <c r="S86" s="711" t="str">
        <f>IFERROR(__xludf.DUMMYFUNCTION("""COMPUTED_VALUE"""),"")</f>
        <v/>
      </c>
      <c r="T86" s="721"/>
      <c r="U86" s="721"/>
      <c r="V86" s="711"/>
      <c r="W86" s="721"/>
      <c r="X86" s="721"/>
      <c r="Y86" s="48" t="str">
        <f>IFERROR(__xludf.DUMMYFUNCTION("""COMPUTED_VALUE"""),"Break Dance e Hip Hop")</f>
        <v>Break Dance e Hip Hop</v>
      </c>
      <c r="Z86" s="48"/>
      <c r="AA86" s="48"/>
      <c r="AB86" s="711"/>
      <c r="AC86" s="711"/>
      <c r="AD86" s="711"/>
      <c r="AE86" s="711"/>
      <c r="AF86" s="711"/>
      <c r="AG86" s="711"/>
      <c r="AH86" s="711"/>
    </row>
    <row r="87">
      <c r="A87" s="48"/>
      <c r="B87" s="48"/>
      <c r="C87" s="711" t="str">
        <f>IFERROR(__xludf.DUMMYFUNCTION("""COMPUTED_VALUE"""),"17:40")</f>
        <v>17:40</v>
      </c>
      <c r="D87" s="721"/>
      <c r="E87" s="711"/>
      <c r="F87" s="711"/>
      <c r="G87" s="721"/>
      <c r="H87" s="721"/>
      <c r="I87" s="721"/>
      <c r="J87" s="48"/>
      <c r="K87" s="721"/>
      <c r="L87" s="721"/>
      <c r="M87" s="721"/>
      <c r="N87" s="719"/>
      <c r="O87" s="48"/>
      <c r="P87" s="719"/>
      <c r="Q87" s="48"/>
      <c r="R87" s="48"/>
      <c r="S87" s="711" t="str">
        <f>IFERROR(__xludf.DUMMYFUNCTION("""COMPUTED_VALUE"""),"")</f>
        <v/>
      </c>
      <c r="T87" s="721"/>
      <c r="U87" s="721"/>
      <c r="V87" s="711"/>
      <c r="W87" s="721"/>
      <c r="X87" s="721"/>
      <c r="Y87" s="48" t="str">
        <f>IFERROR(__xludf.DUMMYFUNCTION("""COMPUTED_VALUE"""),"Dynamic flow Pilates")</f>
        <v>Dynamic flow Pilates</v>
      </c>
      <c r="Z87" s="48"/>
      <c r="AA87" s="48"/>
      <c r="AB87" s="711"/>
      <c r="AC87" s="711"/>
      <c r="AD87" s="711"/>
      <c r="AE87" s="711"/>
      <c r="AF87" s="711"/>
      <c r="AG87" s="711"/>
      <c r="AH87" s="711"/>
    </row>
    <row r="88">
      <c r="A88" s="48"/>
      <c r="B88" s="48"/>
      <c r="C88" s="711" t="str">
        <f>IFERROR(__xludf.DUMMYFUNCTION("""COMPUTED_VALUE"""),"17:45")</f>
        <v>17:45</v>
      </c>
      <c r="D88" s="721"/>
      <c r="E88" s="711"/>
      <c r="F88" s="711"/>
      <c r="G88" s="721"/>
      <c r="H88" s="721"/>
      <c r="I88" s="721"/>
      <c r="J88" s="48"/>
      <c r="K88" s="721"/>
      <c r="L88" s="721"/>
      <c r="M88" s="721"/>
      <c r="N88" s="719"/>
      <c r="O88" s="48"/>
      <c r="P88" s="719"/>
      <c r="Q88" s="48"/>
      <c r="R88" s="48"/>
      <c r="S88" s="711" t="str">
        <f>IFERROR(__xludf.DUMMYFUNCTION("""COMPUTED_VALUE"""),"")</f>
        <v/>
      </c>
      <c r="T88" s="721"/>
      <c r="U88" s="721"/>
      <c r="V88" s="711"/>
      <c r="W88" s="721"/>
      <c r="X88" s="721"/>
      <c r="Y88" s="48" t="str">
        <f>IFERROR(__xludf.DUMMYFUNCTION("""COMPUTED_VALUE"""),"Fit Dance")</f>
        <v>Fit Dance</v>
      </c>
      <c r="Z88" s="48"/>
      <c r="AA88" s="48"/>
      <c r="AB88" s="711"/>
      <c r="AC88" s="711"/>
      <c r="AD88" s="711"/>
      <c r="AE88" s="711"/>
      <c r="AF88" s="711"/>
      <c r="AG88" s="711"/>
      <c r="AH88" s="711"/>
    </row>
    <row r="89">
      <c r="A89" s="48"/>
      <c r="B89" s="48"/>
      <c r="C89" s="711" t="str">
        <f>IFERROR(__xludf.DUMMYFUNCTION("""COMPUTED_VALUE"""),"17:50")</f>
        <v>17:50</v>
      </c>
      <c r="D89" s="721"/>
      <c r="E89" s="711"/>
      <c r="F89" s="711"/>
      <c r="G89" s="721"/>
      <c r="H89" s="721"/>
      <c r="I89" s="721"/>
      <c r="J89" s="48"/>
      <c r="K89" s="721"/>
      <c r="L89" s="721"/>
      <c r="M89" s="721"/>
      <c r="N89" s="719"/>
      <c r="O89" s="48"/>
      <c r="P89" s="719"/>
      <c r="Q89" s="48"/>
      <c r="R89" s="48"/>
      <c r="S89" s="711" t="str">
        <f>IFERROR(__xludf.DUMMYFUNCTION("""COMPUTED_VALUE"""),"")</f>
        <v/>
      </c>
      <c r="T89" s="721"/>
      <c r="U89" s="721"/>
      <c r="V89" s="711"/>
      <c r="W89" s="721"/>
      <c r="X89" s="721"/>
      <c r="Y89" s="48" t="str">
        <f>IFERROR(__xludf.DUMMYFUNCTION("""COMPUTED_VALUE"""),"Footwork Bachata")</f>
        <v>Footwork Bachata</v>
      </c>
      <c r="Z89" s="48"/>
      <c r="AA89" s="48"/>
      <c r="AB89" s="711"/>
      <c r="AC89" s="711"/>
      <c r="AD89" s="711"/>
      <c r="AE89" s="711"/>
      <c r="AF89" s="711"/>
      <c r="AG89" s="711"/>
      <c r="AH89" s="711"/>
    </row>
    <row r="90">
      <c r="A90" s="48"/>
      <c r="B90" s="48"/>
      <c r="C90" s="711" t="str">
        <f>IFERROR(__xludf.DUMMYFUNCTION("""COMPUTED_VALUE"""),"18:00")</f>
        <v>18:00</v>
      </c>
      <c r="D90" s="721"/>
      <c r="E90" s="711"/>
      <c r="F90" s="711"/>
      <c r="G90" s="721"/>
      <c r="H90" s="721"/>
      <c r="I90" s="721"/>
      <c r="J90" s="48"/>
      <c r="K90" s="721"/>
      <c r="L90" s="721"/>
      <c r="M90" s="721"/>
      <c r="N90" s="719"/>
      <c r="O90" s="48"/>
      <c r="P90" s="719"/>
      <c r="Q90" s="48"/>
      <c r="R90" s="711" t="str">
        <f>IFERROR(__xludf.DUMMYFUNCTION("""COMPUTED_VALUE"""),"2526MODULOLUN14.Y")</f>
        <v>2526MODULOLUN14.Y</v>
      </c>
      <c r="S90" s="711">
        <f>IFERROR(__xludf.DUMMYFUNCTION("""COMPUTED_VALUE"""),40.0)</f>
        <v>40</v>
      </c>
      <c r="T90" s="721" t="str">
        <f>IFERROR(__xludf.DUMMYFUNCTION("""COMPUTED_VALUE"""),"2526MODULOLUN14.Y")</f>
        <v>2526MODULOLUN14.Y</v>
      </c>
      <c r="U90" s="721"/>
      <c r="V90" s="711"/>
      <c r="W90" s="721"/>
      <c r="X90" s="721"/>
      <c r="Y90" s="48" t="str">
        <f>IFERROR(__xludf.DUMMYFUNCTION("""COMPUTED_VALUE"""),"Urban")</f>
        <v>Urban</v>
      </c>
      <c r="Z90" s="48"/>
      <c r="AA90" s="48"/>
      <c r="AB90" s="711"/>
      <c r="AC90" s="711"/>
      <c r="AD90" s="711"/>
      <c r="AE90" s="711"/>
      <c r="AF90" s="711"/>
      <c r="AG90" s="711"/>
      <c r="AH90" s="711"/>
    </row>
    <row r="91">
      <c r="A91" s="48"/>
      <c r="B91" s="48"/>
      <c r="C91" s="711" t="str">
        <f>IFERROR(__xludf.DUMMYFUNCTION("""COMPUTED_VALUE"""),"18:10")</f>
        <v>18:10</v>
      </c>
      <c r="D91" s="721"/>
      <c r="E91" s="711"/>
      <c r="F91" s="711"/>
      <c r="G91" s="721"/>
      <c r="H91" s="721"/>
      <c r="I91" s="721"/>
      <c r="J91" s="48"/>
      <c r="K91" s="721"/>
      <c r="L91" s="721"/>
      <c r="M91" s="721"/>
      <c r="N91" s="719"/>
      <c r="O91" s="48"/>
      <c r="P91" s="719"/>
      <c r="Q91" s="48"/>
      <c r="R91" s="48"/>
      <c r="S91" s="711" t="str">
        <f>IFERROR(__xludf.DUMMYFUNCTION("""COMPUTED_VALUE"""),"")</f>
        <v/>
      </c>
      <c r="T91" s="721"/>
      <c r="U91" s="721"/>
      <c r="V91" s="711"/>
      <c r="W91" s="721"/>
      <c r="X91" s="721"/>
      <c r="Y91" s="48"/>
      <c r="Z91" s="48"/>
      <c r="AA91" s="48"/>
      <c r="AB91" s="711"/>
      <c r="AC91" s="711"/>
      <c r="AD91" s="711"/>
      <c r="AE91" s="711"/>
      <c r="AF91" s="711"/>
      <c r="AG91" s="711"/>
      <c r="AH91" s="711"/>
    </row>
    <row r="92">
      <c r="A92" s="48"/>
      <c r="B92" s="48"/>
      <c r="C92" s="711" t="str">
        <f>IFERROR(__xludf.DUMMYFUNCTION("""COMPUTED_VALUE"""),"18:15")</f>
        <v>18:15</v>
      </c>
      <c r="D92" s="721"/>
      <c r="E92" s="711"/>
      <c r="F92" s="711"/>
      <c r="G92" s="721"/>
      <c r="H92" s="721"/>
      <c r="I92" s="721"/>
      <c r="J92" s="48"/>
      <c r="K92" s="721"/>
      <c r="L92" s="721"/>
      <c r="M92" s="721"/>
      <c r="N92" s="719"/>
      <c r="O92" s="48"/>
      <c r="P92" s="719"/>
      <c r="Q92" s="48"/>
      <c r="R92" s="711" t="str">
        <f>IFERROR(__xludf.DUMMYFUNCTION("""COMPUTED_VALUE"""),"2526MODULOLUN14.Y")</f>
        <v>2526MODULOLUN14.Y</v>
      </c>
      <c r="S92" s="711">
        <f>IFERROR(__xludf.DUMMYFUNCTION("""COMPUTED_VALUE"""),40.0)</f>
        <v>40</v>
      </c>
      <c r="T92" s="721" t="str">
        <f>IFERROR(__xludf.DUMMYFUNCTION("""COMPUTED_VALUE"""),"2526MODULOLUN14.Y")</f>
        <v>2526MODULOLUN14.Y</v>
      </c>
      <c r="U92" s="721"/>
      <c r="V92" s="711"/>
      <c r="W92" s="721"/>
      <c r="X92" s="721"/>
      <c r="Y92" s="48"/>
      <c r="Z92" s="48"/>
      <c r="AA92" s="48"/>
      <c r="AB92" s="711"/>
      <c r="AC92" s="711"/>
      <c r="AD92" s="711"/>
      <c r="AE92" s="711"/>
      <c r="AF92" s="711"/>
      <c r="AG92" s="711"/>
      <c r="AH92" s="711"/>
    </row>
    <row r="93">
      <c r="A93" s="48"/>
      <c r="B93" s="48"/>
      <c r="C93" s="711" t="str">
        <f>IFERROR(__xludf.DUMMYFUNCTION("""COMPUTED_VALUE"""),"18:20")</f>
        <v>18:20</v>
      </c>
      <c r="D93" s="721"/>
      <c r="E93" s="711"/>
      <c r="F93" s="711"/>
      <c r="G93" s="721"/>
      <c r="H93" s="721"/>
      <c r="I93" s="721"/>
      <c r="J93" s="48"/>
      <c r="K93" s="721"/>
      <c r="L93" s="721"/>
      <c r="M93" s="721"/>
      <c r="N93" s="719"/>
      <c r="O93" s="48"/>
      <c r="P93" s="719"/>
      <c r="Q93" s="48"/>
      <c r="R93" s="711" t="str">
        <f>IFERROR(__xludf.DUMMYFUNCTION("""COMPUTED_VALUE"""),"2526MODULOLUN14.Y")</f>
        <v>2526MODULOLUN14.Y</v>
      </c>
      <c r="S93" s="711">
        <f>IFERROR(__xludf.DUMMYFUNCTION("""COMPUTED_VALUE"""),40.0)</f>
        <v>40</v>
      </c>
      <c r="T93" s="721" t="str">
        <f>IFERROR(__xludf.DUMMYFUNCTION("""COMPUTED_VALUE"""),"2526MODULOLUN14.Y")</f>
        <v>2526MODULOLUN14.Y</v>
      </c>
      <c r="U93" s="721"/>
      <c r="V93" s="711"/>
      <c r="W93" s="721"/>
      <c r="X93" s="721"/>
      <c r="Y93" s="48"/>
      <c r="Z93" s="48"/>
      <c r="AA93" s="48"/>
      <c r="AB93" s="711"/>
      <c r="AC93" s="711"/>
      <c r="AD93" s="711"/>
      <c r="AE93" s="711"/>
      <c r="AF93" s="711"/>
      <c r="AG93" s="711"/>
      <c r="AH93" s="711"/>
    </row>
    <row r="94">
      <c r="A94" s="48"/>
      <c r="B94" s="48"/>
      <c r="C94" s="711" t="str">
        <f>IFERROR(__xludf.DUMMYFUNCTION("""COMPUTED_VALUE"""),"18:30")</f>
        <v>18:30</v>
      </c>
      <c r="D94" s="721"/>
      <c r="E94" s="711"/>
      <c r="F94" s="711"/>
      <c r="G94" s="721"/>
      <c r="H94" s="721"/>
      <c r="I94" s="721"/>
      <c r="J94" s="48"/>
      <c r="K94" s="721"/>
      <c r="L94" s="721"/>
      <c r="M94" s="721"/>
      <c r="N94" s="719"/>
      <c r="O94" s="48"/>
      <c r="P94" s="719"/>
      <c r="Q94" s="48"/>
      <c r="R94" s="48"/>
      <c r="S94" s="711" t="str">
        <f>IFERROR(__xludf.DUMMYFUNCTION("""COMPUTED_VALUE"""),"")</f>
        <v/>
      </c>
      <c r="T94" s="721"/>
      <c r="U94" s="721"/>
      <c r="V94" s="711"/>
      <c r="W94" s="721"/>
      <c r="X94" s="721"/>
      <c r="Y94" s="48"/>
      <c r="Z94" s="48"/>
      <c r="AA94" s="48"/>
      <c r="AB94" s="711"/>
      <c r="AC94" s="711"/>
      <c r="AD94" s="711"/>
      <c r="AE94" s="711"/>
      <c r="AF94" s="711"/>
      <c r="AG94" s="711"/>
      <c r="AH94" s="711"/>
    </row>
    <row r="95">
      <c r="A95" s="48"/>
      <c r="B95" s="48"/>
      <c r="C95" s="711" t="str">
        <f>IFERROR(__xludf.DUMMYFUNCTION("""COMPUTED_VALUE"""),"18:40")</f>
        <v>18:40</v>
      </c>
      <c r="D95" s="721"/>
      <c r="E95" s="711"/>
      <c r="F95" s="711"/>
      <c r="G95" s="721"/>
      <c r="H95" s="721"/>
      <c r="I95" s="721"/>
      <c r="J95" s="48"/>
      <c r="K95" s="721"/>
      <c r="L95" s="721"/>
      <c r="M95" s="721"/>
      <c r="N95" s="719"/>
      <c r="O95" s="48"/>
      <c r="P95" s="719"/>
      <c r="Q95" s="48"/>
      <c r="R95" s="48"/>
      <c r="S95" s="711" t="str">
        <f>IFERROR(__xludf.DUMMYFUNCTION("""COMPUTED_VALUE"""),"")</f>
        <v/>
      </c>
      <c r="T95" s="721"/>
      <c r="U95" s="721"/>
      <c r="V95" s="711"/>
      <c r="W95" s="721"/>
      <c r="X95" s="721"/>
      <c r="Y95" s="48"/>
      <c r="Z95" s="48"/>
      <c r="AA95" s="48"/>
      <c r="AB95" s="711"/>
      <c r="AC95" s="711"/>
      <c r="AD95" s="711"/>
      <c r="AE95" s="711"/>
      <c r="AF95" s="711"/>
      <c r="AG95" s="711"/>
      <c r="AH95" s="711"/>
    </row>
    <row r="96">
      <c r="A96" s="48"/>
      <c r="B96" s="48"/>
      <c r="C96" s="711" t="str">
        <f>IFERROR(__xludf.DUMMYFUNCTION("""COMPUTED_VALUE"""),"18:45")</f>
        <v>18:45</v>
      </c>
      <c r="D96" s="721"/>
      <c r="E96" s="711"/>
      <c r="F96" s="711"/>
      <c r="G96" s="721"/>
      <c r="H96" s="721"/>
      <c r="I96" s="721"/>
      <c r="J96" s="48"/>
      <c r="K96" s="721"/>
      <c r="L96" s="721"/>
      <c r="M96" s="721"/>
      <c r="N96" s="719"/>
      <c r="O96" s="48"/>
      <c r="P96" s="719"/>
      <c r="Q96" s="48"/>
      <c r="R96" s="711" t="str">
        <f>IFERROR(__xludf.DUMMYFUNCTION("""COMPUTED_VALUE"""),"2526MODULOLUN14.Y")</f>
        <v>2526MODULOLUN14.Y</v>
      </c>
      <c r="S96" s="711">
        <f>IFERROR(__xludf.DUMMYFUNCTION("""COMPUTED_VALUE"""),40.0)</f>
        <v>40</v>
      </c>
      <c r="T96" s="721" t="str">
        <f>IFERROR(__xludf.DUMMYFUNCTION("""COMPUTED_VALUE"""),"2526MODULOLUN14.Y")</f>
        <v>2526MODULOLUN14.Y</v>
      </c>
      <c r="U96" s="721"/>
      <c r="V96" s="711"/>
      <c r="W96" s="721"/>
      <c r="X96" s="721"/>
      <c r="Y96" s="48"/>
      <c r="Z96" s="48"/>
      <c r="AA96" s="48"/>
      <c r="AB96" s="711"/>
      <c r="AC96" s="711"/>
      <c r="AD96" s="711"/>
      <c r="AE96" s="711"/>
      <c r="AF96" s="711"/>
      <c r="AG96" s="711"/>
      <c r="AH96" s="711"/>
    </row>
    <row r="97">
      <c r="A97" s="48"/>
      <c r="B97" s="48"/>
      <c r="C97" s="711" t="str">
        <f>IFERROR(__xludf.DUMMYFUNCTION("""COMPUTED_VALUE"""),"18:50")</f>
        <v>18:50</v>
      </c>
      <c r="D97" s="721"/>
      <c r="E97" s="711"/>
      <c r="F97" s="711"/>
      <c r="G97" s="721"/>
      <c r="H97" s="721"/>
      <c r="I97" s="721"/>
      <c r="J97" s="48"/>
      <c r="K97" s="721"/>
      <c r="L97" s="721"/>
      <c r="M97" s="721"/>
      <c r="N97" s="719"/>
      <c r="O97" s="48"/>
      <c r="P97" s="719"/>
      <c r="Q97" s="48"/>
      <c r="R97" s="711" t="str">
        <f>IFERROR(__xludf.DUMMYFUNCTION("""COMPUTED_VALUE"""),"2526SEABRALUN14.Y")</f>
        <v>2526SEABRALUN14.Y</v>
      </c>
      <c r="S97" s="711">
        <f>IFERROR(__xludf.DUMMYFUNCTION("""COMPUTED_VALUE"""),20.0)</f>
        <v>20</v>
      </c>
      <c r="T97" s="721" t="str">
        <f>IFERROR(__xludf.DUMMYFUNCTION("""COMPUTED_VALUE"""),"2526SEABRALUN14.Y")</f>
        <v>2526SEABRALUN14.Y</v>
      </c>
      <c r="U97" s="721"/>
      <c r="V97" s="711"/>
      <c r="W97" s="721"/>
      <c r="X97" s="721"/>
      <c r="Y97" s="48"/>
      <c r="Z97" s="48"/>
      <c r="AA97" s="48"/>
      <c r="AB97" s="711"/>
      <c r="AC97" s="711"/>
      <c r="AD97" s="711"/>
      <c r="AE97" s="711"/>
      <c r="AF97" s="711"/>
      <c r="AG97" s="711"/>
      <c r="AH97" s="711"/>
    </row>
    <row r="98">
      <c r="A98" s="48"/>
      <c r="B98" s="48"/>
      <c r="C98" s="711" t="str">
        <f>IFERROR(__xludf.DUMMYFUNCTION("""COMPUTED_VALUE"""),"19:00")</f>
        <v>19:00</v>
      </c>
      <c r="D98" s="721"/>
      <c r="E98" s="711"/>
      <c r="F98" s="711"/>
      <c r="G98" s="721"/>
      <c r="H98" s="721"/>
      <c r="I98" s="721"/>
      <c r="J98" s="48"/>
      <c r="K98" s="721"/>
      <c r="L98" s="721"/>
      <c r="M98" s="721"/>
      <c r="N98" s="719"/>
      <c r="O98" s="48"/>
      <c r="P98" s="719"/>
      <c r="Q98" s="48"/>
      <c r="R98" s="48"/>
      <c r="S98" s="711" t="str">
        <f>IFERROR(__xludf.DUMMYFUNCTION("""COMPUTED_VALUE"""),"")</f>
        <v/>
      </c>
      <c r="T98" s="721"/>
      <c r="U98" s="721"/>
      <c r="V98" s="711"/>
      <c r="W98" s="721"/>
      <c r="X98" s="721"/>
      <c r="Y98" s="48"/>
      <c r="Z98" s="48"/>
      <c r="AA98" s="48"/>
      <c r="AB98" s="711"/>
      <c r="AC98" s="711"/>
      <c r="AD98" s="711"/>
      <c r="AE98" s="711"/>
      <c r="AF98" s="711"/>
      <c r="AG98" s="711"/>
      <c r="AH98" s="711"/>
    </row>
    <row r="99">
      <c r="A99" s="48"/>
      <c r="B99" s="48"/>
      <c r="C99" s="711" t="str">
        <f>IFERROR(__xludf.DUMMYFUNCTION("""COMPUTED_VALUE"""),"19:10")</f>
        <v>19:10</v>
      </c>
      <c r="D99" s="721"/>
      <c r="E99" s="711"/>
      <c r="F99" s="711"/>
      <c r="G99" s="721"/>
      <c r="H99" s="721"/>
      <c r="I99" s="721"/>
      <c r="J99" s="48"/>
      <c r="K99" s="721"/>
      <c r="L99" s="721"/>
      <c r="M99" s="721"/>
      <c r="N99" s="719"/>
      <c r="O99" s="48"/>
      <c r="P99" s="719"/>
      <c r="Q99" s="48"/>
      <c r="R99" s="48"/>
      <c r="S99" s="711" t="str">
        <f>IFERROR(__xludf.DUMMYFUNCTION("""COMPUTED_VALUE"""),"")</f>
        <v/>
      </c>
      <c r="T99" s="721"/>
      <c r="U99" s="721"/>
      <c r="V99" s="711"/>
      <c r="W99" s="721"/>
      <c r="X99" s="721"/>
      <c r="Y99" s="48"/>
      <c r="Z99" s="48"/>
      <c r="AA99" s="48"/>
      <c r="AB99" s="711"/>
      <c r="AC99" s="711"/>
      <c r="AD99" s="711"/>
      <c r="AE99" s="711"/>
      <c r="AF99" s="711"/>
      <c r="AG99" s="711"/>
      <c r="AH99" s="711"/>
    </row>
    <row r="100">
      <c r="A100" s="48"/>
      <c r="B100" s="48"/>
      <c r="C100" s="711" t="str">
        <f>IFERROR(__xludf.DUMMYFUNCTION("""COMPUTED_VALUE"""),"19:15")</f>
        <v>19:15</v>
      </c>
      <c r="D100" s="721"/>
      <c r="E100" s="711"/>
      <c r="F100" s="711"/>
      <c r="G100" s="721"/>
      <c r="H100" s="721"/>
      <c r="I100" s="721"/>
      <c r="J100" s="48"/>
      <c r="K100" s="721"/>
      <c r="L100" s="721"/>
      <c r="M100" s="721"/>
      <c r="N100" s="719"/>
      <c r="O100" s="48"/>
      <c r="P100" s="719"/>
      <c r="Q100" s="48"/>
      <c r="R100" s="48"/>
      <c r="S100" s="711" t="str">
        <f>IFERROR(__xludf.DUMMYFUNCTION("""COMPUTED_VALUE"""),"")</f>
        <v/>
      </c>
      <c r="T100" s="721"/>
      <c r="U100" s="721"/>
      <c r="V100" s="711"/>
      <c r="W100" s="721"/>
      <c r="X100" s="721"/>
      <c r="Y100" s="48"/>
      <c r="Z100" s="48"/>
      <c r="AA100" s="48"/>
      <c r="AB100" s="711"/>
      <c r="AC100" s="711"/>
      <c r="AD100" s="711"/>
      <c r="AE100" s="711"/>
      <c r="AF100" s="711"/>
      <c r="AG100" s="711"/>
      <c r="AH100" s="711"/>
    </row>
    <row r="101">
      <c r="A101" s="48"/>
      <c r="B101" s="48"/>
      <c r="C101" s="711" t="str">
        <f>IFERROR(__xludf.DUMMYFUNCTION("""COMPUTED_VALUE"""),"19:20")</f>
        <v>19:20</v>
      </c>
      <c r="D101" s="721"/>
      <c r="E101" s="711"/>
      <c r="F101" s="711"/>
      <c r="G101" s="721"/>
      <c r="H101" s="721"/>
      <c r="I101" s="721"/>
      <c r="J101" s="48"/>
      <c r="K101" s="721"/>
      <c r="L101" s="721"/>
      <c r="M101" s="721" t="str">
        <f>IFERROR(__xludf.DUMMYFUNCTION("""COMPUTED_VALUE"""),"CHI SCRIVE DIREZIONE")</f>
        <v>CHI SCRIVE DIREZIONE</v>
      </c>
      <c r="N101" s="719"/>
      <c r="O101" s="48"/>
      <c r="P101" s="719"/>
      <c r="Q101" s="48"/>
      <c r="R101" s="48"/>
      <c r="S101" s="711" t="str">
        <f>IFERROR(__xludf.DUMMYFUNCTION("""COMPUTED_VALUE"""),"")</f>
        <v/>
      </c>
      <c r="T101" s="721"/>
      <c r="U101" s="721"/>
      <c r="V101" s="711"/>
      <c r="W101" s="721"/>
      <c r="X101" s="721"/>
      <c r="Y101" s="48"/>
      <c r="Z101" s="48"/>
      <c r="AA101" s="48"/>
      <c r="AB101" s="711"/>
      <c r="AC101" s="711"/>
      <c r="AD101" s="711"/>
      <c r="AE101" s="711"/>
      <c r="AF101" s="711"/>
      <c r="AG101" s="711"/>
      <c r="AH101" s="711"/>
    </row>
    <row r="102">
      <c r="A102" s="48"/>
      <c r="B102" s="48"/>
      <c r="C102" s="711" t="str">
        <f>IFERROR(__xludf.DUMMYFUNCTION("""COMPUTED_VALUE"""),"19:30")</f>
        <v>19:30</v>
      </c>
      <c r="D102" s="721"/>
      <c r="E102" s="711"/>
      <c r="F102" s="711"/>
      <c r="G102" s="721"/>
      <c r="H102" s="721"/>
      <c r="I102" s="721"/>
      <c r="J102" s="48"/>
      <c r="K102" s="721"/>
      <c r="L102" s="721"/>
      <c r="M102" s="721" t="str">
        <f>IFERROR(__xludf.DUMMYFUNCTION("""COMPUTED_VALUE"""),"AMM. (Santo)")</f>
        <v>AMM. (Santo)</v>
      </c>
      <c r="N102" s="719"/>
      <c r="O102" s="48"/>
      <c r="P102" s="719"/>
      <c r="Q102" s="48"/>
      <c r="R102" s="711" t="str">
        <f>IFERROR(__xludf.DUMMYFUNCTION("""COMPUTED_VALUE"""),"2526MODULOLUN15.Y")</f>
        <v>2526MODULOLUN15.Y</v>
      </c>
      <c r="S102" s="711">
        <f>IFERROR(__xludf.DUMMYFUNCTION("""COMPUTED_VALUE"""),40.0)</f>
        <v>40</v>
      </c>
      <c r="T102" s="721" t="str">
        <f>IFERROR(__xludf.DUMMYFUNCTION("""COMPUTED_VALUE"""),"2526MODULOLUN15.Y")</f>
        <v>2526MODULOLUN15.Y</v>
      </c>
      <c r="U102" s="721"/>
      <c r="V102" s="711"/>
      <c r="W102" s="721"/>
      <c r="X102" s="721"/>
      <c r="Y102" s="48"/>
      <c r="Z102" s="48"/>
      <c r="AA102" s="48"/>
      <c r="AB102" s="711"/>
      <c r="AC102" s="711"/>
      <c r="AD102" s="711"/>
      <c r="AE102" s="711"/>
      <c r="AF102" s="711"/>
      <c r="AG102" s="711"/>
      <c r="AH102" s="711"/>
    </row>
    <row r="103">
      <c r="A103" s="48"/>
      <c r="B103" s="48"/>
      <c r="C103" s="711" t="str">
        <f>IFERROR(__xludf.DUMMYFUNCTION("""COMPUTED_VALUE"""),"19:40")</f>
        <v>19:40</v>
      </c>
      <c r="D103" s="721"/>
      <c r="E103" s="711"/>
      <c r="F103" s="711"/>
      <c r="G103" s="721"/>
      <c r="H103" s="721"/>
      <c r="I103" s="721"/>
      <c r="J103" s="48"/>
      <c r="K103" s="721"/>
      <c r="L103" s="721"/>
      <c r="M103" s="721" t="str">
        <f>IFERROR(__xludf.DUMMYFUNCTION("""COMPUTED_VALUE"""),"Elisa")</f>
        <v>Elisa</v>
      </c>
      <c r="N103" s="719"/>
      <c r="O103" s="48"/>
      <c r="P103" s="719"/>
      <c r="Q103" s="48"/>
      <c r="R103" s="48"/>
      <c r="S103" s="711" t="str">
        <f>IFERROR(__xludf.DUMMYFUNCTION("""COMPUTED_VALUE"""),"")</f>
        <v/>
      </c>
      <c r="T103" s="721"/>
      <c r="U103" s="721"/>
      <c r="V103" s="711"/>
      <c r="W103" s="721"/>
      <c r="X103" s="721"/>
      <c r="Y103" s="48"/>
      <c r="Z103" s="48"/>
      <c r="AA103" s="48"/>
      <c r="AB103" s="711"/>
      <c r="AC103" s="711"/>
      <c r="AD103" s="711"/>
      <c r="AE103" s="711"/>
      <c r="AF103" s="711"/>
      <c r="AG103" s="711"/>
      <c r="AH103" s="711"/>
    </row>
    <row r="104">
      <c r="A104" s="48"/>
      <c r="B104" s="48"/>
      <c r="C104" s="711" t="str">
        <f>IFERROR(__xludf.DUMMYFUNCTION("""COMPUTED_VALUE"""),"19:45")</f>
        <v>19:45</v>
      </c>
      <c r="D104" s="721"/>
      <c r="E104" s="711"/>
      <c r="F104" s="711"/>
      <c r="G104" s="721"/>
      <c r="H104" s="721"/>
      <c r="I104" s="721"/>
      <c r="J104" s="48"/>
      <c r="K104" s="721"/>
      <c r="L104" s="721"/>
      <c r="M104" s="721" t="str">
        <f>IFERROR(__xludf.DUMMYFUNCTION("""COMPUTED_VALUE"""),"Gae")</f>
        <v>Gae</v>
      </c>
      <c r="N104" s="719"/>
      <c r="O104" s="48"/>
      <c r="P104" s="719"/>
      <c r="Q104" s="48"/>
      <c r="R104" s="711" t="str">
        <f>IFERROR(__xludf.DUMMYFUNCTION("""COMPUTED_VALUE"""),"2526MODULOLUN15.Y")</f>
        <v>2526MODULOLUN15.Y</v>
      </c>
      <c r="S104" s="711">
        <f>IFERROR(__xludf.DUMMYFUNCTION("""COMPUTED_VALUE"""),40.0)</f>
        <v>40</v>
      </c>
      <c r="T104" s="721" t="str">
        <f>IFERROR(__xludf.DUMMYFUNCTION("""COMPUTED_VALUE"""),"2526MODULOLUN15.Y")</f>
        <v>2526MODULOLUN15.Y</v>
      </c>
      <c r="U104" s="721"/>
      <c r="V104" s="711"/>
      <c r="W104" s="721"/>
      <c r="X104" s="721"/>
      <c r="Y104" s="48"/>
      <c r="Z104" s="48"/>
      <c r="AA104" s="48"/>
      <c r="AB104" s="711"/>
      <c r="AC104" s="711"/>
      <c r="AD104" s="711"/>
      <c r="AE104" s="711"/>
      <c r="AF104" s="711"/>
      <c r="AG104" s="711"/>
      <c r="AH104" s="711"/>
    </row>
    <row r="105">
      <c r="A105" s="48"/>
      <c r="B105" s="48"/>
      <c r="C105" s="711" t="str">
        <f>IFERROR(__xludf.DUMMYFUNCTION("""COMPUTED_VALUE"""),"19:50")</f>
        <v>19:50</v>
      </c>
      <c r="D105" s="721"/>
      <c r="E105" s="711"/>
      <c r="F105" s="711"/>
      <c r="G105" s="721"/>
      <c r="H105" s="721"/>
      <c r="I105" s="721"/>
      <c r="J105" s="48"/>
      <c r="K105" s="721"/>
      <c r="L105" s="721"/>
      <c r="M105" s="721"/>
      <c r="N105" s="719"/>
      <c r="O105" s="48"/>
      <c r="P105" s="719"/>
      <c r="Q105" s="48"/>
      <c r="R105" s="711" t="str">
        <f>IFERROR(__xludf.DUMMYFUNCTION("""COMPUTED_VALUE"""),"2526MODULOLUN15.Y")</f>
        <v>2526MODULOLUN15.Y</v>
      </c>
      <c r="S105" s="711">
        <f>IFERROR(__xludf.DUMMYFUNCTION("""COMPUTED_VALUE"""),40.0)</f>
        <v>40</v>
      </c>
      <c r="T105" s="721" t="str">
        <f>IFERROR(__xludf.DUMMYFUNCTION("""COMPUTED_VALUE"""),"2526MODULOLUN15.Y")</f>
        <v>2526MODULOLUN15.Y</v>
      </c>
      <c r="U105" s="721"/>
      <c r="V105" s="711"/>
      <c r="W105" s="721"/>
      <c r="X105" s="721"/>
      <c r="Y105" s="48"/>
      <c r="Z105" s="48"/>
      <c r="AA105" s="48"/>
      <c r="AB105" s="711"/>
      <c r="AC105" s="711"/>
      <c r="AD105" s="711"/>
      <c r="AE105" s="711"/>
      <c r="AF105" s="711"/>
      <c r="AG105" s="711"/>
      <c r="AH105" s="711"/>
    </row>
    <row r="106">
      <c r="A106" s="48"/>
      <c r="B106" s="48"/>
      <c r="C106" s="711" t="str">
        <f>IFERROR(__xludf.DUMMYFUNCTION("""COMPUTED_VALUE"""),"20:00")</f>
        <v>20:00</v>
      </c>
      <c r="D106" s="721"/>
      <c r="E106" s="711"/>
      <c r="F106" s="711"/>
      <c r="G106" s="721"/>
      <c r="H106" s="721"/>
      <c r="I106" s="721"/>
      <c r="J106" s="48"/>
      <c r="K106" s="721"/>
      <c r="L106" s="721"/>
      <c r="M106" s="721"/>
      <c r="N106" s="719"/>
      <c r="O106" s="48"/>
      <c r="P106" s="719"/>
      <c r="Q106" s="48"/>
      <c r="R106" s="48"/>
      <c r="S106" s="711" t="str">
        <f>IFERROR(__xludf.DUMMYFUNCTION("""COMPUTED_VALUE"""),"")</f>
        <v/>
      </c>
      <c r="T106" s="721"/>
      <c r="U106" s="721"/>
      <c r="V106" s="711"/>
      <c r="W106" s="721"/>
      <c r="X106" s="721"/>
      <c r="Y106" s="48"/>
      <c r="Z106" s="48"/>
      <c r="AA106" s="48"/>
      <c r="AB106" s="711"/>
      <c r="AC106" s="711"/>
      <c r="AD106" s="711"/>
      <c r="AE106" s="711"/>
      <c r="AF106" s="711"/>
      <c r="AG106" s="711"/>
      <c r="AH106" s="711"/>
    </row>
    <row r="107">
      <c r="A107" s="48"/>
      <c r="B107" s="48"/>
      <c r="C107" s="711" t="str">
        <f>IFERROR(__xludf.DUMMYFUNCTION("""COMPUTED_VALUE"""),"20:10")</f>
        <v>20:10</v>
      </c>
      <c r="D107" s="721"/>
      <c r="E107" s="711"/>
      <c r="F107" s="711"/>
      <c r="G107" s="721"/>
      <c r="H107" s="721"/>
      <c r="I107" s="721"/>
      <c r="J107" s="48"/>
      <c r="K107" s="721"/>
      <c r="L107" s="721"/>
      <c r="M107" s="721"/>
      <c r="N107" s="719"/>
      <c r="O107" s="48"/>
      <c r="P107" s="719"/>
      <c r="Q107" s="48"/>
      <c r="R107" s="714" t="str">
        <f>IFERROR(__xludf.DUMMYFUNCTION("""COMPUTED_VALUE"""),"2526MARINOLUN15.B")</f>
        <v>2526MARINOLUN15.B</v>
      </c>
      <c r="S107" s="711">
        <f>IFERROR(__xludf.DUMMYFUNCTION("""COMPUTED_VALUE"""),11.0)</f>
        <v>11</v>
      </c>
      <c r="T107" s="722" t="str">
        <f>IFERROR(__xludf.DUMMYFUNCTION("""COMPUTED_VALUE"""),"2526MARINOLUN15.B")</f>
        <v>2526MARINOLUN15.B</v>
      </c>
      <c r="U107" s="721"/>
      <c r="V107" s="711"/>
      <c r="W107" s="721"/>
      <c r="X107" s="721"/>
      <c r="Y107" s="48"/>
      <c r="Z107" s="48"/>
      <c r="AA107" s="48"/>
      <c r="AB107" s="711"/>
      <c r="AC107" s="711"/>
      <c r="AD107" s="711"/>
      <c r="AE107" s="711"/>
      <c r="AF107" s="711"/>
      <c r="AG107" s="711"/>
      <c r="AH107" s="711"/>
    </row>
    <row r="108">
      <c r="A108" s="48"/>
      <c r="B108" s="48"/>
      <c r="C108" s="711" t="str">
        <f>IFERROR(__xludf.DUMMYFUNCTION("""COMPUTED_VALUE"""),"20:15")</f>
        <v>20:15</v>
      </c>
      <c r="D108" s="721"/>
      <c r="E108" s="711"/>
      <c r="F108" s="711"/>
      <c r="G108" s="721"/>
      <c r="H108" s="721"/>
      <c r="I108" s="721"/>
      <c r="J108" s="48"/>
      <c r="K108" s="721"/>
      <c r="L108" s="721"/>
      <c r="M108" s="721"/>
      <c r="N108" s="719"/>
      <c r="O108" s="48"/>
      <c r="P108" s="719"/>
      <c r="Q108" s="48"/>
      <c r="R108" s="711" t="str">
        <f>IFERROR(__xludf.DUMMYFUNCTION("""COMPUTED_VALUE"""),"2526MODULOLUN15.Y")</f>
        <v>2526MODULOLUN15.Y</v>
      </c>
      <c r="S108" s="711">
        <f>IFERROR(__xludf.DUMMYFUNCTION("""COMPUTED_VALUE"""),40.0)</f>
        <v>40</v>
      </c>
      <c r="T108" s="721" t="str">
        <f>IFERROR(__xludf.DUMMYFUNCTION("""COMPUTED_VALUE"""),"2526MODULOLUN15.Y")</f>
        <v>2526MODULOLUN15.Y</v>
      </c>
      <c r="U108" s="721"/>
      <c r="V108" s="711"/>
      <c r="W108" s="721"/>
      <c r="X108" s="721"/>
      <c r="Y108" s="48"/>
      <c r="Z108" s="48"/>
      <c r="AA108" s="48"/>
      <c r="AB108" s="711"/>
      <c r="AC108" s="711"/>
      <c r="AD108" s="711"/>
      <c r="AE108" s="711"/>
      <c r="AF108" s="711"/>
      <c r="AG108" s="711"/>
      <c r="AH108" s="711"/>
    </row>
    <row r="109">
      <c r="A109" s="48"/>
      <c r="B109" s="48"/>
      <c r="C109" s="711" t="str">
        <f>IFERROR(__xludf.DUMMYFUNCTION("""COMPUTED_VALUE"""),"20:20")</f>
        <v>20:20</v>
      </c>
      <c r="D109" s="721"/>
      <c r="E109" s="711"/>
      <c r="F109" s="711"/>
      <c r="G109" s="721"/>
      <c r="H109" s="721"/>
      <c r="I109" s="721"/>
      <c r="J109" s="48"/>
      <c r="K109" s="721"/>
      <c r="L109" s="721"/>
      <c r="M109" s="721"/>
      <c r="N109" s="719"/>
      <c r="O109" s="48"/>
      <c r="P109" s="719"/>
      <c r="Q109" s="48"/>
      <c r="R109" s="711" t="str">
        <f>IFERROR(__xludf.DUMMYFUNCTION("""COMPUTED_VALUE"""),"2526SEABRALUN15.Y")</f>
        <v>2526SEABRALUN15.Y</v>
      </c>
      <c r="S109" s="711">
        <f>IFERROR(__xludf.DUMMYFUNCTION("""COMPUTED_VALUE"""),20.0)</f>
        <v>20</v>
      </c>
      <c r="T109" s="721" t="str">
        <f>IFERROR(__xludf.DUMMYFUNCTION("""COMPUTED_VALUE"""),"2526SEABRALUN15.Y")</f>
        <v>2526SEABRALUN15.Y</v>
      </c>
      <c r="U109" s="721"/>
      <c r="V109" s="711"/>
      <c r="W109" s="721"/>
      <c r="X109" s="721"/>
      <c r="Y109" s="48"/>
      <c r="Z109" s="48"/>
      <c r="AA109" s="48"/>
      <c r="AB109" s="711"/>
      <c r="AC109" s="711"/>
      <c r="AD109" s="711"/>
      <c r="AE109" s="711"/>
      <c r="AF109" s="711"/>
      <c r="AG109" s="711"/>
      <c r="AH109" s="711"/>
    </row>
    <row r="110">
      <c r="A110" s="48"/>
      <c r="B110" s="48"/>
      <c r="C110" s="711" t="str">
        <f>IFERROR(__xludf.DUMMYFUNCTION("""COMPUTED_VALUE"""),"20:30")</f>
        <v>20:30</v>
      </c>
      <c r="D110" s="721"/>
      <c r="E110" s="711"/>
      <c r="F110" s="711"/>
      <c r="G110" s="721"/>
      <c r="H110" s="721"/>
      <c r="I110" s="721"/>
      <c r="J110" s="48"/>
      <c r="K110" s="721"/>
      <c r="L110" s="721"/>
      <c r="M110" s="721"/>
      <c r="N110" s="719"/>
      <c r="O110" s="48"/>
      <c r="P110" s="719"/>
      <c r="Q110" s="48"/>
      <c r="R110" s="48"/>
      <c r="S110" s="711" t="str">
        <f>IFERROR(__xludf.DUMMYFUNCTION("""COMPUTED_VALUE"""),"")</f>
        <v/>
      </c>
      <c r="T110" s="721"/>
      <c r="U110" s="721"/>
      <c r="V110" s="711"/>
      <c r="W110" s="721"/>
      <c r="X110" s="721"/>
      <c r="Y110" s="48"/>
      <c r="Z110" s="48"/>
      <c r="AA110" s="48"/>
      <c r="AB110" s="711"/>
      <c r="AC110" s="711"/>
      <c r="AD110" s="711"/>
      <c r="AE110" s="711"/>
      <c r="AF110" s="711"/>
      <c r="AG110" s="711"/>
      <c r="AH110" s="711"/>
    </row>
    <row r="111">
      <c r="A111" s="48"/>
      <c r="B111" s="48"/>
      <c r="C111" s="711" t="str">
        <f>IFERROR(__xludf.DUMMYFUNCTION("""COMPUTED_VALUE"""),"20:40")</f>
        <v>20:40</v>
      </c>
      <c r="D111" s="721"/>
      <c r="E111" s="711"/>
      <c r="F111" s="711"/>
      <c r="G111" s="721"/>
      <c r="H111" s="721"/>
      <c r="I111" s="721"/>
      <c r="J111" s="48"/>
      <c r="K111" s="721"/>
      <c r="L111" s="721"/>
      <c r="M111" s="721"/>
      <c r="N111" s="719"/>
      <c r="O111" s="48"/>
      <c r="P111" s="719"/>
      <c r="Q111" s="48"/>
      <c r="R111" s="48"/>
      <c r="S111" s="711" t="str">
        <f>IFERROR(__xludf.DUMMYFUNCTION("""COMPUTED_VALUE"""),"")</f>
        <v/>
      </c>
      <c r="T111" s="721"/>
      <c r="U111" s="721"/>
      <c r="V111" s="711"/>
      <c r="W111" s="721"/>
      <c r="X111" s="721"/>
      <c r="Y111" s="48"/>
      <c r="Z111" s="48"/>
      <c r="AA111" s="48"/>
      <c r="AB111" s="711"/>
      <c r="AC111" s="711"/>
      <c r="AD111" s="711"/>
      <c r="AE111" s="711"/>
      <c r="AF111" s="711"/>
      <c r="AG111" s="711"/>
      <c r="AH111" s="711"/>
    </row>
    <row r="112">
      <c r="A112" s="48"/>
      <c r="B112" s="48"/>
      <c r="C112" s="711" t="str">
        <f>IFERROR(__xludf.DUMMYFUNCTION("""COMPUTED_VALUE"""),"20:45")</f>
        <v>20:45</v>
      </c>
      <c r="D112" s="721"/>
      <c r="E112" s="711"/>
      <c r="F112" s="711"/>
      <c r="G112" s="721"/>
      <c r="H112" s="721"/>
      <c r="I112" s="721"/>
      <c r="J112" s="48"/>
      <c r="K112" s="721"/>
      <c r="L112" s="721"/>
      <c r="M112" s="721"/>
      <c r="N112" s="719"/>
      <c r="O112" s="48"/>
      <c r="P112" s="719"/>
      <c r="Q112" s="48"/>
      <c r="R112" s="48"/>
      <c r="S112" s="711" t="str">
        <f>IFERROR(__xludf.DUMMYFUNCTION("""COMPUTED_VALUE"""),"")</f>
        <v/>
      </c>
      <c r="T112" s="721"/>
      <c r="U112" s="721"/>
      <c r="V112" s="711"/>
      <c r="W112" s="721"/>
      <c r="X112" s="721"/>
      <c r="Y112" s="48"/>
      <c r="Z112" s="48"/>
      <c r="AA112" s="48"/>
      <c r="AB112" s="711"/>
      <c r="AC112" s="711"/>
      <c r="AD112" s="711"/>
      <c r="AE112" s="711"/>
      <c r="AF112" s="711"/>
      <c r="AG112" s="711"/>
      <c r="AH112" s="711"/>
    </row>
    <row r="113">
      <c r="A113" s="48"/>
      <c r="B113" s="48"/>
      <c r="C113" s="711" t="str">
        <f>IFERROR(__xludf.DUMMYFUNCTION("""COMPUTED_VALUE"""),"20:50")</f>
        <v>20:50</v>
      </c>
      <c r="D113" s="721"/>
      <c r="E113" s="711"/>
      <c r="F113" s="711"/>
      <c r="G113" s="721"/>
      <c r="H113" s="721"/>
      <c r="I113" s="721"/>
      <c r="J113" s="48"/>
      <c r="K113" s="721"/>
      <c r="L113" s="721"/>
      <c r="M113" s="721"/>
      <c r="N113" s="719"/>
      <c r="O113" s="48"/>
      <c r="P113" s="719"/>
      <c r="Q113" s="48"/>
      <c r="R113" s="48"/>
      <c r="S113" s="711" t="str">
        <f>IFERROR(__xludf.DUMMYFUNCTION("""COMPUTED_VALUE"""),"")</f>
        <v/>
      </c>
      <c r="T113" s="721"/>
      <c r="U113" s="721"/>
      <c r="V113" s="711"/>
      <c r="W113" s="721"/>
      <c r="X113" s="721"/>
      <c r="Y113" s="48"/>
      <c r="Z113" s="48"/>
      <c r="AA113" s="48"/>
      <c r="AB113" s="711"/>
      <c r="AC113" s="711"/>
      <c r="AD113" s="711"/>
      <c r="AE113" s="711"/>
      <c r="AF113" s="711"/>
      <c r="AG113" s="711"/>
      <c r="AH113" s="711"/>
    </row>
    <row r="114">
      <c r="A114" s="48"/>
      <c r="B114" s="48"/>
      <c r="C114" s="711" t="str">
        <f>IFERROR(__xludf.DUMMYFUNCTION("""COMPUTED_VALUE"""),"21:00")</f>
        <v>21:00</v>
      </c>
      <c r="D114" s="721"/>
      <c r="E114" s="711"/>
      <c r="F114" s="711"/>
      <c r="G114" s="721"/>
      <c r="H114" s="721"/>
      <c r="I114" s="721"/>
      <c r="J114" s="48"/>
      <c r="K114" s="721"/>
      <c r="L114" s="721"/>
      <c r="M114" s="721"/>
      <c r="N114" s="719"/>
      <c r="O114" s="48"/>
      <c r="P114" s="719"/>
      <c r="Q114" s="48"/>
      <c r="R114" s="48"/>
      <c r="S114" s="711" t="str">
        <f>IFERROR(__xludf.DUMMYFUNCTION("""COMPUTED_VALUE"""),"")</f>
        <v/>
      </c>
      <c r="T114" s="721"/>
      <c r="U114" s="721"/>
      <c r="V114" s="711"/>
      <c r="W114" s="721"/>
      <c r="X114" s="721"/>
      <c r="Y114" s="48"/>
      <c r="Z114" s="48"/>
      <c r="AA114" s="48"/>
      <c r="AB114" s="711"/>
      <c r="AC114" s="711"/>
      <c r="AD114" s="711"/>
      <c r="AE114" s="711"/>
      <c r="AF114" s="711"/>
      <c r="AG114" s="711"/>
      <c r="AH114" s="711"/>
    </row>
    <row r="115">
      <c r="A115" s="48"/>
      <c r="B115" s="48"/>
      <c r="C115" s="711" t="str">
        <f>IFERROR(__xludf.DUMMYFUNCTION("""COMPUTED_VALUE"""),"21:10")</f>
        <v>21:10</v>
      </c>
      <c r="D115" s="721"/>
      <c r="E115" s="711"/>
      <c r="F115" s="711"/>
      <c r="G115" s="721"/>
      <c r="H115" s="721"/>
      <c r="I115" s="721"/>
      <c r="J115" s="48"/>
      <c r="K115" s="721"/>
      <c r="L115" s="721"/>
      <c r="M115" s="721"/>
      <c r="N115" s="719"/>
      <c r="O115" s="48"/>
      <c r="P115" s="719"/>
      <c r="Q115" s="48"/>
      <c r="R115" s="714" t="str">
        <f>IFERROR(__xludf.DUMMYFUNCTION("""COMPUTED_VALUE"""),"2526STANISCILUN16.B")</f>
        <v>2526STANISCILUN16.B</v>
      </c>
      <c r="S115" s="711">
        <f>IFERROR(__xludf.DUMMYFUNCTION("""COMPUTED_VALUE"""),18.0)</f>
        <v>18</v>
      </c>
      <c r="T115" s="722" t="str">
        <f>IFERROR(__xludf.DUMMYFUNCTION("""COMPUTED_VALUE"""),"2526STANISCILUN16.B")</f>
        <v>2526STANISCILUN16.B</v>
      </c>
      <c r="U115" s="721"/>
      <c r="V115" s="711"/>
      <c r="W115" s="721"/>
      <c r="X115" s="721"/>
      <c r="Y115" s="48"/>
      <c r="Z115" s="48"/>
      <c r="AA115" s="48"/>
      <c r="AB115" s="711"/>
      <c r="AC115" s="711"/>
      <c r="AD115" s="711"/>
      <c r="AE115" s="711"/>
      <c r="AF115" s="711"/>
      <c r="AG115" s="711"/>
      <c r="AH115" s="711"/>
    </row>
    <row r="116">
      <c r="A116" s="48"/>
      <c r="B116" s="48"/>
      <c r="C116" s="711" t="str">
        <f>IFERROR(__xludf.DUMMYFUNCTION("""COMPUTED_VALUE"""),"21:15")</f>
        <v>21:15</v>
      </c>
      <c r="D116" s="721"/>
      <c r="E116" s="711"/>
      <c r="F116" s="711"/>
      <c r="G116" s="721"/>
      <c r="H116" s="721"/>
      <c r="I116" s="721"/>
      <c r="J116" s="48"/>
      <c r="K116" s="721"/>
      <c r="L116" s="721"/>
      <c r="M116" s="721"/>
      <c r="N116" s="719"/>
      <c r="O116" s="48"/>
      <c r="P116" s="719"/>
      <c r="Q116" s="48"/>
      <c r="R116" s="714" t="str">
        <f>IFERROR(__xludf.DUMMYFUNCTION("""COMPUTED_VALUE"""),"2526PALAZZOTTOLUN16.B")</f>
        <v>2526PALAZZOTTOLUN16.B</v>
      </c>
      <c r="S116" s="711">
        <f>IFERROR(__xludf.DUMMYFUNCTION("""COMPUTED_VALUE"""),15.0)</f>
        <v>15</v>
      </c>
      <c r="T116" s="722" t="str">
        <f>IFERROR(__xludf.DUMMYFUNCTION("""COMPUTED_VALUE"""),"2526PALAZZOTTOLUN16.B")</f>
        <v>2526PALAZZOTTOLUN16.B</v>
      </c>
      <c r="U116" s="721"/>
      <c r="V116" s="711"/>
      <c r="W116" s="721"/>
      <c r="X116" s="721"/>
      <c r="Y116" s="48"/>
      <c r="Z116" s="48"/>
      <c r="AA116" s="48"/>
      <c r="AB116" s="711"/>
      <c r="AC116" s="711"/>
      <c r="AD116" s="711"/>
      <c r="AE116" s="711"/>
      <c r="AF116" s="711"/>
      <c r="AG116" s="711"/>
      <c r="AH116" s="711"/>
    </row>
    <row r="117">
      <c r="A117" s="48"/>
      <c r="B117" s="48"/>
      <c r="C117" s="711" t="str">
        <f>IFERROR(__xludf.DUMMYFUNCTION("""COMPUTED_VALUE"""),"21:20")</f>
        <v>21:20</v>
      </c>
      <c r="D117" s="721"/>
      <c r="E117" s="711"/>
      <c r="F117" s="711"/>
      <c r="G117" s="721"/>
      <c r="H117" s="721"/>
      <c r="I117" s="721"/>
      <c r="J117" s="48"/>
      <c r="K117" s="721"/>
      <c r="L117" s="721"/>
      <c r="M117" s="721"/>
      <c r="N117" s="719"/>
      <c r="O117" s="48"/>
      <c r="P117" s="719"/>
      <c r="Q117" s="48"/>
      <c r="R117" s="711" t="str">
        <f>IFERROR(__xludf.DUMMYFUNCTION("""COMPUTED_VALUE"""),"2526MODULOLUN16.Y")</f>
        <v>2526MODULOLUN16.Y</v>
      </c>
      <c r="S117" s="711">
        <f>IFERROR(__xludf.DUMMYFUNCTION("""COMPUTED_VALUE"""),40.0)</f>
        <v>40</v>
      </c>
      <c r="T117" s="721" t="str">
        <f>IFERROR(__xludf.DUMMYFUNCTION("""COMPUTED_VALUE"""),"2526MODULOLUN16.Y")</f>
        <v>2526MODULOLUN16.Y</v>
      </c>
      <c r="U117" s="721"/>
      <c r="V117" s="711"/>
      <c r="W117" s="721"/>
      <c r="X117" s="721"/>
      <c r="Y117" s="48"/>
      <c r="Z117" s="48"/>
      <c r="AA117" s="48"/>
      <c r="AB117" s="711"/>
      <c r="AC117" s="711"/>
      <c r="AD117" s="711"/>
      <c r="AE117" s="711"/>
      <c r="AF117" s="711"/>
      <c r="AG117" s="711"/>
      <c r="AH117" s="711"/>
    </row>
    <row r="118">
      <c r="A118" s="48"/>
      <c r="B118" s="48"/>
      <c r="C118" s="711" t="str">
        <f>IFERROR(__xludf.DUMMYFUNCTION("""COMPUTED_VALUE"""),"21:30")</f>
        <v>21:30</v>
      </c>
      <c r="D118" s="721"/>
      <c r="E118" s="711"/>
      <c r="F118" s="711"/>
      <c r="G118" s="721"/>
      <c r="H118" s="721"/>
      <c r="I118" s="721"/>
      <c r="J118" s="48"/>
      <c r="K118" s="721"/>
      <c r="L118" s="721"/>
      <c r="M118" s="721"/>
      <c r="N118" s="719"/>
      <c r="O118" s="48"/>
      <c r="P118" s="719"/>
      <c r="Q118" s="48"/>
      <c r="R118" s="48"/>
      <c r="S118" s="711" t="str">
        <f>IFERROR(__xludf.DUMMYFUNCTION("""COMPUTED_VALUE"""),"")</f>
        <v/>
      </c>
      <c r="T118" s="721"/>
      <c r="U118" s="721"/>
      <c r="V118" s="711"/>
      <c r="W118" s="721"/>
      <c r="X118" s="721"/>
      <c r="Y118" s="48"/>
      <c r="Z118" s="48"/>
      <c r="AA118" s="48"/>
      <c r="AB118" s="711"/>
      <c r="AC118" s="711"/>
      <c r="AD118" s="711"/>
      <c r="AE118" s="711"/>
      <c r="AF118" s="711"/>
      <c r="AG118" s="711"/>
      <c r="AH118" s="711"/>
    </row>
    <row r="119">
      <c r="A119" s="48"/>
      <c r="B119" s="48"/>
      <c r="C119" s="711" t="str">
        <f>IFERROR(__xludf.DUMMYFUNCTION("""COMPUTED_VALUE"""),"21:40")</f>
        <v>21:40</v>
      </c>
      <c r="D119" s="721"/>
      <c r="E119" s="711"/>
      <c r="F119" s="711"/>
      <c r="G119" s="721"/>
      <c r="H119" s="721"/>
      <c r="I119" s="721"/>
      <c r="J119" s="48"/>
      <c r="K119" s="721"/>
      <c r="L119" s="721"/>
      <c r="M119" s="721"/>
      <c r="N119" s="719"/>
      <c r="O119" s="48"/>
      <c r="P119" s="719"/>
      <c r="Q119" s="48"/>
      <c r="R119" s="48"/>
      <c r="S119" s="711" t="str">
        <f>IFERROR(__xludf.DUMMYFUNCTION("""COMPUTED_VALUE"""),"")</f>
        <v/>
      </c>
      <c r="T119" s="721"/>
      <c r="U119" s="721"/>
      <c r="V119" s="711"/>
      <c r="W119" s="721"/>
      <c r="X119" s="721"/>
      <c r="Y119" s="48"/>
      <c r="Z119" s="48"/>
      <c r="AA119" s="48"/>
      <c r="AB119" s="711"/>
      <c r="AC119" s="711"/>
      <c r="AD119" s="711"/>
      <c r="AE119" s="711"/>
      <c r="AF119" s="711"/>
      <c r="AG119" s="711"/>
      <c r="AH119" s="711"/>
    </row>
    <row r="120">
      <c r="A120" s="48"/>
      <c r="B120" s="48"/>
      <c r="C120" s="711" t="str">
        <f>IFERROR(__xludf.DUMMYFUNCTION("""COMPUTED_VALUE"""),"21:45")</f>
        <v>21:45</v>
      </c>
      <c r="D120" s="721"/>
      <c r="E120" s="711"/>
      <c r="F120" s="711"/>
      <c r="G120" s="721"/>
      <c r="H120" s="721"/>
      <c r="I120" s="721"/>
      <c r="J120" s="48"/>
      <c r="K120" s="721"/>
      <c r="L120" s="721"/>
      <c r="M120" s="721"/>
      <c r="N120" s="719"/>
      <c r="O120" s="48"/>
      <c r="P120" s="719"/>
      <c r="Q120" s="48"/>
      <c r="R120" s="48"/>
      <c r="S120" s="711" t="str">
        <f>IFERROR(__xludf.DUMMYFUNCTION("""COMPUTED_VALUE"""),"")</f>
        <v/>
      </c>
      <c r="T120" s="721"/>
      <c r="U120" s="721"/>
      <c r="V120" s="711"/>
      <c r="W120" s="721"/>
      <c r="X120" s="721"/>
      <c r="Y120" s="48"/>
      <c r="Z120" s="48"/>
      <c r="AA120" s="48"/>
      <c r="AB120" s="711"/>
      <c r="AC120" s="711"/>
      <c r="AD120" s="711"/>
      <c r="AE120" s="711"/>
      <c r="AF120" s="711"/>
      <c r="AG120" s="711"/>
      <c r="AH120" s="711"/>
    </row>
    <row r="121">
      <c r="A121" s="48"/>
      <c r="B121" s="48"/>
      <c r="C121" s="711" t="str">
        <f>IFERROR(__xludf.DUMMYFUNCTION("""COMPUTED_VALUE"""),"21:50")</f>
        <v>21:50</v>
      </c>
      <c r="D121" s="721"/>
      <c r="E121" s="711"/>
      <c r="F121" s="711"/>
      <c r="G121" s="721"/>
      <c r="H121" s="721"/>
      <c r="I121" s="721"/>
      <c r="J121" s="48"/>
      <c r="K121" s="721"/>
      <c r="L121" s="721"/>
      <c r="M121" s="721"/>
      <c r="N121" s="719"/>
      <c r="O121" s="48"/>
      <c r="P121" s="719"/>
      <c r="Q121" s="48"/>
      <c r="R121" s="714" t="str">
        <f>IFERROR(__xludf.DUMMYFUNCTION("""COMPUTED_VALUE"""),"2526GRANDELUN16.B")</f>
        <v>2526GRANDELUN16.B</v>
      </c>
      <c r="S121" s="711">
        <f>IFERROR(__xludf.DUMMYFUNCTION("""COMPUTED_VALUE"""),15.0)</f>
        <v>15</v>
      </c>
      <c r="T121" s="722" t="str">
        <f>IFERROR(__xludf.DUMMYFUNCTION("""COMPUTED_VALUE"""),"2526GRANDELUN16.B")</f>
        <v>2526GRANDELUN16.B</v>
      </c>
      <c r="U121" s="721"/>
      <c r="V121" s="711"/>
      <c r="W121" s="721"/>
      <c r="X121" s="721"/>
      <c r="Y121" s="48"/>
      <c r="Z121" s="48"/>
      <c r="AA121" s="48"/>
      <c r="AB121" s="711"/>
      <c r="AC121" s="711"/>
      <c r="AD121" s="711"/>
      <c r="AE121" s="711"/>
      <c r="AF121" s="711"/>
      <c r="AG121" s="711"/>
      <c r="AH121" s="711"/>
    </row>
    <row r="122">
      <c r="A122" s="48"/>
      <c r="B122" s="48"/>
      <c r="C122" s="711" t="str">
        <f>IFERROR(__xludf.DUMMYFUNCTION("""COMPUTED_VALUE"""),"22:00")</f>
        <v>22:00</v>
      </c>
      <c r="D122" s="721"/>
      <c r="E122" s="711"/>
      <c r="F122" s="711"/>
      <c r="G122" s="721"/>
      <c r="H122" s="721"/>
      <c r="I122" s="721"/>
      <c r="J122" s="48"/>
      <c r="K122" s="721"/>
      <c r="L122" s="721"/>
      <c r="M122" s="721"/>
      <c r="N122" s="719"/>
      <c r="O122" s="48"/>
      <c r="P122" s="719"/>
      <c r="Q122" s="48"/>
      <c r="R122" s="48"/>
      <c r="S122" s="711" t="str">
        <f>IFERROR(__xludf.DUMMYFUNCTION("""COMPUTED_VALUE"""),"")</f>
        <v/>
      </c>
      <c r="T122" s="721"/>
      <c r="U122" s="721"/>
      <c r="V122" s="711"/>
      <c r="W122" s="721"/>
      <c r="X122" s="721"/>
      <c r="Y122" s="48"/>
      <c r="Z122" s="48"/>
      <c r="AA122" s="48"/>
      <c r="AB122" s="711"/>
      <c r="AC122" s="711"/>
      <c r="AD122" s="711"/>
      <c r="AE122" s="711"/>
      <c r="AF122" s="711"/>
      <c r="AG122" s="711"/>
      <c r="AH122" s="711"/>
    </row>
    <row r="123">
      <c r="A123" s="48"/>
      <c r="B123" s="48"/>
      <c r="C123" s="711" t="str">
        <f>IFERROR(__xludf.DUMMYFUNCTION("""COMPUTED_VALUE"""),"22:10")</f>
        <v>22:10</v>
      </c>
      <c r="D123" s="721"/>
      <c r="E123" s="711"/>
      <c r="F123" s="711"/>
      <c r="G123" s="721"/>
      <c r="H123" s="721"/>
      <c r="I123" s="721"/>
      <c r="J123" s="48"/>
      <c r="K123" s="721"/>
      <c r="L123" s="721"/>
      <c r="M123" s="721"/>
      <c r="N123" s="719"/>
      <c r="O123" s="48"/>
      <c r="P123" s="719"/>
      <c r="Q123" s="48"/>
      <c r="R123" s="48"/>
      <c r="S123" s="711" t="str">
        <f>IFERROR(__xludf.DUMMYFUNCTION("""COMPUTED_VALUE"""),"")</f>
        <v/>
      </c>
      <c r="T123" s="721"/>
      <c r="U123" s="721"/>
      <c r="V123" s="711"/>
      <c r="W123" s="721"/>
      <c r="X123" s="721"/>
      <c r="Y123" s="48"/>
      <c r="Z123" s="48"/>
      <c r="AA123" s="48"/>
      <c r="AB123" s="711"/>
      <c r="AC123" s="711"/>
      <c r="AD123" s="711"/>
      <c r="AE123" s="711"/>
      <c r="AF123" s="711"/>
      <c r="AG123" s="711"/>
      <c r="AH123" s="711"/>
    </row>
    <row r="124">
      <c r="A124" s="48"/>
      <c r="B124" s="48"/>
      <c r="C124" s="711" t="str">
        <f>IFERROR(__xludf.DUMMYFUNCTION("""COMPUTED_VALUE"""),"22:15")</f>
        <v>22:15</v>
      </c>
      <c r="D124" s="721"/>
      <c r="E124" s="711"/>
      <c r="F124" s="711"/>
      <c r="G124" s="721"/>
      <c r="H124" s="721"/>
      <c r="I124" s="721"/>
      <c r="J124" s="48"/>
      <c r="K124" s="721"/>
      <c r="L124" s="721"/>
      <c r="M124" s="721"/>
      <c r="N124" s="719"/>
      <c r="O124" s="48"/>
      <c r="P124" s="719"/>
      <c r="Q124" s="48"/>
      <c r="R124" s="48"/>
      <c r="S124" s="711" t="str">
        <f>IFERROR(__xludf.DUMMYFUNCTION("""COMPUTED_VALUE"""),"")</f>
        <v/>
      </c>
      <c r="T124" s="721"/>
      <c r="U124" s="721"/>
      <c r="V124" s="711"/>
      <c r="W124" s="721"/>
      <c r="X124" s="721"/>
      <c r="Y124" s="48"/>
      <c r="Z124" s="48"/>
      <c r="AA124" s="48"/>
      <c r="AB124" s="711"/>
      <c r="AC124" s="711"/>
      <c r="AD124" s="711"/>
      <c r="AE124" s="711"/>
      <c r="AF124" s="711"/>
      <c r="AG124" s="711"/>
      <c r="AH124" s="711"/>
    </row>
    <row r="125">
      <c r="A125" s="48"/>
      <c r="B125" s="48"/>
      <c r="C125" s="711" t="str">
        <f>IFERROR(__xludf.DUMMYFUNCTION("""COMPUTED_VALUE"""),"22:20")</f>
        <v>22:20</v>
      </c>
      <c r="D125" s="721"/>
      <c r="E125" s="711"/>
      <c r="F125" s="711"/>
      <c r="G125" s="721"/>
      <c r="H125" s="721"/>
      <c r="I125" s="721"/>
      <c r="J125" s="48"/>
      <c r="K125" s="721"/>
      <c r="L125" s="721"/>
      <c r="M125" s="721"/>
      <c r="N125" s="719"/>
      <c r="O125" s="48"/>
      <c r="P125" s="719"/>
      <c r="Q125" s="48"/>
      <c r="R125" s="714" t="str">
        <f>IFERROR(__xludf.DUMMYFUNCTION("""COMPUTED_VALUE"""),"2526TODISCOLUN17.B")</f>
        <v>2526TODISCOLUN17.B</v>
      </c>
      <c r="S125" s="711">
        <f>IFERROR(__xludf.DUMMYFUNCTION("""COMPUTED_VALUE"""),40.0)</f>
        <v>40</v>
      </c>
      <c r="T125" s="722" t="str">
        <f>IFERROR(__xludf.DUMMYFUNCTION("""COMPUTED_VALUE"""),"2526TODISCOLUN17.B")</f>
        <v>2526TODISCOLUN17.B</v>
      </c>
      <c r="U125" s="721"/>
      <c r="V125" s="711"/>
      <c r="W125" s="721"/>
      <c r="X125" s="721"/>
      <c r="Y125" s="48"/>
      <c r="Z125" s="48"/>
      <c r="AA125" s="48"/>
      <c r="AB125" s="711"/>
      <c r="AC125" s="711"/>
      <c r="AD125" s="711"/>
      <c r="AE125" s="711"/>
      <c r="AF125" s="711"/>
      <c r="AG125" s="711"/>
      <c r="AH125" s="711"/>
    </row>
    <row r="126">
      <c r="A126" s="48"/>
      <c r="B126" s="48"/>
      <c r="C126" s="711" t="str">
        <f>IFERROR(__xludf.DUMMYFUNCTION("""COMPUTED_VALUE"""),"22:30")</f>
        <v>22:30</v>
      </c>
      <c r="D126" s="721"/>
      <c r="E126" s="711"/>
      <c r="F126" s="711"/>
      <c r="G126" s="721"/>
      <c r="H126" s="721"/>
      <c r="I126" s="721"/>
      <c r="J126" s="48"/>
      <c r="K126" s="721"/>
      <c r="L126" s="721"/>
      <c r="M126" s="721"/>
      <c r="N126" s="719"/>
      <c r="O126" s="48"/>
      <c r="P126" s="719"/>
      <c r="Q126" s="48"/>
      <c r="R126" s="714" t="str">
        <f>IFERROR(__xludf.DUMMYFUNCTION("""COMPUTED_VALUE"""),"2526MARINOLUN17.B")</f>
        <v>2526MARINOLUN17.B</v>
      </c>
      <c r="S126" s="711">
        <f>IFERROR(__xludf.DUMMYFUNCTION("""COMPUTED_VALUE"""),11.0)</f>
        <v>11</v>
      </c>
      <c r="T126" s="722" t="str">
        <f>IFERROR(__xludf.DUMMYFUNCTION("""COMPUTED_VALUE"""),"2526MARINOLUN17.B")</f>
        <v>2526MARINOLUN17.B</v>
      </c>
      <c r="U126" s="721"/>
      <c r="V126" s="711"/>
      <c r="W126" s="721"/>
      <c r="X126" s="721"/>
      <c r="Y126" s="48"/>
      <c r="Z126" s="48"/>
      <c r="AA126" s="48"/>
      <c r="AB126" s="711"/>
      <c r="AC126" s="711"/>
      <c r="AD126" s="711"/>
      <c r="AE126" s="711"/>
      <c r="AF126" s="711"/>
      <c r="AG126" s="711"/>
      <c r="AH126" s="711"/>
    </row>
    <row r="127">
      <c r="A127" s="48"/>
      <c r="B127" s="48"/>
      <c r="C127" s="711" t="str">
        <f>IFERROR(__xludf.DUMMYFUNCTION("""COMPUTED_VALUE"""),"22:40")</f>
        <v>22:40</v>
      </c>
      <c r="D127" s="721"/>
      <c r="E127" s="711"/>
      <c r="F127" s="711"/>
      <c r="G127" s="721"/>
      <c r="H127" s="721"/>
      <c r="I127" s="721"/>
      <c r="J127" s="48"/>
      <c r="K127" s="721"/>
      <c r="L127" s="721"/>
      <c r="M127" s="721"/>
      <c r="N127" s="719"/>
      <c r="O127" s="48"/>
      <c r="P127" s="719"/>
      <c r="Q127" s="48"/>
      <c r="R127" s="714" t="str">
        <f>IFERROR(__xludf.DUMMYFUNCTION("""COMPUTED_VALUE"""),"2526ALMEIDALUN17.B")</f>
        <v>2526ALMEIDALUN17.B</v>
      </c>
      <c r="S127" s="711">
        <f>IFERROR(__xludf.DUMMYFUNCTION("""COMPUTED_VALUE"""),15.0)</f>
        <v>15</v>
      </c>
      <c r="T127" s="722" t="str">
        <f>IFERROR(__xludf.DUMMYFUNCTION("""COMPUTED_VALUE"""),"2526ALMEIDALUN17.B")</f>
        <v>2526ALMEIDALUN17.B</v>
      </c>
      <c r="U127" s="721"/>
      <c r="V127" s="711"/>
      <c r="W127" s="721"/>
      <c r="X127" s="721"/>
      <c r="Y127" s="48"/>
      <c r="Z127" s="48"/>
      <c r="AA127" s="48"/>
      <c r="AB127" s="711"/>
      <c r="AC127" s="711"/>
      <c r="AD127" s="711"/>
      <c r="AE127" s="711"/>
      <c r="AF127" s="711"/>
      <c r="AG127" s="711"/>
      <c r="AH127" s="711"/>
    </row>
    <row r="128">
      <c r="A128" s="48"/>
      <c r="B128" s="48"/>
      <c r="C128" s="711" t="str">
        <f>IFERROR(__xludf.DUMMYFUNCTION("""COMPUTED_VALUE"""),"22:45")</f>
        <v>22:45</v>
      </c>
      <c r="D128" s="721"/>
      <c r="E128" s="711"/>
      <c r="F128" s="711"/>
      <c r="G128" s="721"/>
      <c r="H128" s="721"/>
      <c r="I128" s="721"/>
      <c r="J128" s="48"/>
      <c r="K128" s="721"/>
      <c r="L128" s="721"/>
      <c r="M128" s="721"/>
      <c r="N128" s="719"/>
      <c r="O128" s="48"/>
      <c r="P128" s="719"/>
      <c r="Q128" s="48"/>
      <c r="R128" s="714" t="str">
        <f>IFERROR(__xludf.DUMMYFUNCTION("""COMPUTED_VALUE"""),"2526PALAZZOTTOLUN17.B")</f>
        <v>2526PALAZZOTTOLUN17.B</v>
      </c>
      <c r="S128" s="711">
        <f>IFERROR(__xludf.DUMMYFUNCTION("""COMPUTED_VALUE"""),12.0)</f>
        <v>12</v>
      </c>
      <c r="T128" s="722" t="str">
        <f>IFERROR(__xludf.DUMMYFUNCTION("""COMPUTED_VALUE"""),"2526PALAZZOTTOLUN17.B")</f>
        <v>2526PALAZZOTTOLUN17.B</v>
      </c>
      <c r="U128" s="721"/>
      <c r="V128" s="711"/>
      <c r="W128" s="721"/>
      <c r="X128" s="721"/>
      <c r="Y128" s="48"/>
      <c r="Z128" s="48"/>
      <c r="AA128" s="48"/>
      <c r="AB128" s="711"/>
      <c r="AC128" s="711"/>
      <c r="AD128" s="711"/>
      <c r="AE128" s="711"/>
      <c r="AF128" s="711"/>
      <c r="AG128" s="711"/>
      <c r="AH128" s="711"/>
    </row>
    <row r="129">
      <c r="A129" s="48"/>
      <c r="B129" s="48"/>
      <c r="C129" s="711" t="str">
        <f>IFERROR(__xludf.DUMMYFUNCTION("""COMPUTED_VALUE"""),"22:50")</f>
        <v>22:50</v>
      </c>
      <c r="D129" s="721"/>
      <c r="E129" s="711"/>
      <c r="F129" s="711"/>
      <c r="G129" s="721"/>
      <c r="H129" s="721"/>
      <c r="I129" s="721"/>
      <c r="J129" s="48"/>
      <c r="K129" s="721"/>
      <c r="L129" s="721"/>
      <c r="M129" s="721"/>
      <c r="N129" s="719"/>
      <c r="O129" s="48"/>
      <c r="P129" s="719"/>
      <c r="Q129" s="48"/>
      <c r="R129" s="714" t="str">
        <f>IFERROR(__xludf.DUMMYFUNCTION("""COMPUTED_VALUE"""),"2526CENZONLUN17.F")</f>
        <v>2526CENZONLUN17.F</v>
      </c>
      <c r="S129" s="711">
        <f>IFERROR(__xludf.DUMMYFUNCTION("""COMPUTED_VALUE"""),40.0)</f>
        <v>40</v>
      </c>
      <c r="T129" s="722" t="str">
        <f>IFERROR(__xludf.DUMMYFUNCTION("""COMPUTED_VALUE"""),"2526CENZONLUN17.F")</f>
        <v>2526CENZONLUN17.F</v>
      </c>
      <c r="U129" s="721"/>
      <c r="V129" s="711"/>
      <c r="W129" s="721"/>
      <c r="X129" s="721"/>
      <c r="Y129" s="48"/>
      <c r="Z129" s="48"/>
      <c r="AA129" s="48"/>
      <c r="AB129" s="711"/>
      <c r="AC129" s="711"/>
      <c r="AD129" s="711"/>
      <c r="AE129" s="711"/>
      <c r="AF129" s="711"/>
      <c r="AG129" s="711"/>
      <c r="AH129" s="711"/>
    </row>
    <row r="130">
      <c r="A130" s="48"/>
      <c r="B130" s="48"/>
      <c r="C130" s="711" t="str">
        <f>IFERROR(__xludf.DUMMYFUNCTION("""COMPUTED_VALUE"""),"23:00")</f>
        <v>23:00</v>
      </c>
      <c r="D130" s="721"/>
      <c r="E130" s="711"/>
      <c r="F130" s="711"/>
      <c r="G130" s="721"/>
      <c r="H130" s="721"/>
      <c r="I130" s="721"/>
      <c r="J130" s="48"/>
      <c r="K130" s="721"/>
      <c r="L130" s="721"/>
      <c r="M130" s="721"/>
      <c r="N130" s="719"/>
      <c r="O130" s="48"/>
      <c r="P130" s="719"/>
      <c r="Q130" s="48"/>
      <c r="R130" s="48"/>
      <c r="S130" s="711" t="str">
        <f>IFERROR(__xludf.DUMMYFUNCTION("""COMPUTED_VALUE"""),"")</f>
        <v/>
      </c>
      <c r="T130" s="721"/>
      <c r="U130" s="721"/>
      <c r="V130" s="711"/>
      <c r="W130" s="721"/>
      <c r="X130" s="721"/>
      <c r="Y130" s="48"/>
      <c r="Z130" s="48"/>
      <c r="AA130" s="48"/>
      <c r="AB130" s="711"/>
      <c r="AC130" s="711"/>
      <c r="AD130" s="711"/>
      <c r="AE130" s="711"/>
      <c r="AF130" s="711"/>
      <c r="AG130" s="711"/>
      <c r="AH130" s="711"/>
    </row>
    <row r="131">
      <c r="A131" s="48"/>
      <c r="B131" s="48"/>
      <c r="C131" s="711" t="str">
        <f>IFERROR(__xludf.DUMMYFUNCTION("""COMPUTED_VALUE"""),"23:10")</f>
        <v>23:10</v>
      </c>
      <c r="D131" s="721"/>
      <c r="E131" s="711"/>
      <c r="F131" s="711"/>
      <c r="G131" s="721"/>
      <c r="H131" s="721"/>
      <c r="I131" s="721"/>
      <c r="J131" s="48"/>
      <c r="K131" s="721"/>
      <c r="L131" s="721"/>
      <c r="M131" s="721"/>
      <c r="N131" s="719"/>
      <c r="O131" s="48"/>
      <c r="P131" s="719"/>
      <c r="Q131" s="48"/>
      <c r="R131" s="714" t="str">
        <f>IFERROR(__xludf.DUMMYFUNCTION("""COMPUTED_VALUE"""),"2526PUGGIONILUN17.B")</f>
        <v>2526PUGGIONILUN17.B</v>
      </c>
      <c r="S131" s="711">
        <f>IFERROR(__xludf.DUMMYFUNCTION("""COMPUTED_VALUE"""),11.0)</f>
        <v>11</v>
      </c>
      <c r="T131" s="722" t="str">
        <f>IFERROR(__xludf.DUMMYFUNCTION("""COMPUTED_VALUE"""),"2526PUGGIONILUN17.B")</f>
        <v>2526PUGGIONILUN17.B</v>
      </c>
      <c r="U131" s="721"/>
      <c r="V131" s="711"/>
      <c r="W131" s="721"/>
      <c r="X131" s="721"/>
      <c r="Y131" s="48"/>
      <c r="Z131" s="48"/>
      <c r="AA131" s="48"/>
      <c r="AB131" s="711"/>
      <c r="AC131" s="711"/>
      <c r="AD131" s="711"/>
      <c r="AE131" s="711"/>
      <c r="AF131" s="711"/>
      <c r="AG131" s="711"/>
      <c r="AH131" s="711"/>
    </row>
    <row r="132">
      <c r="A132" s="48"/>
      <c r="B132" s="48"/>
      <c r="C132" s="711" t="str">
        <f>IFERROR(__xludf.DUMMYFUNCTION("""COMPUTED_VALUE"""),"")</f>
        <v/>
      </c>
      <c r="D132" s="721"/>
      <c r="E132" s="711"/>
      <c r="F132" s="711"/>
      <c r="G132" s="721"/>
      <c r="H132" s="721"/>
      <c r="I132" s="721"/>
      <c r="J132" s="48"/>
      <c r="K132" s="721"/>
      <c r="L132" s="721"/>
      <c r="M132" s="721"/>
      <c r="N132" s="719"/>
      <c r="O132" s="48"/>
      <c r="P132" s="719"/>
      <c r="Q132" s="48"/>
      <c r="R132" s="714" t="str">
        <f>IFERROR(__xludf.DUMMYFUNCTION("""COMPUTED_VALUE"""),"2526MIRAMLUN17.B")</f>
        <v>2526MIRAMLUN17.B</v>
      </c>
      <c r="S132" s="711">
        <f>IFERROR(__xludf.DUMMYFUNCTION("""COMPUTED_VALUE"""),30.0)</f>
        <v>30</v>
      </c>
      <c r="T132" s="722" t="str">
        <f>IFERROR(__xludf.DUMMYFUNCTION("""COMPUTED_VALUE"""),"2526MIRAMLUN17.B")</f>
        <v>2526MIRAMLUN17.B</v>
      </c>
      <c r="U132" s="721"/>
      <c r="V132" s="711"/>
      <c r="W132" s="721"/>
      <c r="X132" s="721"/>
      <c r="Y132" s="48"/>
      <c r="Z132" s="48"/>
      <c r="AA132" s="48"/>
      <c r="AB132" s="711"/>
      <c r="AC132" s="711"/>
      <c r="AD132" s="711"/>
      <c r="AE132" s="711"/>
      <c r="AF132" s="711"/>
      <c r="AG132" s="711"/>
      <c r="AH132" s="711"/>
    </row>
    <row r="133">
      <c r="A133" s="48"/>
      <c r="B133" s="48"/>
      <c r="C133" s="711" t="str">
        <f>IFERROR(__xludf.DUMMYFUNCTION("""COMPUTED_VALUE"""),"")</f>
        <v/>
      </c>
      <c r="D133" s="721"/>
      <c r="E133" s="711"/>
      <c r="F133" s="711"/>
      <c r="G133" s="721"/>
      <c r="H133" s="721"/>
      <c r="I133" s="721"/>
      <c r="J133" s="48"/>
      <c r="K133" s="721"/>
      <c r="L133" s="721"/>
      <c r="M133" s="721"/>
      <c r="N133" s="719"/>
      <c r="O133" s="48"/>
      <c r="P133" s="719"/>
      <c r="Q133" s="48"/>
      <c r="R133" s="714" t="str">
        <f>IFERROR(__xludf.DUMMYFUNCTION("""COMPUTED_VALUE"""),"2526DICARLOLUN17.B")</f>
        <v>2526DICARLOLUN17.B</v>
      </c>
      <c r="S133" s="711">
        <f>IFERROR(__xludf.DUMMYFUNCTION("""COMPUTED_VALUE"""),18.0)</f>
        <v>18</v>
      </c>
      <c r="T133" s="722" t="str">
        <f>IFERROR(__xludf.DUMMYFUNCTION("""COMPUTED_VALUE"""),"2526DICARLOLUN17.B")</f>
        <v>2526DICARLOLUN17.B</v>
      </c>
      <c r="U133" s="721"/>
      <c r="V133" s="711"/>
      <c r="W133" s="721"/>
      <c r="X133" s="721"/>
      <c r="Y133" s="48"/>
      <c r="Z133" s="48"/>
      <c r="AA133" s="48"/>
      <c r="AB133" s="711"/>
      <c r="AC133" s="711"/>
      <c r="AD133" s="711"/>
      <c r="AE133" s="711"/>
      <c r="AF133" s="711"/>
      <c r="AG133" s="711"/>
      <c r="AH133" s="711"/>
    </row>
    <row r="134">
      <c r="A134" s="48"/>
      <c r="B134" s="48"/>
      <c r="C134" s="711" t="str">
        <f>IFERROR(__xludf.DUMMYFUNCTION("""COMPUTED_VALUE"""),"")</f>
        <v/>
      </c>
      <c r="D134" s="721"/>
      <c r="E134" s="711"/>
      <c r="F134" s="711"/>
      <c r="G134" s="721"/>
      <c r="H134" s="721"/>
      <c r="I134" s="721"/>
      <c r="J134" s="48"/>
      <c r="K134" s="721"/>
      <c r="L134" s="721"/>
      <c r="M134" s="721"/>
      <c r="N134" s="719"/>
      <c r="O134" s="48"/>
      <c r="P134" s="719"/>
      <c r="Q134" s="48"/>
      <c r="R134" s="714" t="str">
        <f>IFERROR(__xludf.DUMMYFUNCTION("""COMPUTED_VALUE"""),"2526BELLAYLUN18.F")</f>
        <v>2526BELLAYLUN18.F</v>
      </c>
      <c r="S134" s="711">
        <f>IFERROR(__xludf.DUMMYFUNCTION("""COMPUTED_VALUE"""),15.0)</f>
        <v>15</v>
      </c>
      <c r="T134" s="722" t="str">
        <f>IFERROR(__xludf.DUMMYFUNCTION("""COMPUTED_VALUE"""),"2526BELLAYLUN18.F")</f>
        <v>2526BELLAYLUN18.F</v>
      </c>
      <c r="U134" s="721"/>
      <c r="V134" s="711"/>
      <c r="W134" s="721"/>
      <c r="X134" s="721"/>
      <c r="Y134" s="48"/>
      <c r="Z134" s="48"/>
      <c r="AA134" s="48"/>
      <c r="AB134" s="711"/>
      <c r="AC134" s="711"/>
      <c r="AD134" s="711"/>
      <c r="AE134" s="711"/>
      <c r="AF134" s="711"/>
      <c r="AG134" s="711"/>
      <c r="AH134" s="711"/>
    </row>
    <row r="135">
      <c r="A135" s="48"/>
      <c r="B135" s="48"/>
      <c r="C135" s="711" t="str">
        <f>IFERROR(__xludf.DUMMYFUNCTION("""COMPUTED_VALUE"""),"")</f>
        <v/>
      </c>
      <c r="D135" s="721"/>
      <c r="E135" s="711"/>
      <c r="F135" s="711"/>
      <c r="G135" s="721"/>
      <c r="H135" s="721"/>
      <c r="I135" s="721"/>
      <c r="J135" s="48"/>
      <c r="K135" s="721"/>
      <c r="L135" s="721"/>
      <c r="M135" s="721"/>
      <c r="N135" s="719"/>
      <c r="O135" s="48"/>
      <c r="P135" s="719"/>
      <c r="Q135" s="48"/>
      <c r="R135" s="48"/>
      <c r="S135" s="711" t="str">
        <f>IFERROR(__xludf.DUMMYFUNCTION("""COMPUTED_VALUE"""),"")</f>
        <v/>
      </c>
      <c r="T135" s="721"/>
      <c r="U135" s="721"/>
      <c r="V135" s="711"/>
      <c r="W135" s="721"/>
      <c r="X135" s="721"/>
      <c r="Y135" s="48"/>
      <c r="Z135" s="48"/>
      <c r="AA135" s="48"/>
      <c r="AB135" s="711"/>
      <c r="AC135" s="711"/>
      <c r="AD135" s="711"/>
      <c r="AE135" s="711"/>
      <c r="AF135" s="711"/>
      <c r="AG135" s="711"/>
      <c r="AH135" s="711"/>
    </row>
    <row r="136">
      <c r="A136" s="48"/>
      <c r="B136" s="48"/>
      <c r="C136" s="711" t="str">
        <f>IFERROR(__xludf.DUMMYFUNCTION("""COMPUTED_VALUE"""),"")</f>
        <v/>
      </c>
      <c r="D136" s="721"/>
      <c r="E136" s="711"/>
      <c r="F136" s="711"/>
      <c r="G136" s="721"/>
      <c r="H136" s="721"/>
      <c r="I136" s="721"/>
      <c r="J136" s="48"/>
      <c r="K136" s="721"/>
      <c r="L136" s="721"/>
      <c r="M136" s="721"/>
      <c r="N136" s="719"/>
      <c r="O136" s="48"/>
      <c r="P136" s="719"/>
      <c r="Q136" s="48"/>
      <c r="R136" s="48"/>
      <c r="S136" s="711" t="str">
        <f>IFERROR(__xludf.DUMMYFUNCTION("""COMPUTED_VALUE"""),"")</f>
        <v/>
      </c>
      <c r="T136" s="721"/>
      <c r="U136" s="721"/>
      <c r="V136" s="711"/>
      <c r="W136" s="721"/>
      <c r="X136" s="721"/>
      <c r="Y136" s="48"/>
      <c r="Z136" s="48"/>
      <c r="AA136" s="48"/>
      <c r="AB136" s="711"/>
      <c r="AC136" s="711"/>
      <c r="AD136" s="711"/>
      <c r="AE136" s="711"/>
      <c r="AF136" s="711"/>
      <c r="AG136" s="711"/>
      <c r="AH136" s="711"/>
    </row>
    <row r="137">
      <c r="A137" s="48"/>
      <c r="B137" s="48"/>
      <c r="C137" s="711" t="str">
        <f>IFERROR(__xludf.DUMMYFUNCTION("""COMPUTED_VALUE"""),"")</f>
        <v/>
      </c>
      <c r="D137" s="721"/>
      <c r="E137" s="711"/>
      <c r="F137" s="711"/>
      <c r="G137" s="721"/>
      <c r="H137" s="721"/>
      <c r="I137" s="721"/>
      <c r="J137" s="48"/>
      <c r="K137" s="721"/>
      <c r="L137" s="721"/>
      <c r="M137" s="721"/>
      <c r="N137" s="719"/>
      <c r="O137" s="48"/>
      <c r="P137" s="719"/>
      <c r="Q137" s="48"/>
      <c r="R137" s="714" t="str">
        <f>IFERROR(__xludf.DUMMYFUNCTION("""COMPUTED_VALUE"""),"2526SETTILUN18.F")</f>
        <v>2526SETTILUN18.F</v>
      </c>
      <c r="S137" s="711">
        <f>IFERROR(__xludf.DUMMYFUNCTION("""COMPUTED_VALUE"""),30.0)</f>
        <v>30</v>
      </c>
      <c r="T137" s="722" t="str">
        <f>IFERROR(__xludf.DUMMYFUNCTION("""COMPUTED_VALUE"""),"2526SETTILUN18.F")</f>
        <v>2526SETTILUN18.F</v>
      </c>
      <c r="U137" s="721"/>
      <c r="V137" s="711"/>
      <c r="W137" s="721"/>
      <c r="X137" s="721"/>
      <c r="Y137" s="48"/>
      <c r="Z137" s="48"/>
      <c r="AA137" s="48"/>
      <c r="AB137" s="711"/>
      <c r="AC137" s="711"/>
      <c r="AD137" s="711"/>
      <c r="AE137" s="711"/>
      <c r="AF137" s="711"/>
      <c r="AG137" s="711"/>
      <c r="AH137" s="711"/>
    </row>
    <row r="138">
      <c r="A138" s="48"/>
      <c r="B138" s="48"/>
      <c r="C138" s="711" t="str">
        <f>IFERROR(__xludf.DUMMYFUNCTION("""COMPUTED_VALUE"""),"")</f>
        <v/>
      </c>
      <c r="D138" s="721"/>
      <c r="E138" s="711"/>
      <c r="F138" s="711"/>
      <c r="G138" s="721"/>
      <c r="H138" s="721"/>
      <c r="I138" s="721"/>
      <c r="J138" s="48"/>
      <c r="K138" s="721"/>
      <c r="L138" s="721"/>
      <c r="M138" s="721"/>
      <c r="N138" s="719"/>
      <c r="O138" s="48"/>
      <c r="P138" s="719"/>
      <c r="Q138" s="48"/>
      <c r="R138" s="714" t="str">
        <f>IFERROR(__xludf.DUMMYFUNCTION("""COMPUTED_VALUE"""),"2526PUGGIONILUN18.B")</f>
        <v>2526PUGGIONILUN18.B</v>
      </c>
      <c r="S138" s="711">
        <f>IFERROR(__xludf.DUMMYFUNCTION("""COMPUTED_VALUE"""),11.0)</f>
        <v>11</v>
      </c>
      <c r="T138" s="722" t="str">
        <f>IFERROR(__xludf.DUMMYFUNCTION("""COMPUTED_VALUE"""),"2526PUGGIONILUN18.B")</f>
        <v>2526PUGGIONILUN18.B</v>
      </c>
      <c r="U138" s="721"/>
      <c r="V138" s="711"/>
      <c r="W138" s="721"/>
      <c r="X138" s="721"/>
      <c r="Y138" s="48"/>
      <c r="Z138" s="48"/>
      <c r="AA138" s="48"/>
      <c r="AB138" s="711"/>
      <c r="AC138" s="711"/>
      <c r="AD138" s="711"/>
      <c r="AE138" s="711"/>
      <c r="AF138" s="711"/>
      <c r="AG138" s="711"/>
      <c r="AH138" s="711"/>
    </row>
    <row r="139">
      <c r="A139" s="48"/>
      <c r="B139" s="48"/>
      <c r="C139" s="711" t="str">
        <f>IFERROR(__xludf.DUMMYFUNCTION("""COMPUTED_VALUE"""),"")</f>
        <v/>
      </c>
      <c r="D139" s="721"/>
      <c r="E139" s="711"/>
      <c r="F139" s="711"/>
      <c r="G139" s="721"/>
      <c r="H139" s="721"/>
      <c r="I139" s="721"/>
      <c r="J139" s="48"/>
      <c r="K139" s="721"/>
      <c r="L139" s="721"/>
      <c r="M139" s="721"/>
      <c r="N139" s="719"/>
      <c r="O139" s="48"/>
      <c r="P139" s="719"/>
      <c r="Q139" s="48"/>
      <c r="R139" s="714" t="str">
        <f>IFERROR(__xludf.DUMMYFUNCTION("""COMPUTED_VALUE"""),"2526DEPONTESLUN18.D")</f>
        <v>2526DEPONTESLUN18.D</v>
      </c>
      <c r="S139" s="711">
        <f>IFERROR(__xludf.DUMMYFUNCTION("""COMPUTED_VALUE"""),30.0)</f>
        <v>30</v>
      </c>
      <c r="T139" s="722" t="str">
        <f>IFERROR(__xludf.DUMMYFUNCTION("""COMPUTED_VALUE"""),"2526DEPONTESLUN18.D")</f>
        <v>2526DEPONTESLUN18.D</v>
      </c>
      <c r="U139" s="721"/>
      <c r="V139" s="711"/>
      <c r="W139" s="721"/>
      <c r="X139" s="721"/>
      <c r="Y139" s="48"/>
      <c r="Z139" s="48"/>
      <c r="AA139" s="48"/>
      <c r="AB139" s="711"/>
      <c r="AC139" s="711"/>
      <c r="AD139" s="711"/>
      <c r="AE139" s="711"/>
      <c r="AF139" s="711"/>
      <c r="AG139" s="711"/>
      <c r="AH139" s="711"/>
    </row>
    <row r="140">
      <c r="A140" s="48"/>
      <c r="B140" s="48"/>
      <c r="C140" s="711" t="str">
        <f>IFERROR(__xludf.DUMMYFUNCTION("""COMPUTED_VALUE"""),"")</f>
        <v/>
      </c>
      <c r="D140" s="721"/>
      <c r="E140" s="711"/>
      <c r="F140" s="711"/>
      <c r="G140" s="721"/>
      <c r="H140" s="721"/>
      <c r="I140" s="721"/>
      <c r="J140" s="48"/>
      <c r="K140" s="721"/>
      <c r="L140" s="721"/>
      <c r="M140" s="721"/>
      <c r="N140" s="719"/>
      <c r="O140" s="48"/>
      <c r="P140" s="719"/>
      <c r="Q140" s="48"/>
      <c r="R140" s="714" t="str">
        <f>IFERROR(__xludf.DUMMYFUNCTION("""COMPUTED_VALUE"""),"2526PALAZZOTTOLUN18.B")</f>
        <v>2526PALAZZOTTOLUN18.B</v>
      </c>
      <c r="S140" s="711">
        <f>IFERROR(__xludf.DUMMYFUNCTION("""COMPUTED_VALUE"""),12.0)</f>
        <v>12</v>
      </c>
      <c r="T140" s="722" t="str">
        <f>IFERROR(__xludf.DUMMYFUNCTION("""COMPUTED_VALUE"""),"2526PALAZZOTTOLUN18.B")</f>
        <v>2526PALAZZOTTOLUN18.B</v>
      </c>
      <c r="U140" s="721"/>
      <c r="V140" s="711"/>
      <c r="W140" s="721"/>
      <c r="X140" s="721"/>
      <c r="Y140" s="48"/>
      <c r="Z140" s="48"/>
      <c r="AA140" s="48"/>
      <c r="AB140" s="711"/>
      <c r="AC140" s="711"/>
      <c r="AD140" s="711"/>
      <c r="AE140" s="711"/>
      <c r="AF140" s="711"/>
      <c r="AG140" s="711"/>
      <c r="AH140" s="711"/>
    </row>
    <row r="141">
      <c r="A141" s="48"/>
      <c r="B141" s="48"/>
      <c r="C141" s="711" t="str">
        <f>IFERROR(__xludf.DUMMYFUNCTION("""COMPUTED_VALUE"""),"")</f>
        <v/>
      </c>
      <c r="D141" s="721"/>
      <c r="E141" s="711"/>
      <c r="F141" s="711"/>
      <c r="G141" s="721"/>
      <c r="H141" s="721"/>
      <c r="I141" s="721"/>
      <c r="J141" s="48"/>
      <c r="K141" s="721"/>
      <c r="L141" s="721"/>
      <c r="M141" s="721"/>
      <c r="N141" s="719"/>
      <c r="O141" s="48"/>
      <c r="P141" s="719"/>
      <c r="Q141" s="48"/>
      <c r="R141" s="714" t="str">
        <f>IFERROR(__xludf.DUMMYFUNCTION("""COMPUTED_VALUE"""),"2526MARINOLUN18.F")</f>
        <v>2526MARINOLUN18.F</v>
      </c>
      <c r="S141" s="711">
        <f>IFERROR(__xludf.DUMMYFUNCTION("""COMPUTED_VALUE"""),40.0)</f>
        <v>40</v>
      </c>
      <c r="T141" s="722" t="str">
        <f>IFERROR(__xludf.DUMMYFUNCTION("""COMPUTED_VALUE"""),"2526MARINOLUN18.F")</f>
        <v>2526MARINOLUN18.F</v>
      </c>
      <c r="U141" s="721"/>
      <c r="V141" s="711"/>
      <c r="W141" s="721"/>
      <c r="X141" s="721"/>
      <c r="Y141" s="48"/>
      <c r="Z141" s="48"/>
      <c r="AA141" s="48"/>
      <c r="AB141" s="711"/>
      <c r="AC141" s="711"/>
      <c r="AD141" s="711"/>
      <c r="AE141" s="711"/>
      <c r="AF141" s="711"/>
      <c r="AG141" s="711"/>
      <c r="AH141" s="711"/>
    </row>
    <row r="142">
      <c r="A142" s="48"/>
      <c r="B142" s="48"/>
      <c r="C142" s="711" t="str">
        <f>IFERROR(__xludf.DUMMYFUNCTION("""COMPUTED_VALUE"""),"")</f>
        <v/>
      </c>
      <c r="D142" s="721"/>
      <c r="E142" s="711"/>
      <c r="F142" s="711"/>
      <c r="G142" s="721"/>
      <c r="H142" s="721"/>
      <c r="I142" s="721"/>
      <c r="J142" s="48"/>
      <c r="K142" s="721"/>
      <c r="L142" s="721"/>
      <c r="M142" s="721"/>
      <c r="N142" s="719"/>
      <c r="O142" s="48"/>
      <c r="P142" s="719"/>
      <c r="Q142" s="48"/>
      <c r="R142" s="714" t="str">
        <f>IFERROR(__xludf.DUMMYFUNCTION("""COMPUTED_VALUE"""),"2526SILVESTRILUN18.A")</f>
        <v>2526SILVESTRILUN18.A</v>
      </c>
      <c r="S142" s="711">
        <f>IFERROR(__xludf.DUMMYFUNCTION("""COMPUTED_VALUE"""),6.0)</f>
        <v>6</v>
      </c>
      <c r="T142" s="722" t="str">
        <f>IFERROR(__xludf.DUMMYFUNCTION("""COMPUTED_VALUE"""),"2526SILVESTRILUN18.A")</f>
        <v>2526SILVESTRILUN18.A</v>
      </c>
      <c r="U142" s="721"/>
      <c r="V142" s="711"/>
      <c r="W142" s="721"/>
      <c r="X142" s="721"/>
      <c r="Y142" s="48"/>
      <c r="Z142" s="48"/>
      <c r="AA142" s="48"/>
      <c r="AB142" s="711"/>
      <c r="AC142" s="711"/>
      <c r="AD142" s="711"/>
      <c r="AE142" s="711"/>
      <c r="AF142" s="711"/>
      <c r="AG142" s="711"/>
      <c r="AH142" s="711"/>
    </row>
    <row r="143">
      <c r="A143" s="48"/>
      <c r="B143" s="48"/>
      <c r="C143" s="711" t="str">
        <f>IFERROR(__xludf.DUMMYFUNCTION("""COMPUTED_VALUE"""),"")</f>
        <v/>
      </c>
      <c r="D143" s="721"/>
      <c r="E143" s="711"/>
      <c r="F143" s="711"/>
      <c r="G143" s="721"/>
      <c r="H143" s="721"/>
      <c r="I143" s="721"/>
      <c r="J143" s="48"/>
      <c r="K143" s="721"/>
      <c r="L143" s="721"/>
      <c r="M143" s="721"/>
      <c r="N143" s="719"/>
      <c r="O143" s="48"/>
      <c r="P143" s="719"/>
      <c r="Q143" s="48"/>
      <c r="R143" s="714" t="str">
        <f>IFERROR(__xludf.DUMMYFUNCTION("""COMPUTED_VALUE"""),"2526DICARLOLUN18.B")</f>
        <v>2526DICARLOLUN18.B</v>
      </c>
      <c r="S143" s="711">
        <f>IFERROR(__xludf.DUMMYFUNCTION("""COMPUTED_VALUE"""),18.0)</f>
        <v>18</v>
      </c>
      <c r="T143" s="722" t="str">
        <f>IFERROR(__xludf.DUMMYFUNCTION("""COMPUTED_VALUE"""),"2526DICARLOLUN18.B")</f>
        <v>2526DICARLOLUN18.B</v>
      </c>
      <c r="U143" s="721"/>
      <c r="V143" s="711"/>
      <c r="W143" s="721"/>
      <c r="X143" s="721"/>
      <c r="Y143" s="48"/>
      <c r="Z143" s="48"/>
      <c r="AA143" s="48"/>
      <c r="AB143" s="711"/>
      <c r="AC143" s="711"/>
      <c r="AD143" s="711"/>
      <c r="AE143" s="711"/>
      <c r="AF143" s="711"/>
      <c r="AG143" s="711"/>
      <c r="AH143" s="711"/>
    </row>
    <row r="144">
      <c r="A144" s="48"/>
      <c r="B144" s="48"/>
      <c r="C144" s="711" t="str">
        <f>IFERROR(__xludf.DUMMYFUNCTION("""COMPUTED_VALUE"""),"")</f>
        <v/>
      </c>
      <c r="D144" s="721"/>
      <c r="E144" s="711"/>
      <c r="F144" s="711"/>
      <c r="G144" s="721"/>
      <c r="H144" s="721"/>
      <c r="I144" s="721"/>
      <c r="J144" s="48"/>
      <c r="K144" s="721"/>
      <c r="L144" s="721"/>
      <c r="M144" s="721"/>
      <c r="N144" s="719"/>
      <c r="O144" s="48"/>
      <c r="P144" s="719"/>
      <c r="Q144" s="48"/>
      <c r="R144" s="714" t="str">
        <f>IFERROR(__xludf.DUMMYFUNCTION("""COMPUTED_VALUE"""),"2526FERGIELUN18.D")</f>
        <v>2526FERGIELUN18.D</v>
      </c>
      <c r="S144" s="711">
        <f>IFERROR(__xludf.DUMMYFUNCTION("""COMPUTED_VALUE"""),30.0)</f>
        <v>30</v>
      </c>
      <c r="T144" s="722" t="str">
        <f>IFERROR(__xludf.DUMMYFUNCTION("""COMPUTED_VALUE"""),"2526FERGIELUN18.D")</f>
        <v>2526FERGIELUN18.D</v>
      </c>
      <c r="U144" s="721"/>
      <c r="V144" s="711"/>
      <c r="W144" s="721"/>
      <c r="X144" s="721"/>
      <c r="Y144" s="48"/>
      <c r="Z144" s="48"/>
      <c r="AA144" s="48"/>
      <c r="AB144" s="711"/>
      <c r="AC144" s="711"/>
      <c r="AD144" s="711"/>
      <c r="AE144" s="711"/>
      <c r="AF144" s="711"/>
      <c r="AG144" s="711"/>
      <c r="AH144" s="711"/>
    </row>
    <row r="145">
      <c r="A145" s="48"/>
      <c r="B145" s="48"/>
      <c r="C145" s="711" t="str">
        <f>IFERROR(__xludf.DUMMYFUNCTION("""COMPUTED_VALUE"""),"")</f>
        <v/>
      </c>
      <c r="D145" s="721"/>
      <c r="E145" s="711"/>
      <c r="F145" s="711"/>
      <c r="G145" s="721"/>
      <c r="H145" s="721"/>
      <c r="I145" s="721"/>
      <c r="J145" s="48"/>
      <c r="K145" s="721"/>
      <c r="L145" s="721"/>
      <c r="M145" s="721"/>
      <c r="N145" s="719"/>
      <c r="O145" s="48"/>
      <c r="P145" s="719"/>
      <c r="Q145" s="48"/>
      <c r="R145" s="714" t="str">
        <f>IFERROR(__xludf.DUMMYFUNCTION("""COMPUTED_VALUE"""),"2526MIRAMLUN18.B")</f>
        <v>2526MIRAMLUN18.B</v>
      </c>
      <c r="S145" s="711">
        <f>IFERROR(__xludf.DUMMYFUNCTION("""COMPUTED_VALUE"""),26.0)</f>
        <v>26</v>
      </c>
      <c r="T145" s="722" t="str">
        <f>IFERROR(__xludf.DUMMYFUNCTION("""COMPUTED_VALUE"""),"2526MIRAMLUN18.B")</f>
        <v>2526MIRAMLUN18.B</v>
      </c>
      <c r="U145" s="721"/>
      <c r="V145" s="711"/>
      <c r="W145" s="721"/>
      <c r="X145" s="721"/>
      <c r="Y145" s="48"/>
      <c r="Z145" s="48"/>
      <c r="AA145" s="48"/>
      <c r="AB145" s="711"/>
      <c r="AC145" s="711"/>
      <c r="AD145" s="711"/>
      <c r="AE145" s="711"/>
      <c r="AF145" s="711"/>
      <c r="AG145" s="711"/>
      <c r="AH145" s="711"/>
    </row>
    <row r="146">
      <c r="A146" s="48"/>
      <c r="B146" s="48"/>
      <c r="C146" s="711" t="str">
        <f>IFERROR(__xludf.DUMMYFUNCTION("""COMPUTED_VALUE"""),"")</f>
        <v/>
      </c>
      <c r="D146" s="721"/>
      <c r="E146" s="711"/>
      <c r="F146" s="711"/>
      <c r="G146" s="721"/>
      <c r="H146" s="721"/>
      <c r="I146" s="721"/>
      <c r="J146" s="48"/>
      <c r="K146" s="721"/>
      <c r="L146" s="721"/>
      <c r="M146" s="721"/>
      <c r="N146" s="719"/>
      <c r="O146" s="48"/>
      <c r="P146" s="719"/>
      <c r="Q146" s="48"/>
      <c r="R146" s="714" t="str">
        <f>IFERROR(__xludf.DUMMYFUNCTION("""COMPUTED_VALUE"""),"2526SETTILUN19.F")</f>
        <v>2526SETTILUN19.F</v>
      </c>
      <c r="S146" s="711">
        <f>IFERROR(__xludf.DUMMYFUNCTION("""COMPUTED_VALUE"""),15.0)</f>
        <v>15</v>
      </c>
      <c r="T146" s="722" t="str">
        <f>IFERROR(__xludf.DUMMYFUNCTION("""COMPUTED_VALUE"""),"2526SETTILUN19.F")</f>
        <v>2526SETTILUN19.F</v>
      </c>
      <c r="U146" s="721"/>
      <c r="V146" s="711"/>
      <c r="W146" s="721"/>
      <c r="X146" s="721"/>
      <c r="Y146" s="48"/>
      <c r="Z146" s="48"/>
      <c r="AA146" s="48"/>
      <c r="AB146" s="711"/>
      <c r="AC146" s="711"/>
      <c r="AD146" s="711"/>
      <c r="AE146" s="711"/>
      <c r="AF146" s="711"/>
      <c r="AG146" s="711"/>
      <c r="AH146" s="711"/>
    </row>
    <row r="147">
      <c r="A147" s="48"/>
      <c r="B147" s="48"/>
      <c r="C147" s="711" t="str">
        <f>IFERROR(__xludf.DUMMYFUNCTION("""COMPUTED_VALUE"""),"")</f>
        <v/>
      </c>
      <c r="D147" s="721"/>
      <c r="E147" s="711"/>
      <c r="F147" s="711"/>
      <c r="G147" s="721"/>
      <c r="H147" s="721"/>
      <c r="I147" s="721"/>
      <c r="J147" s="48"/>
      <c r="K147" s="721"/>
      <c r="L147" s="721"/>
      <c r="M147" s="721"/>
      <c r="N147" s="719"/>
      <c r="O147" s="48"/>
      <c r="P147" s="719"/>
      <c r="Q147" s="48"/>
      <c r="R147" s="714" t="str">
        <f>IFERROR(__xludf.DUMMYFUNCTION("""COMPUTED_VALUE"""),"2526ALMEIDALUN19.F")</f>
        <v>2526ALMEIDALUN19.F</v>
      </c>
      <c r="S147" s="711">
        <f>IFERROR(__xludf.DUMMYFUNCTION("""COMPUTED_VALUE"""),15.0)</f>
        <v>15</v>
      </c>
      <c r="T147" s="722" t="str">
        <f>IFERROR(__xludf.DUMMYFUNCTION("""COMPUTED_VALUE"""),"2526ALMEIDALUN19.F")</f>
        <v>2526ALMEIDALUN19.F</v>
      </c>
      <c r="U147" s="721"/>
      <c r="V147" s="711"/>
      <c r="W147" s="721"/>
      <c r="X147" s="721"/>
      <c r="Y147" s="48"/>
      <c r="Z147" s="48"/>
      <c r="AA147" s="48"/>
      <c r="AB147" s="711"/>
      <c r="AC147" s="711"/>
      <c r="AD147" s="711"/>
      <c r="AE147" s="711"/>
      <c r="AF147" s="711"/>
      <c r="AG147" s="711"/>
      <c r="AH147" s="711"/>
    </row>
    <row r="148">
      <c r="A148" s="48"/>
      <c r="B148" s="48"/>
      <c r="C148" s="711" t="str">
        <f>IFERROR(__xludf.DUMMYFUNCTION("""COMPUTED_VALUE"""),"")</f>
        <v/>
      </c>
      <c r="D148" s="721"/>
      <c r="E148" s="711"/>
      <c r="F148" s="711"/>
      <c r="G148" s="721"/>
      <c r="H148" s="721"/>
      <c r="I148" s="721"/>
      <c r="J148" s="48"/>
      <c r="K148" s="721"/>
      <c r="L148" s="721"/>
      <c r="M148" s="721"/>
      <c r="N148" s="719"/>
      <c r="O148" s="48"/>
      <c r="P148" s="719"/>
      <c r="Q148" s="48"/>
      <c r="R148" s="48"/>
      <c r="S148" s="711" t="str">
        <f>IFERROR(__xludf.DUMMYFUNCTION("""COMPUTED_VALUE"""),"")</f>
        <v/>
      </c>
      <c r="T148" s="721"/>
      <c r="U148" s="721"/>
      <c r="V148" s="711"/>
      <c r="W148" s="721"/>
      <c r="X148" s="721"/>
      <c r="Y148" s="48"/>
      <c r="Z148" s="48"/>
      <c r="AA148" s="48"/>
      <c r="AB148" s="711"/>
      <c r="AC148" s="711"/>
      <c r="AD148" s="711"/>
      <c r="AE148" s="711"/>
      <c r="AF148" s="711"/>
      <c r="AG148" s="711"/>
      <c r="AH148" s="711"/>
    </row>
    <row r="149">
      <c r="A149" s="48"/>
      <c r="B149" s="48"/>
      <c r="C149" s="711" t="str">
        <f>IFERROR(__xludf.DUMMYFUNCTION("""COMPUTED_VALUE"""),"")</f>
        <v/>
      </c>
      <c r="D149" s="721"/>
      <c r="E149" s="711"/>
      <c r="F149" s="711"/>
      <c r="G149" s="721"/>
      <c r="H149" s="721"/>
      <c r="I149" s="721"/>
      <c r="J149" s="48"/>
      <c r="K149" s="721"/>
      <c r="L149" s="721"/>
      <c r="M149" s="721"/>
      <c r="N149" s="719"/>
      <c r="O149" s="48"/>
      <c r="P149" s="719"/>
      <c r="Q149" s="48"/>
      <c r="R149" s="714" t="str">
        <f>IFERROR(__xludf.DUMMYFUNCTION("""COMPUTED_VALUE"""),"2526NEMBRILUN19.C")</f>
        <v>2526NEMBRILUN19.C</v>
      </c>
      <c r="S149" s="711">
        <f>IFERROR(__xludf.DUMMYFUNCTION("""COMPUTED_VALUE"""),40.0)</f>
        <v>40</v>
      </c>
      <c r="T149" s="722" t="str">
        <f>IFERROR(__xludf.DUMMYFUNCTION("""COMPUTED_VALUE"""),"2526NEMBRILUN19.C")</f>
        <v>2526NEMBRILUN19.C</v>
      </c>
      <c r="U149" s="721"/>
      <c r="V149" s="711"/>
      <c r="W149" s="721"/>
      <c r="X149" s="721"/>
      <c r="Y149" s="48"/>
      <c r="Z149" s="48"/>
      <c r="AA149" s="48"/>
      <c r="AB149" s="711"/>
      <c r="AC149" s="711"/>
      <c r="AD149" s="711"/>
      <c r="AE149" s="711"/>
      <c r="AF149" s="711"/>
      <c r="AG149" s="711"/>
      <c r="AH149" s="711"/>
    </row>
    <row r="150">
      <c r="A150" s="48"/>
      <c r="B150" s="48"/>
      <c r="C150" s="711" t="str">
        <f>IFERROR(__xludf.DUMMYFUNCTION("""COMPUTED_VALUE"""),"")</f>
        <v/>
      </c>
      <c r="D150" s="721"/>
      <c r="E150" s="711"/>
      <c r="F150" s="711"/>
      <c r="G150" s="721"/>
      <c r="H150" s="721"/>
      <c r="I150" s="721"/>
      <c r="J150" s="48"/>
      <c r="K150" s="721"/>
      <c r="L150" s="721"/>
      <c r="M150" s="721"/>
      <c r="N150" s="719"/>
      <c r="O150" s="48"/>
      <c r="P150" s="719"/>
      <c r="Q150" s="48"/>
      <c r="R150" s="714" t="str">
        <f>IFERROR(__xludf.DUMMYFUNCTION("""COMPUTED_VALUE"""),"2526PUGGIONILUN19.B")</f>
        <v>2526PUGGIONILUN19.B</v>
      </c>
      <c r="S150" s="711">
        <f>IFERROR(__xludf.DUMMYFUNCTION("""COMPUTED_VALUE"""),11.0)</f>
        <v>11</v>
      </c>
      <c r="T150" s="722" t="str">
        <f>IFERROR(__xludf.DUMMYFUNCTION("""COMPUTED_VALUE"""),"2526PUGGIONILUN19.B")</f>
        <v>2526PUGGIONILUN19.B</v>
      </c>
      <c r="U150" s="721"/>
      <c r="V150" s="711"/>
      <c r="W150" s="721"/>
      <c r="X150" s="721"/>
      <c r="Y150" s="48"/>
      <c r="Z150" s="48"/>
      <c r="AA150" s="48"/>
      <c r="AB150" s="711"/>
      <c r="AC150" s="711"/>
      <c r="AD150" s="711"/>
      <c r="AE150" s="711"/>
      <c r="AF150" s="711"/>
      <c r="AG150" s="711"/>
      <c r="AH150" s="711"/>
    </row>
    <row r="151">
      <c r="A151" s="48"/>
      <c r="B151" s="48"/>
      <c r="C151" s="711" t="str">
        <f>IFERROR(__xludf.DUMMYFUNCTION("""COMPUTED_VALUE"""),"")</f>
        <v/>
      </c>
      <c r="D151" s="721"/>
      <c r="E151" s="711"/>
      <c r="F151" s="711"/>
      <c r="G151" s="721"/>
      <c r="H151" s="721"/>
      <c r="I151" s="721"/>
      <c r="J151" s="48"/>
      <c r="K151" s="721"/>
      <c r="L151" s="721"/>
      <c r="M151" s="721"/>
      <c r="N151" s="719"/>
      <c r="O151" s="48"/>
      <c r="P151" s="719"/>
      <c r="Q151" s="48"/>
      <c r="R151" s="714" t="str">
        <f>IFERROR(__xludf.DUMMYFUNCTION("""COMPUTED_VALUE"""),"2526ILAGOULUN19.D")</f>
        <v>2526ILAGOULUN19.D</v>
      </c>
      <c r="S151" s="711">
        <f>IFERROR(__xludf.DUMMYFUNCTION("""COMPUTED_VALUE"""),20.0)</f>
        <v>20</v>
      </c>
      <c r="T151" s="722" t="str">
        <f>IFERROR(__xludf.DUMMYFUNCTION("""COMPUTED_VALUE"""),"2526ILAGOULUN19.D")</f>
        <v>2526ILAGOULUN19.D</v>
      </c>
      <c r="U151" s="721"/>
      <c r="V151" s="711"/>
      <c r="W151" s="721"/>
      <c r="X151" s="721"/>
      <c r="Y151" s="48"/>
      <c r="Z151" s="48"/>
      <c r="AA151" s="48"/>
      <c r="AB151" s="711"/>
      <c r="AC151" s="711"/>
      <c r="AD151" s="711"/>
      <c r="AE151" s="711"/>
      <c r="AF151" s="711"/>
      <c r="AG151" s="711"/>
      <c r="AH151" s="711"/>
    </row>
    <row r="152">
      <c r="A152" s="48"/>
      <c r="B152" s="48"/>
      <c r="C152" s="711" t="str">
        <f>IFERROR(__xludf.DUMMYFUNCTION("""COMPUTED_VALUE"""),"")</f>
        <v/>
      </c>
      <c r="D152" s="721"/>
      <c r="E152" s="711"/>
      <c r="F152" s="711"/>
      <c r="G152" s="721"/>
      <c r="H152" s="721"/>
      <c r="I152" s="721"/>
      <c r="J152" s="48"/>
      <c r="K152" s="721"/>
      <c r="L152" s="721"/>
      <c r="M152" s="721"/>
      <c r="N152" s="719"/>
      <c r="O152" s="48"/>
      <c r="P152" s="719"/>
      <c r="Q152" s="48"/>
      <c r="R152" s="714" t="str">
        <f>IFERROR(__xludf.DUMMYFUNCTION("""COMPUTED_VALUE"""),"2526DEPONTESLUN19.D")</f>
        <v>2526DEPONTESLUN19.D</v>
      </c>
      <c r="S152" s="711">
        <f>IFERROR(__xludf.DUMMYFUNCTION("""COMPUTED_VALUE"""),30.0)</f>
        <v>30</v>
      </c>
      <c r="T152" s="722" t="str">
        <f>IFERROR(__xludf.DUMMYFUNCTION("""COMPUTED_VALUE"""),"2526DEPONTESLUN19.D")</f>
        <v>2526DEPONTESLUN19.D</v>
      </c>
      <c r="U152" s="721"/>
      <c r="V152" s="711"/>
      <c r="W152" s="721"/>
      <c r="X152" s="721"/>
      <c r="Y152" s="48"/>
      <c r="Z152" s="48"/>
      <c r="AA152" s="48"/>
      <c r="AB152" s="711"/>
      <c r="AC152" s="711"/>
      <c r="AD152" s="711"/>
      <c r="AE152" s="711"/>
      <c r="AF152" s="711"/>
      <c r="AG152" s="711"/>
      <c r="AH152" s="711"/>
    </row>
    <row r="153">
      <c r="A153" s="48"/>
      <c r="B153" s="48"/>
      <c r="C153" s="711" t="str">
        <f>IFERROR(__xludf.DUMMYFUNCTION("""COMPUTED_VALUE"""),"")</f>
        <v/>
      </c>
      <c r="D153" s="721"/>
      <c r="E153" s="711"/>
      <c r="F153" s="711"/>
      <c r="G153" s="721"/>
      <c r="H153" s="721"/>
      <c r="I153" s="721"/>
      <c r="J153" s="48"/>
      <c r="K153" s="721"/>
      <c r="L153" s="721"/>
      <c r="M153" s="721"/>
      <c r="N153" s="719"/>
      <c r="O153" s="48"/>
      <c r="P153" s="719"/>
      <c r="Q153" s="48"/>
      <c r="R153" s="714" t="str">
        <f>IFERROR(__xludf.DUMMYFUNCTION("""COMPUTED_VALUE"""),"2526BELLAYLUN19.D")</f>
        <v>2526BELLAYLUN19.D</v>
      </c>
      <c r="S153" s="711">
        <f>IFERROR(__xludf.DUMMYFUNCTION("""COMPUTED_VALUE"""),30.0)</f>
        <v>30</v>
      </c>
      <c r="T153" s="722" t="str">
        <f>IFERROR(__xludf.DUMMYFUNCTION("""COMPUTED_VALUE"""),"2526BELLAYLUN19.D")</f>
        <v>2526BELLAYLUN19.D</v>
      </c>
      <c r="U153" s="721"/>
      <c r="V153" s="711"/>
      <c r="W153" s="721"/>
      <c r="X153" s="721"/>
      <c r="Y153" s="48"/>
      <c r="Z153" s="48"/>
      <c r="AA153" s="48"/>
      <c r="AB153" s="711"/>
      <c r="AC153" s="711"/>
      <c r="AD153" s="711"/>
      <c r="AE153" s="711"/>
      <c r="AF153" s="711"/>
      <c r="AG153" s="711"/>
      <c r="AH153" s="711"/>
    </row>
    <row r="154">
      <c r="A154" s="48"/>
      <c r="B154" s="48"/>
      <c r="C154" s="711" t="str">
        <f>IFERROR(__xludf.DUMMYFUNCTION("""COMPUTED_VALUE"""),"")</f>
        <v/>
      </c>
      <c r="D154" s="721"/>
      <c r="E154" s="711"/>
      <c r="F154" s="711"/>
      <c r="G154" s="721"/>
      <c r="H154" s="721"/>
      <c r="I154" s="721"/>
      <c r="J154" s="48"/>
      <c r="K154" s="721"/>
      <c r="L154" s="721"/>
      <c r="M154" s="721"/>
      <c r="N154" s="719"/>
      <c r="O154" s="48"/>
      <c r="P154" s="719"/>
      <c r="Q154" s="48"/>
      <c r="R154" s="714" t="str">
        <f>IFERROR(__xludf.DUMMYFUNCTION("""COMPUTED_VALUE"""),"2526SILVESTRILUN19.A")</f>
        <v>2526SILVESTRILUN19.A</v>
      </c>
      <c r="S154" s="711">
        <f>IFERROR(__xludf.DUMMYFUNCTION("""COMPUTED_VALUE"""),6.0)</f>
        <v>6</v>
      </c>
      <c r="T154" s="722" t="str">
        <f>IFERROR(__xludf.DUMMYFUNCTION("""COMPUTED_VALUE"""),"2526SILVESTRILUN19.A")</f>
        <v>2526SILVESTRILUN19.A</v>
      </c>
      <c r="U154" s="721"/>
      <c r="V154" s="711"/>
      <c r="W154" s="721"/>
      <c r="X154" s="721"/>
      <c r="Y154" s="48"/>
      <c r="Z154" s="48"/>
      <c r="AA154" s="48"/>
      <c r="AB154" s="711"/>
      <c r="AC154" s="711"/>
      <c r="AD154" s="711"/>
      <c r="AE154" s="711"/>
      <c r="AF154" s="711"/>
      <c r="AG154" s="711"/>
      <c r="AH154" s="711"/>
    </row>
    <row r="155">
      <c r="A155" s="48"/>
      <c r="B155" s="48"/>
      <c r="C155" s="711" t="str">
        <f>IFERROR(__xludf.DUMMYFUNCTION("""COMPUTED_VALUE"""),"")</f>
        <v/>
      </c>
      <c r="D155" s="721"/>
      <c r="E155" s="711"/>
      <c r="F155" s="711"/>
      <c r="G155" s="721"/>
      <c r="H155" s="721"/>
      <c r="I155" s="721"/>
      <c r="J155" s="48"/>
      <c r="K155" s="721"/>
      <c r="L155" s="721"/>
      <c r="M155" s="721"/>
      <c r="N155" s="719"/>
      <c r="O155" s="48"/>
      <c r="P155" s="719"/>
      <c r="Q155" s="48"/>
      <c r="R155" s="714" t="str">
        <f>IFERROR(__xludf.DUMMYFUNCTION("""COMPUTED_VALUE"""),"2526MALINLUN19.F")</f>
        <v>2526MALINLUN19.F</v>
      </c>
      <c r="S155" s="711">
        <f>IFERROR(__xludf.DUMMYFUNCTION("""COMPUTED_VALUE"""),20.0)</f>
        <v>20</v>
      </c>
      <c r="T155" s="722" t="str">
        <f>IFERROR(__xludf.DUMMYFUNCTION("""COMPUTED_VALUE"""),"2526MALINLUN19.F")</f>
        <v>2526MALINLUN19.F</v>
      </c>
      <c r="U155" s="721"/>
      <c r="V155" s="711"/>
      <c r="W155" s="721"/>
      <c r="X155" s="721"/>
      <c r="Y155" s="48"/>
      <c r="Z155" s="48"/>
      <c r="AA155" s="48"/>
      <c r="AB155" s="711"/>
      <c r="AC155" s="711"/>
      <c r="AD155" s="711"/>
      <c r="AE155" s="711"/>
      <c r="AF155" s="711"/>
      <c r="AG155" s="711"/>
      <c r="AH155" s="711"/>
    </row>
    <row r="156">
      <c r="A156" s="48"/>
      <c r="B156" s="48"/>
      <c r="C156" s="711" t="str">
        <f>IFERROR(__xludf.DUMMYFUNCTION("""COMPUTED_VALUE"""),"")</f>
        <v/>
      </c>
      <c r="D156" s="721"/>
      <c r="E156" s="711"/>
      <c r="F156" s="711"/>
      <c r="G156" s="721"/>
      <c r="H156" s="721"/>
      <c r="I156" s="721"/>
      <c r="J156" s="48"/>
      <c r="K156" s="721"/>
      <c r="L156" s="721"/>
      <c r="M156" s="721"/>
      <c r="N156" s="719"/>
      <c r="O156" s="48"/>
      <c r="P156" s="719"/>
      <c r="Q156" s="48"/>
      <c r="R156" s="714" t="str">
        <f>IFERROR(__xludf.DUMMYFUNCTION("""COMPUTED_VALUE"""),"2526FERGIELUN19.D")</f>
        <v>2526FERGIELUN19.D</v>
      </c>
      <c r="S156" s="711">
        <f>IFERROR(__xludf.DUMMYFUNCTION("""COMPUTED_VALUE"""),30.0)</f>
        <v>30</v>
      </c>
      <c r="T156" s="722" t="str">
        <f>IFERROR(__xludf.DUMMYFUNCTION("""COMPUTED_VALUE"""),"2526FERGIELUN19.D")</f>
        <v>2526FERGIELUN19.D</v>
      </c>
      <c r="U156" s="721"/>
      <c r="V156" s="711"/>
      <c r="W156" s="721"/>
      <c r="X156" s="721"/>
      <c r="Y156" s="48"/>
      <c r="Z156" s="48"/>
      <c r="AA156" s="48"/>
      <c r="AB156" s="711"/>
      <c r="AC156" s="711"/>
      <c r="AD156" s="711"/>
      <c r="AE156" s="711"/>
      <c r="AF156" s="711"/>
      <c r="AG156" s="711"/>
      <c r="AH156" s="711"/>
    </row>
    <row r="157">
      <c r="A157" s="48"/>
      <c r="B157" s="48"/>
      <c r="C157" s="711" t="str">
        <f>IFERROR(__xludf.DUMMYFUNCTION("""COMPUTED_VALUE"""),"")</f>
        <v/>
      </c>
      <c r="D157" s="721"/>
      <c r="E157" s="711"/>
      <c r="F157" s="711"/>
      <c r="G157" s="721"/>
      <c r="H157" s="721"/>
      <c r="I157" s="721"/>
      <c r="J157" s="48"/>
      <c r="K157" s="721"/>
      <c r="L157" s="721"/>
      <c r="M157" s="721"/>
      <c r="N157" s="719"/>
      <c r="O157" s="48"/>
      <c r="P157" s="719"/>
      <c r="Q157" s="48"/>
      <c r="R157" s="714" t="str">
        <f>IFERROR(__xludf.DUMMYFUNCTION("""COMPUTED_VALUE"""),"2526DICARLOLUN19.D")</f>
        <v>2526DICARLOLUN19.D</v>
      </c>
      <c r="S157" s="711">
        <f>IFERROR(__xludf.DUMMYFUNCTION("""COMPUTED_VALUE"""),15.0)</f>
        <v>15</v>
      </c>
      <c r="T157" s="722" t="str">
        <f>IFERROR(__xludf.DUMMYFUNCTION("""COMPUTED_VALUE"""),"2526DICARLOLUN19.D")</f>
        <v>2526DICARLOLUN19.D</v>
      </c>
      <c r="U157" s="721"/>
      <c r="V157" s="711"/>
      <c r="W157" s="721"/>
      <c r="X157" s="721"/>
      <c r="Y157" s="48"/>
      <c r="Z157" s="48"/>
      <c r="AA157" s="48"/>
      <c r="AB157" s="711"/>
      <c r="AC157" s="711"/>
      <c r="AD157" s="711"/>
      <c r="AE157" s="711"/>
      <c r="AF157" s="711"/>
      <c r="AG157" s="711"/>
      <c r="AH157" s="711"/>
    </row>
    <row r="158">
      <c r="A158" s="48"/>
      <c r="B158" s="48"/>
      <c r="C158" s="711" t="str">
        <f>IFERROR(__xludf.DUMMYFUNCTION("""COMPUTED_VALUE"""),"")</f>
        <v/>
      </c>
      <c r="D158" s="721"/>
      <c r="E158" s="711"/>
      <c r="F158" s="711"/>
      <c r="G158" s="721"/>
      <c r="H158" s="721"/>
      <c r="I158" s="721"/>
      <c r="J158" s="48"/>
      <c r="K158" s="721"/>
      <c r="L158" s="721"/>
      <c r="M158" s="721"/>
      <c r="N158" s="719"/>
      <c r="O158" s="48"/>
      <c r="P158" s="719"/>
      <c r="Q158" s="48"/>
      <c r="R158" s="48"/>
      <c r="S158" s="711" t="str">
        <f>IFERROR(__xludf.DUMMYFUNCTION("""COMPUTED_VALUE"""),"")</f>
        <v/>
      </c>
      <c r="T158" s="721"/>
      <c r="U158" s="721"/>
      <c r="V158" s="711"/>
      <c r="W158" s="721"/>
      <c r="X158" s="721"/>
      <c r="Y158" s="48"/>
      <c r="Z158" s="48"/>
      <c r="AA158" s="48"/>
      <c r="AB158" s="711"/>
      <c r="AC158" s="711"/>
      <c r="AD158" s="711"/>
      <c r="AE158" s="711"/>
      <c r="AF158" s="711"/>
      <c r="AG158" s="711"/>
      <c r="AH158" s="711"/>
    </row>
    <row r="159">
      <c r="A159" s="48"/>
      <c r="B159" s="48"/>
      <c r="C159" s="711" t="str">
        <f>IFERROR(__xludf.DUMMYFUNCTION("""COMPUTED_VALUE"""),"")</f>
        <v/>
      </c>
      <c r="D159" s="721"/>
      <c r="E159" s="711"/>
      <c r="F159" s="711"/>
      <c r="G159" s="721"/>
      <c r="H159" s="721"/>
      <c r="I159" s="721"/>
      <c r="J159" s="48"/>
      <c r="K159" s="721"/>
      <c r="L159" s="721"/>
      <c r="M159" s="721"/>
      <c r="N159" s="719"/>
      <c r="O159" s="48"/>
      <c r="P159" s="719"/>
      <c r="Q159" s="48"/>
      <c r="R159" s="48"/>
      <c r="S159" s="711" t="str">
        <f>IFERROR(__xludf.DUMMYFUNCTION("""COMPUTED_VALUE"""),"")</f>
        <v/>
      </c>
      <c r="T159" s="721"/>
      <c r="U159" s="721"/>
      <c r="V159" s="711"/>
      <c r="W159" s="721"/>
      <c r="X159" s="721"/>
      <c r="Y159" s="48"/>
      <c r="Z159" s="48"/>
      <c r="AA159" s="48"/>
      <c r="AB159" s="711"/>
      <c r="AC159" s="711"/>
      <c r="AD159" s="711"/>
      <c r="AE159" s="711"/>
      <c r="AF159" s="711"/>
      <c r="AG159" s="711"/>
      <c r="AH159" s="711"/>
    </row>
    <row r="160">
      <c r="A160" s="48"/>
      <c r="B160" s="48"/>
      <c r="C160" s="711" t="str">
        <f>IFERROR(__xludf.DUMMYFUNCTION("""COMPUTED_VALUE"""),"")</f>
        <v/>
      </c>
      <c r="D160" s="721"/>
      <c r="E160" s="711"/>
      <c r="F160" s="711"/>
      <c r="G160" s="721"/>
      <c r="H160" s="721"/>
      <c r="I160" s="721"/>
      <c r="J160" s="48"/>
      <c r="K160" s="721"/>
      <c r="L160" s="721"/>
      <c r="M160" s="721"/>
      <c r="N160" s="719"/>
      <c r="O160" s="48"/>
      <c r="P160" s="719"/>
      <c r="Q160" s="48"/>
      <c r="R160" s="48"/>
      <c r="S160" s="711" t="str">
        <f>IFERROR(__xludf.DUMMYFUNCTION("""COMPUTED_VALUE"""),"")</f>
        <v/>
      </c>
      <c r="T160" s="721"/>
      <c r="U160" s="721"/>
      <c r="V160" s="711"/>
      <c r="W160" s="721"/>
      <c r="X160" s="721"/>
      <c r="Y160" s="48"/>
      <c r="Z160" s="48"/>
      <c r="AA160" s="48"/>
      <c r="AB160" s="711"/>
      <c r="AC160" s="711"/>
      <c r="AD160" s="711"/>
      <c r="AE160" s="711"/>
      <c r="AF160" s="711"/>
      <c r="AG160" s="711"/>
      <c r="AH160" s="711"/>
    </row>
    <row r="161">
      <c r="A161" s="48"/>
      <c r="B161" s="48"/>
      <c r="C161" s="711" t="str">
        <f>IFERROR(__xludf.DUMMYFUNCTION("""COMPUTED_VALUE"""),"")</f>
        <v/>
      </c>
      <c r="D161" s="721"/>
      <c r="E161" s="711"/>
      <c r="F161" s="711"/>
      <c r="G161" s="721"/>
      <c r="H161" s="721"/>
      <c r="I161" s="721"/>
      <c r="J161" s="48"/>
      <c r="K161" s="721"/>
      <c r="L161" s="721"/>
      <c r="M161" s="721"/>
      <c r="N161" s="719"/>
      <c r="O161" s="48"/>
      <c r="P161" s="719"/>
      <c r="Q161" s="48"/>
      <c r="R161" s="714" t="str">
        <f>IFERROR(__xludf.DUMMYFUNCTION("""COMPUTED_VALUE"""),"2526BONULUN20.C")</f>
        <v>2526BONULUN20.C</v>
      </c>
      <c r="S161" s="711">
        <f>IFERROR(__xludf.DUMMYFUNCTION("""COMPUTED_VALUE"""),40.0)</f>
        <v>40</v>
      </c>
      <c r="T161" s="722" t="str">
        <f>IFERROR(__xludf.DUMMYFUNCTION("""COMPUTED_VALUE"""),"2526BONULUN20.C")</f>
        <v>2526BONULUN20.C</v>
      </c>
      <c r="U161" s="721"/>
      <c r="V161" s="711"/>
      <c r="W161" s="721"/>
      <c r="X161" s="721"/>
      <c r="Y161" s="48"/>
      <c r="Z161" s="48"/>
      <c r="AA161" s="48"/>
      <c r="AB161" s="711"/>
      <c r="AC161" s="711"/>
      <c r="AD161" s="711"/>
      <c r="AE161" s="711"/>
      <c r="AF161" s="711"/>
      <c r="AG161" s="711"/>
      <c r="AH161" s="711"/>
    </row>
    <row r="162">
      <c r="A162" s="48"/>
      <c r="B162" s="48"/>
      <c r="C162" s="711" t="str">
        <f>IFERROR(__xludf.DUMMYFUNCTION("""COMPUTED_VALUE"""),"")</f>
        <v/>
      </c>
      <c r="D162" s="721"/>
      <c r="E162" s="711"/>
      <c r="F162" s="711"/>
      <c r="G162" s="721"/>
      <c r="H162" s="721"/>
      <c r="I162" s="721"/>
      <c r="J162" s="48"/>
      <c r="K162" s="721"/>
      <c r="L162" s="721"/>
      <c r="M162" s="721"/>
      <c r="N162" s="719"/>
      <c r="O162" s="48"/>
      <c r="P162" s="719"/>
      <c r="Q162" s="48"/>
      <c r="R162" s="714" t="str">
        <f>IFERROR(__xludf.DUMMYFUNCTION("""COMPUTED_VALUE"""),"2526PUGGIONILUN20.A")</f>
        <v>2526PUGGIONILUN20.A</v>
      </c>
      <c r="S162" s="711">
        <f>IFERROR(__xludf.DUMMYFUNCTION("""COMPUTED_VALUE"""),11.0)</f>
        <v>11</v>
      </c>
      <c r="T162" s="722" t="str">
        <f>IFERROR(__xludf.DUMMYFUNCTION("""COMPUTED_VALUE"""),"2526PUGGIONILUN20.A")</f>
        <v>2526PUGGIONILUN20.A</v>
      </c>
      <c r="U162" s="721"/>
      <c r="V162" s="711"/>
      <c r="W162" s="721"/>
      <c r="X162" s="721"/>
      <c r="Y162" s="48"/>
      <c r="Z162" s="48"/>
      <c r="AA162" s="48"/>
      <c r="AB162" s="711"/>
      <c r="AC162" s="711"/>
      <c r="AD162" s="711"/>
      <c r="AE162" s="711"/>
      <c r="AF162" s="711"/>
      <c r="AG162" s="711"/>
      <c r="AH162" s="711"/>
    </row>
    <row r="163">
      <c r="A163" s="48"/>
      <c r="B163" s="48"/>
      <c r="C163" s="711" t="str">
        <f>IFERROR(__xludf.DUMMYFUNCTION("""COMPUTED_VALUE"""),"")</f>
        <v/>
      </c>
      <c r="D163" s="721"/>
      <c r="E163" s="711"/>
      <c r="F163" s="711"/>
      <c r="G163" s="721"/>
      <c r="H163" s="721"/>
      <c r="I163" s="721"/>
      <c r="J163" s="48"/>
      <c r="K163" s="721"/>
      <c r="L163" s="721"/>
      <c r="M163" s="721"/>
      <c r="N163" s="719"/>
      <c r="O163" s="48"/>
      <c r="P163" s="719"/>
      <c r="Q163" s="48"/>
      <c r="R163" s="714" t="str">
        <f>IFERROR(__xludf.DUMMYFUNCTION("""COMPUTED_VALUE"""),"2526AVILALUN20.C")</f>
        <v>2526AVILALUN20.C</v>
      </c>
      <c r="S163" s="711">
        <f>IFERROR(__xludf.DUMMYFUNCTION("""COMPUTED_VALUE"""),24.0)</f>
        <v>24</v>
      </c>
      <c r="T163" s="722" t="str">
        <f>IFERROR(__xludf.DUMMYFUNCTION("""COMPUTED_VALUE"""),"2526AVILALUN20.C")</f>
        <v>2526AVILALUN20.C</v>
      </c>
      <c r="U163" s="721"/>
      <c r="V163" s="711"/>
      <c r="W163" s="721"/>
      <c r="X163" s="721"/>
      <c r="Y163" s="48"/>
      <c r="Z163" s="48"/>
      <c r="AA163" s="48"/>
      <c r="AB163" s="711"/>
      <c r="AC163" s="711"/>
      <c r="AD163" s="711"/>
      <c r="AE163" s="711"/>
      <c r="AF163" s="711"/>
      <c r="AG163" s="711"/>
      <c r="AH163" s="711"/>
    </row>
    <row r="164">
      <c r="A164" s="48"/>
      <c r="B164" s="48"/>
      <c r="C164" s="711" t="str">
        <f>IFERROR(__xludf.DUMMYFUNCTION("""COMPUTED_VALUE"""),"")</f>
        <v/>
      </c>
      <c r="D164" s="721"/>
      <c r="E164" s="711"/>
      <c r="F164" s="711"/>
      <c r="G164" s="721"/>
      <c r="H164" s="721"/>
      <c r="I164" s="721"/>
      <c r="J164" s="48"/>
      <c r="K164" s="721"/>
      <c r="L164" s="721"/>
      <c r="M164" s="721"/>
      <c r="N164" s="719"/>
      <c r="O164" s="48"/>
      <c r="P164" s="719"/>
      <c r="Q164" s="48"/>
      <c r="R164" s="714" t="str">
        <f>IFERROR(__xludf.DUMMYFUNCTION("""COMPUTED_VALUE"""),"2526DUTTALUN20.D")</f>
        <v>2526DUTTALUN20.D</v>
      </c>
      <c r="S164" s="711">
        <f>IFERROR(__xludf.DUMMYFUNCTION("""COMPUTED_VALUE"""),26.0)</f>
        <v>26</v>
      </c>
      <c r="T164" s="722" t="str">
        <f>IFERROR(__xludf.DUMMYFUNCTION("""COMPUTED_VALUE"""),"2526DUTTALUN20.D")</f>
        <v>2526DUTTALUN20.D</v>
      </c>
      <c r="U164" s="721"/>
      <c r="V164" s="711"/>
      <c r="W164" s="721"/>
      <c r="X164" s="721"/>
      <c r="Y164" s="48"/>
      <c r="Z164" s="48"/>
      <c r="AA164" s="48"/>
      <c r="AB164" s="711"/>
      <c r="AC164" s="711"/>
      <c r="AD164" s="711"/>
      <c r="AE164" s="711"/>
      <c r="AF164" s="711"/>
      <c r="AG164" s="711"/>
      <c r="AH164" s="711"/>
    </row>
    <row r="165">
      <c r="A165" s="48"/>
      <c r="B165" s="48"/>
      <c r="C165" s="711" t="str">
        <f>IFERROR(__xludf.DUMMYFUNCTION("""COMPUTED_VALUE"""),"")</f>
        <v/>
      </c>
      <c r="D165" s="721"/>
      <c r="E165" s="711"/>
      <c r="F165" s="711"/>
      <c r="G165" s="721"/>
      <c r="H165" s="721"/>
      <c r="I165" s="721"/>
      <c r="J165" s="48"/>
      <c r="K165" s="721"/>
      <c r="L165" s="721"/>
      <c r="M165" s="721"/>
      <c r="N165" s="719"/>
      <c r="O165" s="48"/>
      <c r="P165" s="719"/>
      <c r="Q165" s="48"/>
      <c r="R165" s="714" t="str">
        <f>IFERROR(__xludf.DUMMYFUNCTION("""COMPUTED_VALUE"""),"2526NEMBRILUN20.C")</f>
        <v>2526NEMBRILUN20.C</v>
      </c>
      <c r="S165" s="711">
        <f>IFERROR(__xludf.DUMMYFUNCTION("""COMPUTED_VALUE"""),50.0)</f>
        <v>50</v>
      </c>
      <c r="T165" s="722" t="str">
        <f>IFERROR(__xludf.DUMMYFUNCTION("""COMPUTED_VALUE"""),"2526NEMBRILUN20.C")</f>
        <v>2526NEMBRILUN20.C</v>
      </c>
      <c r="U165" s="721"/>
      <c r="V165" s="711"/>
      <c r="W165" s="721"/>
      <c r="X165" s="721"/>
      <c r="Y165" s="48"/>
      <c r="Z165" s="48"/>
      <c r="AA165" s="48"/>
      <c r="AB165" s="711"/>
      <c r="AC165" s="711"/>
      <c r="AD165" s="711"/>
      <c r="AE165" s="711"/>
      <c r="AF165" s="711"/>
      <c r="AG165" s="711"/>
      <c r="AH165" s="711"/>
    </row>
    <row r="166">
      <c r="A166" s="48"/>
      <c r="B166" s="48"/>
      <c r="C166" s="711" t="str">
        <f>IFERROR(__xludf.DUMMYFUNCTION("""COMPUTED_VALUE"""),"")</f>
        <v/>
      </c>
      <c r="D166" s="721"/>
      <c r="E166" s="711"/>
      <c r="F166" s="711"/>
      <c r="G166" s="721"/>
      <c r="H166" s="721"/>
      <c r="I166" s="721"/>
      <c r="J166" s="48"/>
      <c r="K166" s="721"/>
      <c r="L166" s="721"/>
      <c r="M166" s="721"/>
      <c r="N166" s="719"/>
      <c r="O166" s="48"/>
      <c r="P166" s="719"/>
      <c r="Q166" s="48"/>
      <c r="R166" s="714" t="str">
        <f>IFERROR(__xludf.DUMMYFUNCTION("""COMPUTED_VALUE"""),"2526SILVESTRILUN20.A")</f>
        <v>2526SILVESTRILUN20.A</v>
      </c>
      <c r="S166" s="711">
        <f>IFERROR(__xludf.DUMMYFUNCTION("""COMPUTED_VALUE"""),6.0)</f>
        <v>6</v>
      </c>
      <c r="T166" s="722" t="str">
        <f>IFERROR(__xludf.DUMMYFUNCTION("""COMPUTED_VALUE"""),"2526SILVESTRILUN20.A")</f>
        <v>2526SILVESTRILUN20.A</v>
      </c>
      <c r="U166" s="721"/>
      <c r="V166" s="711"/>
      <c r="W166" s="721"/>
      <c r="X166" s="721"/>
      <c r="Y166" s="48"/>
      <c r="Z166" s="48"/>
      <c r="AA166" s="48"/>
      <c r="AB166" s="711"/>
      <c r="AC166" s="711"/>
      <c r="AD166" s="711"/>
      <c r="AE166" s="711"/>
      <c r="AF166" s="711"/>
      <c r="AG166" s="711"/>
      <c r="AH166" s="711"/>
    </row>
    <row r="167">
      <c r="A167" s="48"/>
      <c r="B167" s="48"/>
      <c r="C167" s="711" t="str">
        <f>IFERROR(__xludf.DUMMYFUNCTION("""COMPUTED_VALUE"""),"")</f>
        <v/>
      </c>
      <c r="D167" s="721"/>
      <c r="E167" s="711"/>
      <c r="F167" s="711"/>
      <c r="G167" s="721"/>
      <c r="H167" s="721"/>
      <c r="I167" s="721"/>
      <c r="J167" s="48"/>
      <c r="K167" s="721"/>
      <c r="L167" s="721"/>
      <c r="M167" s="721"/>
      <c r="N167" s="719"/>
      <c r="O167" s="48"/>
      <c r="P167" s="719"/>
      <c r="Q167" s="48"/>
      <c r="R167" s="714" t="str">
        <f>IFERROR(__xludf.DUMMYFUNCTION("""COMPUTED_VALUE"""),"2526FERGIELUN20.D")</f>
        <v>2526FERGIELUN20.D</v>
      </c>
      <c r="S167" s="711">
        <f>IFERROR(__xludf.DUMMYFUNCTION("""COMPUTED_VALUE"""),24.0)</f>
        <v>24</v>
      </c>
      <c r="T167" s="722" t="str">
        <f>IFERROR(__xludf.DUMMYFUNCTION("""COMPUTED_VALUE"""),"2526FERGIELUN20.D")</f>
        <v>2526FERGIELUN20.D</v>
      </c>
      <c r="U167" s="721"/>
      <c r="V167" s="711"/>
      <c r="W167" s="721"/>
      <c r="X167" s="721"/>
      <c r="Y167" s="48"/>
      <c r="Z167" s="48"/>
      <c r="AA167" s="48"/>
      <c r="AB167" s="711"/>
      <c r="AC167" s="711"/>
      <c r="AD167" s="711"/>
      <c r="AE167" s="711"/>
      <c r="AF167" s="711"/>
      <c r="AG167" s="711"/>
      <c r="AH167" s="711"/>
    </row>
    <row r="168">
      <c r="A168" s="48"/>
      <c r="B168" s="48"/>
      <c r="C168" s="711" t="str">
        <f>IFERROR(__xludf.DUMMYFUNCTION("""COMPUTED_VALUE"""),"")</f>
        <v/>
      </c>
      <c r="D168" s="721"/>
      <c r="E168" s="711"/>
      <c r="F168" s="711"/>
      <c r="G168" s="721"/>
      <c r="H168" s="721"/>
      <c r="I168" s="721"/>
      <c r="J168" s="48"/>
      <c r="K168" s="721"/>
      <c r="L168" s="721"/>
      <c r="M168" s="721"/>
      <c r="N168" s="719"/>
      <c r="O168" s="48"/>
      <c r="P168" s="719"/>
      <c r="Q168" s="48"/>
      <c r="R168" s="714" t="str">
        <f>IFERROR(__xludf.DUMMYFUNCTION("""COMPUTED_VALUE"""),"2526BELLAYLUN20.D")</f>
        <v>2526BELLAYLUN20.D</v>
      </c>
      <c r="S168" s="711">
        <f>IFERROR(__xludf.DUMMYFUNCTION("""COMPUTED_VALUE"""),30.0)</f>
        <v>30</v>
      </c>
      <c r="T168" s="722" t="str">
        <f>IFERROR(__xludf.DUMMYFUNCTION("""COMPUTED_VALUE"""),"2526BELLAYLUN20.D")</f>
        <v>2526BELLAYLUN20.D</v>
      </c>
      <c r="U168" s="721"/>
      <c r="V168" s="711"/>
      <c r="W168" s="721"/>
      <c r="X168" s="721"/>
      <c r="Y168" s="48"/>
      <c r="Z168" s="48"/>
      <c r="AA168" s="48"/>
      <c r="AB168" s="711"/>
      <c r="AC168" s="711"/>
      <c r="AD168" s="711"/>
      <c r="AE168" s="711"/>
      <c r="AF168" s="711"/>
      <c r="AG168" s="711"/>
      <c r="AH168" s="711"/>
    </row>
    <row r="169">
      <c r="A169" s="48"/>
      <c r="B169" s="48"/>
      <c r="C169" s="711" t="str">
        <f>IFERROR(__xludf.DUMMYFUNCTION("""COMPUTED_VALUE"""),"")</f>
        <v/>
      </c>
      <c r="D169" s="721"/>
      <c r="E169" s="711"/>
      <c r="F169" s="711"/>
      <c r="G169" s="721"/>
      <c r="H169" s="721"/>
      <c r="I169" s="721"/>
      <c r="J169" s="48"/>
      <c r="K169" s="721"/>
      <c r="L169" s="721"/>
      <c r="M169" s="721"/>
      <c r="N169" s="719"/>
      <c r="O169" s="48"/>
      <c r="P169" s="719"/>
      <c r="Q169" s="48"/>
      <c r="R169" s="714" t="str">
        <f>IFERROR(__xludf.DUMMYFUNCTION("""COMPUTED_VALUE"""),"2526MALINLUN20.D")</f>
        <v>2526MALINLUN20.D</v>
      </c>
      <c r="S169" s="711">
        <f>IFERROR(__xludf.DUMMYFUNCTION("""COMPUTED_VALUE"""),15.0)</f>
        <v>15</v>
      </c>
      <c r="T169" s="722" t="str">
        <f>IFERROR(__xludf.DUMMYFUNCTION("""COMPUTED_VALUE"""),"2526MALINLUN20.D")</f>
        <v>2526MALINLUN20.D</v>
      </c>
      <c r="U169" s="721"/>
      <c r="V169" s="711"/>
      <c r="W169" s="721"/>
      <c r="X169" s="721"/>
      <c r="Y169" s="48"/>
      <c r="Z169" s="48"/>
      <c r="AA169" s="48"/>
      <c r="AB169" s="711"/>
      <c r="AC169" s="711"/>
      <c r="AD169" s="711"/>
      <c r="AE169" s="711"/>
      <c r="AF169" s="711"/>
      <c r="AG169" s="711"/>
      <c r="AH169" s="711"/>
    </row>
    <row r="170">
      <c r="A170" s="48"/>
      <c r="B170" s="48"/>
      <c r="C170" s="711" t="str">
        <f>IFERROR(__xludf.DUMMYFUNCTION("""COMPUTED_VALUE"""),"")</f>
        <v/>
      </c>
      <c r="D170" s="721"/>
      <c r="E170" s="711"/>
      <c r="F170" s="711"/>
      <c r="G170" s="721"/>
      <c r="H170" s="721"/>
      <c r="I170" s="721"/>
      <c r="J170" s="48"/>
      <c r="K170" s="721"/>
      <c r="L170" s="721"/>
      <c r="M170" s="721"/>
      <c r="N170" s="719"/>
      <c r="O170" s="48"/>
      <c r="P170" s="719"/>
      <c r="Q170" s="48"/>
      <c r="R170" s="48"/>
      <c r="S170" s="711" t="str">
        <f>IFERROR(__xludf.DUMMYFUNCTION("""COMPUTED_VALUE"""),"")</f>
        <v/>
      </c>
      <c r="T170" s="721"/>
      <c r="U170" s="721"/>
      <c r="V170" s="711"/>
      <c r="W170" s="721"/>
      <c r="X170" s="721"/>
      <c r="Y170" s="48"/>
      <c r="Z170" s="48"/>
      <c r="AA170" s="48"/>
      <c r="AB170" s="711"/>
      <c r="AC170" s="711"/>
      <c r="AD170" s="711"/>
      <c r="AE170" s="711"/>
      <c r="AF170" s="711"/>
      <c r="AG170" s="711"/>
      <c r="AH170" s="711"/>
    </row>
    <row r="171">
      <c r="A171" s="48"/>
      <c r="B171" s="48"/>
      <c r="C171" s="711" t="str">
        <f>IFERROR(__xludf.DUMMYFUNCTION("""COMPUTED_VALUE"""),"")</f>
        <v/>
      </c>
      <c r="D171" s="721"/>
      <c r="E171" s="711"/>
      <c r="F171" s="711"/>
      <c r="G171" s="721"/>
      <c r="H171" s="721"/>
      <c r="I171" s="721"/>
      <c r="J171" s="48"/>
      <c r="K171" s="721"/>
      <c r="L171" s="721"/>
      <c r="M171" s="721"/>
      <c r="N171" s="719"/>
      <c r="O171" s="48"/>
      <c r="P171" s="719"/>
      <c r="Q171" s="48"/>
      <c r="R171" s="48"/>
      <c r="S171" s="711" t="str">
        <f>IFERROR(__xludf.DUMMYFUNCTION("""COMPUTED_VALUE"""),"")</f>
        <v/>
      </c>
      <c r="T171" s="721"/>
      <c r="U171" s="721"/>
      <c r="V171" s="711"/>
      <c r="W171" s="721"/>
      <c r="X171" s="721"/>
      <c r="Y171" s="48"/>
      <c r="Z171" s="48"/>
      <c r="AA171" s="48"/>
      <c r="AB171" s="711"/>
      <c r="AC171" s="711"/>
      <c r="AD171" s="711"/>
      <c r="AE171" s="711"/>
      <c r="AF171" s="711"/>
      <c r="AG171" s="711"/>
      <c r="AH171" s="711"/>
    </row>
    <row r="172">
      <c r="A172" s="48"/>
      <c r="B172" s="48"/>
      <c r="C172" s="711" t="str">
        <f>IFERROR(__xludf.DUMMYFUNCTION("""COMPUTED_VALUE"""),"")</f>
        <v/>
      </c>
      <c r="D172" s="721"/>
      <c r="E172" s="711"/>
      <c r="F172" s="711"/>
      <c r="G172" s="721"/>
      <c r="H172" s="721"/>
      <c r="I172" s="721"/>
      <c r="J172" s="48"/>
      <c r="K172" s="721"/>
      <c r="L172" s="721"/>
      <c r="M172" s="721"/>
      <c r="N172" s="719"/>
      <c r="O172" s="48"/>
      <c r="P172" s="719"/>
      <c r="Q172" s="48"/>
      <c r="R172" s="48"/>
      <c r="S172" s="711" t="str">
        <f>IFERROR(__xludf.DUMMYFUNCTION("""COMPUTED_VALUE"""),"")</f>
        <v/>
      </c>
      <c r="T172" s="721"/>
      <c r="U172" s="721"/>
      <c r="V172" s="711"/>
      <c r="W172" s="721"/>
      <c r="X172" s="721"/>
      <c r="Y172" s="48"/>
      <c r="Z172" s="48"/>
      <c r="AA172" s="48"/>
      <c r="AB172" s="711"/>
      <c r="AC172" s="711"/>
      <c r="AD172" s="711"/>
      <c r="AE172" s="711"/>
      <c r="AF172" s="711"/>
      <c r="AG172" s="711"/>
      <c r="AH172" s="711"/>
    </row>
    <row r="173">
      <c r="A173" s="48"/>
      <c r="B173" s="48"/>
      <c r="C173" s="711" t="str">
        <f>IFERROR(__xludf.DUMMYFUNCTION("""COMPUTED_VALUE"""),"")</f>
        <v/>
      </c>
      <c r="D173" s="721"/>
      <c r="E173" s="711"/>
      <c r="F173" s="711"/>
      <c r="G173" s="721"/>
      <c r="H173" s="721"/>
      <c r="I173" s="721"/>
      <c r="J173" s="48"/>
      <c r="K173" s="721"/>
      <c r="L173" s="721"/>
      <c r="M173" s="721"/>
      <c r="N173" s="719"/>
      <c r="O173" s="48"/>
      <c r="P173" s="719"/>
      <c r="Q173" s="48"/>
      <c r="R173" s="714" t="str">
        <f>IFERROR(__xludf.DUMMYFUNCTION("""COMPUTED_VALUE"""),"2526ILAGOULUN21.C")</f>
        <v>2526ILAGOULUN21.C</v>
      </c>
      <c r="S173" s="711">
        <f>IFERROR(__xludf.DUMMYFUNCTION("""COMPUTED_VALUE"""),40.0)</f>
        <v>40</v>
      </c>
      <c r="T173" s="722" t="str">
        <f>IFERROR(__xludf.DUMMYFUNCTION("""COMPUTED_VALUE"""),"2526ILAGOULUN21.C")</f>
        <v>2526ILAGOULUN21.C</v>
      </c>
      <c r="U173" s="721"/>
      <c r="V173" s="711"/>
      <c r="W173" s="721"/>
      <c r="X173" s="721"/>
      <c r="Y173" s="48"/>
      <c r="Z173" s="48"/>
      <c r="AA173" s="48"/>
      <c r="AB173" s="711"/>
      <c r="AC173" s="711"/>
      <c r="AD173" s="711"/>
      <c r="AE173" s="711"/>
      <c r="AF173" s="711"/>
      <c r="AG173" s="711"/>
      <c r="AH173" s="711"/>
    </row>
    <row r="174">
      <c r="A174" s="48"/>
      <c r="B174" s="48"/>
      <c r="C174" s="711" t="str">
        <f>IFERROR(__xludf.DUMMYFUNCTION("""COMPUTED_VALUE"""),"")</f>
        <v/>
      </c>
      <c r="D174" s="721"/>
      <c r="E174" s="711"/>
      <c r="F174" s="711"/>
      <c r="G174" s="721"/>
      <c r="H174" s="721"/>
      <c r="I174" s="721"/>
      <c r="J174" s="48"/>
      <c r="K174" s="721"/>
      <c r="L174" s="721"/>
      <c r="M174" s="721"/>
      <c r="N174" s="719"/>
      <c r="O174" s="48"/>
      <c r="P174" s="719"/>
      <c r="Q174" s="48"/>
      <c r="R174" s="714" t="str">
        <f>IFERROR(__xludf.DUMMYFUNCTION("""COMPUTED_VALUE"""),"2526PUGGIONILUN21.A")</f>
        <v>2526PUGGIONILUN21.A</v>
      </c>
      <c r="S174" s="711">
        <f>IFERROR(__xludf.DUMMYFUNCTION("""COMPUTED_VALUE"""),11.0)</f>
        <v>11</v>
      </c>
      <c r="T174" s="722" t="str">
        <f>IFERROR(__xludf.DUMMYFUNCTION("""COMPUTED_VALUE"""),"2526PUGGIONILUN21.A")</f>
        <v>2526PUGGIONILUN21.A</v>
      </c>
      <c r="U174" s="721"/>
      <c r="V174" s="711"/>
      <c r="W174" s="721"/>
      <c r="X174" s="721"/>
      <c r="Y174" s="48"/>
      <c r="Z174" s="48"/>
      <c r="AA174" s="48"/>
      <c r="AB174" s="711"/>
      <c r="AC174" s="711"/>
      <c r="AD174" s="711"/>
      <c r="AE174" s="711"/>
      <c r="AF174" s="711"/>
      <c r="AG174" s="711"/>
      <c r="AH174" s="711"/>
    </row>
    <row r="175">
      <c r="A175" s="48"/>
      <c r="B175" s="48"/>
      <c r="C175" s="711" t="str">
        <f>IFERROR(__xludf.DUMMYFUNCTION("""COMPUTED_VALUE"""),"")</f>
        <v/>
      </c>
      <c r="D175" s="721"/>
      <c r="E175" s="711"/>
      <c r="F175" s="711"/>
      <c r="G175" s="721"/>
      <c r="H175" s="721"/>
      <c r="I175" s="721"/>
      <c r="J175" s="48"/>
      <c r="K175" s="721"/>
      <c r="L175" s="721"/>
      <c r="M175" s="721"/>
      <c r="N175" s="719"/>
      <c r="O175" s="48"/>
      <c r="P175" s="719"/>
      <c r="Q175" s="48"/>
      <c r="R175" s="714" t="str">
        <f>IFERROR(__xludf.DUMMYFUNCTION("""COMPUTED_VALUE"""),"2526NEMBRILUN21.C")</f>
        <v>2526NEMBRILUN21.C</v>
      </c>
      <c r="S175" s="711">
        <f>IFERROR(__xludf.DUMMYFUNCTION("""COMPUTED_VALUE"""),30.0)</f>
        <v>30</v>
      </c>
      <c r="T175" s="722" t="str">
        <f>IFERROR(__xludf.DUMMYFUNCTION("""COMPUTED_VALUE"""),"2526NEMBRILUN21.C")</f>
        <v>2526NEMBRILUN21.C</v>
      </c>
      <c r="U175" s="721"/>
      <c r="V175" s="711"/>
      <c r="W175" s="721"/>
      <c r="X175" s="721"/>
      <c r="Y175" s="48"/>
      <c r="Z175" s="48"/>
      <c r="AA175" s="48"/>
      <c r="AB175" s="711"/>
      <c r="AC175" s="711"/>
      <c r="AD175" s="711"/>
      <c r="AE175" s="711"/>
      <c r="AF175" s="711"/>
      <c r="AG175" s="711"/>
      <c r="AH175" s="711"/>
    </row>
    <row r="176">
      <c r="A176" s="48"/>
      <c r="B176" s="48"/>
      <c r="C176" s="711" t="str">
        <f>IFERROR(__xludf.DUMMYFUNCTION("""COMPUTED_VALUE"""),"")</f>
        <v/>
      </c>
      <c r="D176" s="721"/>
      <c r="E176" s="711"/>
      <c r="F176" s="711"/>
      <c r="G176" s="721"/>
      <c r="H176" s="721"/>
      <c r="I176" s="721"/>
      <c r="J176" s="48"/>
      <c r="K176" s="721"/>
      <c r="L176" s="721"/>
      <c r="M176" s="721"/>
      <c r="N176" s="719"/>
      <c r="O176" s="48"/>
      <c r="P176" s="719"/>
      <c r="Q176" s="48"/>
      <c r="R176" s="714" t="str">
        <f>IFERROR(__xludf.DUMMYFUNCTION("""COMPUTED_VALUE"""),"2526AVILALUN21.C")</f>
        <v>2526AVILALUN21.C</v>
      </c>
      <c r="S176" s="711">
        <f>IFERROR(__xludf.DUMMYFUNCTION("""COMPUTED_VALUE"""),26.0)</f>
        <v>26</v>
      </c>
      <c r="T176" s="722" t="str">
        <f>IFERROR(__xludf.DUMMYFUNCTION("""COMPUTED_VALUE"""),"2526AVILALUN21.C")</f>
        <v>2526AVILALUN21.C</v>
      </c>
      <c r="U176" s="721"/>
      <c r="V176" s="711"/>
      <c r="W176" s="721"/>
      <c r="X176" s="721"/>
      <c r="Y176" s="48"/>
      <c r="Z176" s="48"/>
      <c r="AA176" s="48"/>
      <c r="AB176" s="711"/>
      <c r="AC176" s="711"/>
      <c r="AD176" s="711"/>
      <c r="AE176" s="711"/>
      <c r="AF176" s="711"/>
      <c r="AG176" s="711"/>
      <c r="AH176" s="711"/>
    </row>
    <row r="177">
      <c r="A177" s="48"/>
      <c r="B177" s="48"/>
      <c r="C177" s="711" t="str">
        <f>IFERROR(__xludf.DUMMYFUNCTION("""COMPUTED_VALUE"""),"")</f>
        <v/>
      </c>
      <c r="D177" s="721"/>
      <c r="E177" s="711"/>
      <c r="F177" s="711"/>
      <c r="G177" s="721"/>
      <c r="H177" s="721"/>
      <c r="I177" s="721"/>
      <c r="J177" s="48"/>
      <c r="K177" s="721"/>
      <c r="L177" s="721"/>
      <c r="M177" s="721"/>
      <c r="N177" s="719"/>
      <c r="O177" s="48"/>
      <c r="P177" s="719"/>
      <c r="Q177" s="48"/>
      <c r="R177" s="714" t="str">
        <f>IFERROR(__xludf.DUMMYFUNCTION("""COMPUTED_VALUE"""),"2526BONULUN21.C")</f>
        <v>2526BONULUN21.C</v>
      </c>
      <c r="S177" s="711">
        <f>IFERROR(__xludf.DUMMYFUNCTION("""COMPUTED_VALUE"""),50.0)</f>
        <v>50</v>
      </c>
      <c r="T177" s="722" t="str">
        <f>IFERROR(__xludf.DUMMYFUNCTION("""COMPUTED_VALUE"""),"2526BONULUN21.C")</f>
        <v>2526BONULUN21.C</v>
      </c>
      <c r="U177" s="721"/>
      <c r="V177" s="711"/>
      <c r="W177" s="721"/>
      <c r="X177" s="721"/>
      <c r="Y177" s="48"/>
      <c r="Z177" s="48"/>
      <c r="AA177" s="48"/>
      <c r="AB177" s="711"/>
      <c r="AC177" s="711"/>
      <c r="AD177" s="711"/>
      <c r="AE177" s="711"/>
      <c r="AF177" s="711"/>
      <c r="AG177" s="711"/>
      <c r="AH177" s="711"/>
    </row>
    <row r="178">
      <c r="A178" s="48"/>
      <c r="B178" s="48"/>
      <c r="C178" s="711" t="str">
        <f>IFERROR(__xludf.DUMMYFUNCTION("""COMPUTED_VALUE"""),"")</f>
        <v/>
      </c>
      <c r="D178" s="721"/>
      <c r="E178" s="711"/>
      <c r="F178" s="711"/>
      <c r="G178" s="721"/>
      <c r="H178" s="721"/>
      <c r="I178" s="721"/>
      <c r="J178" s="48"/>
      <c r="K178" s="721"/>
      <c r="L178" s="721"/>
      <c r="M178" s="721"/>
      <c r="N178" s="719"/>
      <c r="O178" s="48"/>
      <c r="P178" s="719"/>
      <c r="Q178" s="48"/>
      <c r="R178" s="714" t="str">
        <f>IFERROR(__xludf.DUMMYFUNCTION("""COMPUTED_VALUE"""),"2526SILVESTRILUN21.A")</f>
        <v>2526SILVESTRILUN21.A</v>
      </c>
      <c r="S178" s="711">
        <f>IFERROR(__xludf.DUMMYFUNCTION("""COMPUTED_VALUE"""),6.0)</f>
        <v>6</v>
      </c>
      <c r="T178" s="722" t="str">
        <f>IFERROR(__xludf.DUMMYFUNCTION("""COMPUTED_VALUE"""),"2526SILVESTRILUN21.A")</f>
        <v>2526SILVESTRILUN21.A</v>
      </c>
      <c r="U178" s="721"/>
      <c r="V178" s="711"/>
      <c r="W178" s="721"/>
      <c r="X178" s="721"/>
      <c r="Y178" s="48"/>
      <c r="Z178" s="48"/>
      <c r="AA178" s="48"/>
      <c r="AB178" s="711"/>
      <c r="AC178" s="711"/>
      <c r="AD178" s="711"/>
      <c r="AE178" s="711"/>
      <c r="AF178" s="711"/>
      <c r="AG178" s="711"/>
      <c r="AH178" s="711"/>
    </row>
    <row r="179">
      <c r="A179" s="48"/>
      <c r="B179" s="48"/>
      <c r="C179" s="711" t="str">
        <f>IFERROR(__xludf.DUMMYFUNCTION("""COMPUTED_VALUE"""),"")</f>
        <v/>
      </c>
      <c r="D179" s="721"/>
      <c r="E179" s="711"/>
      <c r="F179" s="711"/>
      <c r="G179" s="721"/>
      <c r="H179" s="721"/>
      <c r="I179" s="721"/>
      <c r="J179" s="48"/>
      <c r="K179" s="721"/>
      <c r="L179" s="721"/>
      <c r="M179" s="721"/>
      <c r="N179" s="719"/>
      <c r="O179" s="48"/>
      <c r="P179" s="719"/>
      <c r="Q179" s="48"/>
      <c r="R179" s="714" t="str">
        <f>IFERROR(__xludf.DUMMYFUNCTION("""COMPUTED_VALUE"""),"2526MELELUN21.C")</f>
        <v>2526MELELUN21.C</v>
      </c>
      <c r="S179" s="711">
        <f>IFERROR(__xludf.DUMMYFUNCTION("""COMPUTED_VALUE"""),24.0)</f>
        <v>24</v>
      </c>
      <c r="T179" s="722" t="str">
        <f>IFERROR(__xludf.DUMMYFUNCTION("""COMPUTED_VALUE"""),"2526MELELUN21.C")</f>
        <v>2526MELELUN21.C</v>
      </c>
      <c r="U179" s="721"/>
      <c r="V179" s="711"/>
      <c r="W179" s="721"/>
      <c r="X179" s="721"/>
      <c r="Y179" s="48"/>
      <c r="Z179" s="48"/>
      <c r="AA179" s="48"/>
      <c r="AB179" s="711"/>
      <c r="AC179" s="711"/>
      <c r="AD179" s="711"/>
      <c r="AE179" s="711"/>
      <c r="AF179" s="711"/>
      <c r="AG179" s="711"/>
      <c r="AH179" s="711"/>
    </row>
    <row r="180">
      <c r="A180" s="48"/>
      <c r="B180" s="48"/>
      <c r="C180" s="711" t="str">
        <f>IFERROR(__xludf.DUMMYFUNCTION("""COMPUTED_VALUE"""),"")</f>
        <v/>
      </c>
      <c r="D180" s="721"/>
      <c r="E180" s="711"/>
      <c r="F180" s="711"/>
      <c r="G180" s="721"/>
      <c r="H180" s="721"/>
      <c r="I180" s="721"/>
      <c r="J180" s="48"/>
      <c r="K180" s="721"/>
      <c r="L180" s="721"/>
      <c r="M180" s="721"/>
      <c r="N180" s="719"/>
      <c r="O180" s="48"/>
      <c r="P180" s="719"/>
      <c r="Q180" s="48"/>
      <c r="R180" s="714" t="str">
        <f>IFERROR(__xludf.DUMMYFUNCTION("""COMPUTED_VALUE"""),"2526DUTTALUN21.D")</f>
        <v>2526DUTTALUN21.D</v>
      </c>
      <c r="S180" s="711">
        <f>IFERROR(__xludf.DUMMYFUNCTION("""COMPUTED_VALUE"""),30.0)</f>
        <v>30</v>
      </c>
      <c r="T180" s="722" t="str">
        <f>IFERROR(__xludf.DUMMYFUNCTION("""COMPUTED_VALUE"""),"2526DUTTALUN21.D")</f>
        <v>2526DUTTALUN21.D</v>
      </c>
      <c r="U180" s="721"/>
      <c r="V180" s="711"/>
      <c r="W180" s="721"/>
      <c r="X180" s="721"/>
      <c r="Y180" s="48"/>
      <c r="Z180" s="48"/>
      <c r="AA180" s="48"/>
      <c r="AB180" s="711"/>
      <c r="AC180" s="711"/>
      <c r="AD180" s="711"/>
      <c r="AE180" s="711"/>
      <c r="AF180" s="711"/>
      <c r="AG180" s="711"/>
      <c r="AH180" s="711"/>
    </row>
    <row r="181">
      <c r="A181" s="48"/>
      <c r="B181" s="48"/>
      <c r="C181" s="711" t="str">
        <f>IFERROR(__xludf.DUMMYFUNCTION("""COMPUTED_VALUE"""),"")</f>
        <v/>
      </c>
      <c r="D181" s="721"/>
      <c r="E181" s="711"/>
      <c r="F181" s="711"/>
      <c r="G181" s="721"/>
      <c r="H181" s="721"/>
      <c r="I181" s="721"/>
      <c r="J181" s="48"/>
      <c r="K181" s="721"/>
      <c r="L181" s="721"/>
      <c r="M181" s="721"/>
      <c r="N181" s="719"/>
      <c r="O181" s="48"/>
      <c r="P181" s="719"/>
      <c r="Q181" s="48"/>
      <c r="R181" s="714" t="str">
        <f>IFERROR(__xludf.DUMMYFUNCTION("""COMPUTED_VALUE"""),"2526SARACCHILUN21.C")</f>
        <v>2526SARACCHILUN21.C</v>
      </c>
      <c r="S181" s="711">
        <f>IFERROR(__xludf.DUMMYFUNCTION("""COMPUTED_VALUE"""),30.0)</f>
        <v>30</v>
      </c>
      <c r="T181" s="722" t="str">
        <f>IFERROR(__xludf.DUMMYFUNCTION("""COMPUTED_VALUE"""),"2526SARACCHILUN21.C")</f>
        <v>2526SARACCHILUN21.C</v>
      </c>
      <c r="U181" s="721"/>
      <c r="V181" s="711"/>
      <c r="W181" s="721"/>
      <c r="X181" s="721"/>
      <c r="Y181" s="48"/>
      <c r="Z181" s="48"/>
      <c r="AA181" s="48"/>
      <c r="AB181" s="711"/>
      <c r="AC181" s="711"/>
      <c r="AD181" s="711"/>
      <c r="AE181" s="711"/>
      <c r="AF181" s="711"/>
      <c r="AG181" s="711"/>
      <c r="AH181" s="711"/>
    </row>
    <row r="182">
      <c r="A182" s="48"/>
      <c r="B182" s="48"/>
      <c r="C182" s="711" t="str">
        <f>IFERROR(__xludf.DUMMYFUNCTION("""COMPUTED_VALUE"""),"")</f>
        <v/>
      </c>
      <c r="D182" s="721"/>
      <c r="E182" s="711"/>
      <c r="F182" s="711"/>
      <c r="G182" s="721"/>
      <c r="H182" s="721"/>
      <c r="I182" s="721"/>
      <c r="J182" s="48"/>
      <c r="K182" s="721"/>
      <c r="L182" s="721"/>
      <c r="M182" s="721"/>
      <c r="N182" s="719"/>
      <c r="O182" s="48"/>
      <c r="P182" s="719"/>
      <c r="Q182" s="48"/>
      <c r="R182" s="48"/>
      <c r="S182" s="711" t="str">
        <f>IFERROR(__xludf.DUMMYFUNCTION("""COMPUTED_VALUE"""),"")</f>
        <v/>
      </c>
      <c r="T182" s="721"/>
      <c r="U182" s="721"/>
      <c r="V182" s="711"/>
      <c r="W182" s="721"/>
      <c r="X182" s="721"/>
      <c r="Y182" s="48"/>
      <c r="Z182" s="48"/>
      <c r="AA182" s="48"/>
      <c r="AB182" s="711"/>
      <c r="AC182" s="711"/>
      <c r="AD182" s="711"/>
      <c r="AE182" s="711"/>
      <c r="AF182" s="711"/>
      <c r="AG182" s="711"/>
      <c r="AH182" s="711"/>
    </row>
    <row r="183">
      <c r="A183" s="48"/>
      <c r="B183" s="48"/>
      <c r="C183" s="711" t="str">
        <f>IFERROR(__xludf.DUMMYFUNCTION("""COMPUTED_VALUE"""),"")</f>
        <v/>
      </c>
      <c r="D183" s="721"/>
      <c r="E183" s="711"/>
      <c r="F183" s="711"/>
      <c r="G183" s="721"/>
      <c r="H183" s="721"/>
      <c r="I183" s="721"/>
      <c r="J183" s="48"/>
      <c r="K183" s="721"/>
      <c r="L183" s="721"/>
      <c r="M183" s="721"/>
      <c r="N183" s="719"/>
      <c r="O183" s="48"/>
      <c r="P183" s="719"/>
      <c r="Q183" s="48"/>
      <c r="R183" s="48"/>
      <c r="S183" s="711" t="str">
        <f>IFERROR(__xludf.DUMMYFUNCTION("""COMPUTED_VALUE"""),"")</f>
        <v/>
      </c>
      <c r="T183" s="721"/>
      <c r="U183" s="721"/>
      <c r="V183" s="711"/>
      <c r="W183" s="721"/>
      <c r="X183" s="721"/>
      <c r="Y183" s="48"/>
      <c r="Z183" s="48"/>
      <c r="AA183" s="48"/>
      <c r="AB183" s="711"/>
      <c r="AC183" s="711"/>
      <c r="AD183" s="711"/>
      <c r="AE183" s="711"/>
      <c r="AF183" s="711"/>
      <c r="AG183" s="711"/>
      <c r="AH183" s="711"/>
    </row>
    <row r="184">
      <c r="A184" s="48"/>
      <c r="B184" s="48"/>
      <c r="C184" s="711" t="str">
        <f>IFERROR(__xludf.DUMMYFUNCTION("""COMPUTED_VALUE"""),"")</f>
        <v/>
      </c>
      <c r="D184" s="721"/>
      <c r="E184" s="711"/>
      <c r="F184" s="711"/>
      <c r="G184" s="721"/>
      <c r="H184" s="721"/>
      <c r="I184" s="721"/>
      <c r="J184" s="48"/>
      <c r="K184" s="721"/>
      <c r="L184" s="721"/>
      <c r="M184" s="721"/>
      <c r="N184" s="719"/>
      <c r="O184" s="48"/>
      <c r="P184" s="719"/>
      <c r="Q184" s="48"/>
      <c r="R184" s="48"/>
      <c r="S184" s="711" t="str">
        <f>IFERROR(__xludf.DUMMYFUNCTION("""COMPUTED_VALUE"""),"")</f>
        <v/>
      </c>
      <c r="T184" s="721"/>
      <c r="U184" s="721"/>
      <c r="V184" s="711"/>
      <c r="W184" s="721"/>
      <c r="X184" s="721"/>
      <c r="Y184" s="48"/>
      <c r="Z184" s="48"/>
      <c r="AA184" s="48"/>
      <c r="AB184" s="711"/>
      <c r="AC184" s="711"/>
      <c r="AD184" s="711"/>
      <c r="AE184" s="711"/>
      <c r="AF184" s="711"/>
      <c r="AG184" s="711"/>
      <c r="AH184" s="711"/>
    </row>
    <row r="185">
      <c r="A185" s="48"/>
      <c r="B185" s="48"/>
      <c r="C185" s="711" t="str">
        <f>IFERROR(__xludf.DUMMYFUNCTION("""COMPUTED_VALUE"""),"")</f>
        <v/>
      </c>
      <c r="D185" s="721"/>
      <c r="E185" s="711"/>
      <c r="F185" s="711"/>
      <c r="G185" s="721"/>
      <c r="H185" s="721"/>
      <c r="I185" s="721"/>
      <c r="J185" s="48"/>
      <c r="K185" s="721"/>
      <c r="L185" s="721"/>
      <c r="M185" s="721"/>
      <c r="N185" s="719"/>
      <c r="O185" s="48"/>
      <c r="P185" s="719"/>
      <c r="Q185" s="48"/>
      <c r="R185" s="48"/>
      <c r="S185" s="711" t="str">
        <f>IFERROR(__xludf.DUMMYFUNCTION("""COMPUTED_VALUE"""),"")</f>
        <v/>
      </c>
      <c r="T185" s="721"/>
      <c r="U185" s="721"/>
      <c r="V185" s="711"/>
      <c r="W185" s="721"/>
      <c r="X185" s="721"/>
      <c r="Y185" s="48"/>
      <c r="Z185" s="48"/>
      <c r="AA185" s="48"/>
      <c r="AB185" s="711"/>
      <c r="AC185" s="711"/>
      <c r="AD185" s="711"/>
      <c r="AE185" s="711"/>
      <c r="AF185" s="711"/>
      <c r="AG185" s="711"/>
      <c r="AH185" s="711"/>
    </row>
    <row r="186">
      <c r="A186" s="48"/>
      <c r="B186" s="48"/>
      <c r="C186" s="711" t="str">
        <f>IFERROR(__xludf.DUMMYFUNCTION("""COMPUTED_VALUE"""),"")</f>
        <v/>
      </c>
      <c r="D186" s="721"/>
      <c r="E186" s="711"/>
      <c r="F186" s="711"/>
      <c r="G186" s="721"/>
      <c r="H186" s="721"/>
      <c r="I186" s="721"/>
      <c r="J186" s="48"/>
      <c r="K186" s="721"/>
      <c r="L186" s="721"/>
      <c r="M186" s="721"/>
      <c r="N186" s="719"/>
      <c r="O186" s="48"/>
      <c r="P186" s="719"/>
      <c r="Q186" s="48"/>
      <c r="R186" s="48"/>
      <c r="S186" s="711" t="str">
        <f>IFERROR(__xludf.DUMMYFUNCTION("""COMPUTED_VALUE"""),"")</f>
        <v/>
      </c>
      <c r="T186" s="721"/>
      <c r="U186" s="721"/>
      <c r="V186" s="711"/>
      <c r="W186" s="721"/>
      <c r="X186" s="721"/>
      <c r="Y186" s="48"/>
      <c r="Z186" s="48"/>
      <c r="AA186" s="48"/>
      <c r="AB186" s="711"/>
      <c r="AC186" s="711"/>
      <c r="AD186" s="711"/>
      <c r="AE186" s="711"/>
      <c r="AF186" s="711"/>
      <c r="AG186" s="711"/>
      <c r="AH186" s="711"/>
    </row>
    <row r="187">
      <c r="A187" s="48"/>
      <c r="B187" s="48"/>
      <c r="C187" s="711" t="str">
        <f>IFERROR(__xludf.DUMMYFUNCTION("""COMPUTED_VALUE"""),"")</f>
        <v/>
      </c>
      <c r="D187" s="721"/>
      <c r="E187" s="711"/>
      <c r="F187" s="711"/>
      <c r="G187" s="721"/>
      <c r="H187" s="721"/>
      <c r="I187" s="721"/>
      <c r="J187" s="48"/>
      <c r="K187" s="721"/>
      <c r="L187" s="721"/>
      <c r="M187" s="721"/>
      <c r="N187" s="719"/>
      <c r="O187" s="48"/>
      <c r="P187" s="719"/>
      <c r="Q187" s="48"/>
      <c r="R187" s="48"/>
      <c r="S187" s="711" t="str">
        <f>IFERROR(__xludf.DUMMYFUNCTION("""COMPUTED_VALUE"""),"")</f>
        <v/>
      </c>
      <c r="T187" s="721"/>
      <c r="U187" s="721"/>
      <c r="V187" s="711"/>
      <c r="W187" s="721"/>
      <c r="X187" s="721"/>
      <c r="Y187" s="48"/>
      <c r="Z187" s="48"/>
      <c r="AA187" s="48"/>
      <c r="AB187" s="711"/>
      <c r="AC187" s="711"/>
      <c r="AD187" s="711"/>
      <c r="AE187" s="711"/>
      <c r="AF187" s="711"/>
      <c r="AG187" s="711"/>
      <c r="AH187" s="711"/>
    </row>
    <row r="188">
      <c r="A188" s="48"/>
      <c r="B188" s="48"/>
      <c r="C188" s="711" t="str">
        <f>IFERROR(__xludf.DUMMYFUNCTION("""COMPUTED_VALUE"""),"")</f>
        <v/>
      </c>
      <c r="D188" s="721"/>
      <c r="E188" s="711"/>
      <c r="F188" s="711"/>
      <c r="G188" s="721"/>
      <c r="H188" s="721"/>
      <c r="I188" s="721"/>
      <c r="J188" s="48"/>
      <c r="K188" s="721"/>
      <c r="L188" s="721"/>
      <c r="M188" s="721"/>
      <c r="N188" s="719"/>
      <c r="O188" s="48"/>
      <c r="P188" s="719"/>
      <c r="Q188" s="48"/>
      <c r="R188" s="48"/>
      <c r="S188" s="711" t="str">
        <f>IFERROR(__xludf.DUMMYFUNCTION("""COMPUTED_VALUE"""),"")</f>
        <v/>
      </c>
      <c r="T188" s="721"/>
      <c r="U188" s="721"/>
      <c r="V188" s="711"/>
      <c r="W188" s="721"/>
      <c r="X188" s="721"/>
      <c r="Y188" s="48"/>
      <c r="Z188" s="48"/>
      <c r="AA188" s="48"/>
      <c r="AB188" s="711"/>
      <c r="AC188" s="711"/>
      <c r="AD188" s="711"/>
      <c r="AE188" s="711"/>
      <c r="AF188" s="711"/>
      <c r="AG188" s="711"/>
      <c r="AH188" s="711"/>
    </row>
    <row r="189">
      <c r="A189" s="48"/>
      <c r="B189" s="48"/>
      <c r="C189" s="711" t="str">
        <f>IFERROR(__xludf.DUMMYFUNCTION("""COMPUTED_VALUE"""),"")</f>
        <v/>
      </c>
      <c r="D189" s="721"/>
      <c r="E189" s="711"/>
      <c r="F189" s="711"/>
      <c r="G189" s="721"/>
      <c r="H189" s="721"/>
      <c r="I189" s="721"/>
      <c r="J189" s="48"/>
      <c r="K189" s="721"/>
      <c r="L189" s="721"/>
      <c r="M189" s="721"/>
      <c r="N189" s="719"/>
      <c r="O189" s="48"/>
      <c r="P189" s="719"/>
      <c r="Q189" s="48"/>
      <c r="R189" s="48"/>
      <c r="S189" s="711" t="str">
        <f>IFERROR(__xludf.DUMMYFUNCTION("""COMPUTED_VALUE"""),"")</f>
        <v/>
      </c>
      <c r="T189" s="721"/>
      <c r="U189" s="721"/>
      <c r="V189" s="711"/>
      <c r="W189" s="721"/>
      <c r="X189" s="721"/>
      <c r="Y189" s="48"/>
      <c r="Z189" s="48"/>
      <c r="AA189" s="48"/>
      <c r="AB189" s="711"/>
      <c r="AC189" s="711"/>
      <c r="AD189" s="711"/>
      <c r="AE189" s="711"/>
      <c r="AF189" s="711"/>
      <c r="AG189" s="711"/>
      <c r="AH189" s="711"/>
    </row>
    <row r="190">
      <c r="A190" s="48"/>
      <c r="B190" s="48"/>
      <c r="C190" s="711" t="str">
        <f>IFERROR(__xludf.DUMMYFUNCTION("""COMPUTED_VALUE"""),"")</f>
        <v/>
      </c>
      <c r="D190" s="721"/>
      <c r="E190" s="711"/>
      <c r="F190" s="711"/>
      <c r="G190" s="721"/>
      <c r="H190" s="721"/>
      <c r="I190" s="721"/>
      <c r="J190" s="48"/>
      <c r="K190" s="721"/>
      <c r="L190" s="721"/>
      <c r="M190" s="721"/>
      <c r="N190" s="719"/>
      <c r="O190" s="48"/>
      <c r="P190" s="719"/>
      <c r="Q190" s="48"/>
      <c r="R190" s="48"/>
      <c r="S190" s="711" t="str">
        <f>IFERROR(__xludf.DUMMYFUNCTION("""COMPUTED_VALUE"""),"")</f>
        <v/>
      </c>
      <c r="T190" s="721"/>
      <c r="U190" s="721"/>
      <c r="V190" s="711"/>
      <c r="W190" s="721"/>
      <c r="X190" s="721"/>
      <c r="Y190" s="48"/>
      <c r="Z190" s="48"/>
      <c r="AA190" s="48"/>
      <c r="AB190" s="711"/>
      <c r="AC190" s="711"/>
      <c r="AD190" s="711"/>
      <c r="AE190" s="711"/>
      <c r="AF190" s="711"/>
      <c r="AG190" s="711"/>
      <c r="AH190" s="711"/>
    </row>
    <row r="191">
      <c r="A191" s="48"/>
      <c r="B191" s="48"/>
      <c r="C191" s="711" t="str">
        <f>IFERROR(__xludf.DUMMYFUNCTION("""COMPUTED_VALUE"""),"")</f>
        <v/>
      </c>
      <c r="D191" s="721"/>
      <c r="E191" s="711"/>
      <c r="F191" s="711"/>
      <c r="G191" s="721"/>
      <c r="H191" s="721"/>
      <c r="I191" s="721"/>
      <c r="J191" s="48"/>
      <c r="K191" s="721"/>
      <c r="L191" s="721"/>
      <c r="M191" s="721"/>
      <c r="N191" s="719"/>
      <c r="O191" s="48"/>
      <c r="P191" s="719"/>
      <c r="Q191" s="48"/>
      <c r="R191" s="48"/>
      <c r="S191" s="711" t="str">
        <f>IFERROR(__xludf.DUMMYFUNCTION("""COMPUTED_VALUE"""),"")</f>
        <v/>
      </c>
      <c r="T191" s="721"/>
      <c r="U191" s="721"/>
      <c r="V191" s="711"/>
      <c r="W191" s="721"/>
      <c r="X191" s="721"/>
      <c r="Y191" s="48"/>
      <c r="Z191" s="48"/>
      <c r="AA191" s="48"/>
      <c r="AB191" s="711"/>
      <c r="AC191" s="711"/>
      <c r="AD191" s="711"/>
      <c r="AE191" s="711"/>
      <c r="AF191" s="711"/>
      <c r="AG191" s="711"/>
      <c r="AH191" s="711"/>
    </row>
    <row r="192">
      <c r="A192" s="48"/>
      <c r="B192" s="48"/>
      <c r="C192" s="711" t="str">
        <f>IFERROR(__xludf.DUMMYFUNCTION("""COMPUTED_VALUE"""),"")</f>
        <v/>
      </c>
      <c r="D192" s="721"/>
      <c r="E192" s="711"/>
      <c r="F192" s="711"/>
      <c r="G192" s="721"/>
      <c r="H192" s="721"/>
      <c r="I192" s="721"/>
      <c r="J192" s="48"/>
      <c r="K192" s="721"/>
      <c r="L192" s="721"/>
      <c r="M192" s="721"/>
      <c r="N192" s="719"/>
      <c r="O192" s="48"/>
      <c r="P192" s="719"/>
      <c r="Q192" s="48"/>
      <c r="R192" s="48"/>
      <c r="S192" s="711" t="str">
        <f>IFERROR(__xludf.DUMMYFUNCTION("""COMPUTED_VALUE"""),"")</f>
        <v/>
      </c>
      <c r="T192" s="721"/>
      <c r="U192" s="721"/>
      <c r="V192" s="711"/>
      <c r="W192" s="721"/>
      <c r="X192" s="721"/>
      <c r="Y192" s="48"/>
      <c r="Z192" s="48"/>
      <c r="AA192" s="48"/>
      <c r="AB192" s="711"/>
      <c r="AC192" s="711"/>
      <c r="AD192" s="711"/>
      <c r="AE192" s="711"/>
      <c r="AF192" s="711"/>
      <c r="AG192" s="711"/>
      <c r="AH192" s="711"/>
    </row>
    <row r="193">
      <c r="A193" s="48"/>
      <c r="B193" s="48"/>
      <c r="C193" s="711" t="str">
        <f>IFERROR(__xludf.DUMMYFUNCTION("""COMPUTED_VALUE"""),"")</f>
        <v/>
      </c>
      <c r="D193" s="721"/>
      <c r="E193" s="711"/>
      <c r="F193" s="711"/>
      <c r="G193" s="721"/>
      <c r="H193" s="721"/>
      <c r="I193" s="721"/>
      <c r="J193" s="48"/>
      <c r="K193" s="721"/>
      <c r="L193" s="721"/>
      <c r="M193" s="721"/>
      <c r="N193" s="719"/>
      <c r="O193" s="48"/>
      <c r="P193" s="719"/>
      <c r="Q193" s="48"/>
      <c r="R193" s="48"/>
      <c r="S193" s="711" t="str">
        <f>IFERROR(__xludf.DUMMYFUNCTION("""COMPUTED_VALUE"""),"")</f>
        <v/>
      </c>
      <c r="T193" s="721"/>
      <c r="U193" s="721"/>
      <c r="V193" s="711"/>
      <c r="W193" s="721"/>
      <c r="X193" s="721"/>
      <c r="Y193" s="48"/>
      <c r="Z193" s="48"/>
      <c r="AA193" s="48"/>
      <c r="AB193" s="711"/>
      <c r="AC193" s="711"/>
      <c r="AD193" s="711"/>
      <c r="AE193" s="711"/>
      <c r="AF193" s="711"/>
      <c r="AG193" s="711"/>
      <c r="AH193" s="711"/>
    </row>
    <row r="194">
      <c r="A194" s="48"/>
      <c r="B194" s="48"/>
      <c r="C194" s="711" t="str">
        <f>IFERROR(__xludf.DUMMYFUNCTION("""COMPUTED_VALUE"""),"")</f>
        <v/>
      </c>
      <c r="D194" s="721"/>
      <c r="E194" s="711"/>
      <c r="F194" s="711"/>
      <c r="G194" s="721"/>
      <c r="H194" s="721"/>
      <c r="I194" s="721"/>
      <c r="J194" s="48"/>
      <c r="K194" s="721"/>
      <c r="L194" s="721"/>
      <c r="M194" s="721"/>
      <c r="N194" s="719"/>
      <c r="O194" s="48"/>
      <c r="P194" s="719"/>
      <c r="Q194" s="48"/>
      <c r="R194" s="48"/>
      <c r="S194" s="711" t="str">
        <f>IFERROR(__xludf.DUMMYFUNCTION("""COMPUTED_VALUE"""),"")</f>
        <v/>
      </c>
      <c r="T194" s="721"/>
      <c r="U194" s="721"/>
      <c r="V194" s="711"/>
      <c r="W194" s="721"/>
      <c r="X194" s="721"/>
      <c r="Y194" s="48"/>
      <c r="Z194" s="48"/>
      <c r="AA194" s="48"/>
      <c r="AB194" s="711"/>
      <c r="AC194" s="711"/>
      <c r="AD194" s="711"/>
      <c r="AE194" s="711"/>
      <c r="AF194" s="711"/>
      <c r="AG194" s="711"/>
      <c r="AH194" s="711"/>
    </row>
    <row r="195">
      <c r="A195" s="48"/>
      <c r="B195" s="48"/>
      <c r="C195" s="711" t="str">
        <f>IFERROR(__xludf.DUMMYFUNCTION("""COMPUTED_VALUE"""),"")</f>
        <v/>
      </c>
      <c r="D195" s="721"/>
      <c r="E195" s="711"/>
      <c r="F195" s="711"/>
      <c r="G195" s="721"/>
      <c r="H195" s="721"/>
      <c r="I195" s="721"/>
      <c r="J195" s="48"/>
      <c r="K195" s="721"/>
      <c r="L195" s="721"/>
      <c r="M195" s="721"/>
      <c r="N195" s="719"/>
      <c r="O195" s="48"/>
      <c r="P195" s="719"/>
      <c r="Q195" s="48"/>
      <c r="R195" s="48"/>
      <c r="S195" s="711" t="str">
        <f>IFERROR(__xludf.DUMMYFUNCTION("""COMPUTED_VALUE"""),"")</f>
        <v/>
      </c>
      <c r="T195" s="721"/>
      <c r="U195" s="721"/>
      <c r="V195" s="711"/>
      <c r="W195" s="721"/>
      <c r="X195" s="721"/>
      <c r="Y195" s="48"/>
      <c r="Z195" s="48"/>
      <c r="AA195" s="48"/>
      <c r="AB195" s="711"/>
      <c r="AC195" s="711"/>
      <c r="AD195" s="711"/>
      <c r="AE195" s="711"/>
      <c r="AF195" s="711"/>
      <c r="AG195" s="711"/>
      <c r="AH195" s="711"/>
    </row>
    <row r="196">
      <c r="A196" s="48"/>
      <c r="B196" s="48"/>
      <c r="C196" s="711" t="str">
        <f>IFERROR(__xludf.DUMMYFUNCTION("""COMPUTED_VALUE"""),"")</f>
        <v/>
      </c>
      <c r="D196" s="721"/>
      <c r="E196" s="711"/>
      <c r="F196" s="711"/>
      <c r="G196" s="721"/>
      <c r="H196" s="721"/>
      <c r="I196" s="721"/>
      <c r="J196" s="48"/>
      <c r="K196" s="721"/>
      <c r="L196" s="721"/>
      <c r="M196" s="721"/>
      <c r="N196" s="719"/>
      <c r="O196" s="48"/>
      <c r="P196" s="719"/>
      <c r="Q196" s="48"/>
      <c r="R196" s="48"/>
      <c r="S196" s="711" t="str">
        <f>IFERROR(__xludf.DUMMYFUNCTION("""COMPUTED_VALUE"""),"")</f>
        <v/>
      </c>
      <c r="T196" s="721"/>
      <c r="U196" s="721"/>
      <c r="V196" s="711"/>
      <c r="W196" s="721"/>
      <c r="X196" s="721"/>
      <c r="Y196" s="48"/>
      <c r="Z196" s="48"/>
      <c r="AA196" s="48"/>
      <c r="AB196" s="711"/>
      <c r="AC196" s="711"/>
      <c r="AD196" s="711"/>
      <c r="AE196" s="711"/>
      <c r="AF196" s="711"/>
      <c r="AG196" s="711"/>
      <c r="AH196" s="711"/>
    </row>
    <row r="197">
      <c r="A197" s="48"/>
      <c r="B197" s="48"/>
      <c r="C197" s="48"/>
      <c r="D197" s="721"/>
      <c r="E197" s="711"/>
      <c r="F197" s="711"/>
      <c r="G197" s="721"/>
      <c r="H197" s="721"/>
      <c r="I197" s="721"/>
      <c r="J197" s="48"/>
      <c r="K197" s="721"/>
      <c r="L197" s="721"/>
      <c r="M197" s="721"/>
      <c r="N197" s="719"/>
      <c r="O197" s="48"/>
      <c r="P197" s="719"/>
      <c r="Q197" s="48"/>
      <c r="R197" s="48"/>
      <c r="S197" s="711" t="str">
        <f>IFERROR(__xludf.DUMMYFUNCTION("""COMPUTED_VALUE"""),"")</f>
        <v/>
      </c>
      <c r="T197" s="721"/>
      <c r="U197" s="721"/>
      <c r="V197" s="711"/>
      <c r="W197" s="721"/>
      <c r="X197" s="721"/>
      <c r="Y197" s="48"/>
      <c r="Z197" s="48"/>
      <c r="AA197" s="48"/>
      <c r="AB197" s="711"/>
      <c r="AC197" s="711"/>
      <c r="AD197" s="711"/>
      <c r="AE197" s="711"/>
      <c r="AF197" s="711"/>
      <c r="AG197" s="711"/>
      <c r="AH197" s="711"/>
    </row>
    <row r="198">
      <c r="A198" s="48"/>
      <c r="B198" s="48"/>
      <c r="C198" s="48"/>
      <c r="D198" s="721"/>
      <c r="E198" s="711"/>
      <c r="F198" s="711"/>
      <c r="G198" s="721"/>
      <c r="H198" s="721"/>
      <c r="I198" s="721"/>
      <c r="J198" s="48"/>
      <c r="K198" s="721"/>
      <c r="L198" s="721"/>
      <c r="M198" s="721"/>
      <c r="N198" s="719"/>
      <c r="O198" s="48"/>
      <c r="P198" s="719"/>
      <c r="Q198" s="48"/>
      <c r="R198" s="48"/>
      <c r="S198" s="711" t="str">
        <f>IFERROR(__xludf.DUMMYFUNCTION("""COMPUTED_VALUE"""),"")</f>
        <v/>
      </c>
      <c r="T198" s="721"/>
      <c r="U198" s="721"/>
      <c r="V198" s="711"/>
      <c r="W198" s="721"/>
      <c r="X198" s="721"/>
      <c r="Y198" s="48"/>
      <c r="Z198" s="48"/>
      <c r="AA198" s="48"/>
      <c r="AB198" s="711"/>
      <c r="AC198" s="711"/>
      <c r="AD198" s="711"/>
      <c r="AE198" s="711"/>
      <c r="AF198" s="711"/>
      <c r="AG198" s="711"/>
      <c r="AH198" s="711"/>
    </row>
    <row r="199">
      <c r="A199" s="48"/>
      <c r="B199" s="48"/>
      <c r="C199" s="48"/>
      <c r="D199" s="721"/>
      <c r="E199" s="711"/>
      <c r="F199" s="711"/>
      <c r="G199" s="721"/>
      <c r="H199" s="721"/>
      <c r="I199" s="721"/>
      <c r="J199" s="48"/>
      <c r="K199" s="721"/>
      <c r="L199" s="721"/>
      <c r="M199" s="721"/>
      <c r="N199" s="719"/>
      <c r="O199" s="48"/>
      <c r="P199" s="719"/>
      <c r="Q199" s="48"/>
      <c r="R199" s="48"/>
      <c r="S199" s="711" t="str">
        <f>IFERROR(__xludf.DUMMYFUNCTION("""COMPUTED_VALUE"""),"")</f>
        <v/>
      </c>
      <c r="T199" s="721"/>
      <c r="U199" s="721"/>
      <c r="V199" s="711"/>
      <c r="W199" s="721"/>
      <c r="X199" s="721"/>
      <c r="Y199" s="48"/>
      <c r="Z199" s="48"/>
      <c r="AA199" s="48"/>
      <c r="AB199" s="711"/>
      <c r="AC199" s="711"/>
      <c r="AD199" s="711"/>
      <c r="AE199" s="711"/>
      <c r="AF199" s="711"/>
      <c r="AG199" s="711"/>
      <c r="AH199" s="711"/>
    </row>
    <row r="200">
      <c r="A200" s="48"/>
      <c r="B200" s="48"/>
      <c r="C200" s="48"/>
      <c r="D200" s="721"/>
      <c r="E200" s="711"/>
      <c r="F200" s="711"/>
      <c r="G200" s="721"/>
      <c r="H200" s="721"/>
      <c r="I200" s="721"/>
      <c r="J200" s="48"/>
      <c r="K200" s="721"/>
      <c r="L200" s="721"/>
      <c r="M200" s="721"/>
      <c r="N200" s="719"/>
      <c r="O200" s="48"/>
      <c r="P200" s="719"/>
      <c r="Q200" s="48"/>
      <c r="R200" s="48"/>
      <c r="S200" s="711" t="str">
        <f>IFERROR(__xludf.DUMMYFUNCTION("""COMPUTED_VALUE"""),"")</f>
        <v/>
      </c>
      <c r="T200" s="721"/>
      <c r="U200" s="721"/>
      <c r="V200" s="711"/>
      <c r="W200" s="721"/>
      <c r="X200" s="721"/>
      <c r="Y200" s="48"/>
      <c r="Z200" s="48"/>
      <c r="AA200" s="48"/>
      <c r="AB200" s="711"/>
      <c r="AC200" s="711"/>
      <c r="AD200" s="711"/>
      <c r="AE200" s="711"/>
      <c r="AF200" s="711"/>
      <c r="AG200" s="711"/>
      <c r="AH200" s="711"/>
    </row>
    <row r="201">
      <c r="A201" s="48"/>
      <c r="B201" s="48"/>
      <c r="C201" s="48"/>
      <c r="D201" s="721"/>
      <c r="E201" s="711"/>
      <c r="F201" s="711"/>
      <c r="G201" s="721"/>
      <c r="H201" s="721"/>
      <c r="I201" s="721"/>
      <c r="J201" s="48"/>
      <c r="K201" s="721"/>
      <c r="L201" s="721"/>
      <c r="M201" s="721"/>
      <c r="N201" s="719"/>
      <c r="O201" s="48"/>
      <c r="P201" s="719"/>
      <c r="Q201" s="48"/>
      <c r="R201" s="48"/>
      <c r="S201" s="711" t="str">
        <f>IFERROR(__xludf.DUMMYFUNCTION("""COMPUTED_VALUE"""),"")</f>
        <v/>
      </c>
      <c r="T201" s="721"/>
      <c r="U201" s="721"/>
      <c r="V201" s="711"/>
      <c r="W201" s="721"/>
      <c r="X201" s="721"/>
      <c r="Y201" s="48"/>
      <c r="Z201" s="48"/>
      <c r="AA201" s="48"/>
      <c r="AB201" s="711"/>
      <c r="AC201" s="711"/>
      <c r="AD201" s="711"/>
      <c r="AE201" s="711"/>
      <c r="AF201" s="711"/>
      <c r="AG201" s="711"/>
      <c r="AH201" s="711"/>
    </row>
    <row r="202">
      <c r="A202" s="48"/>
      <c r="B202" s="48"/>
      <c r="C202" s="48"/>
      <c r="D202" s="721"/>
      <c r="E202" s="711"/>
      <c r="F202" s="711"/>
      <c r="G202" s="721"/>
      <c r="H202" s="721"/>
      <c r="I202" s="721"/>
      <c r="J202" s="48"/>
      <c r="K202" s="721"/>
      <c r="L202" s="721"/>
      <c r="M202" s="721"/>
      <c r="N202" s="719"/>
      <c r="O202" s="48"/>
      <c r="P202" s="719"/>
      <c r="Q202" s="48"/>
      <c r="R202" s="48"/>
      <c r="S202" s="711" t="str">
        <f>IFERROR(__xludf.DUMMYFUNCTION("""COMPUTED_VALUE"""),"")</f>
        <v/>
      </c>
      <c r="T202" s="721"/>
      <c r="U202" s="721"/>
      <c r="V202" s="711"/>
      <c r="W202" s="721"/>
      <c r="X202" s="721"/>
      <c r="Y202" s="48"/>
      <c r="Z202" s="48"/>
      <c r="AA202" s="48"/>
      <c r="AB202" s="711"/>
      <c r="AC202" s="711"/>
      <c r="AD202" s="711"/>
      <c r="AE202" s="711"/>
      <c r="AF202" s="711"/>
      <c r="AG202" s="711"/>
      <c r="AH202" s="711"/>
    </row>
    <row r="203">
      <c r="A203" s="48"/>
      <c r="B203" s="48"/>
      <c r="C203" s="48"/>
      <c r="D203" s="721"/>
      <c r="E203" s="711"/>
      <c r="F203" s="711"/>
      <c r="G203" s="721"/>
      <c r="H203" s="721"/>
      <c r="I203" s="721"/>
      <c r="J203" s="48"/>
      <c r="K203" s="721"/>
      <c r="L203" s="721"/>
      <c r="M203" s="721"/>
      <c r="N203" s="719"/>
      <c r="O203" s="48"/>
      <c r="P203" s="719"/>
      <c r="Q203" s="48"/>
      <c r="R203" s="48"/>
      <c r="S203" s="711" t="str">
        <f>IFERROR(__xludf.DUMMYFUNCTION("""COMPUTED_VALUE"""),"")</f>
        <v/>
      </c>
      <c r="T203" s="721"/>
      <c r="U203" s="721"/>
      <c r="V203" s="711"/>
      <c r="W203" s="721"/>
      <c r="X203" s="721"/>
      <c r="Y203" s="48"/>
      <c r="Z203" s="48"/>
      <c r="AA203" s="48"/>
      <c r="AB203" s="711"/>
      <c r="AC203" s="711"/>
      <c r="AD203" s="711"/>
      <c r="AE203" s="711"/>
      <c r="AF203" s="711"/>
      <c r="AG203" s="711"/>
      <c r="AH203" s="711"/>
    </row>
    <row r="204">
      <c r="A204" s="48"/>
      <c r="B204" s="48"/>
      <c r="C204" s="48"/>
      <c r="D204" s="721"/>
      <c r="E204" s="711"/>
      <c r="F204" s="711"/>
      <c r="G204" s="721"/>
      <c r="H204" s="721"/>
      <c r="I204" s="721"/>
      <c r="J204" s="48"/>
      <c r="K204" s="721"/>
      <c r="L204" s="721"/>
      <c r="M204" s="721"/>
      <c r="N204" s="719"/>
      <c r="O204" s="48"/>
      <c r="P204" s="719"/>
      <c r="Q204" s="48"/>
      <c r="R204" s="48"/>
      <c r="S204" s="711" t="str">
        <f>IFERROR(__xludf.DUMMYFUNCTION("""COMPUTED_VALUE"""),"")</f>
        <v/>
      </c>
      <c r="T204" s="721"/>
      <c r="U204" s="721"/>
      <c r="V204" s="711"/>
      <c r="W204" s="721"/>
      <c r="X204" s="721"/>
      <c r="Y204" s="48"/>
      <c r="Z204" s="48"/>
      <c r="AA204" s="48"/>
      <c r="AB204" s="711"/>
      <c r="AC204" s="711"/>
      <c r="AD204" s="711"/>
      <c r="AE204" s="711"/>
      <c r="AF204" s="711"/>
      <c r="AG204" s="711"/>
      <c r="AH204" s="711"/>
    </row>
    <row r="205">
      <c r="A205" s="48"/>
      <c r="B205" s="48"/>
      <c r="C205" s="48"/>
      <c r="D205" s="721"/>
      <c r="E205" s="711"/>
      <c r="F205" s="711"/>
      <c r="G205" s="721"/>
      <c r="H205" s="721"/>
      <c r="I205" s="721"/>
      <c r="J205" s="48"/>
      <c r="K205" s="721"/>
      <c r="L205" s="721"/>
      <c r="M205" s="721"/>
      <c r="N205" s="719"/>
      <c r="O205" s="48"/>
      <c r="P205" s="719"/>
      <c r="Q205" s="48"/>
      <c r="R205" s="48"/>
      <c r="S205" s="711" t="str">
        <f>IFERROR(__xludf.DUMMYFUNCTION("""COMPUTED_VALUE"""),"")</f>
        <v/>
      </c>
      <c r="T205" s="721"/>
      <c r="U205" s="721"/>
      <c r="V205" s="711"/>
      <c r="W205" s="721"/>
      <c r="X205" s="721"/>
      <c r="Y205" s="48"/>
      <c r="Z205" s="48"/>
      <c r="AA205" s="48"/>
      <c r="AB205" s="711"/>
      <c r="AC205" s="711"/>
      <c r="AD205" s="711"/>
      <c r="AE205" s="711"/>
      <c r="AF205" s="711"/>
      <c r="AG205" s="711"/>
      <c r="AH205" s="711"/>
    </row>
    <row r="206">
      <c r="A206" s="48"/>
      <c r="B206" s="48"/>
      <c r="C206" s="48"/>
      <c r="D206" s="721"/>
      <c r="E206" s="711"/>
      <c r="F206" s="711"/>
      <c r="G206" s="721"/>
      <c r="H206" s="721"/>
      <c r="I206" s="721"/>
      <c r="J206" s="48"/>
      <c r="K206" s="721"/>
      <c r="L206" s="721"/>
      <c r="M206" s="721"/>
      <c r="N206" s="719"/>
      <c r="O206" s="48"/>
      <c r="P206" s="719"/>
      <c r="Q206" s="48"/>
      <c r="R206" s="48"/>
      <c r="S206" s="711" t="str">
        <f>IFERROR(__xludf.DUMMYFUNCTION("""COMPUTED_VALUE"""),"")</f>
        <v/>
      </c>
      <c r="T206" s="721"/>
      <c r="U206" s="721"/>
      <c r="V206" s="711"/>
      <c r="W206" s="721"/>
      <c r="X206" s="721"/>
      <c r="Y206" s="48"/>
      <c r="Z206" s="48"/>
      <c r="AA206" s="48"/>
      <c r="AB206" s="711"/>
      <c r="AC206" s="711"/>
      <c r="AD206" s="711"/>
      <c r="AE206" s="711"/>
      <c r="AF206" s="711"/>
      <c r="AG206" s="711"/>
      <c r="AH206" s="711"/>
    </row>
    <row r="207">
      <c r="A207" s="48"/>
      <c r="B207" s="48"/>
      <c r="C207" s="48"/>
      <c r="D207" s="721"/>
      <c r="E207" s="711"/>
      <c r="F207" s="711"/>
      <c r="G207" s="721"/>
      <c r="H207" s="721"/>
      <c r="I207" s="721"/>
      <c r="J207" s="48"/>
      <c r="K207" s="721"/>
      <c r="L207" s="721"/>
      <c r="M207" s="721"/>
      <c r="N207" s="719"/>
      <c r="O207" s="48"/>
      <c r="P207" s="719"/>
      <c r="Q207" s="48"/>
      <c r="R207" s="48"/>
      <c r="S207" s="711" t="str">
        <f>IFERROR(__xludf.DUMMYFUNCTION("""COMPUTED_VALUE"""),"")</f>
        <v/>
      </c>
      <c r="T207" s="721"/>
      <c r="U207" s="721"/>
      <c r="V207" s="711"/>
      <c r="W207" s="721"/>
      <c r="X207" s="721"/>
      <c r="Y207" s="48"/>
      <c r="Z207" s="48"/>
      <c r="AA207" s="48"/>
      <c r="AB207" s="711"/>
      <c r="AC207" s="711"/>
      <c r="AD207" s="711"/>
      <c r="AE207" s="711"/>
      <c r="AF207" s="711"/>
      <c r="AG207" s="711"/>
      <c r="AH207" s="711"/>
    </row>
    <row r="208">
      <c r="A208" s="48"/>
      <c r="B208" s="48"/>
      <c r="C208" s="48"/>
      <c r="D208" s="721"/>
      <c r="E208" s="711"/>
      <c r="F208" s="711"/>
      <c r="G208" s="721"/>
      <c r="H208" s="721"/>
      <c r="I208" s="721"/>
      <c r="J208" s="48"/>
      <c r="K208" s="721"/>
      <c r="L208" s="721"/>
      <c r="M208" s="721"/>
      <c r="N208" s="719"/>
      <c r="O208" s="48"/>
      <c r="P208" s="719"/>
      <c r="Q208" s="48"/>
      <c r="R208" s="48"/>
      <c r="S208" s="711" t="str">
        <f>IFERROR(__xludf.DUMMYFUNCTION("""COMPUTED_VALUE"""),"")</f>
        <v/>
      </c>
      <c r="T208" s="721"/>
      <c r="U208" s="721"/>
      <c r="V208" s="711"/>
      <c r="W208" s="721"/>
      <c r="X208" s="721"/>
      <c r="Y208" s="48"/>
      <c r="Z208" s="48"/>
      <c r="AA208" s="48"/>
      <c r="AB208" s="711"/>
      <c r="AC208" s="711"/>
      <c r="AD208" s="711"/>
      <c r="AE208" s="711"/>
      <c r="AF208" s="711"/>
      <c r="AG208" s="711"/>
      <c r="AH208" s="711"/>
    </row>
    <row r="209">
      <c r="A209" s="48"/>
      <c r="B209" s="48"/>
      <c r="C209" s="48"/>
      <c r="D209" s="721"/>
      <c r="E209" s="711"/>
      <c r="F209" s="711"/>
      <c r="G209" s="721"/>
      <c r="H209" s="721"/>
      <c r="I209" s="721"/>
      <c r="J209" s="48"/>
      <c r="K209" s="721"/>
      <c r="L209" s="721"/>
      <c r="M209" s="721"/>
      <c r="N209" s="719"/>
      <c r="O209" s="48"/>
      <c r="P209" s="719"/>
      <c r="Q209" s="48"/>
      <c r="R209" s="48"/>
      <c r="S209" s="711" t="str">
        <f>IFERROR(__xludf.DUMMYFUNCTION("""COMPUTED_VALUE"""),"")</f>
        <v/>
      </c>
      <c r="T209" s="721"/>
      <c r="U209" s="721"/>
      <c r="V209" s="711"/>
      <c r="W209" s="721"/>
      <c r="X209" s="721"/>
      <c r="Y209" s="48"/>
      <c r="Z209" s="48"/>
      <c r="AA209" s="48"/>
      <c r="AB209" s="711"/>
      <c r="AC209" s="711"/>
      <c r="AD209" s="711"/>
      <c r="AE209" s="711"/>
      <c r="AF209" s="711"/>
      <c r="AG209" s="711"/>
      <c r="AH209" s="711"/>
    </row>
    <row r="210">
      <c r="A210" s="48"/>
      <c r="B210" s="48"/>
      <c r="C210" s="48"/>
      <c r="D210" s="721"/>
      <c r="E210" s="711"/>
      <c r="F210" s="711"/>
      <c r="G210" s="721"/>
      <c r="H210" s="721"/>
      <c r="I210" s="721"/>
      <c r="J210" s="48"/>
      <c r="K210" s="721"/>
      <c r="L210" s="721"/>
      <c r="M210" s="721"/>
      <c r="N210" s="719"/>
      <c r="O210" s="48"/>
      <c r="P210" s="719"/>
      <c r="Q210" s="48"/>
      <c r="R210" s="48"/>
      <c r="S210" s="711" t="str">
        <f>IFERROR(__xludf.DUMMYFUNCTION("""COMPUTED_VALUE"""),"")</f>
        <v/>
      </c>
      <c r="T210" s="721"/>
      <c r="U210" s="721"/>
      <c r="V210" s="711"/>
      <c r="W210" s="721"/>
      <c r="X210" s="721"/>
      <c r="Y210" s="48"/>
      <c r="Z210" s="48"/>
      <c r="AA210" s="48"/>
      <c r="AB210" s="711"/>
      <c r="AC210" s="711"/>
      <c r="AD210" s="711"/>
      <c r="AE210" s="711"/>
      <c r="AF210" s="711"/>
      <c r="AG210" s="711"/>
      <c r="AH210" s="711"/>
    </row>
    <row r="211">
      <c r="A211" s="48"/>
      <c r="B211" s="48"/>
      <c r="C211" s="48"/>
      <c r="D211" s="721"/>
      <c r="E211" s="711"/>
      <c r="F211" s="711"/>
      <c r="G211" s="721"/>
      <c r="H211" s="721"/>
      <c r="I211" s="721"/>
      <c r="J211" s="48"/>
      <c r="K211" s="721"/>
      <c r="L211" s="721"/>
      <c r="M211" s="721"/>
      <c r="N211" s="719"/>
      <c r="O211" s="48"/>
      <c r="P211" s="719"/>
      <c r="Q211" s="48"/>
      <c r="R211" s="48"/>
      <c r="S211" s="711" t="str">
        <f>IFERROR(__xludf.DUMMYFUNCTION("""COMPUTED_VALUE"""),"")</f>
        <v/>
      </c>
      <c r="T211" s="721"/>
      <c r="U211" s="721"/>
      <c r="V211" s="711"/>
      <c r="W211" s="721"/>
      <c r="X211" s="721"/>
      <c r="Y211" s="48"/>
      <c r="Z211" s="48"/>
      <c r="AA211" s="48"/>
      <c r="AB211" s="711"/>
      <c r="AC211" s="711"/>
      <c r="AD211" s="711"/>
      <c r="AE211" s="711"/>
      <c r="AF211" s="711"/>
      <c r="AG211" s="711"/>
      <c r="AH211" s="711"/>
    </row>
    <row r="212">
      <c r="A212" s="48"/>
      <c r="B212" s="48"/>
      <c r="C212" s="48"/>
      <c r="D212" s="721"/>
      <c r="E212" s="711"/>
      <c r="F212" s="711"/>
      <c r="G212" s="721"/>
      <c r="H212" s="721"/>
      <c r="I212" s="721"/>
      <c r="J212" s="48"/>
      <c r="K212" s="721"/>
      <c r="L212" s="721"/>
      <c r="M212" s="721"/>
      <c r="N212" s="719"/>
      <c r="O212" s="48"/>
      <c r="P212" s="719"/>
      <c r="Q212" s="48"/>
      <c r="R212" s="48"/>
      <c r="S212" s="711" t="str">
        <f>IFERROR(__xludf.DUMMYFUNCTION("""COMPUTED_VALUE"""),"")</f>
        <v/>
      </c>
      <c r="T212" s="721"/>
      <c r="U212" s="721"/>
      <c r="V212" s="711"/>
      <c r="W212" s="721"/>
      <c r="X212" s="721"/>
      <c r="Y212" s="48"/>
      <c r="Z212" s="48"/>
      <c r="AA212" s="48"/>
      <c r="AB212" s="711"/>
      <c r="AC212" s="711"/>
      <c r="AD212" s="711"/>
      <c r="AE212" s="711"/>
      <c r="AF212" s="711"/>
      <c r="AG212" s="711"/>
      <c r="AH212" s="711"/>
    </row>
    <row r="213">
      <c r="A213" s="48"/>
      <c r="B213" s="48"/>
      <c r="C213" s="48"/>
      <c r="D213" s="721"/>
      <c r="E213" s="711"/>
      <c r="F213" s="711"/>
      <c r="G213" s="721"/>
      <c r="H213" s="721"/>
      <c r="I213" s="721"/>
      <c r="J213" s="48"/>
      <c r="K213" s="721"/>
      <c r="L213" s="721"/>
      <c r="M213" s="721"/>
      <c r="N213" s="719"/>
      <c r="O213" s="48"/>
      <c r="P213" s="719"/>
      <c r="Q213" s="48"/>
      <c r="R213" s="48"/>
      <c r="S213" s="711" t="str">
        <f>IFERROR(__xludf.DUMMYFUNCTION("""COMPUTED_VALUE"""),"")</f>
        <v/>
      </c>
      <c r="T213" s="721"/>
      <c r="U213" s="721"/>
      <c r="V213" s="711"/>
      <c r="W213" s="721"/>
      <c r="X213" s="721"/>
      <c r="Y213" s="48"/>
      <c r="Z213" s="48"/>
      <c r="AA213" s="48"/>
      <c r="AB213" s="711"/>
      <c r="AC213" s="711"/>
      <c r="AD213" s="711"/>
      <c r="AE213" s="711"/>
      <c r="AF213" s="711"/>
      <c r="AG213" s="711"/>
      <c r="AH213" s="711"/>
    </row>
    <row r="214">
      <c r="A214" s="48"/>
      <c r="B214" s="48"/>
      <c r="C214" s="48"/>
      <c r="D214" s="721"/>
      <c r="E214" s="711"/>
      <c r="F214" s="711"/>
      <c r="G214" s="721"/>
      <c r="H214" s="721"/>
      <c r="I214" s="721"/>
      <c r="J214" s="48"/>
      <c r="K214" s="721"/>
      <c r="L214" s="721"/>
      <c r="M214" s="721"/>
      <c r="N214" s="719"/>
      <c r="O214" s="48"/>
      <c r="P214" s="719"/>
      <c r="Q214" s="48"/>
      <c r="R214" s="48"/>
      <c r="S214" s="711" t="str">
        <f>IFERROR(__xludf.DUMMYFUNCTION("""COMPUTED_VALUE"""),"")</f>
        <v/>
      </c>
      <c r="T214" s="721"/>
      <c r="U214" s="721"/>
      <c r="V214" s="711"/>
      <c r="W214" s="721"/>
      <c r="X214" s="721"/>
      <c r="Y214" s="48"/>
      <c r="Z214" s="48"/>
      <c r="AA214" s="48"/>
      <c r="AB214" s="711"/>
      <c r="AC214" s="711"/>
      <c r="AD214" s="711"/>
      <c r="AE214" s="711"/>
      <c r="AF214" s="711"/>
      <c r="AG214" s="711"/>
      <c r="AH214" s="711"/>
    </row>
    <row r="215">
      <c r="A215" s="48"/>
      <c r="B215" s="48"/>
      <c r="C215" s="48"/>
      <c r="D215" s="721"/>
      <c r="E215" s="711"/>
      <c r="F215" s="711"/>
      <c r="G215" s="721"/>
      <c r="H215" s="721"/>
      <c r="I215" s="721"/>
      <c r="J215" s="48"/>
      <c r="K215" s="721"/>
      <c r="L215" s="721"/>
      <c r="M215" s="721"/>
      <c r="N215" s="719"/>
      <c r="O215" s="48"/>
      <c r="P215" s="719"/>
      <c r="Q215" s="48"/>
      <c r="R215" s="48"/>
      <c r="S215" s="711" t="str">
        <f>IFERROR(__xludf.DUMMYFUNCTION("""COMPUTED_VALUE"""),"")</f>
        <v/>
      </c>
      <c r="T215" s="721"/>
      <c r="U215" s="721"/>
      <c r="V215" s="711"/>
      <c r="W215" s="721"/>
      <c r="X215" s="721"/>
      <c r="Y215" s="48"/>
      <c r="Z215" s="48"/>
      <c r="AA215" s="48"/>
      <c r="AB215" s="711"/>
      <c r="AC215" s="711"/>
      <c r="AD215" s="711"/>
      <c r="AE215" s="711"/>
      <c r="AF215" s="711"/>
      <c r="AG215" s="711"/>
      <c r="AH215" s="711"/>
    </row>
    <row r="216">
      <c r="A216" s="48"/>
      <c r="B216" s="48"/>
      <c r="C216" s="48"/>
      <c r="D216" s="721"/>
      <c r="E216" s="711"/>
      <c r="F216" s="711"/>
      <c r="G216" s="721"/>
      <c r="H216" s="721"/>
      <c r="I216" s="721"/>
      <c r="J216" s="48"/>
      <c r="K216" s="721"/>
      <c r="L216" s="721"/>
      <c r="M216" s="721"/>
      <c r="N216" s="719"/>
      <c r="O216" s="48"/>
      <c r="P216" s="719"/>
      <c r="Q216" s="48"/>
      <c r="R216" s="48"/>
      <c r="S216" s="711" t="str">
        <f>IFERROR(__xludf.DUMMYFUNCTION("""COMPUTED_VALUE"""),"")</f>
        <v/>
      </c>
      <c r="T216" s="721"/>
      <c r="U216" s="721"/>
      <c r="V216" s="711"/>
      <c r="W216" s="721"/>
      <c r="X216" s="721"/>
      <c r="Y216" s="48"/>
      <c r="Z216" s="48"/>
      <c r="AA216" s="48"/>
      <c r="AB216" s="711"/>
      <c r="AC216" s="711"/>
      <c r="AD216" s="711"/>
      <c r="AE216" s="711"/>
      <c r="AF216" s="711"/>
      <c r="AG216" s="711"/>
      <c r="AH216" s="711"/>
    </row>
    <row r="217">
      <c r="A217" s="48"/>
      <c r="B217" s="48"/>
      <c r="C217" s="48"/>
      <c r="D217" s="721"/>
      <c r="E217" s="711"/>
      <c r="F217" s="711"/>
      <c r="G217" s="721"/>
      <c r="H217" s="721"/>
      <c r="I217" s="721"/>
      <c r="J217" s="48"/>
      <c r="K217" s="721"/>
      <c r="L217" s="721"/>
      <c r="M217" s="721"/>
      <c r="N217" s="719"/>
      <c r="O217" s="48"/>
      <c r="P217" s="719"/>
      <c r="Q217" s="48"/>
      <c r="R217" s="48"/>
      <c r="S217" s="711" t="str">
        <f>IFERROR(__xludf.DUMMYFUNCTION("""COMPUTED_VALUE"""),"")</f>
        <v/>
      </c>
      <c r="T217" s="721"/>
      <c r="U217" s="721"/>
      <c r="V217" s="711"/>
      <c r="W217" s="721"/>
      <c r="X217" s="721"/>
      <c r="Y217" s="48"/>
      <c r="Z217" s="48"/>
      <c r="AA217" s="48"/>
      <c r="AB217" s="711"/>
      <c r="AC217" s="711"/>
      <c r="AD217" s="711"/>
      <c r="AE217" s="711"/>
      <c r="AF217" s="711"/>
      <c r="AG217" s="711"/>
      <c r="AH217" s="711"/>
    </row>
    <row r="218">
      <c r="A218" s="48"/>
      <c r="B218" s="48"/>
      <c r="C218" s="48"/>
      <c r="D218" s="721"/>
      <c r="E218" s="711"/>
      <c r="F218" s="711"/>
      <c r="G218" s="721"/>
      <c r="H218" s="721"/>
      <c r="I218" s="721"/>
      <c r="J218" s="48"/>
      <c r="K218" s="721"/>
      <c r="L218" s="721"/>
      <c r="M218" s="721"/>
      <c r="N218" s="719"/>
      <c r="O218" s="48"/>
      <c r="P218" s="719"/>
      <c r="Q218" s="48"/>
      <c r="R218" s="48"/>
      <c r="S218" s="711" t="str">
        <f>IFERROR(__xludf.DUMMYFUNCTION("""COMPUTED_VALUE"""),"")</f>
        <v/>
      </c>
      <c r="T218" s="721"/>
      <c r="U218" s="721"/>
      <c r="V218" s="711"/>
      <c r="W218" s="721"/>
      <c r="X218" s="721"/>
      <c r="Y218" s="48"/>
      <c r="Z218" s="48"/>
      <c r="AA218" s="48"/>
      <c r="AB218" s="711"/>
      <c r="AC218" s="711"/>
      <c r="AD218" s="711"/>
      <c r="AE218" s="711"/>
      <c r="AF218" s="711"/>
      <c r="AG218" s="711"/>
      <c r="AH218" s="711"/>
    </row>
    <row r="219">
      <c r="A219" s="48"/>
      <c r="B219" s="48"/>
      <c r="C219" s="48"/>
      <c r="D219" s="721"/>
      <c r="E219" s="711"/>
      <c r="F219" s="711"/>
      <c r="G219" s="721"/>
      <c r="H219" s="721"/>
      <c r="I219" s="721"/>
      <c r="J219" s="48"/>
      <c r="K219" s="721"/>
      <c r="L219" s="721"/>
      <c r="M219" s="721"/>
      <c r="N219" s="719"/>
      <c r="O219" s="48"/>
      <c r="P219" s="719"/>
      <c r="Q219" s="48"/>
      <c r="R219" s="48"/>
      <c r="S219" s="711" t="str">
        <f>IFERROR(__xludf.DUMMYFUNCTION("""COMPUTED_VALUE"""),"")</f>
        <v/>
      </c>
      <c r="T219" s="721"/>
      <c r="U219" s="721"/>
      <c r="V219" s="711"/>
      <c r="W219" s="721"/>
      <c r="X219" s="721"/>
      <c r="Y219" s="48"/>
      <c r="Z219" s="48"/>
      <c r="AA219" s="48"/>
      <c r="AB219" s="711"/>
      <c r="AC219" s="711"/>
      <c r="AD219" s="711"/>
      <c r="AE219" s="711"/>
      <c r="AF219" s="711"/>
      <c r="AG219" s="711"/>
      <c r="AH219" s="711"/>
    </row>
    <row r="220">
      <c r="A220" s="48"/>
      <c r="B220" s="48"/>
      <c r="C220" s="48"/>
      <c r="D220" s="721"/>
      <c r="E220" s="711"/>
      <c r="F220" s="711"/>
      <c r="G220" s="721"/>
      <c r="H220" s="721"/>
      <c r="I220" s="721"/>
      <c r="J220" s="48"/>
      <c r="K220" s="721"/>
      <c r="L220" s="721"/>
      <c r="M220" s="721"/>
      <c r="N220" s="719"/>
      <c r="O220" s="48"/>
      <c r="P220" s="719"/>
      <c r="Q220" s="48"/>
      <c r="R220" s="48"/>
      <c r="S220" s="711" t="str">
        <f>IFERROR(__xludf.DUMMYFUNCTION("""COMPUTED_VALUE"""),"")</f>
        <v/>
      </c>
      <c r="T220" s="721"/>
      <c r="U220" s="721"/>
      <c r="V220" s="711"/>
      <c r="W220" s="721"/>
      <c r="X220" s="721"/>
      <c r="Y220" s="48"/>
      <c r="Z220" s="48"/>
      <c r="AA220" s="48"/>
      <c r="AB220" s="711"/>
      <c r="AC220" s="711"/>
      <c r="AD220" s="711"/>
      <c r="AE220" s="711"/>
      <c r="AF220" s="711"/>
      <c r="AG220" s="711"/>
      <c r="AH220" s="711"/>
    </row>
    <row r="221">
      <c r="A221" s="48"/>
      <c r="B221" s="48"/>
      <c r="C221" s="48"/>
      <c r="D221" s="721"/>
      <c r="E221" s="711"/>
      <c r="F221" s="711"/>
      <c r="G221" s="721"/>
      <c r="H221" s="721"/>
      <c r="I221" s="721"/>
      <c r="J221" s="48"/>
      <c r="K221" s="721"/>
      <c r="L221" s="721"/>
      <c r="M221" s="721"/>
      <c r="N221" s="719"/>
      <c r="O221" s="48"/>
      <c r="P221" s="719"/>
      <c r="Q221" s="48"/>
      <c r="R221" s="714" t="str">
        <f>IFERROR(__xludf.DUMMYFUNCTION("""COMPUTED_VALUE"""),"2526STANISCIMAR09.F")</f>
        <v>2526STANISCIMAR09.F</v>
      </c>
      <c r="S221" s="711">
        <f>IFERROR(__xludf.DUMMYFUNCTION("""COMPUTED_VALUE"""),40.0)</f>
        <v>40</v>
      </c>
      <c r="T221" s="722" t="str">
        <f>IFERROR(__xludf.DUMMYFUNCTION("""COMPUTED_VALUE"""),"2526STANISCIMAR09.F")</f>
        <v>2526STANISCIMAR09.F</v>
      </c>
      <c r="U221" s="721"/>
      <c r="V221" s="711"/>
      <c r="W221" s="721"/>
      <c r="X221" s="721"/>
      <c r="Y221" s="48"/>
      <c r="Z221" s="48"/>
      <c r="AA221" s="48"/>
      <c r="AB221" s="711"/>
      <c r="AC221" s="711"/>
      <c r="AD221" s="711"/>
      <c r="AE221" s="711"/>
      <c r="AF221" s="711"/>
      <c r="AG221" s="711"/>
      <c r="AH221" s="711"/>
    </row>
    <row r="222">
      <c r="A222" s="48"/>
      <c r="B222" s="48"/>
      <c r="C222" s="48"/>
      <c r="D222" s="721"/>
      <c r="E222" s="711"/>
      <c r="F222" s="711"/>
      <c r="G222" s="721"/>
      <c r="H222" s="721"/>
      <c r="I222" s="721"/>
      <c r="J222" s="48"/>
      <c r="K222" s="721"/>
      <c r="L222" s="721"/>
      <c r="M222" s="721"/>
      <c r="N222" s="719"/>
      <c r="O222" s="48"/>
      <c r="P222" s="719"/>
      <c r="Q222" s="48"/>
      <c r="R222" s="711" t="str">
        <f>IFERROR(__xludf.DUMMYFUNCTION("""COMPUTED_VALUE"""),"2526MODULOMAR09.Y")</f>
        <v>2526MODULOMAR09.Y</v>
      </c>
      <c r="S222" s="711">
        <f>IFERROR(__xludf.DUMMYFUNCTION("""COMPUTED_VALUE"""),40.0)</f>
        <v>40</v>
      </c>
      <c r="T222" s="721" t="str">
        <f>IFERROR(__xludf.DUMMYFUNCTION("""COMPUTED_VALUE"""),"2526MODULOMAR09.Y")</f>
        <v>2526MODULOMAR09.Y</v>
      </c>
      <c r="U222" s="721"/>
      <c r="V222" s="711"/>
      <c r="W222" s="721"/>
      <c r="X222" s="721"/>
      <c r="Y222" s="48"/>
      <c r="Z222" s="48"/>
      <c r="AA222" s="48"/>
      <c r="AB222" s="711"/>
      <c r="AC222" s="711"/>
      <c r="AD222" s="711"/>
      <c r="AE222" s="711"/>
      <c r="AF222" s="711"/>
      <c r="AG222" s="711"/>
      <c r="AH222" s="711"/>
    </row>
    <row r="223">
      <c r="A223" s="48"/>
      <c r="B223" s="48"/>
      <c r="C223" s="48"/>
      <c r="D223" s="721"/>
      <c r="E223" s="711"/>
      <c r="F223" s="711"/>
      <c r="G223" s="721"/>
      <c r="H223" s="721"/>
      <c r="I223" s="721"/>
      <c r="J223" s="48"/>
      <c r="K223" s="721"/>
      <c r="L223" s="721"/>
      <c r="M223" s="721"/>
      <c r="N223" s="719"/>
      <c r="O223" s="48"/>
      <c r="P223" s="719"/>
      <c r="Q223" s="48"/>
      <c r="R223" s="48"/>
      <c r="S223" s="711" t="str">
        <f>IFERROR(__xludf.DUMMYFUNCTION("""COMPUTED_VALUE"""),"")</f>
        <v/>
      </c>
      <c r="T223" s="721"/>
      <c r="U223" s="721"/>
      <c r="V223" s="711"/>
      <c r="W223" s="721"/>
      <c r="X223" s="721"/>
      <c r="Y223" s="48"/>
      <c r="Z223" s="48"/>
      <c r="AA223" s="48"/>
      <c r="AB223" s="711"/>
      <c r="AC223" s="711"/>
      <c r="AD223" s="711"/>
      <c r="AE223" s="711"/>
      <c r="AF223" s="711"/>
      <c r="AG223" s="711"/>
      <c r="AH223" s="711"/>
    </row>
    <row r="224">
      <c r="A224" s="48"/>
      <c r="B224" s="48"/>
      <c r="C224" s="48"/>
      <c r="D224" s="721"/>
      <c r="E224" s="711"/>
      <c r="F224" s="711"/>
      <c r="G224" s="721"/>
      <c r="H224" s="721"/>
      <c r="I224" s="721"/>
      <c r="J224" s="48"/>
      <c r="K224" s="721"/>
      <c r="L224" s="721"/>
      <c r="M224" s="721"/>
      <c r="N224" s="719"/>
      <c r="O224" s="48"/>
      <c r="P224" s="719"/>
      <c r="Q224" s="48"/>
      <c r="R224" s="711" t="str">
        <f>IFERROR(__xludf.DUMMYFUNCTION("""COMPUTED_VALUE"""),"2526MODULOMAR09.Y")</f>
        <v>2526MODULOMAR09.Y</v>
      </c>
      <c r="S224" s="711">
        <f>IFERROR(__xludf.DUMMYFUNCTION("""COMPUTED_VALUE"""),40.0)</f>
        <v>40</v>
      </c>
      <c r="T224" s="721" t="str">
        <f>IFERROR(__xludf.DUMMYFUNCTION("""COMPUTED_VALUE"""),"2526MODULOMAR09.Y")</f>
        <v>2526MODULOMAR09.Y</v>
      </c>
      <c r="U224" s="721"/>
      <c r="V224" s="711"/>
      <c r="W224" s="721"/>
      <c r="X224" s="721"/>
      <c r="Y224" s="48"/>
      <c r="Z224" s="48"/>
      <c r="AA224" s="48"/>
      <c r="AB224" s="711"/>
      <c r="AC224" s="711"/>
      <c r="AD224" s="711"/>
      <c r="AE224" s="711"/>
      <c r="AF224" s="711"/>
      <c r="AG224" s="711"/>
      <c r="AH224" s="711"/>
    </row>
    <row r="225">
      <c r="A225" s="48"/>
      <c r="B225" s="48"/>
      <c r="C225" s="48"/>
      <c r="D225" s="721"/>
      <c r="E225" s="711"/>
      <c r="F225" s="711"/>
      <c r="G225" s="721"/>
      <c r="H225" s="721"/>
      <c r="I225" s="721"/>
      <c r="J225" s="48"/>
      <c r="K225" s="721"/>
      <c r="L225" s="721"/>
      <c r="M225" s="721"/>
      <c r="N225" s="719"/>
      <c r="O225" s="48"/>
      <c r="P225" s="719"/>
      <c r="Q225" s="48"/>
      <c r="R225" s="711" t="str">
        <f>IFERROR(__xludf.DUMMYFUNCTION("""COMPUTED_VALUE"""),"2526MODULOMAR09.Y")</f>
        <v>2526MODULOMAR09.Y</v>
      </c>
      <c r="S225" s="711">
        <f>IFERROR(__xludf.DUMMYFUNCTION("""COMPUTED_VALUE"""),40.0)</f>
        <v>40</v>
      </c>
      <c r="T225" s="721" t="str">
        <f>IFERROR(__xludf.DUMMYFUNCTION("""COMPUTED_VALUE"""),"2526MODULOMAR09.Y")</f>
        <v>2526MODULOMAR09.Y</v>
      </c>
      <c r="U225" s="721"/>
      <c r="V225" s="711"/>
      <c r="W225" s="721"/>
      <c r="X225" s="721"/>
      <c r="Y225" s="48"/>
      <c r="Z225" s="48"/>
      <c r="AA225" s="48"/>
      <c r="AB225" s="711"/>
      <c r="AC225" s="711"/>
      <c r="AD225" s="711"/>
      <c r="AE225" s="711"/>
      <c r="AF225" s="711"/>
      <c r="AG225" s="711"/>
      <c r="AH225" s="711"/>
    </row>
    <row r="226">
      <c r="A226" s="48"/>
      <c r="B226" s="48"/>
      <c r="C226" s="48"/>
      <c r="D226" s="721"/>
      <c r="E226" s="711"/>
      <c r="F226" s="711"/>
      <c r="G226" s="721"/>
      <c r="H226" s="721"/>
      <c r="I226" s="721"/>
      <c r="J226" s="48"/>
      <c r="K226" s="721"/>
      <c r="L226" s="721"/>
      <c r="M226" s="721"/>
      <c r="N226" s="719"/>
      <c r="O226" s="48"/>
      <c r="P226" s="719"/>
      <c r="Q226" s="48"/>
      <c r="R226" s="48"/>
      <c r="S226" s="711" t="str">
        <f>IFERROR(__xludf.DUMMYFUNCTION("""COMPUTED_VALUE"""),"")</f>
        <v/>
      </c>
      <c r="T226" s="721"/>
      <c r="U226" s="721"/>
      <c r="V226" s="711"/>
      <c r="W226" s="721"/>
      <c r="X226" s="721"/>
      <c r="Y226" s="48"/>
      <c r="Z226" s="48"/>
      <c r="AA226" s="48"/>
      <c r="AB226" s="711"/>
      <c r="AC226" s="711"/>
      <c r="AD226" s="711"/>
      <c r="AE226" s="711"/>
      <c r="AF226" s="711"/>
      <c r="AG226" s="711"/>
      <c r="AH226" s="711"/>
    </row>
    <row r="227">
      <c r="A227" s="48"/>
      <c r="B227" s="48"/>
      <c r="C227" s="48"/>
      <c r="D227" s="721"/>
      <c r="E227" s="711"/>
      <c r="F227" s="711"/>
      <c r="G227" s="721"/>
      <c r="H227" s="721"/>
      <c r="I227" s="721"/>
      <c r="J227" s="48"/>
      <c r="K227" s="721"/>
      <c r="L227" s="721"/>
      <c r="M227" s="721"/>
      <c r="N227" s="719"/>
      <c r="O227" s="48"/>
      <c r="P227" s="719"/>
      <c r="Q227" s="48"/>
      <c r="R227" s="48"/>
      <c r="S227" s="711" t="str">
        <f>IFERROR(__xludf.DUMMYFUNCTION("""COMPUTED_VALUE"""),"")</f>
        <v/>
      </c>
      <c r="T227" s="721"/>
      <c r="U227" s="721"/>
      <c r="V227" s="711"/>
      <c r="W227" s="721"/>
      <c r="X227" s="721"/>
      <c r="Y227" s="48"/>
      <c r="Z227" s="48"/>
      <c r="AA227" s="48"/>
      <c r="AB227" s="711"/>
      <c r="AC227" s="711"/>
      <c r="AD227" s="711"/>
      <c r="AE227" s="711"/>
      <c r="AF227" s="711"/>
      <c r="AG227" s="711"/>
      <c r="AH227" s="711"/>
    </row>
    <row r="228">
      <c r="A228" s="48"/>
      <c r="B228" s="48"/>
      <c r="C228" s="48"/>
      <c r="D228" s="721"/>
      <c r="E228" s="711"/>
      <c r="F228" s="711"/>
      <c r="G228" s="721"/>
      <c r="H228" s="721"/>
      <c r="I228" s="721"/>
      <c r="J228" s="48"/>
      <c r="K228" s="721"/>
      <c r="L228" s="721"/>
      <c r="M228" s="721"/>
      <c r="N228" s="719"/>
      <c r="O228" s="48"/>
      <c r="P228" s="719"/>
      <c r="Q228" s="48"/>
      <c r="R228" s="711" t="str">
        <f>IFERROR(__xludf.DUMMYFUNCTION("""COMPUTED_VALUE"""),"2526MODULOMAR09.Y")</f>
        <v>2526MODULOMAR09.Y</v>
      </c>
      <c r="S228" s="711">
        <f>IFERROR(__xludf.DUMMYFUNCTION("""COMPUTED_VALUE"""),40.0)</f>
        <v>40</v>
      </c>
      <c r="T228" s="721" t="str">
        <f>IFERROR(__xludf.DUMMYFUNCTION("""COMPUTED_VALUE"""),"2526MODULOMAR09.Y")</f>
        <v>2526MODULOMAR09.Y</v>
      </c>
      <c r="U228" s="721"/>
      <c r="V228" s="711"/>
      <c r="W228" s="721"/>
      <c r="X228" s="721"/>
      <c r="Y228" s="48"/>
      <c r="Z228" s="48"/>
      <c r="AA228" s="48"/>
      <c r="AB228" s="711"/>
      <c r="AC228" s="711"/>
      <c r="AD228" s="711"/>
      <c r="AE228" s="711"/>
      <c r="AF228" s="711"/>
      <c r="AG228" s="711"/>
      <c r="AH228" s="711"/>
    </row>
    <row r="229">
      <c r="A229" s="48"/>
      <c r="B229" s="48"/>
      <c r="C229" s="48"/>
      <c r="D229" s="721"/>
      <c r="E229" s="711"/>
      <c r="F229" s="711"/>
      <c r="G229" s="721"/>
      <c r="H229" s="721"/>
      <c r="I229" s="721"/>
      <c r="J229" s="48"/>
      <c r="K229" s="721"/>
      <c r="L229" s="721"/>
      <c r="M229" s="721"/>
      <c r="N229" s="719"/>
      <c r="O229" s="48"/>
      <c r="P229" s="719"/>
      <c r="Q229" s="48"/>
      <c r="R229" s="711" t="str">
        <f>IFERROR(__xludf.DUMMYFUNCTION("""COMPUTED_VALUE"""),"2526SEABRAMAR09.Y")</f>
        <v>2526SEABRAMAR09.Y</v>
      </c>
      <c r="S229" s="711">
        <f>IFERROR(__xludf.DUMMYFUNCTION("""COMPUTED_VALUE"""),20.0)</f>
        <v>20</v>
      </c>
      <c r="T229" s="721" t="str">
        <f>IFERROR(__xludf.DUMMYFUNCTION("""COMPUTED_VALUE"""),"2526SEABRAMAR09.Y")</f>
        <v>2526SEABRAMAR09.Y</v>
      </c>
      <c r="U229" s="721"/>
      <c r="V229" s="711"/>
      <c r="W229" s="721"/>
      <c r="X229" s="721"/>
      <c r="Y229" s="48"/>
      <c r="Z229" s="48"/>
      <c r="AA229" s="48"/>
      <c r="AB229" s="711"/>
      <c r="AC229" s="711"/>
      <c r="AD229" s="711"/>
      <c r="AE229" s="711"/>
      <c r="AF229" s="711"/>
      <c r="AG229" s="711"/>
      <c r="AH229" s="711"/>
    </row>
    <row r="230">
      <c r="A230" s="48"/>
      <c r="B230" s="48"/>
      <c r="C230" s="48"/>
      <c r="D230" s="721"/>
      <c r="E230" s="711"/>
      <c r="F230" s="711"/>
      <c r="G230" s="721"/>
      <c r="H230" s="721"/>
      <c r="I230" s="721"/>
      <c r="J230" s="48"/>
      <c r="K230" s="721"/>
      <c r="L230" s="721"/>
      <c r="M230" s="721"/>
      <c r="N230" s="719"/>
      <c r="O230" s="48"/>
      <c r="P230" s="719"/>
      <c r="Q230" s="48"/>
      <c r="R230" s="48"/>
      <c r="S230" s="711" t="str">
        <f>IFERROR(__xludf.DUMMYFUNCTION("""COMPUTED_VALUE"""),"")</f>
        <v/>
      </c>
      <c r="T230" s="721"/>
      <c r="U230" s="721"/>
      <c r="V230" s="711"/>
      <c r="W230" s="721"/>
      <c r="X230" s="721"/>
      <c r="Y230" s="48"/>
      <c r="Z230" s="48"/>
      <c r="AA230" s="48"/>
      <c r="AB230" s="711"/>
      <c r="AC230" s="711"/>
      <c r="AD230" s="711"/>
      <c r="AE230" s="711"/>
      <c r="AF230" s="711"/>
      <c r="AG230" s="711"/>
      <c r="AH230" s="711"/>
    </row>
    <row r="231">
      <c r="A231" s="48"/>
      <c r="B231" s="48"/>
      <c r="C231" s="48"/>
      <c r="D231" s="721"/>
      <c r="E231" s="711"/>
      <c r="F231" s="711"/>
      <c r="G231" s="721"/>
      <c r="H231" s="721"/>
      <c r="I231" s="721"/>
      <c r="J231" s="48"/>
      <c r="K231" s="721"/>
      <c r="L231" s="721"/>
      <c r="M231" s="721"/>
      <c r="N231" s="719"/>
      <c r="O231" s="48"/>
      <c r="P231" s="719"/>
      <c r="Q231" s="48"/>
      <c r="R231" s="48"/>
      <c r="S231" s="711" t="str">
        <f>IFERROR(__xludf.DUMMYFUNCTION("""COMPUTED_VALUE"""),"")</f>
        <v/>
      </c>
      <c r="T231" s="721"/>
      <c r="U231" s="721"/>
      <c r="V231" s="711"/>
      <c r="W231" s="721"/>
      <c r="X231" s="721"/>
      <c r="Y231" s="48"/>
      <c r="Z231" s="48"/>
      <c r="AA231" s="48"/>
      <c r="AB231" s="711"/>
      <c r="AC231" s="711"/>
      <c r="AD231" s="711"/>
      <c r="AE231" s="711"/>
      <c r="AF231" s="711"/>
      <c r="AG231" s="711"/>
      <c r="AH231" s="711"/>
    </row>
    <row r="232">
      <c r="A232" s="48"/>
      <c r="B232" s="48"/>
      <c r="C232" s="48"/>
      <c r="D232" s="721"/>
      <c r="E232" s="711"/>
      <c r="F232" s="711"/>
      <c r="G232" s="721"/>
      <c r="H232" s="721"/>
      <c r="I232" s="721"/>
      <c r="J232" s="48"/>
      <c r="K232" s="721"/>
      <c r="L232" s="721"/>
      <c r="M232" s="721"/>
      <c r="N232" s="719"/>
      <c r="O232" s="48"/>
      <c r="P232" s="719"/>
      <c r="Q232" s="48"/>
      <c r="R232" s="48"/>
      <c r="S232" s="711" t="str">
        <f>IFERROR(__xludf.DUMMYFUNCTION("""COMPUTED_VALUE"""),"")</f>
        <v/>
      </c>
      <c r="T232" s="721"/>
      <c r="U232" s="721"/>
      <c r="V232" s="711"/>
      <c r="W232" s="721"/>
      <c r="X232" s="721"/>
      <c r="Y232" s="48"/>
      <c r="Z232" s="48"/>
      <c r="AA232" s="48"/>
      <c r="AB232" s="711"/>
      <c r="AC232" s="711"/>
      <c r="AD232" s="711"/>
      <c r="AE232" s="711"/>
      <c r="AF232" s="711"/>
      <c r="AG232" s="711"/>
      <c r="AH232" s="711"/>
    </row>
    <row r="233">
      <c r="A233" s="48"/>
      <c r="B233" s="48"/>
      <c r="C233" s="48"/>
      <c r="D233" s="721"/>
      <c r="E233" s="711"/>
      <c r="F233" s="711"/>
      <c r="G233" s="721"/>
      <c r="H233" s="721"/>
      <c r="I233" s="721"/>
      <c r="J233" s="48"/>
      <c r="K233" s="721"/>
      <c r="L233" s="721"/>
      <c r="M233" s="721"/>
      <c r="N233" s="719"/>
      <c r="O233" s="48"/>
      <c r="P233" s="719"/>
      <c r="Q233" s="48"/>
      <c r="R233" s="48"/>
      <c r="S233" s="711" t="str">
        <f>IFERROR(__xludf.DUMMYFUNCTION("""COMPUTED_VALUE"""),"")</f>
        <v/>
      </c>
      <c r="T233" s="721"/>
      <c r="U233" s="721"/>
      <c r="V233" s="711"/>
      <c r="W233" s="721"/>
      <c r="X233" s="721"/>
      <c r="Y233" s="48"/>
      <c r="Z233" s="48"/>
      <c r="AA233" s="48"/>
      <c r="AB233" s="711"/>
      <c r="AC233" s="711"/>
      <c r="AD233" s="711"/>
      <c r="AE233" s="711"/>
      <c r="AF233" s="711"/>
      <c r="AG233" s="711"/>
      <c r="AH233" s="711"/>
    </row>
    <row r="234">
      <c r="A234" s="48"/>
      <c r="B234" s="48"/>
      <c r="C234" s="48"/>
      <c r="D234" s="721"/>
      <c r="E234" s="711"/>
      <c r="F234" s="711"/>
      <c r="G234" s="721"/>
      <c r="H234" s="721"/>
      <c r="I234" s="721"/>
      <c r="J234" s="48"/>
      <c r="K234" s="721"/>
      <c r="L234" s="721"/>
      <c r="M234" s="721"/>
      <c r="N234" s="719"/>
      <c r="O234" s="48"/>
      <c r="P234" s="719"/>
      <c r="Q234" s="48"/>
      <c r="R234" s="711" t="str">
        <f>IFERROR(__xludf.DUMMYFUNCTION("""COMPUTED_VALUE"""),"2526MODULOMAR10.Y")</f>
        <v>2526MODULOMAR10.Y</v>
      </c>
      <c r="S234" s="711">
        <f>IFERROR(__xludf.DUMMYFUNCTION("""COMPUTED_VALUE"""),40.0)</f>
        <v>40</v>
      </c>
      <c r="T234" s="721" t="str">
        <f>IFERROR(__xludf.DUMMYFUNCTION("""COMPUTED_VALUE"""),"2526MODULOMAR10.Y")</f>
        <v>2526MODULOMAR10.Y</v>
      </c>
      <c r="U234" s="721"/>
      <c r="V234" s="711"/>
      <c r="W234" s="721"/>
      <c r="X234" s="721"/>
      <c r="Y234" s="48"/>
      <c r="Z234" s="48"/>
      <c r="AA234" s="48"/>
      <c r="AB234" s="711"/>
      <c r="AC234" s="711"/>
      <c r="AD234" s="711"/>
      <c r="AE234" s="711"/>
      <c r="AF234" s="711"/>
      <c r="AG234" s="711"/>
      <c r="AH234" s="711"/>
    </row>
    <row r="235">
      <c r="A235" s="48"/>
      <c r="B235" s="48"/>
      <c r="C235" s="48"/>
      <c r="D235" s="721"/>
      <c r="E235" s="711"/>
      <c r="F235" s="711"/>
      <c r="G235" s="721"/>
      <c r="H235" s="721"/>
      <c r="I235" s="721"/>
      <c r="J235" s="48"/>
      <c r="K235" s="721"/>
      <c r="L235" s="721"/>
      <c r="M235" s="721"/>
      <c r="N235" s="719"/>
      <c r="O235" s="48"/>
      <c r="P235" s="719"/>
      <c r="Q235" s="48"/>
      <c r="R235" s="48"/>
      <c r="S235" s="711" t="str">
        <f>IFERROR(__xludf.DUMMYFUNCTION("""COMPUTED_VALUE"""),"")</f>
        <v/>
      </c>
      <c r="T235" s="721"/>
      <c r="U235" s="721"/>
      <c r="V235" s="711"/>
      <c r="W235" s="721"/>
      <c r="X235" s="721"/>
      <c r="Y235" s="48"/>
      <c r="Z235" s="48"/>
      <c r="AA235" s="48"/>
      <c r="AB235" s="711"/>
      <c r="AC235" s="711"/>
      <c r="AD235" s="711"/>
      <c r="AE235" s="711"/>
      <c r="AF235" s="711"/>
      <c r="AG235" s="711"/>
      <c r="AH235" s="711"/>
    </row>
    <row r="236">
      <c r="A236" s="48"/>
      <c r="B236" s="48"/>
      <c r="C236" s="48"/>
      <c r="D236" s="721"/>
      <c r="E236" s="711"/>
      <c r="F236" s="711"/>
      <c r="G236" s="721"/>
      <c r="H236" s="721"/>
      <c r="I236" s="721"/>
      <c r="J236" s="48"/>
      <c r="K236" s="721"/>
      <c r="L236" s="721"/>
      <c r="M236" s="721"/>
      <c r="N236" s="719"/>
      <c r="O236" s="48"/>
      <c r="P236" s="719"/>
      <c r="Q236" s="48"/>
      <c r="R236" s="711" t="str">
        <f>IFERROR(__xludf.DUMMYFUNCTION("""COMPUTED_VALUE"""),"2526MODULOMAR10.Y")</f>
        <v>2526MODULOMAR10.Y</v>
      </c>
      <c r="S236" s="711">
        <f>IFERROR(__xludf.DUMMYFUNCTION("""COMPUTED_VALUE"""),40.0)</f>
        <v>40</v>
      </c>
      <c r="T236" s="721" t="str">
        <f>IFERROR(__xludf.DUMMYFUNCTION("""COMPUTED_VALUE"""),"2526MODULOMAR10.Y")</f>
        <v>2526MODULOMAR10.Y</v>
      </c>
      <c r="U236" s="721"/>
      <c r="V236" s="711"/>
      <c r="W236" s="721"/>
      <c r="X236" s="721"/>
      <c r="Y236" s="48"/>
      <c r="Z236" s="48"/>
      <c r="AA236" s="48"/>
      <c r="AB236" s="711"/>
      <c r="AC236" s="711"/>
      <c r="AD236" s="711"/>
      <c r="AE236" s="711"/>
      <c r="AF236" s="711"/>
      <c r="AG236" s="711"/>
      <c r="AH236" s="711"/>
    </row>
    <row r="237">
      <c r="A237" s="48"/>
      <c r="B237" s="48"/>
      <c r="C237" s="48"/>
      <c r="D237" s="721"/>
      <c r="E237" s="711"/>
      <c r="F237" s="711"/>
      <c r="G237" s="721"/>
      <c r="H237" s="721"/>
      <c r="I237" s="721"/>
      <c r="J237" s="48"/>
      <c r="K237" s="721"/>
      <c r="L237" s="721"/>
      <c r="M237" s="721"/>
      <c r="N237" s="719"/>
      <c r="O237" s="48"/>
      <c r="P237" s="719"/>
      <c r="Q237" s="48"/>
      <c r="R237" s="711" t="str">
        <f>IFERROR(__xludf.DUMMYFUNCTION("""COMPUTED_VALUE"""),"2526MODULOMAR10.Y")</f>
        <v>2526MODULOMAR10.Y</v>
      </c>
      <c r="S237" s="711">
        <f>IFERROR(__xludf.DUMMYFUNCTION("""COMPUTED_VALUE"""),40.0)</f>
        <v>40</v>
      </c>
      <c r="T237" s="721" t="str">
        <f>IFERROR(__xludf.DUMMYFUNCTION("""COMPUTED_VALUE"""),"2526MODULOMAR10.Y")</f>
        <v>2526MODULOMAR10.Y</v>
      </c>
      <c r="U237" s="721"/>
      <c r="V237" s="711"/>
      <c r="W237" s="721"/>
      <c r="X237" s="721"/>
      <c r="Y237" s="48"/>
      <c r="Z237" s="48"/>
      <c r="AA237" s="48"/>
      <c r="AB237" s="711"/>
      <c r="AC237" s="711"/>
      <c r="AD237" s="711"/>
      <c r="AE237" s="711"/>
      <c r="AF237" s="711"/>
      <c r="AG237" s="711"/>
      <c r="AH237" s="711"/>
    </row>
    <row r="238">
      <c r="A238" s="48"/>
      <c r="B238" s="48"/>
      <c r="C238" s="48"/>
      <c r="D238" s="721"/>
      <c r="E238" s="711"/>
      <c r="F238" s="711"/>
      <c r="G238" s="721"/>
      <c r="H238" s="721"/>
      <c r="I238" s="721"/>
      <c r="J238" s="48"/>
      <c r="K238" s="721"/>
      <c r="L238" s="721"/>
      <c r="M238" s="721"/>
      <c r="N238" s="719"/>
      <c r="O238" s="48"/>
      <c r="P238" s="719"/>
      <c r="Q238" s="48"/>
      <c r="R238" s="48"/>
      <c r="S238" s="711" t="str">
        <f>IFERROR(__xludf.DUMMYFUNCTION("""COMPUTED_VALUE"""),"")</f>
        <v/>
      </c>
      <c r="T238" s="721"/>
      <c r="U238" s="721"/>
      <c r="V238" s="711"/>
      <c r="W238" s="721"/>
      <c r="X238" s="721"/>
      <c r="Y238" s="48"/>
      <c r="Z238" s="48"/>
      <c r="AA238" s="48"/>
      <c r="AB238" s="711"/>
      <c r="AC238" s="711"/>
      <c r="AD238" s="711"/>
      <c r="AE238" s="711"/>
      <c r="AF238" s="711"/>
      <c r="AG238" s="711"/>
      <c r="AH238" s="711"/>
    </row>
    <row r="239">
      <c r="A239" s="48"/>
      <c r="B239" s="48"/>
      <c r="C239" s="48"/>
      <c r="D239" s="721"/>
      <c r="E239" s="711"/>
      <c r="F239" s="711"/>
      <c r="G239" s="721"/>
      <c r="H239" s="721"/>
      <c r="I239" s="721"/>
      <c r="J239" s="48"/>
      <c r="K239" s="721"/>
      <c r="L239" s="721"/>
      <c r="M239" s="721"/>
      <c r="N239" s="719"/>
      <c r="O239" s="48"/>
      <c r="P239" s="719"/>
      <c r="Q239" s="48"/>
      <c r="R239" s="48"/>
      <c r="S239" s="711" t="str">
        <f>IFERROR(__xludf.DUMMYFUNCTION("""COMPUTED_VALUE"""),"")</f>
        <v/>
      </c>
      <c r="T239" s="721"/>
      <c r="U239" s="721"/>
      <c r="V239" s="711"/>
      <c r="W239" s="721"/>
      <c r="X239" s="721"/>
      <c r="Y239" s="48"/>
      <c r="Z239" s="48"/>
      <c r="AA239" s="48"/>
      <c r="AB239" s="711"/>
      <c r="AC239" s="711"/>
      <c r="AD239" s="711"/>
      <c r="AE239" s="711"/>
      <c r="AF239" s="711"/>
      <c r="AG239" s="711"/>
      <c r="AH239" s="711"/>
    </row>
    <row r="240">
      <c r="A240" s="48"/>
      <c r="B240" s="48"/>
      <c r="C240" s="48"/>
      <c r="D240" s="721"/>
      <c r="E240" s="711"/>
      <c r="F240" s="711"/>
      <c r="G240" s="721"/>
      <c r="H240" s="721"/>
      <c r="I240" s="721"/>
      <c r="J240" s="48"/>
      <c r="K240" s="721"/>
      <c r="L240" s="721"/>
      <c r="M240" s="721"/>
      <c r="N240" s="719"/>
      <c r="O240" s="48"/>
      <c r="P240" s="719"/>
      <c r="Q240" s="48"/>
      <c r="R240" s="711" t="str">
        <f>IFERROR(__xludf.DUMMYFUNCTION("""COMPUTED_VALUE"""),"2526MODULOMAR10.Y")</f>
        <v>2526MODULOMAR10.Y</v>
      </c>
      <c r="S240" s="711">
        <f>IFERROR(__xludf.DUMMYFUNCTION("""COMPUTED_VALUE"""),40.0)</f>
        <v>40</v>
      </c>
      <c r="T240" s="721" t="str">
        <f>IFERROR(__xludf.DUMMYFUNCTION("""COMPUTED_VALUE"""),"2526MODULOMAR10.Y")</f>
        <v>2526MODULOMAR10.Y</v>
      </c>
      <c r="U240" s="721"/>
      <c r="V240" s="711"/>
      <c r="W240" s="721"/>
      <c r="X240" s="721"/>
      <c r="Y240" s="48"/>
      <c r="Z240" s="48"/>
      <c r="AA240" s="48"/>
      <c r="AB240" s="711"/>
      <c r="AC240" s="711"/>
      <c r="AD240" s="711"/>
      <c r="AE240" s="711"/>
      <c r="AF240" s="711"/>
      <c r="AG240" s="711"/>
      <c r="AH240" s="711"/>
    </row>
    <row r="241">
      <c r="A241" s="48"/>
      <c r="B241" s="48"/>
      <c r="C241" s="48"/>
      <c r="D241" s="721"/>
      <c r="E241" s="711"/>
      <c r="F241" s="711"/>
      <c r="G241" s="721"/>
      <c r="H241" s="721"/>
      <c r="I241" s="721"/>
      <c r="J241" s="48"/>
      <c r="K241" s="721"/>
      <c r="L241" s="721"/>
      <c r="M241" s="721"/>
      <c r="N241" s="719"/>
      <c r="O241" s="48"/>
      <c r="P241" s="719"/>
      <c r="Q241" s="48"/>
      <c r="R241" s="711" t="str">
        <f>IFERROR(__xludf.DUMMYFUNCTION("""COMPUTED_VALUE"""),"2526SEABRAMAR10.Y")</f>
        <v>2526SEABRAMAR10.Y</v>
      </c>
      <c r="S241" s="711">
        <f>IFERROR(__xludf.DUMMYFUNCTION("""COMPUTED_VALUE"""),20.0)</f>
        <v>20</v>
      </c>
      <c r="T241" s="721" t="str">
        <f>IFERROR(__xludf.DUMMYFUNCTION("""COMPUTED_VALUE"""),"2526SEABRAMAR10.Y")</f>
        <v>2526SEABRAMAR10.Y</v>
      </c>
      <c r="U241" s="721"/>
      <c r="V241" s="711"/>
      <c r="W241" s="721"/>
      <c r="X241" s="721"/>
      <c r="Y241" s="48"/>
      <c r="Z241" s="48"/>
      <c r="AA241" s="48"/>
      <c r="AB241" s="711"/>
      <c r="AC241" s="711"/>
      <c r="AD241" s="711"/>
      <c r="AE241" s="711"/>
      <c r="AF241" s="711"/>
      <c r="AG241" s="711"/>
      <c r="AH241" s="711"/>
    </row>
    <row r="242">
      <c r="A242" s="48"/>
      <c r="B242" s="48"/>
      <c r="C242" s="48"/>
      <c r="D242" s="721"/>
      <c r="E242" s="711"/>
      <c r="F242" s="711"/>
      <c r="G242" s="721"/>
      <c r="H242" s="721"/>
      <c r="I242" s="721"/>
      <c r="J242" s="48"/>
      <c r="K242" s="721"/>
      <c r="L242" s="721"/>
      <c r="M242" s="721"/>
      <c r="N242" s="719"/>
      <c r="O242" s="48"/>
      <c r="P242" s="719"/>
      <c r="Q242" s="48"/>
      <c r="R242" s="48"/>
      <c r="S242" s="711" t="str">
        <f>IFERROR(__xludf.DUMMYFUNCTION("""COMPUTED_VALUE"""),"")</f>
        <v/>
      </c>
      <c r="T242" s="721"/>
      <c r="U242" s="721"/>
      <c r="V242" s="711"/>
      <c r="W242" s="721"/>
      <c r="X242" s="721"/>
      <c r="Y242" s="48"/>
      <c r="Z242" s="48"/>
      <c r="AA242" s="48"/>
      <c r="AB242" s="711"/>
      <c r="AC242" s="711"/>
      <c r="AD242" s="711"/>
      <c r="AE242" s="711"/>
      <c r="AF242" s="711"/>
      <c r="AG242" s="711"/>
      <c r="AH242" s="711"/>
    </row>
    <row r="243">
      <c r="A243" s="48"/>
      <c r="B243" s="48"/>
      <c r="C243" s="48"/>
      <c r="D243" s="721"/>
      <c r="E243" s="711"/>
      <c r="F243" s="711"/>
      <c r="G243" s="721"/>
      <c r="H243" s="721"/>
      <c r="I243" s="721"/>
      <c r="J243" s="48"/>
      <c r="K243" s="721"/>
      <c r="L243" s="721"/>
      <c r="M243" s="721"/>
      <c r="N243" s="719"/>
      <c r="O243" s="48"/>
      <c r="P243" s="719"/>
      <c r="Q243" s="48"/>
      <c r="R243" s="48"/>
      <c r="S243" s="711" t="str">
        <f>IFERROR(__xludf.DUMMYFUNCTION("""COMPUTED_VALUE"""),"")</f>
        <v/>
      </c>
      <c r="T243" s="721"/>
      <c r="U243" s="721"/>
      <c r="V243" s="711"/>
      <c r="W243" s="721"/>
      <c r="X243" s="721"/>
      <c r="Y243" s="48"/>
      <c r="Z243" s="48"/>
      <c r="AA243" s="48"/>
      <c r="AB243" s="711"/>
      <c r="AC243" s="711"/>
      <c r="AD243" s="711"/>
      <c r="AE243" s="711"/>
      <c r="AF243" s="711"/>
      <c r="AG243" s="711"/>
      <c r="AH243" s="711"/>
    </row>
    <row r="244">
      <c r="A244" s="48"/>
      <c r="B244" s="48"/>
      <c r="C244" s="48"/>
      <c r="D244" s="721"/>
      <c r="E244" s="711"/>
      <c r="F244" s="711"/>
      <c r="G244" s="721"/>
      <c r="H244" s="721"/>
      <c r="I244" s="721"/>
      <c r="J244" s="48"/>
      <c r="K244" s="721"/>
      <c r="L244" s="721"/>
      <c r="M244" s="721"/>
      <c r="N244" s="719"/>
      <c r="O244" s="48"/>
      <c r="P244" s="719"/>
      <c r="Q244" s="48"/>
      <c r="R244" s="48"/>
      <c r="S244" s="711" t="str">
        <f>IFERROR(__xludf.DUMMYFUNCTION("""COMPUTED_VALUE"""),"")</f>
        <v/>
      </c>
      <c r="T244" s="721"/>
      <c r="U244" s="721"/>
      <c r="V244" s="711"/>
      <c r="W244" s="721"/>
      <c r="X244" s="721"/>
      <c r="Y244" s="48"/>
      <c r="Z244" s="48"/>
      <c r="AA244" s="48"/>
      <c r="AB244" s="711"/>
      <c r="AC244" s="711"/>
      <c r="AD244" s="711"/>
      <c r="AE244" s="711"/>
      <c r="AF244" s="711"/>
      <c r="AG244" s="711"/>
      <c r="AH244" s="711"/>
    </row>
    <row r="245">
      <c r="A245" s="48"/>
      <c r="B245" s="48"/>
      <c r="C245" s="48"/>
      <c r="D245" s="721"/>
      <c r="E245" s="711"/>
      <c r="F245" s="711"/>
      <c r="G245" s="721"/>
      <c r="H245" s="721"/>
      <c r="I245" s="721"/>
      <c r="J245" s="48"/>
      <c r="K245" s="721"/>
      <c r="L245" s="721"/>
      <c r="M245" s="721"/>
      <c r="N245" s="719"/>
      <c r="O245" s="48"/>
      <c r="P245" s="719"/>
      <c r="Q245" s="48"/>
      <c r="R245" s="714" t="str">
        <f>IFERROR(__xludf.DUMMYFUNCTION("""COMPUTED_VALUE"""),"2526CRUZMAR11.F")</f>
        <v>2526CRUZMAR11.F</v>
      </c>
      <c r="S245" s="711">
        <f>IFERROR(__xludf.DUMMYFUNCTION("""COMPUTED_VALUE"""),40.0)</f>
        <v>40</v>
      </c>
      <c r="T245" s="722" t="str">
        <f>IFERROR(__xludf.DUMMYFUNCTION("""COMPUTED_VALUE"""),"2526CRUZMAR11.F")</f>
        <v>2526CRUZMAR11.F</v>
      </c>
      <c r="U245" s="721"/>
      <c r="V245" s="711"/>
      <c r="W245" s="721"/>
      <c r="X245" s="721"/>
      <c r="Y245" s="48"/>
      <c r="Z245" s="48"/>
      <c r="AA245" s="48"/>
      <c r="AB245" s="711"/>
      <c r="AC245" s="711"/>
      <c r="AD245" s="711"/>
      <c r="AE245" s="711"/>
      <c r="AF245" s="711"/>
      <c r="AG245" s="711"/>
      <c r="AH245" s="711"/>
    </row>
    <row r="246">
      <c r="A246" s="48"/>
      <c r="B246" s="48"/>
      <c r="C246" s="48"/>
      <c r="D246" s="721"/>
      <c r="E246" s="711"/>
      <c r="F246" s="711"/>
      <c r="G246" s="721"/>
      <c r="H246" s="721"/>
      <c r="I246" s="721"/>
      <c r="J246" s="48"/>
      <c r="K246" s="721"/>
      <c r="L246" s="721"/>
      <c r="M246" s="721"/>
      <c r="N246" s="719"/>
      <c r="O246" s="48"/>
      <c r="P246" s="719"/>
      <c r="Q246" s="48"/>
      <c r="R246" s="711" t="str">
        <f>IFERROR(__xludf.DUMMYFUNCTION("""COMPUTED_VALUE"""),"2526MODULOMAR11.Y")</f>
        <v>2526MODULOMAR11.Y</v>
      </c>
      <c r="S246" s="711">
        <f>IFERROR(__xludf.DUMMYFUNCTION("""COMPUTED_VALUE"""),40.0)</f>
        <v>40</v>
      </c>
      <c r="T246" s="721" t="str">
        <f>IFERROR(__xludf.DUMMYFUNCTION("""COMPUTED_VALUE"""),"2526MODULOMAR11.Y")</f>
        <v>2526MODULOMAR11.Y</v>
      </c>
      <c r="U246" s="721"/>
      <c r="V246" s="711"/>
      <c r="W246" s="721"/>
      <c r="X246" s="721"/>
      <c r="Y246" s="48"/>
      <c r="Z246" s="48"/>
      <c r="AA246" s="48"/>
      <c r="AB246" s="711"/>
      <c r="AC246" s="711"/>
      <c r="AD246" s="711"/>
      <c r="AE246" s="711"/>
      <c r="AF246" s="711"/>
      <c r="AG246" s="711"/>
      <c r="AH246" s="711"/>
    </row>
    <row r="247">
      <c r="A247" s="48"/>
      <c r="B247" s="48"/>
      <c r="C247" s="48"/>
      <c r="D247" s="721"/>
      <c r="E247" s="711"/>
      <c r="F247" s="711"/>
      <c r="G247" s="721"/>
      <c r="H247" s="721"/>
      <c r="I247" s="721"/>
      <c r="J247" s="48"/>
      <c r="K247" s="721"/>
      <c r="L247" s="721"/>
      <c r="M247" s="721"/>
      <c r="N247" s="719"/>
      <c r="O247" s="48"/>
      <c r="P247" s="719"/>
      <c r="Q247" s="48"/>
      <c r="R247" s="48"/>
      <c r="S247" s="711" t="str">
        <f>IFERROR(__xludf.DUMMYFUNCTION("""COMPUTED_VALUE"""),"")</f>
        <v/>
      </c>
      <c r="T247" s="721"/>
      <c r="U247" s="721"/>
      <c r="V247" s="711"/>
      <c r="W247" s="721"/>
      <c r="X247" s="721"/>
      <c r="Y247" s="48"/>
      <c r="Z247" s="48"/>
      <c r="AA247" s="48"/>
      <c r="AB247" s="711"/>
      <c r="AC247" s="711"/>
      <c r="AD247" s="711"/>
      <c r="AE247" s="711"/>
      <c r="AF247" s="711"/>
      <c r="AG247" s="711"/>
      <c r="AH247" s="711"/>
    </row>
    <row r="248">
      <c r="A248" s="48"/>
      <c r="B248" s="48"/>
      <c r="C248" s="48"/>
      <c r="D248" s="721"/>
      <c r="E248" s="711"/>
      <c r="F248" s="711"/>
      <c r="G248" s="721"/>
      <c r="H248" s="721"/>
      <c r="I248" s="721"/>
      <c r="J248" s="48"/>
      <c r="K248" s="721"/>
      <c r="L248" s="721"/>
      <c r="M248" s="721"/>
      <c r="N248" s="719"/>
      <c r="O248" s="48"/>
      <c r="P248" s="719"/>
      <c r="Q248" s="48"/>
      <c r="R248" s="711" t="str">
        <f>IFERROR(__xludf.DUMMYFUNCTION("""COMPUTED_VALUE"""),"2526MODULOMAR11.Y")</f>
        <v>2526MODULOMAR11.Y</v>
      </c>
      <c r="S248" s="711">
        <f>IFERROR(__xludf.DUMMYFUNCTION("""COMPUTED_VALUE"""),40.0)</f>
        <v>40</v>
      </c>
      <c r="T248" s="721" t="str">
        <f>IFERROR(__xludf.DUMMYFUNCTION("""COMPUTED_VALUE"""),"2526MODULOMAR11.Y")</f>
        <v>2526MODULOMAR11.Y</v>
      </c>
      <c r="U248" s="721"/>
      <c r="V248" s="711"/>
      <c r="W248" s="721"/>
      <c r="X248" s="721"/>
      <c r="Y248" s="48"/>
      <c r="Z248" s="48"/>
      <c r="AA248" s="48"/>
      <c r="AB248" s="711"/>
      <c r="AC248" s="711"/>
      <c r="AD248" s="711"/>
      <c r="AE248" s="711"/>
      <c r="AF248" s="711"/>
      <c r="AG248" s="711"/>
      <c r="AH248" s="711"/>
    </row>
    <row r="249">
      <c r="A249" s="48"/>
      <c r="B249" s="48"/>
      <c r="C249" s="48"/>
      <c r="D249" s="721"/>
      <c r="E249" s="711"/>
      <c r="F249" s="711"/>
      <c r="G249" s="721"/>
      <c r="H249" s="721"/>
      <c r="I249" s="721"/>
      <c r="J249" s="48"/>
      <c r="K249" s="721"/>
      <c r="L249" s="721"/>
      <c r="M249" s="721"/>
      <c r="N249" s="719"/>
      <c r="O249" s="48"/>
      <c r="P249" s="719"/>
      <c r="Q249" s="48"/>
      <c r="R249" s="711" t="str">
        <f>IFERROR(__xludf.DUMMYFUNCTION("""COMPUTED_VALUE"""),"2526MODULOMAR11.Y")</f>
        <v>2526MODULOMAR11.Y</v>
      </c>
      <c r="S249" s="711">
        <f>IFERROR(__xludf.DUMMYFUNCTION("""COMPUTED_VALUE"""),40.0)</f>
        <v>40</v>
      </c>
      <c r="T249" s="721" t="str">
        <f>IFERROR(__xludf.DUMMYFUNCTION("""COMPUTED_VALUE"""),"2526MODULOMAR11.Y")</f>
        <v>2526MODULOMAR11.Y</v>
      </c>
      <c r="U249" s="721"/>
      <c r="V249" s="711"/>
      <c r="W249" s="721"/>
      <c r="X249" s="721"/>
      <c r="Y249" s="48"/>
      <c r="Z249" s="48"/>
      <c r="AA249" s="48"/>
      <c r="AB249" s="711"/>
      <c r="AC249" s="711"/>
      <c r="AD249" s="711"/>
      <c r="AE249" s="711"/>
      <c r="AF249" s="711"/>
      <c r="AG249" s="711"/>
      <c r="AH249" s="711"/>
    </row>
    <row r="250">
      <c r="A250" s="48"/>
      <c r="B250" s="48"/>
      <c r="C250" s="48"/>
      <c r="D250" s="721"/>
      <c r="E250" s="711"/>
      <c r="F250" s="711"/>
      <c r="G250" s="721"/>
      <c r="H250" s="721"/>
      <c r="I250" s="721"/>
      <c r="J250" s="48"/>
      <c r="K250" s="721"/>
      <c r="L250" s="721"/>
      <c r="M250" s="721"/>
      <c r="N250" s="719"/>
      <c r="O250" s="48"/>
      <c r="P250" s="719"/>
      <c r="Q250" s="48"/>
      <c r="R250" s="48"/>
      <c r="S250" s="711" t="str">
        <f>IFERROR(__xludf.DUMMYFUNCTION("""COMPUTED_VALUE"""),"")</f>
        <v/>
      </c>
      <c r="T250" s="721"/>
      <c r="U250" s="721"/>
      <c r="V250" s="711"/>
      <c r="W250" s="721"/>
      <c r="X250" s="721"/>
      <c r="Y250" s="48"/>
      <c r="Z250" s="48"/>
      <c r="AA250" s="48"/>
      <c r="AB250" s="711"/>
      <c r="AC250" s="711"/>
      <c r="AD250" s="711"/>
      <c r="AE250" s="711"/>
      <c r="AF250" s="711"/>
      <c r="AG250" s="711"/>
      <c r="AH250" s="711"/>
    </row>
    <row r="251">
      <c r="A251" s="48"/>
      <c r="B251" s="48"/>
      <c r="C251" s="48"/>
      <c r="D251" s="721"/>
      <c r="E251" s="711"/>
      <c r="F251" s="711"/>
      <c r="G251" s="721"/>
      <c r="H251" s="721"/>
      <c r="I251" s="721"/>
      <c r="J251" s="48"/>
      <c r="K251" s="721"/>
      <c r="L251" s="721"/>
      <c r="M251" s="721"/>
      <c r="N251" s="719"/>
      <c r="O251" s="48"/>
      <c r="P251" s="719"/>
      <c r="Q251" s="48"/>
      <c r="R251" s="48"/>
      <c r="S251" s="711" t="str">
        <f>IFERROR(__xludf.DUMMYFUNCTION("""COMPUTED_VALUE"""),"")</f>
        <v/>
      </c>
      <c r="T251" s="721"/>
      <c r="U251" s="721"/>
      <c r="V251" s="711"/>
      <c r="W251" s="721"/>
      <c r="X251" s="721"/>
      <c r="Y251" s="48"/>
      <c r="Z251" s="48"/>
      <c r="AA251" s="48"/>
      <c r="AB251" s="711"/>
      <c r="AC251" s="711"/>
      <c r="AD251" s="711"/>
      <c r="AE251" s="711"/>
      <c r="AF251" s="711"/>
      <c r="AG251" s="711"/>
      <c r="AH251" s="711"/>
    </row>
    <row r="252">
      <c r="A252" s="48"/>
      <c r="B252" s="48"/>
      <c r="C252" s="48"/>
      <c r="D252" s="721"/>
      <c r="E252" s="711"/>
      <c r="F252" s="711"/>
      <c r="G252" s="721"/>
      <c r="H252" s="721"/>
      <c r="I252" s="721"/>
      <c r="J252" s="48"/>
      <c r="K252" s="721"/>
      <c r="L252" s="721"/>
      <c r="M252" s="721"/>
      <c r="N252" s="719"/>
      <c r="O252" s="48"/>
      <c r="P252" s="719"/>
      <c r="Q252" s="48"/>
      <c r="R252" s="711" t="str">
        <f>IFERROR(__xludf.DUMMYFUNCTION("""COMPUTED_VALUE"""),"2526MODULOMAR11.Y")</f>
        <v>2526MODULOMAR11.Y</v>
      </c>
      <c r="S252" s="711">
        <f>IFERROR(__xludf.DUMMYFUNCTION("""COMPUTED_VALUE"""),40.0)</f>
        <v>40</v>
      </c>
      <c r="T252" s="721" t="str">
        <f>IFERROR(__xludf.DUMMYFUNCTION("""COMPUTED_VALUE"""),"2526MODULOMAR11.Y")</f>
        <v>2526MODULOMAR11.Y</v>
      </c>
      <c r="U252" s="721"/>
      <c r="V252" s="711"/>
      <c r="W252" s="721"/>
      <c r="X252" s="721"/>
      <c r="Y252" s="48"/>
      <c r="Z252" s="48"/>
      <c r="AA252" s="48"/>
      <c r="AB252" s="711"/>
      <c r="AC252" s="711"/>
      <c r="AD252" s="711"/>
      <c r="AE252" s="711"/>
      <c r="AF252" s="711"/>
      <c r="AG252" s="711"/>
      <c r="AH252" s="711"/>
    </row>
    <row r="253">
      <c r="A253" s="48"/>
      <c r="B253" s="48"/>
      <c r="C253" s="48"/>
      <c r="D253" s="721"/>
      <c r="E253" s="711"/>
      <c r="F253" s="711"/>
      <c r="G253" s="721"/>
      <c r="H253" s="721"/>
      <c r="I253" s="721"/>
      <c r="J253" s="48"/>
      <c r="K253" s="721"/>
      <c r="L253" s="721"/>
      <c r="M253" s="721"/>
      <c r="N253" s="719"/>
      <c r="O253" s="48"/>
      <c r="P253" s="719"/>
      <c r="Q253" s="48"/>
      <c r="R253" s="711" t="str">
        <f>IFERROR(__xludf.DUMMYFUNCTION("""COMPUTED_VALUE"""),"2526SEABRAMAR11.Y")</f>
        <v>2526SEABRAMAR11.Y</v>
      </c>
      <c r="S253" s="711">
        <f>IFERROR(__xludf.DUMMYFUNCTION("""COMPUTED_VALUE"""),20.0)</f>
        <v>20</v>
      </c>
      <c r="T253" s="721" t="str">
        <f>IFERROR(__xludf.DUMMYFUNCTION("""COMPUTED_VALUE"""),"2526SEABRAMAR11.Y")</f>
        <v>2526SEABRAMAR11.Y</v>
      </c>
      <c r="U253" s="721"/>
      <c r="V253" s="711"/>
      <c r="W253" s="721"/>
      <c r="X253" s="721"/>
      <c r="Y253" s="48"/>
      <c r="Z253" s="48"/>
      <c r="AA253" s="48"/>
      <c r="AB253" s="711"/>
      <c r="AC253" s="711"/>
      <c r="AD253" s="711"/>
      <c r="AE253" s="711"/>
      <c r="AF253" s="711"/>
      <c r="AG253" s="711"/>
      <c r="AH253" s="711"/>
    </row>
    <row r="254">
      <c r="A254" s="48"/>
      <c r="B254" s="48"/>
      <c r="C254" s="48"/>
      <c r="D254" s="721"/>
      <c r="E254" s="711"/>
      <c r="F254" s="711"/>
      <c r="G254" s="721"/>
      <c r="H254" s="721"/>
      <c r="I254" s="721"/>
      <c r="J254" s="48"/>
      <c r="K254" s="721"/>
      <c r="L254" s="721"/>
      <c r="M254" s="721"/>
      <c r="N254" s="719"/>
      <c r="O254" s="48"/>
      <c r="P254" s="719"/>
      <c r="Q254" s="48"/>
      <c r="R254" s="48"/>
      <c r="S254" s="711" t="str">
        <f>IFERROR(__xludf.DUMMYFUNCTION("""COMPUTED_VALUE"""),"")</f>
        <v/>
      </c>
      <c r="T254" s="721"/>
      <c r="U254" s="721"/>
      <c r="V254" s="711"/>
      <c r="W254" s="721"/>
      <c r="X254" s="721"/>
      <c r="Y254" s="48"/>
      <c r="Z254" s="48"/>
      <c r="AA254" s="48"/>
      <c r="AB254" s="711"/>
      <c r="AC254" s="711"/>
      <c r="AD254" s="711"/>
      <c r="AE254" s="711"/>
      <c r="AF254" s="711"/>
      <c r="AG254" s="711"/>
      <c r="AH254" s="711"/>
    </row>
    <row r="255">
      <c r="A255" s="48"/>
      <c r="B255" s="48"/>
      <c r="C255" s="48"/>
      <c r="D255" s="721"/>
      <c r="E255" s="711"/>
      <c r="F255" s="711"/>
      <c r="G255" s="721"/>
      <c r="H255" s="721"/>
      <c r="I255" s="721"/>
      <c r="J255" s="48"/>
      <c r="K255" s="721"/>
      <c r="L255" s="721"/>
      <c r="M255" s="721"/>
      <c r="N255" s="719"/>
      <c r="O255" s="48"/>
      <c r="P255" s="719"/>
      <c r="Q255" s="48"/>
      <c r="R255" s="48"/>
      <c r="S255" s="711" t="str">
        <f>IFERROR(__xludf.DUMMYFUNCTION("""COMPUTED_VALUE"""),"")</f>
        <v/>
      </c>
      <c r="T255" s="721"/>
      <c r="U255" s="721"/>
      <c r="V255" s="711"/>
      <c r="W255" s="721"/>
      <c r="X255" s="721"/>
      <c r="Y255" s="48"/>
      <c r="Z255" s="48"/>
      <c r="AA255" s="48"/>
      <c r="AB255" s="711"/>
      <c r="AC255" s="711"/>
      <c r="AD255" s="711"/>
      <c r="AE255" s="711"/>
      <c r="AF255" s="711"/>
      <c r="AG255" s="711"/>
      <c r="AH255" s="711"/>
    </row>
    <row r="256">
      <c r="A256" s="48"/>
      <c r="B256" s="48"/>
      <c r="C256" s="48"/>
      <c r="D256" s="721"/>
      <c r="E256" s="711"/>
      <c r="F256" s="711"/>
      <c r="G256" s="721"/>
      <c r="H256" s="721"/>
      <c r="I256" s="721"/>
      <c r="J256" s="48"/>
      <c r="K256" s="721"/>
      <c r="L256" s="721"/>
      <c r="M256" s="721"/>
      <c r="N256" s="719"/>
      <c r="O256" s="48"/>
      <c r="P256" s="719"/>
      <c r="Q256" s="48"/>
      <c r="R256" s="48"/>
      <c r="S256" s="711" t="str">
        <f>IFERROR(__xludf.DUMMYFUNCTION("""COMPUTED_VALUE"""),"")</f>
        <v/>
      </c>
      <c r="T256" s="721"/>
      <c r="U256" s="721"/>
      <c r="V256" s="711"/>
      <c r="W256" s="721"/>
      <c r="X256" s="721"/>
      <c r="Y256" s="48"/>
      <c r="Z256" s="48"/>
      <c r="AA256" s="48"/>
      <c r="AB256" s="711"/>
      <c r="AC256" s="711"/>
      <c r="AD256" s="711"/>
      <c r="AE256" s="711"/>
      <c r="AF256" s="711"/>
      <c r="AG256" s="711"/>
      <c r="AH256" s="711"/>
    </row>
    <row r="257">
      <c r="A257" s="48"/>
      <c r="B257" s="48"/>
      <c r="C257" s="48"/>
      <c r="D257" s="721"/>
      <c r="E257" s="711"/>
      <c r="F257" s="711"/>
      <c r="G257" s="721"/>
      <c r="H257" s="721"/>
      <c r="I257" s="721"/>
      <c r="J257" s="48"/>
      <c r="K257" s="721"/>
      <c r="L257" s="721"/>
      <c r="M257" s="721"/>
      <c r="N257" s="719"/>
      <c r="O257" s="48"/>
      <c r="P257" s="719"/>
      <c r="Q257" s="48"/>
      <c r="R257" s="714" t="str">
        <f>IFERROR(__xludf.DUMMYFUNCTION("""COMPUTED_VALUE"""),"2526CRUZMAR12.F")</f>
        <v>2526CRUZMAR12.F</v>
      </c>
      <c r="S257" s="711">
        <f>IFERROR(__xludf.DUMMYFUNCTION("""COMPUTED_VALUE"""),40.0)</f>
        <v>40</v>
      </c>
      <c r="T257" s="722" t="str">
        <f>IFERROR(__xludf.DUMMYFUNCTION("""COMPUTED_VALUE"""),"2526CRUZMAR12.F")</f>
        <v>2526CRUZMAR12.F</v>
      </c>
      <c r="U257" s="721"/>
      <c r="V257" s="711"/>
      <c r="W257" s="721"/>
      <c r="X257" s="721"/>
      <c r="Y257" s="48"/>
      <c r="Z257" s="48"/>
      <c r="AA257" s="48"/>
      <c r="AB257" s="711"/>
      <c r="AC257" s="711"/>
      <c r="AD257" s="711"/>
      <c r="AE257" s="711"/>
      <c r="AF257" s="711"/>
      <c r="AG257" s="711"/>
      <c r="AH257" s="711"/>
    </row>
    <row r="258">
      <c r="A258" s="48"/>
      <c r="B258" s="48"/>
      <c r="C258" s="48"/>
      <c r="D258" s="721"/>
      <c r="E258" s="711"/>
      <c r="F258" s="711"/>
      <c r="G258" s="721"/>
      <c r="H258" s="721"/>
      <c r="I258" s="721"/>
      <c r="J258" s="48"/>
      <c r="K258" s="721"/>
      <c r="L258" s="721"/>
      <c r="M258" s="721"/>
      <c r="N258" s="719"/>
      <c r="O258" s="48"/>
      <c r="P258" s="719"/>
      <c r="Q258" s="48"/>
      <c r="R258" s="711" t="str">
        <f>IFERROR(__xludf.DUMMYFUNCTION("""COMPUTED_VALUE"""),"2526MODULOMAR12.Y")</f>
        <v>2526MODULOMAR12.Y</v>
      </c>
      <c r="S258" s="711">
        <f>IFERROR(__xludf.DUMMYFUNCTION("""COMPUTED_VALUE"""),40.0)</f>
        <v>40</v>
      </c>
      <c r="T258" s="721" t="str">
        <f>IFERROR(__xludf.DUMMYFUNCTION("""COMPUTED_VALUE"""),"2526MODULOMAR12.Y")</f>
        <v>2526MODULOMAR12.Y</v>
      </c>
      <c r="U258" s="721"/>
      <c r="V258" s="711"/>
      <c r="W258" s="721"/>
      <c r="X258" s="721"/>
      <c r="Y258" s="48"/>
      <c r="Z258" s="48"/>
      <c r="AA258" s="48"/>
      <c r="AB258" s="711"/>
      <c r="AC258" s="711"/>
      <c r="AD258" s="711"/>
      <c r="AE258" s="711"/>
      <c r="AF258" s="711"/>
      <c r="AG258" s="711"/>
      <c r="AH258" s="711"/>
    </row>
    <row r="259">
      <c r="A259" s="48"/>
      <c r="B259" s="48"/>
      <c r="C259" s="48"/>
      <c r="D259" s="721"/>
      <c r="E259" s="711"/>
      <c r="F259" s="711"/>
      <c r="G259" s="721"/>
      <c r="H259" s="721"/>
      <c r="I259" s="721"/>
      <c r="J259" s="48"/>
      <c r="K259" s="721"/>
      <c r="L259" s="721"/>
      <c r="M259" s="721"/>
      <c r="N259" s="719"/>
      <c r="O259" s="48"/>
      <c r="P259" s="719"/>
      <c r="Q259" s="48"/>
      <c r="R259" s="48"/>
      <c r="S259" s="711" t="str">
        <f>IFERROR(__xludf.DUMMYFUNCTION("""COMPUTED_VALUE"""),"")</f>
        <v/>
      </c>
      <c r="T259" s="721"/>
      <c r="U259" s="721"/>
      <c r="V259" s="711"/>
      <c r="W259" s="721"/>
      <c r="X259" s="721"/>
      <c r="Y259" s="48"/>
      <c r="Z259" s="48"/>
      <c r="AA259" s="48"/>
      <c r="AB259" s="711"/>
      <c r="AC259" s="711"/>
      <c r="AD259" s="711"/>
      <c r="AE259" s="711"/>
      <c r="AF259" s="711"/>
      <c r="AG259" s="711"/>
      <c r="AH259" s="711"/>
    </row>
    <row r="260">
      <c r="A260" s="48"/>
      <c r="B260" s="48"/>
      <c r="C260" s="48"/>
      <c r="D260" s="721"/>
      <c r="E260" s="711"/>
      <c r="F260" s="711"/>
      <c r="G260" s="721"/>
      <c r="H260" s="721"/>
      <c r="I260" s="721"/>
      <c r="J260" s="48"/>
      <c r="K260" s="721"/>
      <c r="L260" s="721"/>
      <c r="M260" s="721"/>
      <c r="N260" s="719"/>
      <c r="O260" s="48"/>
      <c r="P260" s="719"/>
      <c r="Q260" s="48"/>
      <c r="R260" s="711" t="str">
        <f>IFERROR(__xludf.DUMMYFUNCTION("""COMPUTED_VALUE"""),"2526MODULOMAR12.Y")</f>
        <v>2526MODULOMAR12.Y</v>
      </c>
      <c r="S260" s="711">
        <f>IFERROR(__xludf.DUMMYFUNCTION("""COMPUTED_VALUE"""),40.0)</f>
        <v>40</v>
      </c>
      <c r="T260" s="721" t="str">
        <f>IFERROR(__xludf.DUMMYFUNCTION("""COMPUTED_VALUE"""),"2526MODULOMAR12.Y")</f>
        <v>2526MODULOMAR12.Y</v>
      </c>
      <c r="U260" s="721"/>
      <c r="V260" s="711"/>
      <c r="W260" s="721"/>
      <c r="X260" s="721"/>
      <c r="Y260" s="48"/>
      <c r="Z260" s="48"/>
      <c r="AA260" s="48"/>
      <c r="AB260" s="711"/>
      <c r="AC260" s="711"/>
      <c r="AD260" s="711"/>
      <c r="AE260" s="711"/>
      <c r="AF260" s="711"/>
      <c r="AG260" s="711"/>
      <c r="AH260" s="711"/>
    </row>
    <row r="261">
      <c r="A261" s="48"/>
      <c r="B261" s="48"/>
      <c r="C261" s="48"/>
      <c r="D261" s="721"/>
      <c r="E261" s="711"/>
      <c r="F261" s="711"/>
      <c r="G261" s="721"/>
      <c r="H261" s="721"/>
      <c r="I261" s="721"/>
      <c r="J261" s="48"/>
      <c r="K261" s="721"/>
      <c r="L261" s="721"/>
      <c r="M261" s="721"/>
      <c r="N261" s="719"/>
      <c r="O261" s="48"/>
      <c r="P261" s="719"/>
      <c r="Q261" s="48"/>
      <c r="R261" s="48"/>
      <c r="S261" s="711" t="str">
        <f>IFERROR(__xludf.DUMMYFUNCTION("""COMPUTED_VALUE"""),"")</f>
        <v/>
      </c>
      <c r="T261" s="721"/>
      <c r="U261" s="721"/>
      <c r="V261" s="711"/>
      <c r="W261" s="721"/>
      <c r="X261" s="721"/>
      <c r="Y261" s="48"/>
      <c r="Z261" s="48"/>
      <c r="AA261" s="48"/>
      <c r="AB261" s="711"/>
      <c r="AC261" s="711"/>
      <c r="AD261" s="711"/>
      <c r="AE261" s="711"/>
      <c r="AF261" s="711"/>
      <c r="AG261" s="711"/>
      <c r="AH261" s="711"/>
    </row>
    <row r="262">
      <c r="A262" s="48"/>
      <c r="B262" s="48"/>
      <c r="C262" s="48"/>
      <c r="D262" s="721"/>
      <c r="E262" s="711"/>
      <c r="F262" s="711"/>
      <c r="G262" s="721"/>
      <c r="H262" s="721"/>
      <c r="I262" s="721"/>
      <c r="J262" s="48"/>
      <c r="K262" s="721"/>
      <c r="L262" s="721"/>
      <c r="M262" s="721"/>
      <c r="N262" s="719"/>
      <c r="O262" s="48"/>
      <c r="P262" s="719"/>
      <c r="Q262" s="48"/>
      <c r="R262" s="711" t="str">
        <f>IFERROR(__xludf.DUMMYFUNCTION("""COMPUTED_VALUE"""),"2526FILLYMAR12.Y")</f>
        <v>2526FILLYMAR12.Y</v>
      </c>
      <c r="S262" s="711">
        <f>IFERROR(__xludf.DUMMYFUNCTION("""COMPUTED_VALUE"""),3.0)</f>
        <v>3</v>
      </c>
      <c r="T262" s="721" t="str">
        <f>IFERROR(__xludf.DUMMYFUNCTION("""COMPUTED_VALUE"""),"2526FILLYMAR12.Y")</f>
        <v>2526FILLYMAR12.Y</v>
      </c>
      <c r="U262" s="721"/>
      <c r="V262" s="711"/>
      <c r="W262" s="721"/>
      <c r="X262" s="721"/>
      <c r="Y262" s="48"/>
      <c r="Z262" s="48"/>
      <c r="AA262" s="48"/>
      <c r="AB262" s="711"/>
      <c r="AC262" s="711"/>
      <c r="AD262" s="711"/>
      <c r="AE262" s="711"/>
      <c r="AF262" s="711"/>
      <c r="AG262" s="711"/>
      <c r="AH262" s="711"/>
    </row>
    <row r="263">
      <c r="A263" s="48"/>
      <c r="B263" s="48"/>
      <c r="C263" s="48"/>
      <c r="D263" s="721"/>
      <c r="E263" s="711"/>
      <c r="F263" s="711"/>
      <c r="G263" s="721"/>
      <c r="H263" s="721"/>
      <c r="I263" s="721"/>
      <c r="J263" s="48"/>
      <c r="K263" s="721"/>
      <c r="L263" s="721"/>
      <c r="M263" s="721"/>
      <c r="N263" s="719"/>
      <c r="O263" s="48"/>
      <c r="P263" s="719"/>
      <c r="Q263" s="48"/>
      <c r="R263" s="48"/>
      <c r="S263" s="711" t="str">
        <f>IFERROR(__xludf.DUMMYFUNCTION("""COMPUTED_VALUE"""),"")</f>
        <v/>
      </c>
      <c r="T263" s="721"/>
      <c r="U263" s="721"/>
      <c r="V263" s="711"/>
      <c r="W263" s="721"/>
      <c r="X263" s="721"/>
      <c r="Y263" s="48"/>
      <c r="Z263" s="48"/>
      <c r="AA263" s="48"/>
      <c r="AB263" s="711"/>
      <c r="AC263" s="711"/>
      <c r="AD263" s="711"/>
      <c r="AE263" s="711"/>
      <c r="AF263" s="711"/>
      <c r="AG263" s="711"/>
      <c r="AH263" s="711"/>
    </row>
    <row r="264">
      <c r="A264" s="48"/>
      <c r="B264" s="48"/>
      <c r="C264" s="48"/>
      <c r="D264" s="721"/>
      <c r="E264" s="711"/>
      <c r="F264" s="711"/>
      <c r="G264" s="721"/>
      <c r="H264" s="721"/>
      <c r="I264" s="721"/>
      <c r="J264" s="48"/>
      <c r="K264" s="721"/>
      <c r="L264" s="721"/>
      <c r="M264" s="721"/>
      <c r="N264" s="719"/>
      <c r="O264" s="48"/>
      <c r="P264" s="719"/>
      <c r="Q264" s="48"/>
      <c r="R264" s="711" t="str">
        <f>IFERROR(__xludf.DUMMYFUNCTION("""COMPUTED_VALUE"""),"2526MODULOMAR12.Y")</f>
        <v>2526MODULOMAR12.Y</v>
      </c>
      <c r="S264" s="711">
        <f>IFERROR(__xludf.DUMMYFUNCTION("""COMPUTED_VALUE"""),40.0)</f>
        <v>40</v>
      </c>
      <c r="T264" s="721" t="str">
        <f>IFERROR(__xludf.DUMMYFUNCTION("""COMPUTED_VALUE"""),"2526MODULOMAR12.Y")</f>
        <v>2526MODULOMAR12.Y</v>
      </c>
      <c r="U264" s="721"/>
      <c r="V264" s="711"/>
      <c r="W264" s="721"/>
      <c r="X264" s="721"/>
      <c r="Y264" s="48"/>
      <c r="Z264" s="48"/>
      <c r="AA264" s="48"/>
      <c r="AB264" s="711"/>
      <c r="AC264" s="711"/>
      <c r="AD264" s="711"/>
      <c r="AE264" s="711"/>
      <c r="AF264" s="711"/>
      <c r="AG264" s="711"/>
      <c r="AH264" s="711"/>
    </row>
    <row r="265">
      <c r="A265" s="48"/>
      <c r="B265" s="48"/>
      <c r="C265" s="48"/>
      <c r="D265" s="721"/>
      <c r="E265" s="711"/>
      <c r="F265" s="711"/>
      <c r="G265" s="721"/>
      <c r="H265" s="721"/>
      <c r="I265" s="721"/>
      <c r="J265" s="48"/>
      <c r="K265" s="721"/>
      <c r="L265" s="721"/>
      <c r="M265" s="721"/>
      <c r="N265" s="719"/>
      <c r="O265" s="48"/>
      <c r="P265" s="719"/>
      <c r="Q265" s="48"/>
      <c r="R265" s="711" t="str">
        <f>IFERROR(__xludf.DUMMYFUNCTION("""COMPUTED_VALUE"""),"2526SEABRAMAR12.Y")</f>
        <v>2526SEABRAMAR12.Y</v>
      </c>
      <c r="S265" s="711">
        <f>IFERROR(__xludf.DUMMYFUNCTION("""COMPUTED_VALUE"""),20.0)</f>
        <v>20</v>
      </c>
      <c r="T265" s="721" t="str">
        <f>IFERROR(__xludf.DUMMYFUNCTION("""COMPUTED_VALUE"""),"2526SEABRAMAR12.Y")</f>
        <v>2526SEABRAMAR12.Y</v>
      </c>
      <c r="U265" s="721"/>
      <c r="V265" s="711"/>
      <c r="W265" s="721"/>
      <c r="X265" s="721"/>
      <c r="Y265" s="48"/>
      <c r="Z265" s="48"/>
      <c r="AA265" s="48"/>
      <c r="AB265" s="711"/>
      <c r="AC265" s="711"/>
      <c r="AD265" s="711"/>
      <c r="AE265" s="711"/>
      <c r="AF265" s="711"/>
      <c r="AG265" s="711"/>
      <c r="AH265" s="711"/>
    </row>
    <row r="266">
      <c r="A266" s="48"/>
      <c r="B266" s="48"/>
      <c r="C266" s="48"/>
      <c r="D266" s="721"/>
      <c r="E266" s="711"/>
      <c r="F266" s="711"/>
      <c r="G266" s="721"/>
      <c r="H266" s="721"/>
      <c r="I266" s="721"/>
      <c r="J266" s="48"/>
      <c r="K266" s="721"/>
      <c r="L266" s="721"/>
      <c r="M266" s="721"/>
      <c r="N266" s="719"/>
      <c r="O266" s="48"/>
      <c r="P266" s="719"/>
      <c r="Q266" s="48"/>
      <c r="R266" s="48"/>
      <c r="S266" s="711" t="str">
        <f>IFERROR(__xludf.DUMMYFUNCTION("""COMPUTED_VALUE"""),"")</f>
        <v/>
      </c>
      <c r="T266" s="721"/>
      <c r="U266" s="721"/>
      <c r="V266" s="711"/>
      <c r="W266" s="721"/>
      <c r="X266" s="721"/>
      <c r="Y266" s="48"/>
      <c r="Z266" s="48"/>
      <c r="AA266" s="48"/>
      <c r="AB266" s="711"/>
      <c r="AC266" s="711"/>
      <c r="AD266" s="711"/>
      <c r="AE266" s="711"/>
      <c r="AF266" s="711"/>
      <c r="AG266" s="711"/>
      <c r="AH266" s="711"/>
    </row>
    <row r="267">
      <c r="A267" s="48"/>
      <c r="B267" s="48"/>
      <c r="C267" s="48"/>
      <c r="D267" s="721"/>
      <c r="E267" s="711"/>
      <c r="F267" s="711"/>
      <c r="G267" s="721"/>
      <c r="H267" s="721"/>
      <c r="I267" s="721"/>
      <c r="J267" s="48"/>
      <c r="K267" s="721"/>
      <c r="L267" s="721"/>
      <c r="M267" s="721"/>
      <c r="N267" s="719"/>
      <c r="O267" s="48"/>
      <c r="P267" s="719"/>
      <c r="Q267" s="48"/>
      <c r="R267" s="48"/>
      <c r="S267" s="711" t="str">
        <f>IFERROR(__xludf.DUMMYFUNCTION("""COMPUTED_VALUE"""),"")</f>
        <v/>
      </c>
      <c r="T267" s="721"/>
      <c r="U267" s="721"/>
      <c r="V267" s="711"/>
      <c r="W267" s="721"/>
      <c r="X267" s="721"/>
      <c r="Y267" s="48"/>
      <c r="Z267" s="48"/>
      <c r="AA267" s="48"/>
      <c r="AB267" s="711"/>
      <c r="AC267" s="711"/>
      <c r="AD267" s="711"/>
      <c r="AE267" s="711"/>
      <c r="AF267" s="711"/>
      <c r="AG267" s="711"/>
      <c r="AH267" s="711"/>
    </row>
    <row r="268">
      <c r="A268" s="48"/>
      <c r="B268" s="48"/>
      <c r="C268" s="48"/>
      <c r="D268" s="721"/>
      <c r="E268" s="711"/>
      <c r="F268" s="711"/>
      <c r="G268" s="721"/>
      <c r="H268" s="721"/>
      <c r="I268" s="721"/>
      <c r="J268" s="48"/>
      <c r="K268" s="721"/>
      <c r="L268" s="721"/>
      <c r="M268" s="721"/>
      <c r="N268" s="719"/>
      <c r="O268" s="48"/>
      <c r="P268" s="719"/>
      <c r="Q268" s="48"/>
      <c r="R268" s="48"/>
      <c r="S268" s="711" t="str">
        <f>IFERROR(__xludf.DUMMYFUNCTION("""COMPUTED_VALUE"""),"")</f>
        <v/>
      </c>
      <c r="T268" s="721"/>
      <c r="U268" s="721"/>
      <c r="V268" s="711"/>
      <c r="W268" s="721"/>
      <c r="X268" s="721"/>
      <c r="Y268" s="48"/>
      <c r="Z268" s="48"/>
      <c r="AA268" s="48"/>
      <c r="AB268" s="711"/>
      <c r="AC268" s="711"/>
      <c r="AD268" s="711"/>
      <c r="AE268" s="711"/>
      <c r="AF268" s="711"/>
      <c r="AG268" s="711"/>
      <c r="AH268" s="711"/>
    </row>
    <row r="269">
      <c r="A269" s="48"/>
      <c r="B269" s="48"/>
      <c r="C269" s="48"/>
      <c r="D269" s="721"/>
      <c r="E269" s="711"/>
      <c r="F269" s="711"/>
      <c r="G269" s="721"/>
      <c r="H269" s="721"/>
      <c r="I269" s="721"/>
      <c r="J269" s="48"/>
      <c r="K269" s="721"/>
      <c r="L269" s="721"/>
      <c r="M269" s="721"/>
      <c r="N269" s="719"/>
      <c r="O269" s="48"/>
      <c r="P269" s="719"/>
      <c r="Q269" s="48"/>
      <c r="R269" s="714" t="str">
        <f>IFERROR(__xludf.DUMMYFUNCTION("""COMPUTED_VALUE"""),"2526CRUZMAR13.F")</f>
        <v>2526CRUZMAR13.F</v>
      </c>
      <c r="S269" s="711">
        <f>IFERROR(__xludf.DUMMYFUNCTION("""COMPUTED_VALUE"""),40.0)</f>
        <v>40</v>
      </c>
      <c r="T269" s="722" t="str">
        <f>IFERROR(__xludf.DUMMYFUNCTION("""COMPUTED_VALUE"""),"2526CRUZMAR13.F")</f>
        <v>2526CRUZMAR13.F</v>
      </c>
      <c r="U269" s="721"/>
      <c r="V269" s="711"/>
      <c r="W269" s="721"/>
      <c r="X269" s="721"/>
      <c r="Y269" s="48"/>
      <c r="Z269" s="48"/>
      <c r="AA269" s="48"/>
      <c r="AB269" s="711"/>
      <c r="AC269" s="711"/>
      <c r="AD269" s="711"/>
      <c r="AE269" s="711"/>
      <c r="AF269" s="711"/>
      <c r="AG269" s="711"/>
      <c r="AH269" s="711"/>
    </row>
    <row r="270">
      <c r="A270" s="48"/>
      <c r="B270" s="48"/>
      <c r="C270" s="48"/>
      <c r="D270" s="721"/>
      <c r="E270" s="711"/>
      <c r="F270" s="711"/>
      <c r="G270" s="721"/>
      <c r="H270" s="721"/>
      <c r="I270" s="721"/>
      <c r="J270" s="48"/>
      <c r="K270" s="721"/>
      <c r="L270" s="721"/>
      <c r="M270" s="721"/>
      <c r="N270" s="719"/>
      <c r="O270" s="48"/>
      <c r="P270" s="719"/>
      <c r="Q270" s="48"/>
      <c r="R270" s="711" t="str">
        <f>IFERROR(__xludf.DUMMYFUNCTION("""COMPUTED_VALUE"""),"2526MODULOMAR13.Y")</f>
        <v>2526MODULOMAR13.Y</v>
      </c>
      <c r="S270" s="711">
        <f>IFERROR(__xludf.DUMMYFUNCTION("""COMPUTED_VALUE"""),40.0)</f>
        <v>40</v>
      </c>
      <c r="T270" s="721" t="str">
        <f>IFERROR(__xludf.DUMMYFUNCTION("""COMPUTED_VALUE"""),"2526MODULOMAR13.Y")</f>
        <v>2526MODULOMAR13.Y</v>
      </c>
      <c r="U270" s="721"/>
      <c r="V270" s="711"/>
      <c r="W270" s="721"/>
      <c r="X270" s="721"/>
      <c r="Y270" s="48"/>
      <c r="Z270" s="48"/>
      <c r="AA270" s="48"/>
      <c r="AB270" s="711"/>
      <c r="AC270" s="711"/>
      <c r="AD270" s="711"/>
      <c r="AE270" s="711"/>
      <c r="AF270" s="711"/>
      <c r="AG270" s="711"/>
      <c r="AH270" s="711"/>
    </row>
    <row r="271">
      <c r="A271" s="48"/>
      <c r="B271" s="48"/>
      <c r="C271" s="48"/>
      <c r="D271" s="721"/>
      <c r="E271" s="711"/>
      <c r="F271" s="711"/>
      <c r="G271" s="721"/>
      <c r="H271" s="721"/>
      <c r="I271" s="721"/>
      <c r="J271" s="48"/>
      <c r="K271" s="721"/>
      <c r="L271" s="721"/>
      <c r="M271" s="721"/>
      <c r="N271" s="719"/>
      <c r="O271" s="48"/>
      <c r="P271" s="719"/>
      <c r="Q271" s="48"/>
      <c r="R271" s="48"/>
      <c r="S271" s="711" t="str">
        <f>IFERROR(__xludf.DUMMYFUNCTION("""COMPUTED_VALUE"""),"")</f>
        <v/>
      </c>
      <c r="T271" s="721"/>
      <c r="U271" s="721"/>
      <c r="V271" s="711"/>
      <c r="W271" s="721"/>
      <c r="X271" s="721"/>
      <c r="Y271" s="48"/>
      <c r="Z271" s="48"/>
      <c r="AA271" s="48"/>
      <c r="AB271" s="711"/>
      <c r="AC271" s="711"/>
      <c r="AD271" s="711"/>
      <c r="AE271" s="711"/>
      <c r="AF271" s="711"/>
      <c r="AG271" s="711"/>
      <c r="AH271" s="711"/>
    </row>
    <row r="272">
      <c r="A272" s="48"/>
      <c r="B272" s="48"/>
      <c r="C272" s="48"/>
      <c r="D272" s="721"/>
      <c r="E272" s="711"/>
      <c r="F272" s="711"/>
      <c r="G272" s="721"/>
      <c r="H272" s="721"/>
      <c r="I272" s="721"/>
      <c r="J272" s="48"/>
      <c r="K272" s="721"/>
      <c r="L272" s="721"/>
      <c r="M272" s="721"/>
      <c r="N272" s="719"/>
      <c r="O272" s="48"/>
      <c r="P272" s="719"/>
      <c r="Q272" s="48"/>
      <c r="R272" s="711" t="str">
        <f>IFERROR(__xludf.DUMMYFUNCTION("""COMPUTED_VALUE"""),"2526MODULOMAR13.Y")</f>
        <v>2526MODULOMAR13.Y</v>
      </c>
      <c r="S272" s="711">
        <f>IFERROR(__xludf.DUMMYFUNCTION("""COMPUTED_VALUE"""),40.0)</f>
        <v>40</v>
      </c>
      <c r="T272" s="721" t="str">
        <f>IFERROR(__xludf.DUMMYFUNCTION("""COMPUTED_VALUE"""),"2526MODULOMAR13.Y")</f>
        <v>2526MODULOMAR13.Y</v>
      </c>
      <c r="U272" s="721"/>
      <c r="V272" s="711"/>
      <c r="W272" s="721"/>
      <c r="X272" s="721"/>
      <c r="Y272" s="48"/>
      <c r="Z272" s="48"/>
      <c r="AA272" s="48"/>
      <c r="AB272" s="711"/>
      <c r="AC272" s="711"/>
      <c r="AD272" s="711"/>
      <c r="AE272" s="711"/>
      <c r="AF272" s="711"/>
      <c r="AG272" s="711"/>
      <c r="AH272" s="711"/>
    </row>
    <row r="273">
      <c r="A273" s="48"/>
      <c r="B273" s="48"/>
      <c r="C273" s="48"/>
      <c r="D273" s="721"/>
      <c r="E273" s="711"/>
      <c r="F273" s="711"/>
      <c r="G273" s="721"/>
      <c r="H273" s="721"/>
      <c r="I273" s="721"/>
      <c r="J273" s="48"/>
      <c r="K273" s="721"/>
      <c r="L273" s="721"/>
      <c r="M273" s="721"/>
      <c r="N273" s="719"/>
      <c r="O273" s="48"/>
      <c r="P273" s="719"/>
      <c r="Q273" s="48"/>
      <c r="R273" s="714" t="str">
        <f>IFERROR(__xludf.DUMMYFUNCTION("""COMPUTED_VALUE"""),"2526STANISCIMAR13.F")</f>
        <v>2526STANISCIMAR13.F</v>
      </c>
      <c r="S273" s="711">
        <f>IFERROR(__xludf.DUMMYFUNCTION("""COMPUTED_VALUE"""),40.0)</f>
        <v>40</v>
      </c>
      <c r="T273" s="722" t="str">
        <f>IFERROR(__xludf.DUMMYFUNCTION("""COMPUTED_VALUE"""),"2526STANISCIMAR13.F")</f>
        <v>2526STANISCIMAR13.F</v>
      </c>
      <c r="U273" s="721"/>
      <c r="V273" s="711"/>
      <c r="W273" s="721"/>
      <c r="X273" s="721"/>
      <c r="Y273" s="48"/>
      <c r="Z273" s="48"/>
      <c r="AA273" s="48"/>
      <c r="AB273" s="711"/>
      <c r="AC273" s="711"/>
      <c r="AD273" s="711"/>
      <c r="AE273" s="711"/>
      <c r="AF273" s="711"/>
      <c r="AG273" s="711"/>
      <c r="AH273" s="711"/>
    </row>
    <row r="274">
      <c r="A274" s="48"/>
      <c r="B274" s="48"/>
      <c r="C274" s="48"/>
      <c r="D274" s="721"/>
      <c r="E274" s="711"/>
      <c r="F274" s="711"/>
      <c r="G274" s="721"/>
      <c r="H274" s="721"/>
      <c r="I274" s="721"/>
      <c r="J274" s="48"/>
      <c r="K274" s="721"/>
      <c r="L274" s="721"/>
      <c r="M274" s="721"/>
      <c r="N274" s="719"/>
      <c r="O274" s="48"/>
      <c r="P274" s="719"/>
      <c r="Q274" s="48"/>
      <c r="R274" s="711" t="str">
        <f>IFERROR(__xludf.DUMMYFUNCTION("""COMPUTED_VALUE"""),"2526FILLYMAR13.Y")</f>
        <v>2526FILLYMAR13.Y</v>
      </c>
      <c r="S274" s="711">
        <f>IFERROR(__xludf.DUMMYFUNCTION("""COMPUTED_VALUE"""),3.0)</f>
        <v>3</v>
      </c>
      <c r="T274" s="721" t="str">
        <f>IFERROR(__xludf.DUMMYFUNCTION("""COMPUTED_VALUE"""),"2526FILLYMAR13.Y")</f>
        <v>2526FILLYMAR13.Y</v>
      </c>
      <c r="U274" s="721"/>
      <c r="V274" s="711"/>
      <c r="W274" s="721"/>
      <c r="X274" s="721"/>
      <c r="Y274" s="48"/>
      <c r="Z274" s="48"/>
      <c r="AA274" s="48"/>
      <c r="AB274" s="711"/>
      <c r="AC274" s="711"/>
      <c r="AD274" s="711"/>
      <c r="AE274" s="711"/>
      <c r="AF274" s="711"/>
      <c r="AG274" s="711"/>
      <c r="AH274" s="711"/>
    </row>
    <row r="275">
      <c r="A275" s="48"/>
      <c r="B275" s="48"/>
      <c r="C275" s="48"/>
      <c r="D275" s="721"/>
      <c r="E275" s="711"/>
      <c r="F275" s="711"/>
      <c r="G275" s="721"/>
      <c r="H275" s="721"/>
      <c r="I275" s="721"/>
      <c r="J275" s="48"/>
      <c r="K275" s="721"/>
      <c r="L275" s="721"/>
      <c r="M275" s="721"/>
      <c r="N275" s="719"/>
      <c r="O275" s="48"/>
      <c r="P275" s="719"/>
      <c r="Q275" s="48"/>
      <c r="R275" s="48"/>
      <c r="S275" s="711" t="str">
        <f>IFERROR(__xludf.DUMMYFUNCTION("""COMPUTED_VALUE"""),"")</f>
        <v/>
      </c>
      <c r="T275" s="721"/>
      <c r="U275" s="721"/>
      <c r="V275" s="711"/>
      <c r="W275" s="721"/>
      <c r="X275" s="721"/>
      <c r="Y275" s="48"/>
      <c r="Z275" s="48"/>
      <c r="AA275" s="48"/>
      <c r="AB275" s="711"/>
      <c r="AC275" s="711"/>
      <c r="AD275" s="711"/>
      <c r="AE275" s="711"/>
      <c r="AF275" s="711"/>
      <c r="AG275" s="711"/>
      <c r="AH275" s="711"/>
    </row>
    <row r="276">
      <c r="A276" s="48"/>
      <c r="B276" s="48"/>
      <c r="C276" s="48"/>
      <c r="D276" s="721"/>
      <c r="E276" s="711"/>
      <c r="F276" s="711"/>
      <c r="G276" s="721"/>
      <c r="H276" s="721"/>
      <c r="I276" s="721"/>
      <c r="J276" s="48"/>
      <c r="K276" s="721"/>
      <c r="L276" s="721"/>
      <c r="M276" s="721"/>
      <c r="N276" s="719"/>
      <c r="O276" s="48"/>
      <c r="P276" s="719"/>
      <c r="Q276" s="48"/>
      <c r="R276" s="711" t="str">
        <f>IFERROR(__xludf.DUMMYFUNCTION("""COMPUTED_VALUE"""),"2526MODULOMAR13.Y")</f>
        <v>2526MODULOMAR13.Y</v>
      </c>
      <c r="S276" s="711">
        <f>IFERROR(__xludf.DUMMYFUNCTION("""COMPUTED_VALUE"""),40.0)</f>
        <v>40</v>
      </c>
      <c r="T276" s="721" t="str">
        <f>IFERROR(__xludf.DUMMYFUNCTION("""COMPUTED_VALUE"""),"2526MODULOMAR13.Y")</f>
        <v>2526MODULOMAR13.Y</v>
      </c>
      <c r="U276" s="721"/>
      <c r="V276" s="711"/>
      <c r="W276" s="721"/>
      <c r="X276" s="721"/>
      <c r="Y276" s="48"/>
      <c r="Z276" s="48"/>
      <c r="AA276" s="48"/>
      <c r="AB276" s="711"/>
      <c r="AC276" s="711"/>
      <c r="AD276" s="711"/>
      <c r="AE276" s="711"/>
      <c r="AF276" s="711"/>
      <c r="AG276" s="711"/>
      <c r="AH276" s="711"/>
    </row>
    <row r="277">
      <c r="A277" s="48"/>
      <c r="B277" s="48"/>
      <c r="C277" s="48"/>
      <c r="D277" s="721"/>
      <c r="E277" s="711"/>
      <c r="F277" s="711"/>
      <c r="G277" s="721"/>
      <c r="H277" s="721"/>
      <c r="I277" s="721"/>
      <c r="J277" s="48"/>
      <c r="K277" s="721"/>
      <c r="L277" s="721"/>
      <c r="M277" s="721"/>
      <c r="N277" s="719"/>
      <c r="O277" s="48"/>
      <c r="P277" s="719"/>
      <c r="Q277" s="48"/>
      <c r="R277" s="711" t="str">
        <f>IFERROR(__xludf.DUMMYFUNCTION("""COMPUTED_VALUE"""),"2526SEABRAMAR13.Y")</f>
        <v>2526SEABRAMAR13.Y</v>
      </c>
      <c r="S277" s="711">
        <f>IFERROR(__xludf.DUMMYFUNCTION("""COMPUTED_VALUE"""),20.0)</f>
        <v>20</v>
      </c>
      <c r="T277" s="721" t="str">
        <f>IFERROR(__xludf.DUMMYFUNCTION("""COMPUTED_VALUE"""),"2526SEABRAMAR13.Y")</f>
        <v>2526SEABRAMAR13.Y</v>
      </c>
      <c r="U277" s="721"/>
      <c r="V277" s="711"/>
      <c r="W277" s="721"/>
      <c r="X277" s="721"/>
      <c r="Y277" s="48"/>
      <c r="Z277" s="48"/>
      <c r="AA277" s="48"/>
      <c r="AB277" s="711"/>
      <c r="AC277" s="711"/>
      <c r="AD277" s="711"/>
      <c r="AE277" s="711"/>
      <c r="AF277" s="711"/>
      <c r="AG277" s="711"/>
      <c r="AH277" s="711"/>
    </row>
    <row r="278">
      <c r="A278" s="48"/>
      <c r="B278" s="48"/>
      <c r="C278" s="48"/>
      <c r="D278" s="721"/>
      <c r="E278" s="711"/>
      <c r="F278" s="711"/>
      <c r="G278" s="721"/>
      <c r="H278" s="721"/>
      <c r="I278" s="721"/>
      <c r="J278" s="48"/>
      <c r="K278" s="721"/>
      <c r="L278" s="721"/>
      <c r="M278" s="721"/>
      <c r="N278" s="719"/>
      <c r="O278" s="48"/>
      <c r="P278" s="719"/>
      <c r="Q278" s="48"/>
      <c r="R278" s="48"/>
      <c r="S278" s="711" t="str">
        <f>IFERROR(__xludf.DUMMYFUNCTION("""COMPUTED_VALUE"""),"")</f>
        <v/>
      </c>
      <c r="T278" s="721"/>
      <c r="U278" s="721"/>
      <c r="V278" s="711"/>
      <c r="W278" s="721"/>
      <c r="X278" s="721"/>
      <c r="Y278" s="48"/>
      <c r="Z278" s="48"/>
      <c r="AA278" s="48"/>
      <c r="AB278" s="711"/>
      <c r="AC278" s="711"/>
      <c r="AD278" s="711"/>
      <c r="AE278" s="711"/>
      <c r="AF278" s="711"/>
      <c r="AG278" s="711"/>
      <c r="AH278" s="711"/>
    </row>
    <row r="279">
      <c r="A279" s="48"/>
      <c r="B279" s="48"/>
      <c r="C279" s="48"/>
      <c r="D279" s="721"/>
      <c r="E279" s="711"/>
      <c r="F279" s="711"/>
      <c r="G279" s="721"/>
      <c r="H279" s="721"/>
      <c r="I279" s="721"/>
      <c r="J279" s="48"/>
      <c r="K279" s="721"/>
      <c r="L279" s="721"/>
      <c r="M279" s="721"/>
      <c r="N279" s="719"/>
      <c r="O279" s="48"/>
      <c r="P279" s="719"/>
      <c r="Q279" s="48"/>
      <c r="R279" s="48"/>
      <c r="S279" s="711" t="str">
        <f>IFERROR(__xludf.DUMMYFUNCTION("""COMPUTED_VALUE"""),"")</f>
        <v/>
      </c>
      <c r="T279" s="721"/>
      <c r="U279" s="721"/>
      <c r="V279" s="711"/>
      <c r="W279" s="721"/>
      <c r="X279" s="721"/>
      <c r="Y279" s="48"/>
      <c r="Z279" s="48"/>
      <c r="AA279" s="48"/>
      <c r="AB279" s="711"/>
      <c r="AC279" s="711"/>
      <c r="AD279" s="711"/>
      <c r="AE279" s="711"/>
      <c r="AF279" s="711"/>
      <c r="AG279" s="711"/>
      <c r="AH279" s="711"/>
    </row>
    <row r="280">
      <c r="A280" s="48"/>
      <c r="B280" s="48"/>
      <c r="C280" s="48"/>
      <c r="D280" s="721"/>
      <c r="E280" s="711"/>
      <c r="F280" s="711"/>
      <c r="G280" s="721"/>
      <c r="H280" s="721"/>
      <c r="I280" s="721"/>
      <c r="J280" s="48"/>
      <c r="K280" s="721"/>
      <c r="L280" s="721"/>
      <c r="M280" s="721"/>
      <c r="N280" s="719"/>
      <c r="O280" s="48"/>
      <c r="P280" s="719"/>
      <c r="Q280" s="48"/>
      <c r="R280" s="48"/>
      <c r="S280" s="711" t="str">
        <f>IFERROR(__xludf.DUMMYFUNCTION("""COMPUTED_VALUE"""),"")</f>
        <v/>
      </c>
      <c r="T280" s="721"/>
      <c r="U280" s="721"/>
      <c r="V280" s="711"/>
      <c r="W280" s="721"/>
      <c r="X280" s="721"/>
      <c r="Y280" s="48"/>
      <c r="Z280" s="48"/>
      <c r="AA280" s="48"/>
      <c r="AB280" s="711"/>
      <c r="AC280" s="711"/>
      <c r="AD280" s="711"/>
      <c r="AE280" s="711"/>
      <c r="AF280" s="711"/>
      <c r="AG280" s="711"/>
      <c r="AH280" s="711"/>
    </row>
    <row r="281">
      <c r="A281" s="48"/>
      <c r="B281" s="48"/>
      <c r="C281" s="48"/>
      <c r="D281" s="721"/>
      <c r="E281" s="711"/>
      <c r="F281" s="711"/>
      <c r="G281" s="721"/>
      <c r="H281" s="721"/>
      <c r="I281" s="721"/>
      <c r="J281" s="48"/>
      <c r="K281" s="721"/>
      <c r="L281" s="721"/>
      <c r="M281" s="721"/>
      <c r="N281" s="719"/>
      <c r="O281" s="48"/>
      <c r="P281" s="719"/>
      <c r="Q281" s="48"/>
      <c r="R281" s="48"/>
      <c r="S281" s="711" t="str">
        <f>IFERROR(__xludf.DUMMYFUNCTION("""COMPUTED_VALUE"""),"")</f>
        <v/>
      </c>
      <c r="T281" s="721"/>
      <c r="U281" s="721"/>
      <c r="V281" s="711"/>
      <c r="W281" s="721"/>
      <c r="X281" s="721"/>
      <c r="Y281" s="48"/>
      <c r="Z281" s="48"/>
      <c r="AA281" s="48"/>
      <c r="AB281" s="711"/>
      <c r="AC281" s="711"/>
      <c r="AD281" s="711"/>
      <c r="AE281" s="711"/>
      <c r="AF281" s="711"/>
      <c r="AG281" s="711"/>
      <c r="AH281" s="711"/>
    </row>
    <row r="282">
      <c r="A282" s="48"/>
      <c r="B282" s="48"/>
      <c r="C282" s="48"/>
      <c r="D282" s="721"/>
      <c r="E282" s="711"/>
      <c r="F282" s="711"/>
      <c r="G282" s="721"/>
      <c r="H282" s="721"/>
      <c r="I282" s="721"/>
      <c r="J282" s="48"/>
      <c r="K282" s="721"/>
      <c r="L282" s="721"/>
      <c r="M282" s="721"/>
      <c r="N282" s="719"/>
      <c r="O282" s="48"/>
      <c r="P282" s="719"/>
      <c r="Q282" s="48"/>
      <c r="R282" s="711" t="str">
        <f>IFERROR(__xludf.DUMMYFUNCTION("""COMPUTED_VALUE"""),"2526MODULOMAR14.Y")</f>
        <v>2526MODULOMAR14.Y</v>
      </c>
      <c r="S282" s="711">
        <f>IFERROR(__xludf.DUMMYFUNCTION("""COMPUTED_VALUE"""),40.0)</f>
        <v>40</v>
      </c>
      <c r="T282" s="721" t="str">
        <f>IFERROR(__xludf.DUMMYFUNCTION("""COMPUTED_VALUE"""),"2526MODULOMAR14.Y")</f>
        <v>2526MODULOMAR14.Y</v>
      </c>
      <c r="U282" s="721"/>
      <c r="V282" s="711"/>
      <c r="W282" s="721"/>
      <c r="X282" s="721"/>
      <c r="Y282" s="48"/>
      <c r="Z282" s="48"/>
      <c r="AA282" s="48"/>
      <c r="AB282" s="711"/>
      <c r="AC282" s="711"/>
      <c r="AD282" s="711"/>
      <c r="AE282" s="711"/>
      <c r="AF282" s="711"/>
      <c r="AG282" s="711"/>
      <c r="AH282" s="711"/>
    </row>
    <row r="283">
      <c r="A283" s="48"/>
      <c r="B283" s="48"/>
      <c r="C283" s="48"/>
      <c r="D283" s="721"/>
      <c r="E283" s="711"/>
      <c r="F283" s="711"/>
      <c r="G283" s="721"/>
      <c r="H283" s="721"/>
      <c r="I283" s="721"/>
      <c r="J283" s="48"/>
      <c r="K283" s="721"/>
      <c r="L283" s="721"/>
      <c r="M283" s="721"/>
      <c r="N283" s="719"/>
      <c r="O283" s="48"/>
      <c r="P283" s="719"/>
      <c r="Q283" s="48"/>
      <c r="R283" s="48"/>
      <c r="S283" s="711" t="str">
        <f>IFERROR(__xludf.DUMMYFUNCTION("""COMPUTED_VALUE"""),"")</f>
        <v/>
      </c>
      <c r="T283" s="721"/>
      <c r="U283" s="721"/>
      <c r="V283" s="711"/>
      <c r="W283" s="721"/>
      <c r="X283" s="721"/>
      <c r="Y283" s="48"/>
      <c r="Z283" s="48"/>
      <c r="AA283" s="48"/>
      <c r="AB283" s="711"/>
      <c r="AC283" s="711"/>
      <c r="AD283" s="711"/>
      <c r="AE283" s="711"/>
      <c r="AF283" s="711"/>
      <c r="AG283" s="711"/>
      <c r="AH283" s="711"/>
    </row>
    <row r="284">
      <c r="A284" s="48"/>
      <c r="B284" s="48"/>
      <c r="C284" s="48"/>
      <c r="D284" s="721"/>
      <c r="E284" s="711"/>
      <c r="F284" s="711"/>
      <c r="G284" s="721"/>
      <c r="H284" s="721"/>
      <c r="I284" s="721"/>
      <c r="J284" s="48"/>
      <c r="K284" s="721"/>
      <c r="L284" s="721"/>
      <c r="M284" s="721"/>
      <c r="N284" s="719"/>
      <c r="O284" s="48"/>
      <c r="P284" s="719"/>
      <c r="Q284" s="48"/>
      <c r="R284" s="711" t="str">
        <f>IFERROR(__xludf.DUMMYFUNCTION("""COMPUTED_VALUE"""),"2526MODULOMAR14.Y")</f>
        <v>2526MODULOMAR14.Y</v>
      </c>
      <c r="S284" s="711">
        <f>IFERROR(__xludf.DUMMYFUNCTION("""COMPUTED_VALUE"""),40.0)</f>
        <v>40</v>
      </c>
      <c r="T284" s="721" t="str">
        <f>IFERROR(__xludf.DUMMYFUNCTION("""COMPUTED_VALUE"""),"2526MODULOMAR14.Y")</f>
        <v>2526MODULOMAR14.Y</v>
      </c>
      <c r="U284" s="721"/>
      <c r="V284" s="711"/>
      <c r="W284" s="721"/>
      <c r="X284" s="721"/>
      <c r="Y284" s="48"/>
      <c r="Z284" s="48"/>
      <c r="AA284" s="48"/>
      <c r="AB284" s="711"/>
      <c r="AC284" s="711"/>
      <c r="AD284" s="711"/>
      <c r="AE284" s="711"/>
      <c r="AF284" s="711"/>
      <c r="AG284" s="711"/>
      <c r="AH284" s="711"/>
    </row>
    <row r="285">
      <c r="A285" s="48"/>
      <c r="B285" s="48"/>
      <c r="C285" s="48"/>
      <c r="D285" s="721"/>
      <c r="E285" s="711"/>
      <c r="F285" s="711"/>
      <c r="G285" s="721"/>
      <c r="H285" s="721"/>
      <c r="I285" s="721"/>
      <c r="J285" s="48"/>
      <c r="K285" s="721"/>
      <c r="L285" s="721"/>
      <c r="M285" s="721"/>
      <c r="N285" s="719"/>
      <c r="O285" s="48"/>
      <c r="P285" s="719"/>
      <c r="Q285" s="48"/>
      <c r="R285" s="711" t="str">
        <f>IFERROR(__xludf.DUMMYFUNCTION("""COMPUTED_VALUE"""),"2526MODULOMAR14.Y")</f>
        <v>2526MODULOMAR14.Y</v>
      </c>
      <c r="S285" s="711">
        <f>IFERROR(__xludf.DUMMYFUNCTION("""COMPUTED_VALUE"""),40.0)</f>
        <v>40</v>
      </c>
      <c r="T285" s="721" t="str">
        <f>IFERROR(__xludf.DUMMYFUNCTION("""COMPUTED_VALUE"""),"2526MODULOMAR14.Y")</f>
        <v>2526MODULOMAR14.Y</v>
      </c>
      <c r="U285" s="721"/>
      <c r="V285" s="711"/>
      <c r="W285" s="721"/>
      <c r="X285" s="721"/>
      <c r="Y285" s="48"/>
      <c r="Z285" s="48"/>
      <c r="AA285" s="48"/>
      <c r="AB285" s="711"/>
      <c r="AC285" s="711"/>
      <c r="AD285" s="711"/>
      <c r="AE285" s="711"/>
      <c r="AF285" s="711"/>
      <c r="AG285" s="711"/>
      <c r="AH285" s="711"/>
    </row>
    <row r="286">
      <c r="A286" s="48"/>
      <c r="B286" s="48"/>
      <c r="C286" s="48"/>
      <c r="D286" s="721"/>
      <c r="E286" s="711"/>
      <c r="F286" s="711"/>
      <c r="G286" s="721"/>
      <c r="H286" s="721"/>
      <c r="I286" s="721"/>
      <c r="J286" s="48"/>
      <c r="K286" s="721"/>
      <c r="L286" s="721"/>
      <c r="M286" s="721"/>
      <c r="N286" s="719"/>
      <c r="O286" s="48"/>
      <c r="P286" s="719"/>
      <c r="Q286" s="48"/>
      <c r="R286" s="48"/>
      <c r="S286" s="711" t="str">
        <f>IFERROR(__xludf.DUMMYFUNCTION("""COMPUTED_VALUE"""),"")</f>
        <v/>
      </c>
      <c r="T286" s="721"/>
      <c r="U286" s="721"/>
      <c r="V286" s="711"/>
      <c r="W286" s="721"/>
      <c r="X286" s="721"/>
      <c r="Y286" s="48"/>
      <c r="Z286" s="48"/>
      <c r="AA286" s="48"/>
      <c r="AB286" s="711"/>
      <c r="AC286" s="711"/>
      <c r="AD286" s="711"/>
      <c r="AE286" s="711"/>
      <c r="AF286" s="711"/>
      <c r="AG286" s="711"/>
      <c r="AH286" s="711"/>
    </row>
    <row r="287">
      <c r="A287" s="48"/>
      <c r="B287" s="48"/>
      <c r="C287" s="48"/>
      <c r="D287" s="721"/>
      <c r="E287" s="711"/>
      <c r="F287" s="711"/>
      <c r="G287" s="721"/>
      <c r="H287" s="721"/>
      <c r="I287" s="721"/>
      <c r="J287" s="48"/>
      <c r="K287" s="721"/>
      <c r="L287" s="721"/>
      <c r="M287" s="721"/>
      <c r="N287" s="719"/>
      <c r="O287" s="48"/>
      <c r="P287" s="719"/>
      <c r="Q287" s="48"/>
      <c r="R287" s="48"/>
      <c r="S287" s="711" t="str">
        <f>IFERROR(__xludf.DUMMYFUNCTION("""COMPUTED_VALUE"""),"")</f>
        <v/>
      </c>
      <c r="T287" s="721"/>
      <c r="U287" s="721"/>
      <c r="V287" s="711"/>
      <c r="W287" s="721"/>
      <c r="X287" s="721"/>
      <c r="Y287" s="48"/>
      <c r="Z287" s="48"/>
      <c r="AA287" s="48"/>
      <c r="AB287" s="711"/>
      <c r="AC287" s="711"/>
      <c r="AD287" s="711"/>
      <c r="AE287" s="711"/>
      <c r="AF287" s="711"/>
      <c r="AG287" s="711"/>
      <c r="AH287" s="711"/>
    </row>
    <row r="288">
      <c r="A288" s="48"/>
      <c r="B288" s="48"/>
      <c r="C288" s="48"/>
      <c r="D288" s="721"/>
      <c r="E288" s="711"/>
      <c r="F288" s="711"/>
      <c r="G288" s="721"/>
      <c r="H288" s="721"/>
      <c r="I288" s="721"/>
      <c r="J288" s="48"/>
      <c r="K288" s="721"/>
      <c r="L288" s="721"/>
      <c r="M288" s="721"/>
      <c r="N288" s="719"/>
      <c r="O288" s="48"/>
      <c r="P288" s="719"/>
      <c r="Q288" s="48"/>
      <c r="R288" s="711" t="str">
        <f>IFERROR(__xludf.DUMMYFUNCTION("""COMPUTED_VALUE"""),"2526MODULOMAR14.Y")</f>
        <v>2526MODULOMAR14.Y</v>
      </c>
      <c r="S288" s="711">
        <f>IFERROR(__xludf.DUMMYFUNCTION("""COMPUTED_VALUE"""),40.0)</f>
        <v>40</v>
      </c>
      <c r="T288" s="721" t="str">
        <f>IFERROR(__xludf.DUMMYFUNCTION("""COMPUTED_VALUE"""),"2526MODULOMAR14.Y")</f>
        <v>2526MODULOMAR14.Y</v>
      </c>
      <c r="U288" s="721"/>
      <c r="V288" s="711"/>
      <c r="W288" s="721"/>
      <c r="X288" s="721"/>
      <c r="Y288" s="48"/>
      <c r="Z288" s="48"/>
      <c r="AA288" s="48"/>
      <c r="AB288" s="711"/>
      <c r="AC288" s="711"/>
      <c r="AD288" s="711"/>
      <c r="AE288" s="711"/>
      <c r="AF288" s="711"/>
      <c r="AG288" s="711"/>
      <c r="AH288" s="711"/>
    </row>
    <row r="289">
      <c r="A289" s="48"/>
      <c r="B289" s="48"/>
      <c r="C289" s="48"/>
      <c r="D289" s="721"/>
      <c r="E289" s="711"/>
      <c r="F289" s="711"/>
      <c r="G289" s="721"/>
      <c r="H289" s="721"/>
      <c r="I289" s="721"/>
      <c r="J289" s="48"/>
      <c r="K289" s="721"/>
      <c r="L289" s="721"/>
      <c r="M289" s="721"/>
      <c r="N289" s="719"/>
      <c r="O289" s="48"/>
      <c r="P289" s="719"/>
      <c r="Q289" s="48"/>
      <c r="R289" s="711" t="str">
        <f>IFERROR(__xludf.DUMMYFUNCTION("""COMPUTED_VALUE"""),"2526SEABRAMAR14.Y")</f>
        <v>2526SEABRAMAR14.Y</v>
      </c>
      <c r="S289" s="711">
        <f>IFERROR(__xludf.DUMMYFUNCTION("""COMPUTED_VALUE"""),20.0)</f>
        <v>20</v>
      </c>
      <c r="T289" s="721" t="str">
        <f>IFERROR(__xludf.DUMMYFUNCTION("""COMPUTED_VALUE"""),"2526SEABRAMAR14.Y")</f>
        <v>2526SEABRAMAR14.Y</v>
      </c>
      <c r="U289" s="721"/>
      <c r="V289" s="711"/>
      <c r="W289" s="721"/>
      <c r="X289" s="721"/>
      <c r="Y289" s="48"/>
      <c r="Z289" s="48"/>
      <c r="AA289" s="48"/>
      <c r="AB289" s="711"/>
      <c r="AC289" s="711"/>
      <c r="AD289" s="711"/>
      <c r="AE289" s="711"/>
      <c r="AF289" s="711"/>
      <c r="AG289" s="711"/>
      <c r="AH289" s="711"/>
    </row>
    <row r="290">
      <c r="A290" s="48"/>
      <c r="B290" s="48"/>
      <c r="C290" s="48"/>
      <c r="D290" s="721"/>
      <c r="E290" s="711"/>
      <c r="F290" s="711"/>
      <c r="G290" s="721"/>
      <c r="H290" s="721"/>
      <c r="I290" s="721"/>
      <c r="J290" s="48"/>
      <c r="K290" s="721"/>
      <c r="L290" s="721"/>
      <c r="M290" s="721"/>
      <c r="N290" s="719"/>
      <c r="O290" s="48"/>
      <c r="P290" s="719"/>
      <c r="Q290" s="48"/>
      <c r="R290" s="48"/>
      <c r="S290" s="711" t="str">
        <f>IFERROR(__xludf.DUMMYFUNCTION("""COMPUTED_VALUE"""),"")</f>
        <v/>
      </c>
      <c r="T290" s="721"/>
      <c r="U290" s="721"/>
      <c r="V290" s="711"/>
      <c r="W290" s="721"/>
      <c r="X290" s="721"/>
      <c r="Y290" s="48"/>
      <c r="Z290" s="48"/>
      <c r="AA290" s="48"/>
      <c r="AB290" s="711"/>
      <c r="AC290" s="711"/>
      <c r="AD290" s="711"/>
      <c r="AE290" s="711"/>
      <c r="AF290" s="711"/>
      <c r="AG290" s="711"/>
      <c r="AH290" s="711"/>
    </row>
    <row r="291">
      <c r="A291" s="48"/>
      <c r="B291" s="48"/>
      <c r="C291" s="48"/>
      <c r="D291" s="721"/>
      <c r="E291" s="711"/>
      <c r="F291" s="711"/>
      <c r="G291" s="721"/>
      <c r="H291" s="721"/>
      <c r="I291" s="721"/>
      <c r="J291" s="48"/>
      <c r="K291" s="721"/>
      <c r="L291" s="721"/>
      <c r="M291" s="721"/>
      <c r="N291" s="719"/>
      <c r="O291" s="48"/>
      <c r="P291" s="719"/>
      <c r="Q291" s="48"/>
      <c r="R291" s="48"/>
      <c r="S291" s="711" t="str">
        <f>IFERROR(__xludf.DUMMYFUNCTION("""COMPUTED_VALUE"""),"")</f>
        <v/>
      </c>
      <c r="T291" s="721"/>
      <c r="U291" s="721"/>
      <c r="V291" s="711"/>
      <c r="W291" s="721"/>
      <c r="X291" s="721"/>
      <c r="Y291" s="48"/>
      <c r="Z291" s="48"/>
      <c r="AA291" s="48"/>
      <c r="AB291" s="711"/>
      <c r="AC291" s="711"/>
      <c r="AD291" s="711"/>
      <c r="AE291" s="711"/>
      <c r="AF291" s="711"/>
      <c r="AG291" s="711"/>
      <c r="AH291" s="711"/>
    </row>
    <row r="292">
      <c r="A292" s="48"/>
      <c r="B292" s="48"/>
      <c r="C292" s="48"/>
      <c r="D292" s="721"/>
      <c r="E292" s="711"/>
      <c r="F292" s="711"/>
      <c r="G292" s="721"/>
      <c r="H292" s="721"/>
      <c r="I292" s="721"/>
      <c r="J292" s="48"/>
      <c r="K292" s="721"/>
      <c r="L292" s="721"/>
      <c r="M292" s="721"/>
      <c r="N292" s="719"/>
      <c r="O292" s="48"/>
      <c r="P292" s="719"/>
      <c r="Q292" s="48"/>
      <c r="R292" s="48"/>
      <c r="S292" s="711" t="str">
        <f>IFERROR(__xludf.DUMMYFUNCTION("""COMPUTED_VALUE"""),"")</f>
        <v/>
      </c>
      <c r="T292" s="721"/>
      <c r="U292" s="721"/>
      <c r="V292" s="711"/>
      <c r="W292" s="721"/>
      <c r="X292" s="721"/>
      <c r="Y292" s="48"/>
      <c r="Z292" s="48"/>
      <c r="AA292" s="48"/>
      <c r="AB292" s="711"/>
      <c r="AC292" s="711"/>
      <c r="AD292" s="711"/>
      <c r="AE292" s="711"/>
      <c r="AF292" s="711"/>
      <c r="AG292" s="711"/>
      <c r="AH292" s="711"/>
    </row>
    <row r="293">
      <c r="A293" s="48"/>
      <c r="B293" s="48"/>
      <c r="C293" s="48"/>
      <c r="D293" s="721"/>
      <c r="E293" s="711"/>
      <c r="F293" s="711"/>
      <c r="G293" s="721"/>
      <c r="H293" s="721"/>
      <c r="I293" s="721"/>
      <c r="J293" s="48"/>
      <c r="K293" s="721"/>
      <c r="L293" s="721"/>
      <c r="M293" s="721"/>
      <c r="N293" s="719"/>
      <c r="O293" s="48"/>
      <c r="P293" s="719"/>
      <c r="Q293" s="48"/>
      <c r="R293" s="48"/>
      <c r="S293" s="711" t="str">
        <f>IFERROR(__xludf.DUMMYFUNCTION("""COMPUTED_VALUE"""),"")</f>
        <v/>
      </c>
      <c r="T293" s="721"/>
      <c r="U293" s="721"/>
      <c r="V293" s="711"/>
      <c r="W293" s="721"/>
      <c r="X293" s="721"/>
      <c r="Y293" s="48"/>
      <c r="Z293" s="48"/>
      <c r="AA293" s="48"/>
      <c r="AB293" s="711"/>
      <c r="AC293" s="711"/>
      <c r="AD293" s="711"/>
      <c r="AE293" s="711"/>
      <c r="AF293" s="711"/>
      <c r="AG293" s="711"/>
      <c r="AH293" s="711"/>
    </row>
    <row r="294">
      <c r="A294" s="48"/>
      <c r="B294" s="48"/>
      <c r="C294" s="48"/>
      <c r="D294" s="721"/>
      <c r="E294" s="711"/>
      <c r="F294" s="711"/>
      <c r="G294" s="721"/>
      <c r="H294" s="721"/>
      <c r="I294" s="721"/>
      <c r="J294" s="48"/>
      <c r="K294" s="721"/>
      <c r="L294" s="721"/>
      <c r="M294" s="721"/>
      <c r="N294" s="719"/>
      <c r="O294" s="48"/>
      <c r="P294" s="719"/>
      <c r="Q294" s="48"/>
      <c r="R294" s="711" t="str">
        <f>IFERROR(__xludf.DUMMYFUNCTION("""COMPUTED_VALUE"""),"2526MODULOMAR15.Y")</f>
        <v>2526MODULOMAR15.Y</v>
      </c>
      <c r="S294" s="711">
        <f>IFERROR(__xludf.DUMMYFUNCTION("""COMPUTED_VALUE"""),40.0)</f>
        <v>40</v>
      </c>
      <c r="T294" s="721" t="str">
        <f>IFERROR(__xludf.DUMMYFUNCTION("""COMPUTED_VALUE"""),"2526MODULOMAR15.Y")</f>
        <v>2526MODULOMAR15.Y</v>
      </c>
      <c r="U294" s="721"/>
      <c r="V294" s="711"/>
      <c r="W294" s="721"/>
      <c r="X294" s="721"/>
      <c r="Y294" s="48"/>
      <c r="Z294" s="48"/>
      <c r="AA294" s="48"/>
      <c r="AB294" s="711"/>
      <c r="AC294" s="711"/>
      <c r="AD294" s="711"/>
      <c r="AE294" s="711"/>
      <c r="AF294" s="711"/>
      <c r="AG294" s="711"/>
      <c r="AH294" s="711"/>
    </row>
    <row r="295">
      <c r="A295" s="48"/>
      <c r="B295" s="48"/>
      <c r="C295" s="48"/>
      <c r="D295" s="721"/>
      <c r="E295" s="711"/>
      <c r="F295" s="711"/>
      <c r="G295" s="721"/>
      <c r="H295" s="721"/>
      <c r="I295" s="721"/>
      <c r="J295" s="48"/>
      <c r="K295" s="721"/>
      <c r="L295" s="721"/>
      <c r="M295" s="721"/>
      <c r="N295" s="719"/>
      <c r="O295" s="48"/>
      <c r="P295" s="719"/>
      <c r="Q295" s="48"/>
      <c r="R295" s="48"/>
      <c r="S295" s="711" t="str">
        <f>IFERROR(__xludf.DUMMYFUNCTION("""COMPUTED_VALUE"""),"")</f>
        <v/>
      </c>
      <c r="T295" s="721"/>
      <c r="U295" s="721"/>
      <c r="V295" s="711"/>
      <c r="W295" s="721"/>
      <c r="X295" s="721"/>
      <c r="Y295" s="48"/>
      <c r="Z295" s="48"/>
      <c r="AA295" s="48"/>
      <c r="AB295" s="711"/>
      <c r="AC295" s="711"/>
      <c r="AD295" s="711"/>
      <c r="AE295" s="711"/>
      <c r="AF295" s="711"/>
      <c r="AG295" s="711"/>
      <c r="AH295" s="711"/>
    </row>
    <row r="296">
      <c r="A296" s="48"/>
      <c r="B296" s="48"/>
      <c r="C296" s="48"/>
      <c r="D296" s="721"/>
      <c r="E296" s="711"/>
      <c r="F296" s="711"/>
      <c r="G296" s="721"/>
      <c r="H296" s="721"/>
      <c r="I296" s="721"/>
      <c r="J296" s="48"/>
      <c r="K296" s="721"/>
      <c r="L296" s="721"/>
      <c r="M296" s="721"/>
      <c r="N296" s="719"/>
      <c r="O296" s="48"/>
      <c r="P296" s="719"/>
      <c r="Q296" s="48"/>
      <c r="R296" s="711" t="str">
        <f>IFERROR(__xludf.DUMMYFUNCTION("""COMPUTED_VALUE"""),"2526MODULOMAR15.Y")</f>
        <v>2526MODULOMAR15.Y</v>
      </c>
      <c r="S296" s="711">
        <f>IFERROR(__xludf.DUMMYFUNCTION("""COMPUTED_VALUE"""),40.0)</f>
        <v>40</v>
      </c>
      <c r="T296" s="721" t="str">
        <f>IFERROR(__xludf.DUMMYFUNCTION("""COMPUTED_VALUE"""),"2526MODULOMAR15.Y")</f>
        <v>2526MODULOMAR15.Y</v>
      </c>
      <c r="U296" s="721"/>
      <c r="V296" s="711"/>
      <c r="W296" s="721"/>
      <c r="X296" s="721"/>
      <c r="Y296" s="48"/>
      <c r="Z296" s="48"/>
      <c r="AA296" s="48"/>
      <c r="AB296" s="711"/>
      <c r="AC296" s="711"/>
      <c r="AD296" s="711"/>
      <c r="AE296" s="711"/>
      <c r="AF296" s="711"/>
      <c r="AG296" s="711"/>
      <c r="AH296" s="711"/>
    </row>
    <row r="297">
      <c r="A297" s="48"/>
      <c r="B297" s="48"/>
      <c r="C297" s="48"/>
      <c r="D297" s="721"/>
      <c r="E297" s="711"/>
      <c r="F297" s="711"/>
      <c r="G297" s="721"/>
      <c r="H297" s="721"/>
      <c r="I297" s="721"/>
      <c r="J297" s="48"/>
      <c r="K297" s="721"/>
      <c r="L297" s="721"/>
      <c r="M297" s="721"/>
      <c r="N297" s="719"/>
      <c r="O297" s="48"/>
      <c r="P297" s="719"/>
      <c r="Q297" s="48"/>
      <c r="R297" s="711" t="str">
        <f>IFERROR(__xludf.DUMMYFUNCTION("""COMPUTED_VALUE"""),"2526MODULOMAR15.Y")</f>
        <v>2526MODULOMAR15.Y</v>
      </c>
      <c r="S297" s="711">
        <f>IFERROR(__xludf.DUMMYFUNCTION("""COMPUTED_VALUE"""),40.0)</f>
        <v>40</v>
      </c>
      <c r="T297" s="721" t="str">
        <f>IFERROR(__xludf.DUMMYFUNCTION("""COMPUTED_VALUE"""),"2526MODULOMAR15.Y")</f>
        <v>2526MODULOMAR15.Y</v>
      </c>
      <c r="U297" s="721"/>
      <c r="V297" s="711"/>
      <c r="W297" s="721"/>
      <c r="X297" s="721"/>
      <c r="Y297" s="48"/>
      <c r="Z297" s="48"/>
      <c r="AA297" s="48"/>
      <c r="AB297" s="711"/>
      <c r="AC297" s="711"/>
      <c r="AD297" s="711"/>
      <c r="AE297" s="711"/>
      <c r="AF297" s="711"/>
      <c r="AG297" s="711"/>
      <c r="AH297" s="711"/>
    </row>
    <row r="298">
      <c r="A298" s="48"/>
      <c r="B298" s="48"/>
      <c r="C298" s="48"/>
      <c r="D298" s="721"/>
      <c r="E298" s="711"/>
      <c r="F298" s="711"/>
      <c r="G298" s="721"/>
      <c r="H298" s="721"/>
      <c r="I298" s="721"/>
      <c r="J298" s="48"/>
      <c r="K298" s="721"/>
      <c r="L298" s="721"/>
      <c r="M298" s="721"/>
      <c r="N298" s="719"/>
      <c r="O298" s="48"/>
      <c r="P298" s="719"/>
      <c r="Q298" s="48"/>
      <c r="R298" s="48"/>
      <c r="S298" s="711" t="str">
        <f>IFERROR(__xludf.DUMMYFUNCTION("""COMPUTED_VALUE"""),"")</f>
        <v/>
      </c>
      <c r="T298" s="721"/>
      <c r="U298" s="721"/>
      <c r="V298" s="711"/>
      <c r="W298" s="721"/>
      <c r="X298" s="721"/>
      <c r="Y298" s="48"/>
      <c r="Z298" s="48"/>
      <c r="AA298" s="48"/>
      <c r="AB298" s="711"/>
      <c r="AC298" s="711"/>
      <c r="AD298" s="711"/>
      <c r="AE298" s="711"/>
      <c r="AF298" s="711"/>
      <c r="AG298" s="711"/>
      <c r="AH298" s="711"/>
    </row>
    <row r="299">
      <c r="A299" s="48"/>
      <c r="B299" s="48"/>
      <c r="C299" s="48"/>
      <c r="D299" s="721"/>
      <c r="E299" s="711"/>
      <c r="F299" s="711"/>
      <c r="G299" s="721"/>
      <c r="H299" s="721"/>
      <c r="I299" s="721"/>
      <c r="J299" s="48"/>
      <c r="K299" s="721"/>
      <c r="L299" s="721"/>
      <c r="M299" s="721"/>
      <c r="N299" s="719"/>
      <c r="O299" s="48"/>
      <c r="P299" s="719"/>
      <c r="Q299" s="48"/>
      <c r="R299" s="48"/>
      <c r="S299" s="711" t="str">
        <f>IFERROR(__xludf.DUMMYFUNCTION("""COMPUTED_VALUE"""),"")</f>
        <v/>
      </c>
      <c r="T299" s="721"/>
      <c r="U299" s="721"/>
      <c r="V299" s="711"/>
      <c r="W299" s="721"/>
      <c r="X299" s="721"/>
      <c r="Y299" s="48"/>
      <c r="Z299" s="48"/>
      <c r="AA299" s="48"/>
      <c r="AB299" s="711"/>
      <c r="AC299" s="711"/>
      <c r="AD299" s="711"/>
      <c r="AE299" s="711"/>
      <c r="AF299" s="711"/>
      <c r="AG299" s="711"/>
      <c r="AH299" s="711"/>
    </row>
    <row r="300">
      <c r="A300" s="48"/>
      <c r="B300" s="48"/>
      <c r="C300" s="48"/>
      <c r="D300" s="721"/>
      <c r="E300" s="711"/>
      <c r="F300" s="711"/>
      <c r="G300" s="721"/>
      <c r="H300" s="721"/>
      <c r="I300" s="721"/>
      <c r="J300" s="48"/>
      <c r="K300" s="721"/>
      <c r="L300" s="721"/>
      <c r="M300" s="721"/>
      <c r="N300" s="719"/>
      <c r="O300" s="48"/>
      <c r="P300" s="719"/>
      <c r="Q300" s="48"/>
      <c r="R300" s="711" t="str">
        <f>IFERROR(__xludf.DUMMYFUNCTION("""COMPUTED_VALUE"""),"2526MODULOMAR15.Y")</f>
        <v>2526MODULOMAR15.Y</v>
      </c>
      <c r="S300" s="711">
        <f>IFERROR(__xludf.DUMMYFUNCTION("""COMPUTED_VALUE"""),40.0)</f>
        <v>40</v>
      </c>
      <c r="T300" s="721" t="str">
        <f>IFERROR(__xludf.DUMMYFUNCTION("""COMPUTED_VALUE"""),"2526MODULOMAR15.Y")</f>
        <v>2526MODULOMAR15.Y</v>
      </c>
      <c r="U300" s="721"/>
      <c r="V300" s="711"/>
      <c r="W300" s="721"/>
      <c r="X300" s="721"/>
      <c r="Y300" s="48"/>
      <c r="Z300" s="48"/>
      <c r="AA300" s="48"/>
      <c r="AB300" s="711"/>
      <c r="AC300" s="711"/>
      <c r="AD300" s="711"/>
      <c r="AE300" s="711"/>
      <c r="AF300" s="711"/>
      <c r="AG300" s="711"/>
      <c r="AH300" s="711"/>
    </row>
    <row r="301">
      <c r="A301" s="48"/>
      <c r="B301" s="48"/>
      <c r="C301" s="48"/>
      <c r="D301" s="721"/>
      <c r="E301" s="711"/>
      <c r="F301" s="711"/>
      <c r="G301" s="721"/>
      <c r="H301" s="721"/>
      <c r="I301" s="721"/>
      <c r="J301" s="48"/>
      <c r="K301" s="721"/>
      <c r="L301" s="721"/>
      <c r="M301" s="721"/>
      <c r="N301" s="719"/>
      <c r="O301" s="48"/>
      <c r="P301" s="719"/>
      <c r="Q301" s="48"/>
      <c r="R301" s="711" t="str">
        <f>IFERROR(__xludf.DUMMYFUNCTION("""COMPUTED_VALUE"""),"2526SEABRAMAR15.Y")</f>
        <v>2526SEABRAMAR15.Y</v>
      </c>
      <c r="S301" s="711">
        <f>IFERROR(__xludf.DUMMYFUNCTION("""COMPUTED_VALUE"""),20.0)</f>
        <v>20</v>
      </c>
      <c r="T301" s="721" t="str">
        <f>IFERROR(__xludf.DUMMYFUNCTION("""COMPUTED_VALUE"""),"2526SEABRAMAR15.Y")</f>
        <v>2526SEABRAMAR15.Y</v>
      </c>
      <c r="U301" s="721"/>
      <c r="V301" s="711"/>
      <c r="W301" s="721"/>
      <c r="X301" s="721"/>
      <c r="Y301" s="48"/>
      <c r="Z301" s="48"/>
      <c r="AA301" s="48"/>
      <c r="AB301" s="711"/>
      <c r="AC301" s="711"/>
      <c r="AD301" s="711"/>
      <c r="AE301" s="711"/>
      <c r="AF301" s="711"/>
      <c r="AG301" s="711"/>
      <c r="AH301" s="711"/>
    </row>
    <row r="302">
      <c r="A302" s="48"/>
      <c r="B302" s="48"/>
      <c r="C302" s="48"/>
      <c r="D302" s="721"/>
      <c r="E302" s="711"/>
      <c r="F302" s="711"/>
      <c r="G302" s="721"/>
      <c r="H302" s="721"/>
      <c r="I302" s="721"/>
      <c r="J302" s="48"/>
      <c r="K302" s="721"/>
      <c r="L302" s="721"/>
      <c r="M302" s="721"/>
      <c r="N302" s="719"/>
      <c r="O302" s="48"/>
      <c r="P302" s="719"/>
      <c r="Q302" s="48"/>
      <c r="R302" s="48"/>
      <c r="S302" s="711" t="str">
        <f>IFERROR(__xludf.DUMMYFUNCTION("""COMPUTED_VALUE"""),"")</f>
        <v/>
      </c>
      <c r="T302" s="721"/>
      <c r="U302" s="721"/>
      <c r="V302" s="711"/>
      <c r="W302" s="721"/>
      <c r="X302" s="721"/>
      <c r="Y302" s="48"/>
      <c r="Z302" s="48"/>
      <c r="AA302" s="48"/>
      <c r="AB302" s="711"/>
      <c r="AC302" s="711"/>
      <c r="AD302" s="711"/>
      <c r="AE302" s="711"/>
      <c r="AF302" s="711"/>
      <c r="AG302" s="711"/>
      <c r="AH302" s="711"/>
    </row>
    <row r="303">
      <c r="A303" s="48"/>
      <c r="B303" s="48"/>
      <c r="C303" s="48"/>
      <c r="D303" s="721"/>
      <c r="E303" s="711"/>
      <c r="F303" s="711"/>
      <c r="G303" s="721"/>
      <c r="H303" s="721"/>
      <c r="I303" s="721"/>
      <c r="J303" s="48"/>
      <c r="K303" s="721"/>
      <c r="L303" s="721"/>
      <c r="M303" s="721"/>
      <c r="N303" s="719"/>
      <c r="O303" s="48"/>
      <c r="P303" s="719"/>
      <c r="Q303" s="48"/>
      <c r="R303" s="48"/>
      <c r="S303" s="711" t="str">
        <f>IFERROR(__xludf.DUMMYFUNCTION("""COMPUTED_VALUE"""),"")</f>
        <v/>
      </c>
      <c r="T303" s="721"/>
      <c r="U303" s="721"/>
      <c r="V303" s="711"/>
      <c r="W303" s="721"/>
      <c r="X303" s="721"/>
      <c r="Y303" s="48"/>
      <c r="Z303" s="48"/>
      <c r="AA303" s="48"/>
      <c r="AB303" s="711"/>
      <c r="AC303" s="711"/>
      <c r="AD303" s="711"/>
      <c r="AE303" s="711"/>
      <c r="AF303" s="711"/>
      <c r="AG303" s="711"/>
      <c r="AH303" s="711"/>
    </row>
    <row r="304">
      <c r="A304" s="48"/>
      <c r="B304" s="48"/>
      <c r="C304" s="48"/>
      <c r="D304" s="721"/>
      <c r="E304" s="711"/>
      <c r="F304" s="711"/>
      <c r="G304" s="721"/>
      <c r="H304" s="721"/>
      <c r="I304" s="721"/>
      <c r="J304" s="48"/>
      <c r="K304" s="721"/>
      <c r="L304" s="721"/>
      <c r="M304" s="721"/>
      <c r="N304" s="719"/>
      <c r="O304" s="48"/>
      <c r="P304" s="719"/>
      <c r="Q304" s="48"/>
      <c r="R304" s="48"/>
      <c r="S304" s="711" t="str">
        <f>IFERROR(__xludf.DUMMYFUNCTION("""COMPUTED_VALUE"""),"")</f>
        <v/>
      </c>
      <c r="T304" s="721"/>
      <c r="U304" s="721"/>
      <c r="V304" s="711"/>
      <c r="W304" s="721"/>
      <c r="X304" s="721"/>
      <c r="Y304" s="48"/>
      <c r="Z304" s="48"/>
      <c r="AA304" s="48"/>
      <c r="AB304" s="711"/>
      <c r="AC304" s="711"/>
      <c r="AD304" s="711"/>
      <c r="AE304" s="711"/>
      <c r="AF304" s="711"/>
      <c r="AG304" s="711"/>
      <c r="AH304" s="711"/>
    </row>
    <row r="305">
      <c r="A305" s="48"/>
      <c r="B305" s="48"/>
      <c r="C305" s="48"/>
      <c r="D305" s="721"/>
      <c r="E305" s="711"/>
      <c r="F305" s="711"/>
      <c r="G305" s="721"/>
      <c r="H305" s="721"/>
      <c r="I305" s="721"/>
      <c r="J305" s="48"/>
      <c r="K305" s="721"/>
      <c r="L305" s="721"/>
      <c r="M305" s="721"/>
      <c r="N305" s="719"/>
      <c r="O305" s="48"/>
      <c r="P305" s="719"/>
      <c r="Q305" s="48"/>
      <c r="R305" s="48"/>
      <c r="S305" s="711" t="str">
        <f>IFERROR(__xludf.DUMMYFUNCTION("""COMPUTED_VALUE"""),"")</f>
        <v/>
      </c>
      <c r="T305" s="721"/>
      <c r="U305" s="721"/>
      <c r="V305" s="711"/>
      <c r="W305" s="721"/>
      <c r="X305" s="721"/>
      <c r="Y305" s="48"/>
      <c r="Z305" s="48"/>
      <c r="AA305" s="48"/>
      <c r="AB305" s="711"/>
      <c r="AC305" s="711"/>
      <c r="AD305" s="711"/>
      <c r="AE305" s="711"/>
      <c r="AF305" s="711"/>
      <c r="AG305" s="711"/>
      <c r="AH305" s="711"/>
    </row>
    <row r="306">
      <c r="A306" s="48"/>
      <c r="B306" s="48"/>
      <c r="C306" s="48"/>
      <c r="D306" s="721"/>
      <c r="E306" s="711"/>
      <c r="F306" s="711"/>
      <c r="G306" s="721"/>
      <c r="H306" s="721"/>
      <c r="I306" s="721"/>
      <c r="J306" s="48"/>
      <c r="K306" s="721"/>
      <c r="L306" s="721"/>
      <c r="M306" s="721"/>
      <c r="N306" s="719"/>
      <c r="O306" s="48"/>
      <c r="P306" s="719"/>
      <c r="Q306" s="48"/>
      <c r="R306" s="48"/>
      <c r="S306" s="711" t="str">
        <f>IFERROR(__xludf.DUMMYFUNCTION("""COMPUTED_VALUE"""),"")</f>
        <v/>
      </c>
      <c r="T306" s="721"/>
      <c r="U306" s="721"/>
      <c r="V306" s="711"/>
      <c r="W306" s="721"/>
      <c r="X306" s="721"/>
      <c r="Y306" s="48"/>
      <c r="Z306" s="48"/>
      <c r="AA306" s="48"/>
      <c r="AB306" s="711"/>
      <c r="AC306" s="711"/>
      <c r="AD306" s="711"/>
      <c r="AE306" s="711"/>
      <c r="AF306" s="711"/>
      <c r="AG306" s="711"/>
      <c r="AH306" s="711"/>
    </row>
    <row r="307">
      <c r="A307" s="48"/>
      <c r="B307" s="48"/>
      <c r="C307" s="48"/>
      <c r="D307" s="721"/>
      <c r="E307" s="711"/>
      <c r="F307" s="711"/>
      <c r="G307" s="721"/>
      <c r="H307" s="721"/>
      <c r="I307" s="721"/>
      <c r="J307" s="48"/>
      <c r="K307" s="721"/>
      <c r="L307" s="721"/>
      <c r="M307" s="721"/>
      <c r="N307" s="719"/>
      <c r="O307" s="48"/>
      <c r="P307" s="719"/>
      <c r="Q307" s="48"/>
      <c r="R307" s="48"/>
      <c r="S307" s="711" t="str">
        <f>IFERROR(__xludf.DUMMYFUNCTION("""COMPUTED_VALUE"""),"")</f>
        <v/>
      </c>
      <c r="T307" s="721"/>
      <c r="U307" s="721"/>
      <c r="V307" s="711"/>
      <c r="W307" s="721"/>
      <c r="X307" s="721"/>
      <c r="Y307" s="48"/>
      <c r="Z307" s="48"/>
      <c r="AA307" s="48"/>
      <c r="AB307" s="711"/>
      <c r="AC307" s="711"/>
      <c r="AD307" s="711"/>
      <c r="AE307" s="711"/>
      <c r="AF307" s="711"/>
      <c r="AG307" s="711"/>
      <c r="AH307" s="711"/>
    </row>
    <row r="308">
      <c r="A308" s="48"/>
      <c r="B308" s="48"/>
      <c r="C308" s="48"/>
      <c r="D308" s="721"/>
      <c r="E308" s="711"/>
      <c r="F308" s="711"/>
      <c r="G308" s="721"/>
      <c r="H308" s="721"/>
      <c r="I308" s="721"/>
      <c r="J308" s="48"/>
      <c r="K308" s="721"/>
      <c r="L308" s="721"/>
      <c r="M308" s="721"/>
      <c r="N308" s="719"/>
      <c r="O308" s="48"/>
      <c r="P308" s="719"/>
      <c r="Q308" s="48"/>
      <c r="R308" s="714" t="str">
        <f>IFERROR(__xludf.DUMMYFUNCTION("""COMPUTED_VALUE"""),"2526PALAZZOTTOMAR16.B")</f>
        <v>2526PALAZZOTTOMAR16.B</v>
      </c>
      <c r="S308" s="711">
        <f>IFERROR(__xludf.DUMMYFUNCTION("""COMPUTED_VALUE"""),15.0)</f>
        <v>15</v>
      </c>
      <c r="T308" s="722" t="str">
        <f>IFERROR(__xludf.DUMMYFUNCTION("""COMPUTED_VALUE"""),"2526PALAZZOTTOMAR16.B")</f>
        <v>2526PALAZZOTTOMAR16.B</v>
      </c>
      <c r="U308" s="721"/>
      <c r="V308" s="711"/>
      <c r="W308" s="721"/>
      <c r="X308" s="721"/>
      <c r="Y308" s="48"/>
      <c r="Z308" s="48"/>
      <c r="AA308" s="48"/>
      <c r="AB308" s="711"/>
      <c r="AC308" s="711"/>
      <c r="AD308" s="711"/>
      <c r="AE308" s="711"/>
      <c r="AF308" s="711"/>
      <c r="AG308" s="711"/>
      <c r="AH308" s="711"/>
    </row>
    <row r="309">
      <c r="A309" s="48"/>
      <c r="B309" s="48"/>
      <c r="C309" s="48"/>
      <c r="D309" s="721"/>
      <c r="E309" s="711"/>
      <c r="F309" s="711"/>
      <c r="G309" s="721"/>
      <c r="H309" s="721"/>
      <c r="I309" s="721"/>
      <c r="J309" s="48"/>
      <c r="K309" s="721"/>
      <c r="L309" s="721"/>
      <c r="M309" s="721"/>
      <c r="N309" s="719"/>
      <c r="O309" s="48"/>
      <c r="P309" s="719"/>
      <c r="Q309" s="48"/>
      <c r="R309" s="711" t="str">
        <f>IFERROR(__xludf.DUMMYFUNCTION("""COMPUTED_VALUE"""),"2526MODULOMAR16.Y")</f>
        <v>2526MODULOMAR16.Y</v>
      </c>
      <c r="S309" s="711">
        <f>IFERROR(__xludf.DUMMYFUNCTION("""COMPUTED_VALUE"""),40.0)</f>
        <v>40</v>
      </c>
      <c r="T309" s="721" t="str">
        <f>IFERROR(__xludf.DUMMYFUNCTION("""COMPUTED_VALUE"""),"2526MODULOMAR16.Y")</f>
        <v>2526MODULOMAR16.Y</v>
      </c>
      <c r="U309" s="721"/>
      <c r="V309" s="711"/>
      <c r="W309" s="721"/>
      <c r="X309" s="721"/>
      <c r="Y309" s="48"/>
      <c r="Z309" s="48"/>
      <c r="AA309" s="48"/>
      <c r="AB309" s="711"/>
      <c r="AC309" s="711"/>
      <c r="AD309" s="711"/>
      <c r="AE309" s="711"/>
      <c r="AF309" s="711"/>
      <c r="AG309" s="711"/>
      <c r="AH309" s="711"/>
    </row>
    <row r="310">
      <c r="A310" s="48"/>
      <c r="B310" s="48"/>
      <c r="C310" s="48"/>
      <c r="D310" s="721"/>
      <c r="E310" s="711"/>
      <c r="F310" s="711"/>
      <c r="G310" s="721"/>
      <c r="H310" s="721"/>
      <c r="I310" s="721"/>
      <c r="J310" s="48"/>
      <c r="K310" s="721"/>
      <c r="L310" s="721"/>
      <c r="M310" s="721"/>
      <c r="N310" s="719"/>
      <c r="O310" s="48"/>
      <c r="P310" s="719"/>
      <c r="Q310" s="48"/>
      <c r="R310" s="48"/>
      <c r="S310" s="711" t="str">
        <f>IFERROR(__xludf.DUMMYFUNCTION("""COMPUTED_VALUE"""),"")</f>
        <v/>
      </c>
      <c r="T310" s="721"/>
      <c r="U310" s="721"/>
      <c r="V310" s="711"/>
      <c r="W310" s="721"/>
      <c r="X310" s="721"/>
      <c r="Y310" s="48"/>
      <c r="Z310" s="48"/>
      <c r="AA310" s="48"/>
      <c r="AB310" s="711"/>
      <c r="AC310" s="711"/>
      <c r="AD310" s="711"/>
      <c r="AE310" s="711"/>
      <c r="AF310" s="711"/>
      <c r="AG310" s="711"/>
      <c r="AH310" s="711"/>
    </row>
    <row r="311">
      <c r="A311" s="48"/>
      <c r="B311" s="48"/>
      <c r="C311" s="48"/>
      <c r="D311" s="721"/>
      <c r="E311" s="711"/>
      <c r="F311" s="711"/>
      <c r="G311" s="721"/>
      <c r="H311" s="721"/>
      <c r="I311" s="721"/>
      <c r="J311" s="48"/>
      <c r="K311" s="721"/>
      <c r="L311" s="721"/>
      <c r="M311" s="721"/>
      <c r="N311" s="719"/>
      <c r="O311" s="48"/>
      <c r="P311" s="719"/>
      <c r="Q311" s="48"/>
      <c r="R311" s="48"/>
      <c r="S311" s="711" t="str">
        <f>IFERROR(__xludf.DUMMYFUNCTION("""COMPUTED_VALUE"""),"")</f>
        <v/>
      </c>
      <c r="T311" s="721"/>
      <c r="U311" s="721"/>
      <c r="V311" s="711"/>
      <c r="W311" s="721"/>
      <c r="X311" s="721"/>
      <c r="Y311" s="48"/>
      <c r="Z311" s="48"/>
      <c r="AA311" s="48"/>
      <c r="AB311" s="711"/>
      <c r="AC311" s="711"/>
      <c r="AD311" s="711"/>
      <c r="AE311" s="711"/>
      <c r="AF311" s="711"/>
      <c r="AG311" s="711"/>
      <c r="AH311" s="711"/>
    </row>
    <row r="312">
      <c r="A312" s="48"/>
      <c r="B312" s="48"/>
      <c r="C312" s="48"/>
      <c r="D312" s="721"/>
      <c r="E312" s="711"/>
      <c r="F312" s="711"/>
      <c r="G312" s="721"/>
      <c r="H312" s="721"/>
      <c r="I312" s="721"/>
      <c r="J312" s="48"/>
      <c r="K312" s="721"/>
      <c r="L312" s="721"/>
      <c r="M312" s="721"/>
      <c r="N312" s="719"/>
      <c r="O312" s="48"/>
      <c r="P312" s="719"/>
      <c r="Q312" s="48"/>
      <c r="R312" s="48"/>
      <c r="S312" s="711" t="str">
        <f>IFERROR(__xludf.DUMMYFUNCTION("""COMPUTED_VALUE"""),"")</f>
        <v/>
      </c>
      <c r="T312" s="721"/>
      <c r="U312" s="721"/>
      <c r="V312" s="711"/>
      <c r="W312" s="721"/>
      <c r="X312" s="721"/>
      <c r="Y312" s="48"/>
      <c r="Z312" s="48"/>
      <c r="AA312" s="48"/>
      <c r="AB312" s="711"/>
      <c r="AC312" s="711"/>
      <c r="AD312" s="711"/>
      <c r="AE312" s="711"/>
      <c r="AF312" s="711"/>
      <c r="AG312" s="711"/>
      <c r="AH312" s="711"/>
    </row>
    <row r="313">
      <c r="A313" s="48"/>
      <c r="B313" s="48"/>
      <c r="C313" s="48"/>
      <c r="D313" s="721"/>
      <c r="E313" s="711"/>
      <c r="F313" s="711"/>
      <c r="G313" s="721"/>
      <c r="H313" s="721"/>
      <c r="I313" s="721"/>
      <c r="J313" s="48"/>
      <c r="K313" s="721"/>
      <c r="L313" s="721"/>
      <c r="M313" s="721"/>
      <c r="N313" s="719"/>
      <c r="O313" s="48"/>
      <c r="P313" s="719"/>
      <c r="Q313" s="48"/>
      <c r="R313" s="714" t="str">
        <f>IFERROR(__xludf.DUMMYFUNCTION("""COMPUTED_VALUE"""),"2526BORRIMAR16.B")</f>
        <v>2526BORRIMAR16.B</v>
      </c>
      <c r="S313" s="711">
        <f>IFERROR(__xludf.DUMMYFUNCTION("""COMPUTED_VALUE"""),15.0)</f>
        <v>15</v>
      </c>
      <c r="T313" s="722" t="str">
        <f>IFERROR(__xludf.DUMMYFUNCTION("""COMPUTED_VALUE"""),"2526BORRIMAR16.B")</f>
        <v>2526BORRIMAR16.B</v>
      </c>
      <c r="U313" s="721"/>
      <c r="V313" s="711"/>
      <c r="W313" s="721"/>
      <c r="X313" s="721"/>
      <c r="Y313" s="48"/>
      <c r="Z313" s="48"/>
      <c r="AA313" s="48"/>
      <c r="AB313" s="711"/>
      <c r="AC313" s="711"/>
      <c r="AD313" s="711"/>
      <c r="AE313" s="711"/>
      <c r="AF313" s="711"/>
      <c r="AG313" s="711"/>
      <c r="AH313" s="711"/>
    </row>
    <row r="314">
      <c r="A314" s="48"/>
      <c r="B314" s="48"/>
      <c r="C314" s="48"/>
      <c r="D314" s="721"/>
      <c r="E314" s="711"/>
      <c r="F314" s="711"/>
      <c r="G314" s="721"/>
      <c r="H314" s="721"/>
      <c r="I314" s="721"/>
      <c r="J314" s="48"/>
      <c r="K314" s="721"/>
      <c r="L314" s="721"/>
      <c r="M314" s="721"/>
      <c r="N314" s="719"/>
      <c r="O314" s="48"/>
      <c r="P314" s="719"/>
      <c r="Q314" s="48"/>
      <c r="R314" s="48"/>
      <c r="S314" s="711" t="str">
        <f>IFERROR(__xludf.DUMMYFUNCTION("""COMPUTED_VALUE"""),"")</f>
        <v/>
      </c>
      <c r="T314" s="721"/>
      <c r="U314" s="721"/>
      <c r="V314" s="711"/>
      <c r="W314" s="721"/>
      <c r="X314" s="721"/>
      <c r="Y314" s="48"/>
      <c r="Z314" s="48"/>
      <c r="AA314" s="48"/>
      <c r="AB314" s="711"/>
      <c r="AC314" s="711"/>
      <c r="AD314" s="711"/>
      <c r="AE314" s="711"/>
      <c r="AF314" s="711"/>
      <c r="AG314" s="711"/>
      <c r="AH314" s="711"/>
    </row>
    <row r="315">
      <c r="A315" s="48"/>
      <c r="B315" s="48"/>
      <c r="C315" s="48"/>
      <c r="D315" s="721"/>
      <c r="E315" s="711"/>
      <c r="F315" s="711"/>
      <c r="G315" s="721"/>
      <c r="H315" s="721"/>
      <c r="I315" s="721"/>
      <c r="J315" s="48"/>
      <c r="K315" s="721"/>
      <c r="L315" s="721"/>
      <c r="M315" s="721"/>
      <c r="N315" s="719"/>
      <c r="O315" s="48"/>
      <c r="P315" s="719"/>
      <c r="Q315" s="48"/>
      <c r="R315" s="48"/>
      <c r="S315" s="711" t="str">
        <f>IFERROR(__xludf.DUMMYFUNCTION("""COMPUTED_VALUE"""),"")</f>
        <v/>
      </c>
      <c r="T315" s="721"/>
      <c r="U315" s="721"/>
      <c r="V315" s="711"/>
      <c r="W315" s="721"/>
      <c r="X315" s="721"/>
      <c r="Y315" s="48"/>
      <c r="Z315" s="48"/>
      <c r="AA315" s="48"/>
      <c r="AB315" s="711"/>
      <c r="AC315" s="711"/>
      <c r="AD315" s="711"/>
      <c r="AE315" s="711"/>
      <c r="AF315" s="711"/>
      <c r="AG315" s="711"/>
      <c r="AH315" s="711"/>
    </row>
    <row r="316">
      <c r="A316" s="48"/>
      <c r="B316" s="48"/>
      <c r="C316" s="48"/>
      <c r="D316" s="721"/>
      <c r="E316" s="711"/>
      <c r="F316" s="711"/>
      <c r="G316" s="721"/>
      <c r="H316" s="721"/>
      <c r="I316" s="721"/>
      <c r="J316" s="48"/>
      <c r="K316" s="721"/>
      <c r="L316" s="721"/>
      <c r="M316" s="721"/>
      <c r="N316" s="719"/>
      <c r="O316" s="48"/>
      <c r="P316" s="719"/>
      <c r="Q316" s="48"/>
      <c r="R316" s="48"/>
      <c r="S316" s="711" t="str">
        <f>IFERROR(__xludf.DUMMYFUNCTION("""COMPUTED_VALUE"""),"")</f>
        <v/>
      </c>
      <c r="T316" s="721"/>
      <c r="U316" s="721"/>
      <c r="V316" s="711"/>
      <c r="W316" s="721"/>
      <c r="X316" s="721"/>
      <c r="Y316" s="48"/>
      <c r="Z316" s="48"/>
      <c r="AA316" s="48"/>
      <c r="AB316" s="711"/>
      <c r="AC316" s="711"/>
      <c r="AD316" s="711"/>
      <c r="AE316" s="711"/>
      <c r="AF316" s="711"/>
      <c r="AG316" s="711"/>
      <c r="AH316" s="711"/>
    </row>
    <row r="317">
      <c r="A317" s="48"/>
      <c r="B317" s="48"/>
      <c r="C317" s="48"/>
      <c r="D317" s="721"/>
      <c r="E317" s="711"/>
      <c r="F317" s="711"/>
      <c r="G317" s="721"/>
      <c r="H317" s="721"/>
      <c r="I317" s="721"/>
      <c r="J317" s="48"/>
      <c r="K317" s="721"/>
      <c r="L317" s="721"/>
      <c r="M317" s="721"/>
      <c r="N317" s="719"/>
      <c r="O317" s="48"/>
      <c r="P317" s="719"/>
      <c r="Q317" s="48"/>
      <c r="R317" s="48"/>
      <c r="S317" s="711" t="str">
        <f>IFERROR(__xludf.DUMMYFUNCTION("""COMPUTED_VALUE"""),"")</f>
        <v/>
      </c>
      <c r="T317" s="721"/>
      <c r="U317" s="721"/>
      <c r="V317" s="711"/>
      <c r="W317" s="721"/>
      <c r="X317" s="721"/>
      <c r="Y317" s="48"/>
      <c r="Z317" s="48"/>
      <c r="AA317" s="48"/>
      <c r="AB317" s="711"/>
      <c r="AC317" s="711"/>
      <c r="AD317" s="711"/>
      <c r="AE317" s="711"/>
      <c r="AF317" s="711"/>
      <c r="AG317" s="711"/>
      <c r="AH317" s="711"/>
    </row>
    <row r="318">
      <c r="A318" s="48"/>
      <c r="B318" s="48"/>
      <c r="C318" s="48"/>
      <c r="D318" s="721"/>
      <c r="E318" s="711"/>
      <c r="F318" s="711"/>
      <c r="G318" s="721"/>
      <c r="H318" s="721"/>
      <c r="I318" s="721"/>
      <c r="J318" s="48"/>
      <c r="K318" s="721"/>
      <c r="L318" s="721"/>
      <c r="M318" s="721"/>
      <c r="N318" s="719"/>
      <c r="O318" s="48"/>
      <c r="P318" s="719"/>
      <c r="Q318" s="48"/>
      <c r="R318" s="714" t="str">
        <f>IFERROR(__xludf.DUMMYFUNCTION("""COMPUTED_VALUE"""),"2526MARINOMAR17.B")</f>
        <v>2526MARINOMAR17.B</v>
      </c>
      <c r="S318" s="711">
        <f>IFERROR(__xludf.DUMMYFUNCTION("""COMPUTED_VALUE"""),11.0)</f>
        <v>11</v>
      </c>
      <c r="T318" s="722" t="str">
        <f>IFERROR(__xludf.DUMMYFUNCTION("""COMPUTED_VALUE"""),"2526MARINOMAR17.B")</f>
        <v>2526MARINOMAR17.B</v>
      </c>
      <c r="U318" s="721"/>
      <c r="V318" s="711"/>
      <c r="W318" s="721"/>
      <c r="X318" s="721"/>
      <c r="Y318" s="48"/>
      <c r="Z318" s="48"/>
      <c r="AA318" s="48"/>
      <c r="AB318" s="711"/>
      <c r="AC318" s="711"/>
      <c r="AD318" s="711"/>
      <c r="AE318" s="711"/>
      <c r="AF318" s="711"/>
      <c r="AG318" s="711"/>
      <c r="AH318" s="711"/>
    </row>
    <row r="319">
      <c r="A319" s="48"/>
      <c r="B319" s="48"/>
      <c r="C319" s="48"/>
      <c r="D319" s="721"/>
      <c r="E319" s="711"/>
      <c r="F319" s="711"/>
      <c r="G319" s="721"/>
      <c r="H319" s="721"/>
      <c r="I319" s="721"/>
      <c r="J319" s="48"/>
      <c r="K319" s="721"/>
      <c r="L319" s="721"/>
      <c r="M319" s="721"/>
      <c r="N319" s="719"/>
      <c r="O319" s="48"/>
      <c r="P319" s="719"/>
      <c r="Q319" s="48"/>
      <c r="R319" s="714" t="str">
        <f>IFERROR(__xludf.DUMMYFUNCTION("""COMPUTED_VALUE"""),"2526GARIANOMAR17.B")</f>
        <v>2526GARIANOMAR17.B</v>
      </c>
      <c r="S319" s="711">
        <f>IFERROR(__xludf.DUMMYFUNCTION("""COMPUTED_VALUE"""),15.0)</f>
        <v>15</v>
      </c>
      <c r="T319" s="722" t="str">
        <f>IFERROR(__xludf.DUMMYFUNCTION("""COMPUTED_VALUE"""),"2526GARIANOMAR17.B")</f>
        <v>2526GARIANOMAR17.B</v>
      </c>
      <c r="U319" s="721"/>
      <c r="V319" s="711"/>
      <c r="W319" s="721"/>
      <c r="X319" s="721"/>
      <c r="Y319" s="48"/>
      <c r="Z319" s="48"/>
      <c r="AA319" s="48"/>
      <c r="AB319" s="711"/>
      <c r="AC319" s="711"/>
      <c r="AD319" s="711"/>
      <c r="AE319" s="711"/>
      <c r="AF319" s="711"/>
      <c r="AG319" s="711"/>
      <c r="AH319" s="711"/>
    </row>
    <row r="320">
      <c r="A320" s="48"/>
      <c r="B320" s="48"/>
      <c r="C320" s="48"/>
      <c r="D320" s="721"/>
      <c r="E320" s="711"/>
      <c r="F320" s="711"/>
      <c r="G320" s="721"/>
      <c r="H320" s="721"/>
      <c r="I320" s="721"/>
      <c r="J320" s="48"/>
      <c r="K320" s="721"/>
      <c r="L320" s="721"/>
      <c r="M320" s="721"/>
      <c r="N320" s="719"/>
      <c r="O320" s="48"/>
      <c r="P320" s="719"/>
      <c r="Q320" s="48"/>
      <c r="R320" s="714" t="str">
        <f>IFERROR(__xludf.DUMMYFUNCTION("""COMPUTED_VALUE"""),"2526PALAZZOTTOMAR17.B")</f>
        <v>2526PALAZZOTTOMAR17.B</v>
      </c>
      <c r="S320" s="711">
        <f>IFERROR(__xludf.DUMMYFUNCTION("""COMPUTED_VALUE"""),12.0)</f>
        <v>12</v>
      </c>
      <c r="T320" s="722" t="str">
        <f>IFERROR(__xludf.DUMMYFUNCTION("""COMPUTED_VALUE"""),"2526PALAZZOTTOMAR17.B")</f>
        <v>2526PALAZZOTTOMAR17.B</v>
      </c>
      <c r="U320" s="721"/>
      <c r="V320" s="711"/>
      <c r="W320" s="721"/>
      <c r="X320" s="721"/>
      <c r="Y320" s="48"/>
      <c r="Z320" s="48"/>
      <c r="AA320" s="48"/>
      <c r="AB320" s="711"/>
      <c r="AC320" s="711"/>
      <c r="AD320" s="711"/>
      <c r="AE320" s="711"/>
      <c r="AF320" s="711"/>
      <c r="AG320" s="711"/>
      <c r="AH320" s="711"/>
    </row>
    <row r="321">
      <c r="A321" s="48"/>
      <c r="B321" s="48"/>
      <c r="C321" s="48"/>
      <c r="D321" s="721"/>
      <c r="E321" s="711"/>
      <c r="F321" s="711"/>
      <c r="G321" s="721"/>
      <c r="H321" s="721"/>
      <c r="I321" s="721"/>
      <c r="J321" s="48"/>
      <c r="K321" s="721"/>
      <c r="L321" s="721"/>
      <c r="M321" s="721"/>
      <c r="N321" s="719"/>
      <c r="O321" s="48"/>
      <c r="P321" s="719"/>
      <c r="Q321" s="48"/>
      <c r="R321" s="714" t="str">
        <f>IFERROR(__xludf.DUMMYFUNCTION("""COMPUTED_VALUE"""),"2526CRUZMAR17.F")</f>
        <v>2526CRUZMAR17.F</v>
      </c>
      <c r="S321" s="711">
        <f>IFERROR(__xludf.DUMMYFUNCTION("""COMPUTED_VALUE"""),30.0)</f>
        <v>30</v>
      </c>
      <c r="T321" s="722" t="str">
        <f>IFERROR(__xludf.DUMMYFUNCTION("""COMPUTED_VALUE"""),"2526CRUZMAR17.F")</f>
        <v>2526CRUZMAR17.F</v>
      </c>
      <c r="U321" s="721"/>
      <c r="V321" s="711"/>
      <c r="W321" s="721"/>
      <c r="X321" s="721"/>
      <c r="Y321" s="48"/>
      <c r="Z321" s="48"/>
      <c r="AA321" s="48"/>
      <c r="AB321" s="711"/>
      <c r="AC321" s="711"/>
      <c r="AD321" s="711"/>
      <c r="AE321" s="711"/>
      <c r="AF321" s="711"/>
      <c r="AG321" s="711"/>
      <c r="AH321" s="711"/>
    </row>
    <row r="322">
      <c r="A322" s="48"/>
      <c r="B322" s="48"/>
      <c r="C322" s="48"/>
      <c r="D322" s="721"/>
      <c r="E322" s="711"/>
      <c r="F322" s="711"/>
      <c r="G322" s="721"/>
      <c r="H322" s="721"/>
      <c r="I322" s="721"/>
      <c r="J322" s="48"/>
      <c r="K322" s="721"/>
      <c r="L322" s="721"/>
      <c r="M322" s="721"/>
      <c r="N322" s="719"/>
      <c r="O322" s="48"/>
      <c r="P322" s="719"/>
      <c r="Q322" s="48"/>
      <c r="R322" s="48"/>
      <c r="S322" s="711" t="str">
        <f>IFERROR(__xludf.DUMMYFUNCTION("""COMPUTED_VALUE"""),"")</f>
        <v/>
      </c>
      <c r="T322" s="721"/>
      <c r="U322" s="721"/>
      <c r="V322" s="711"/>
      <c r="W322" s="721"/>
      <c r="X322" s="721"/>
      <c r="Y322" s="48"/>
      <c r="Z322" s="48"/>
      <c r="AA322" s="48"/>
      <c r="AB322" s="711"/>
      <c r="AC322" s="711"/>
      <c r="AD322" s="711"/>
      <c r="AE322" s="711"/>
      <c r="AF322" s="711"/>
      <c r="AG322" s="711"/>
      <c r="AH322" s="711"/>
    </row>
    <row r="323">
      <c r="A323" s="48"/>
      <c r="B323" s="48"/>
      <c r="C323" s="48"/>
      <c r="D323" s="721"/>
      <c r="E323" s="711"/>
      <c r="F323" s="711"/>
      <c r="G323" s="721"/>
      <c r="H323" s="721"/>
      <c r="I323" s="721"/>
      <c r="J323" s="48"/>
      <c r="K323" s="721"/>
      <c r="L323" s="721"/>
      <c r="M323" s="721"/>
      <c r="N323" s="719"/>
      <c r="O323" s="48"/>
      <c r="P323" s="719"/>
      <c r="Q323" s="48"/>
      <c r="R323" s="714" t="str">
        <f>IFERROR(__xludf.DUMMYFUNCTION("""COMPUTED_VALUE"""),"2526DIGENNAROMAR17.B")</f>
        <v>2526DIGENNAROMAR17.B</v>
      </c>
      <c r="S323" s="711">
        <f>IFERROR(__xludf.DUMMYFUNCTION("""COMPUTED_VALUE"""),11.0)</f>
        <v>11</v>
      </c>
      <c r="T323" s="722" t="str">
        <f>IFERROR(__xludf.DUMMYFUNCTION("""COMPUTED_VALUE"""),"2526DIGENNAROMAR17.B")</f>
        <v>2526DIGENNAROMAR17.B</v>
      </c>
      <c r="U323" s="721"/>
      <c r="V323" s="711"/>
      <c r="W323" s="721"/>
      <c r="X323" s="721"/>
      <c r="Y323" s="48"/>
      <c r="Z323" s="48"/>
      <c r="AA323" s="48"/>
      <c r="AB323" s="711"/>
      <c r="AC323" s="711"/>
      <c r="AD323" s="711"/>
      <c r="AE323" s="711"/>
      <c r="AF323" s="711"/>
      <c r="AG323" s="711"/>
      <c r="AH323" s="711"/>
    </row>
    <row r="324">
      <c r="A324" s="48"/>
      <c r="B324" s="48"/>
      <c r="C324" s="48"/>
      <c r="D324" s="721"/>
      <c r="E324" s="711"/>
      <c r="F324" s="711"/>
      <c r="G324" s="721"/>
      <c r="H324" s="721"/>
      <c r="I324" s="721"/>
      <c r="J324" s="48"/>
      <c r="K324" s="721"/>
      <c r="L324" s="721"/>
      <c r="M324" s="721"/>
      <c r="N324" s="719"/>
      <c r="O324" s="48"/>
      <c r="P324" s="719"/>
      <c r="Q324" s="48"/>
      <c r="R324" s="48"/>
      <c r="S324" s="711" t="str">
        <f>IFERROR(__xludf.DUMMYFUNCTION("""COMPUTED_VALUE"""),"")</f>
        <v/>
      </c>
      <c r="T324" s="721"/>
      <c r="U324" s="721"/>
      <c r="V324" s="711"/>
      <c r="W324" s="721"/>
      <c r="X324" s="721"/>
      <c r="Y324" s="48"/>
      <c r="Z324" s="48"/>
      <c r="AA324" s="48"/>
      <c r="AB324" s="711"/>
      <c r="AC324" s="711"/>
      <c r="AD324" s="711"/>
      <c r="AE324" s="711"/>
      <c r="AF324" s="711"/>
      <c r="AG324" s="711"/>
      <c r="AH324" s="711"/>
    </row>
    <row r="325">
      <c r="A325" s="48"/>
      <c r="B325" s="48"/>
      <c r="C325" s="48"/>
      <c r="D325" s="721"/>
      <c r="E325" s="711"/>
      <c r="F325" s="711"/>
      <c r="G325" s="721"/>
      <c r="H325" s="721"/>
      <c r="I325" s="721"/>
      <c r="J325" s="48"/>
      <c r="K325" s="721"/>
      <c r="L325" s="721"/>
      <c r="M325" s="721"/>
      <c r="N325" s="719"/>
      <c r="O325" s="48"/>
      <c r="P325" s="719"/>
      <c r="Q325" s="48"/>
      <c r="R325" s="714" t="str">
        <f>IFERROR(__xludf.DUMMYFUNCTION("""COMPUTED_VALUE"""),"2526BORRIMAR17.B")</f>
        <v>2526BORRIMAR17.B</v>
      </c>
      <c r="S325" s="711">
        <f>IFERROR(__xludf.DUMMYFUNCTION("""COMPUTED_VALUE"""),15.0)</f>
        <v>15</v>
      </c>
      <c r="T325" s="722" t="str">
        <f>IFERROR(__xludf.DUMMYFUNCTION("""COMPUTED_VALUE"""),"2526BORRIMAR17.B")</f>
        <v>2526BORRIMAR17.B</v>
      </c>
      <c r="U325" s="721"/>
      <c r="V325" s="711"/>
      <c r="W325" s="721"/>
      <c r="X325" s="721"/>
      <c r="Y325" s="48"/>
      <c r="Z325" s="48"/>
      <c r="AA325" s="48"/>
      <c r="AB325" s="711"/>
      <c r="AC325" s="711"/>
      <c r="AD325" s="711"/>
      <c r="AE325" s="711"/>
      <c r="AF325" s="711"/>
      <c r="AG325" s="711"/>
      <c r="AH325" s="711"/>
    </row>
    <row r="326">
      <c r="A326" s="48"/>
      <c r="B326" s="48"/>
      <c r="C326" s="48"/>
      <c r="D326" s="721"/>
      <c r="E326" s="711"/>
      <c r="F326" s="711"/>
      <c r="G326" s="721"/>
      <c r="H326" s="721"/>
      <c r="I326" s="721"/>
      <c r="J326" s="48"/>
      <c r="K326" s="721"/>
      <c r="L326" s="721"/>
      <c r="M326" s="721"/>
      <c r="N326" s="719"/>
      <c r="O326" s="48"/>
      <c r="P326" s="719"/>
      <c r="Q326" s="48"/>
      <c r="R326" s="714" t="str">
        <f>IFERROR(__xludf.DUMMYFUNCTION("""COMPUTED_VALUE"""),"2526SETTIMAR18.F")</f>
        <v>2526SETTIMAR18.F</v>
      </c>
      <c r="S326" s="711">
        <f>IFERROR(__xludf.DUMMYFUNCTION("""COMPUTED_VALUE"""),15.0)</f>
        <v>15</v>
      </c>
      <c r="T326" s="722" t="str">
        <f>IFERROR(__xludf.DUMMYFUNCTION("""COMPUTED_VALUE"""),"2526SETTIMAR18.F")</f>
        <v>2526SETTIMAR18.F</v>
      </c>
      <c r="U326" s="721"/>
      <c r="V326" s="711"/>
      <c r="W326" s="721"/>
      <c r="X326" s="721"/>
      <c r="Y326" s="48"/>
      <c r="Z326" s="48"/>
      <c r="AA326" s="48"/>
      <c r="AB326" s="711"/>
      <c r="AC326" s="711"/>
      <c r="AD326" s="711"/>
      <c r="AE326" s="711"/>
      <c r="AF326" s="711"/>
      <c r="AG326" s="711"/>
      <c r="AH326" s="711"/>
    </row>
    <row r="327">
      <c r="A327" s="48"/>
      <c r="B327" s="48"/>
      <c r="C327" s="48"/>
      <c r="D327" s="721"/>
      <c r="E327" s="711"/>
      <c r="F327" s="711"/>
      <c r="G327" s="721"/>
      <c r="H327" s="721"/>
      <c r="I327" s="721"/>
      <c r="J327" s="48"/>
      <c r="K327" s="721"/>
      <c r="L327" s="721"/>
      <c r="M327" s="721"/>
      <c r="N327" s="719"/>
      <c r="O327" s="48"/>
      <c r="P327" s="719"/>
      <c r="Q327" s="48"/>
      <c r="R327" s="714" t="str">
        <f>IFERROR(__xludf.DUMMYFUNCTION("""COMPUTED_VALUE"""),"2526BELLAYMAR18.F")</f>
        <v>2526BELLAYMAR18.F</v>
      </c>
      <c r="S327" s="711">
        <f>IFERROR(__xludf.DUMMYFUNCTION("""COMPUTED_VALUE"""),15.0)</f>
        <v>15</v>
      </c>
      <c r="T327" s="722" t="str">
        <f>IFERROR(__xludf.DUMMYFUNCTION("""COMPUTED_VALUE"""),"2526BELLAYMAR18.F")</f>
        <v>2526BELLAYMAR18.F</v>
      </c>
      <c r="U327" s="721"/>
      <c r="V327" s="711"/>
      <c r="W327" s="721"/>
      <c r="X327" s="721"/>
      <c r="Y327" s="48"/>
      <c r="Z327" s="48"/>
      <c r="AA327" s="48"/>
      <c r="AB327" s="711"/>
      <c r="AC327" s="711"/>
      <c r="AD327" s="711"/>
      <c r="AE327" s="711"/>
      <c r="AF327" s="711"/>
      <c r="AG327" s="711"/>
      <c r="AH327" s="711"/>
    </row>
    <row r="328">
      <c r="A328" s="48"/>
      <c r="B328" s="48"/>
      <c r="C328" s="48"/>
      <c r="D328" s="721"/>
      <c r="E328" s="711"/>
      <c r="F328" s="711"/>
      <c r="G328" s="721"/>
      <c r="H328" s="721"/>
      <c r="I328" s="721"/>
      <c r="J328" s="48"/>
      <c r="K328" s="721"/>
      <c r="L328" s="721"/>
      <c r="M328" s="721"/>
      <c r="N328" s="719"/>
      <c r="O328" s="48"/>
      <c r="P328" s="719"/>
      <c r="Q328" s="48"/>
      <c r="R328" s="48"/>
      <c r="S328" s="711" t="str">
        <f>IFERROR(__xludf.DUMMYFUNCTION("""COMPUTED_VALUE"""),"")</f>
        <v/>
      </c>
      <c r="T328" s="721"/>
      <c r="U328" s="721"/>
      <c r="V328" s="711"/>
      <c r="W328" s="721"/>
      <c r="X328" s="721"/>
      <c r="Y328" s="48"/>
      <c r="Z328" s="48"/>
      <c r="AA328" s="48"/>
      <c r="AB328" s="711"/>
      <c r="AC328" s="711"/>
      <c r="AD328" s="711"/>
      <c r="AE328" s="711"/>
      <c r="AF328" s="711"/>
      <c r="AG328" s="711"/>
      <c r="AH328" s="711"/>
    </row>
    <row r="329">
      <c r="A329" s="48"/>
      <c r="B329" s="48"/>
      <c r="C329" s="48"/>
      <c r="D329" s="721"/>
      <c r="E329" s="711"/>
      <c r="F329" s="711"/>
      <c r="G329" s="721"/>
      <c r="H329" s="721"/>
      <c r="I329" s="721"/>
      <c r="J329" s="48"/>
      <c r="K329" s="721"/>
      <c r="L329" s="721"/>
      <c r="M329" s="721"/>
      <c r="N329" s="719"/>
      <c r="O329" s="48"/>
      <c r="P329" s="719"/>
      <c r="Q329" s="48"/>
      <c r="R329" s="714" t="str">
        <f>IFERROR(__xludf.DUMMYFUNCTION("""COMPUTED_VALUE"""),"2526GALLUZZOMAR18.D")</f>
        <v>2526GALLUZZOMAR18.D</v>
      </c>
      <c r="S329" s="711">
        <f>IFERROR(__xludf.DUMMYFUNCTION("""COMPUTED_VALUE"""),30.0)</f>
        <v>30</v>
      </c>
      <c r="T329" s="722" t="str">
        <f>IFERROR(__xludf.DUMMYFUNCTION("""COMPUTED_VALUE"""),"2526GALLUZZOMAR18.D")</f>
        <v>2526GALLUZZOMAR18.D</v>
      </c>
      <c r="U329" s="721"/>
      <c r="V329" s="711"/>
      <c r="W329" s="721"/>
      <c r="X329" s="721"/>
      <c r="Y329" s="48"/>
      <c r="Z329" s="48"/>
      <c r="AA329" s="48"/>
      <c r="AB329" s="711"/>
      <c r="AC329" s="711"/>
      <c r="AD329" s="711"/>
      <c r="AE329" s="711"/>
      <c r="AF329" s="711"/>
      <c r="AG329" s="711"/>
      <c r="AH329" s="711"/>
    </row>
    <row r="330">
      <c r="A330" s="48"/>
      <c r="B330" s="48"/>
      <c r="C330" s="48"/>
      <c r="D330" s="721"/>
      <c r="E330" s="711"/>
      <c r="F330" s="711"/>
      <c r="G330" s="721"/>
      <c r="H330" s="721"/>
      <c r="I330" s="721"/>
      <c r="J330" s="48"/>
      <c r="K330" s="721"/>
      <c r="L330" s="721"/>
      <c r="M330" s="721"/>
      <c r="N330" s="719"/>
      <c r="O330" s="48"/>
      <c r="P330" s="719"/>
      <c r="Q330" s="48"/>
      <c r="R330" s="714" t="str">
        <f>IFERROR(__xludf.DUMMYFUNCTION("""COMPUTED_VALUE"""),"2526MARINOMAR18.B")</f>
        <v>2526MARINOMAR18.B</v>
      </c>
      <c r="S330" s="711">
        <f>IFERROR(__xludf.DUMMYFUNCTION("""COMPUTED_VALUE"""),11.0)</f>
        <v>11</v>
      </c>
      <c r="T330" s="722" t="str">
        <f>IFERROR(__xludf.DUMMYFUNCTION("""COMPUTED_VALUE"""),"2526MARINOMAR18.B")</f>
        <v>2526MARINOMAR18.B</v>
      </c>
      <c r="U330" s="721"/>
      <c r="V330" s="711"/>
      <c r="W330" s="721"/>
      <c r="X330" s="721"/>
      <c r="Y330" s="48"/>
      <c r="Z330" s="48"/>
      <c r="AA330" s="48"/>
      <c r="AB330" s="711"/>
      <c r="AC330" s="711"/>
      <c r="AD330" s="711"/>
      <c r="AE330" s="711"/>
      <c r="AF330" s="711"/>
      <c r="AG330" s="711"/>
      <c r="AH330" s="711"/>
    </row>
    <row r="331">
      <c r="A331" s="48"/>
      <c r="B331" s="48"/>
      <c r="C331" s="48"/>
      <c r="D331" s="721"/>
      <c r="E331" s="711"/>
      <c r="F331" s="711"/>
      <c r="G331" s="721"/>
      <c r="H331" s="721"/>
      <c r="I331" s="721"/>
      <c r="J331" s="48"/>
      <c r="K331" s="721"/>
      <c r="L331" s="721"/>
      <c r="M331" s="721"/>
      <c r="N331" s="719"/>
      <c r="O331" s="48"/>
      <c r="P331" s="719"/>
      <c r="Q331" s="48"/>
      <c r="R331" s="714" t="str">
        <f>IFERROR(__xludf.DUMMYFUNCTION("""COMPUTED_VALUE"""),"2526GARIANOMAR18.B")</f>
        <v>2526GARIANOMAR18.B</v>
      </c>
      <c r="S331" s="711">
        <f>IFERROR(__xludf.DUMMYFUNCTION("""COMPUTED_VALUE"""),15.0)</f>
        <v>15</v>
      </c>
      <c r="T331" s="722" t="str">
        <f>IFERROR(__xludf.DUMMYFUNCTION("""COMPUTED_VALUE"""),"2526GARIANOMAR18.B")</f>
        <v>2526GARIANOMAR18.B</v>
      </c>
      <c r="U331" s="721"/>
      <c r="V331" s="711"/>
      <c r="W331" s="721"/>
      <c r="X331" s="721"/>
      <c r="Y331" s="48"/>
      <c r="Z331" s="48"/>
      <c r="AA331" s="48"/>
      <c r="AB331" s="711"/>
      <c r="AC331" s="711"/>
      <c r="AD331" s="711"/>
      <c r="AE331" s="711"/>
      <c r="AF331" s="711"/>
      <c r="AG331" s="711"/>
      <c r="AH331" s="711"/>
    </row>
    <row r="332">
      <c r="A332" s="48"/>
      <c r="B332" s="48"/>
      <c r="C332" s="48"/>
      <c r="D332" s="721"/>
      <c r="E332" s="711"/>
      <c r="F332" s="711"/>
      <c r="G332" s="721"/>
      <c r="H332" s="721"/>
      <c r="I332" s="721"/>
      <c r="J332" s="48"/>
      <c r="K332" s="721"/>
      <c r="L332" s="721"/>
      <c r="M332" s="721"/>
      <c r="N332" s="719"/>
      <c r="O332" s="48"/>
      <c r="P332" s="719"/>
      <c r="Q332" s="48"/>
      <c r="R332" s="714" t="str">
        <f>IFERROR(__xludf.DUMMYFUNCTION("""COMPUTED_VALUE"""),"2526CRISSAMAR18.D")</f>
        <v>2526CRISSAMAR18.D</v>
      </c>
      <c r="S332" s="711">
        <f>IFERROR(__xludf.DUMMYFUNCTION("""COMPUTED_VALUE"""),24.0)</f>
        <v>24</v>
      </c>
      <c r="T332" s="722" t="str">
        <f>IFERROR(__xludf.DUMMYFUNCTION("""COMPUTED_VALUE"""),"2526CRISSAMAR18.D")</f>
        <v>2526CRISSAMAR18.D</v>
      </c>
      <c r="U332" s="721"/>
      <c r="V332" s="711"/>
      <c r="W332" s="721"/>
      <c r="X332" s="721"/>
      <c r="Y332" s="48"/>
      <c r="Z332" s="48"/>
      <c r="AA332" s="48"/>
      <c r="AB332" s="711"/>
      <c r="AC332" s="711"/>
      <c r="AD332" s="711"/>
      <c r="AE332" s="711"/>
      <c r="AF332" s="711"/>
      <c r="AG332" s="711"/>
      <c r="AH332" s="711"/>
    </row>
    <row r="333">
      <c r="A333" s="48"/>
      <c r="B333" s="48"/>
      <c r="C333" s="48"/>
      <c r="D333" s="721"/>
      <c r="E333" s="711"/>
      <c r="F333" s="711"/>
      <c r="G333" s="721"/>
      <c r="H333" s="721"/>
      <c r="I333" s="721"/>
      <c r="J333" s="48"/>
      <c r="K333" s="721"/>
      <c r="L333" s="721"/>
      <c r="M333" s="721"/>
      <c r="N333" s="719"/>
      <c r="O333" s="48"/>
      <c r="P333" s="719"/>
      <c r="Q333" s="48"/>
      <c r="R333" s="714" t="str">
        <f>IFERROR(__xludf.DUMMYFUNCTION("""COMPUTED_VALUE"""),"2526CRUZMAR18.F")</f>
        <v>2526CRUZMAR18.F</v>
      </c>
      <c r="S333" s="711">
        <f>IFERROR(__xludf.DUMMYFUNCTION("""COMPUTED_VALUE"""),40.0)</f>
        <v>40</v>
      </c>
      <c r="T333" s="722" t="str">
        <f>IFERROR(__xludf.DUMMYFUNCTION("""COMPUTED_VALUE"""),"2526CRUZMAR18.F")</f>
        <v>2526CRUZMAR18.F</v>
      </c>
      <c r="U333" s="721"/>
      <c r="V333" s="711"/>
      <c r="W333" s="721"/>
      <c r="X333" s="721"/>
      <c r="Y333" s="48"/>
      <c r="Z333" s="48"/>
      <c r="AA333" s="48"/>
      <c r="AB333" s="711"/>
      <c r="AC333" s="711"/>
      <c r="AD333" s="711"/>
      <c r="AE333" s="711"/>
      <c r="AF333" s="711"/>
      <c r="AG333" s="711"/>
      <c r="AH333" s="711"/>
    </row>
    <row r="334">
      <c r="A334" s="48"/>
      <c r="B334" s="48"/>
      <c r="C334" s="48"/>
      <c r="D334" s="721"/>
      <c r="E334" s="711"/>
      <c r="F334" s="711"/>
      <c r="G334" s="721"/>
      <c r="H334" s="721"/>
      <c r="I334" s="721"/>
      <c r="J334" s="48"/>
      <c r="K334" s="721"/>
      <c r="L334" s="721"/>
      <c r="M334" s="721"/>
      <c r="N334" s="719"/>
      <c r="O334" s="48"/>
      <c r="P334" s="719"/>
      <c r="Q334" s="48"/>
      <c r="R334" s="714" t="str">
        <f>IFERROR(__xludf.DUMMYFUNCTION("""COMPUTED_VALUE"""),"2526MAZZAROLOMAR18.B")</f>
        <v>2526MAZZAROLOMAR18.B</v>
      </c>
      <c r="S334" s="711">
        <f>IFERROR(__xludf.DUMMYFUNCTION("""COMPUTED_VALUE"""),6.0)</f>
        <v>6</v>
      </c>
      <c r="T334" s="722" t="str">
        <f>IFERROR(__xludf.DUMMYFUNCTION("""COMPUTED_VALUE"""),"2526MAZZAROLOMAR18.B")</f>
        <v>2526MAZZAROLOMAR18.B</v>
      </c>
      <c r="U334" s="721"/>
      <c r="V334" s="711"/>
      <c r="W334" s="721"/>
      <c r="X334" s="721"/>
      <c r="Y334" s="48"/>
      <c r="Z334" s="48"/>
      <c r="AA334" s="48"/>
      <c r="AB334" s="711"/>
      <c r="AC334" s="711"/>
      <c r="AD334" s="711"/>
      <c r="AE334" s="711"/>
      <c r="AF334" s="711"/>
      <c r="AG334" s="711"/>
      <c r="AH334" s="711"/>
    </row>
    <row r="335">
      <c r="A335" s="48"/>
      <c r="B335" s="48"/>
      <c r="C335" s="48"/>
      <c r="D335" s="721"/>
      <c r="E335" s="711"/>
      <c r="F335" s="711"/>
      <c r="G335" s="721"/>
      <c r="H335" s="721"/>
      <c r="I335" s="721"/>
      <c r="J335" s="48"/>
      <c r="K335" s="721"/>
      <c r="L335" s="721"/>
      <c r="M335" s="721"/>
      <c r="N335" s="719"/>
      <c r="O335" s="48"/>
      <c r="P335" s="719"/>
      <c r="Q335" s="48"/>
      <c r="R335" s="714" t="str">
        <f>IFERROR(__xludf.DUMMYFUNCTION("""COMPUTED_VALUE"""),"2526EMILOVAMAR18.F")</f>
        <v>2526EMILOVAMAR18.F</v>
      </c>
      <c r="S335" s="711">
        <f>IFERROR(__xludf.DUMMYFUNCTION("""COMPUTED_VALUE"""),15.0)</f>
        <v>15</v>
      </c>
      <c r="T335" s="722" t="str">
        <f>IFERROR(__xludf.DUMMYFUNCTION("""COMPUTED_VALUE"""),"2526EMILOVAMAR18.F")</f>
        <v>2526EMILOVAMAR18.F</v>
      </c>
      <c r="U335" s="721"/>
      <c r="V335" s="711"/>
      <c r="W335" s="721"/>
      <c r="X335" s="721"/>
      <c r="Y335" s="48"/>
      <c r="Z335" s="48"/>
      <c r="AA335" s="48"/>
      <c r="AB335" s="711"/>
      <c r="AC335" s="711"/>
      <c r="AD335" s="711"/>
      <c r="AE335" s="711"/>
      <c r="AF335" s="711"/>
      <c r="AG335" s="711"/>
      <c r="AH335" s="711"/>
    </row>
    <row r="336">
      <c r="A336" s="48"/>
      <c r="B336" s="48"/>
      <c r="C336" s="48"/>
      <c r="D336" s="721"/>
      <c r="E336" s="711"/>
      <c r="F336" s="711"/>
      <c r="G336" s="721"/>
      <c r="H336" s="721"/>
      <c r="I336" s="721"/>
      <c r="J336" s="48"/>
      <c r="K336" s="721"/>
      <c r="L336" s="721"/>
      <c r="M336" s="721"/>
      <c r="N336" s="719"/>
      <c r="O336" s="48"/>
      <c r="P336" s="719"/>
      <c r="Q336" s="48"/>
      <c r="R336" s="714" t="str">
        <f>IFERROR(__xludf.DUMMYFUNCTION("""COMPUTED_VALUE"""),"2526PICCIRILLOMAR18.D")</f>
        <v>2526PICCIRILLOMAR18.D</v>
      </c>
      <c r="S336" s="711">
        <f>IFERROR(__xludf.DUMMYFUNCTION("""COMPUTED_VALUE"""),30.0)</f>
        <v>30</v>
      </c>
      <c r="T336" s="722" t="str">
        <f>IFERROR(__xludf.DUMMYFUNCTION("""COMPUTED_VALUE"""),"2526PICCIRILLOMAR18.D")</f>
        <v>2526PICCIRILLOMAR18.D</v>
      </c>
      <c r="U336" s="721"/>
      <c r="V336" s="711"/>
      <c r="W336" s="721"/>
      <c r="X336" s="721"/>
      <c r="Y336" s="48"/>
      <c r="Z336" s="48"/>
      <c r="AA336" s="48"/>
      <c r="AB336" s="711"/>
      <c r="AC336" s="711"/>
      <c r="AD336" s="711"/>
      <c r="AE336" s="711"/>
      <c r="AF336" s="711"/>
      <c r="AG336" s="711"/>
      <c r="AH336" s="711"/>
    </row>
    <row r="337">
      <c r="A337" s="48"/>
      <c r="B337" s="48"/>
      <c r="C337" s="48"/>
      <c r="D337" s="721"/>
      <c r="E337" s="711"/>
      <c r="F337" s="711"/>
      <c r="G337" s="721"/>
      <c r="H337" s="721"/>
      <c r="I337" s="721"/>
      <c r="J337" s="48"/>
      <c r="K337" s="721"/>
      <c r="L337" s="721"/>
      <c r="M337" s="721"/>
      <c r="N337" s="719"/>
      <c r="O337" s="48"/>
      <c r="P337" s="719"/>
      <c r="Q337" s="48"/>
      <c r="R337" s="714" t="str">
        <f>IFERROR(__xludf.DUMMYFUNCTION("""COMPUTED_VALUE"""),"2526GRANDEMAR18.B")</f>
        <v>2526GRANDEMAR18.B</v>
      </c>
      <c r="S337" s="711">
        <f>IFERROR(__xludf.DUMMYFUNCTION("""COMPUTED_VALUE"""),15.0)</f>
        <v>15</v>
      </c>
      <c r="T337" s="722" t="str">
        <f>IFERROR(__xludf.DUMMYFUNCTION("""COMPUTED_VALUE"""),"2526GRANDEMAR18.B")</f>
        <v>2526GRANDEMAR18.B</v>
      </c>
      <c r="U337" s="721"/>
      <c r="V337" s="711"/>
      <c r="W337" s="721"/>
      <c r="X337" s="721"/>
      <c r="Y337" s="48"/>
      <c r="Z337" s="48"/>
      <c r="AA337" s="48"/>
      <c r="AB337" s="711"/>
      <c r="AC337" s="711"/>
      <c r="AD337" s="711"/>
      <c r="AE337" s="711"/>
      <c r="AF337" s="711"/>
      <c r="AG337" s="711"/>
      <c r="AH337" s="711"/>
    </row>
    <row r="338">
      <c r="A338" s="48"/>
      <c r="B338" s="48"/>
      <c r="C338" s="48"/>
      <c r="D338" s="721"/>
      <c r="E338" s="711"/>
      <c r="F338" s="711"/>
      <c r="G338" s="721"/>
      <c r="H338" s="721"/>
      <c r="I338" s="721"/>
      <c r="J338" s="48"/>
      <c r="K338" s="721"/>
      <c r="L338" s="721"/>
      <c r="M338" s="721"/>
      <c r="N338" s="719"/>
      <c r="O338" s="48"/>
      <c r="P338" s="719"/>
      <c r="Q338" s="48"/>
      <c r="R338" s="714" t="str">
        <f>IFERROR(__xludf.DUMMYFUNCTION("""COMPUTED_VALUE"""),"2526SETTIMAR19.F")</f>
        <v>2526SETTIMAR19.F</v>
      </c>
      <c r="S338" s="711">
        <f>IFERROR(__xludf.DUMMYFUNCTION("""COMPUTED_VALUE"""),15.0)</f>
        <v>15</v>
      </c>
      <c r="T338" s="722" t="str">
        <f>IFERROR(__xludf.DUMMYFUNCTION("""COMPUTED_VALUE"""),"2526SETTIMAR19.F")</f>
        <v>2526SETTIMAR19.F</v>
      </c>
      <c r="U338" s="721"/>
      <c r="V338" s="711"/>
      <c r="W338" s="721"/>
      <c r="X338" s="721"/>
      <c r="Y338" s="48"/>
      <c r="Z338" s="48"/>
      <c r="AA338" s="48"/>
      <c r="AB338" s="711"/>
      <c r="AC338" s="711"/>
      <c r="AD338" s="711"/>
      <c r="AE338" s="711"/>
      <c r="AF338" s="711"/>
      <c r="AG338" s="711"/>
      <c r="AH338" s="711"/>
    </row>
    <row r="339">
      <c r="A339" s="48"/>
      <c r="B339" s="48"/>
      <c r="C339" s="48"/>
      <c r="D339" s="721"/>
      <c r="E339" s="711"/>
      <c r="F339" s="711"/>
      <c r="G339" s="721"/>
      <c r="H339" s="721"/>
      <c r="I339" s="721"/>
      <c r="J339" s="48"/>
      <c r="K339" s="721"/>
      <c r="L339" s="721"/>
      <c r="M339" s="721"/>
      <c r="N339" s="719"/>
      <c r="O339" s="48"/>
      <c r="P339" s="719"/>
      <c r="Q339" s="48"/>
      <c r="R339" s="714" t="str">
        <f>IFERROR(__xludf.DUMMYFUNCTION("""COMPUTED_VALUE"""),"2526BELLAYMAR19.F")</f>
        <v>2526BELLAYMAR19.F</v>
      </c>
      <c r="S339" s="711">
        <f>IFERROR(__xludf.DUMMYFUNCTION("""COMPUTED_VALUE"""),15.0)</f>
        <v>15</v>
      </c>
      <c r="T339" s="722" t="str">
        <f>IFERROR(__xludf.DUMMYFUNCTION("""COMPUTED_VALUE"""),"2526BELLAYMAR19.F")</f>
        <v>2526BELLAYMAR19.F</v>
      </c>
      <c r="U339" s="721"/>
      <c r="V339" s="711"/>
      <c r="W339" s="721"/>
      <c r="X339" s="721"/>
      <c r="Y339" s="48"/>
      <c r="Z339" s="48"/>
      <c r="AA339" s="48"/>
      <c r="AB339" s="711"/>
      <c r="AC339" s="711"/>
      <c r="AD339" s="711"/>
      <c r="AE339" s="711"/>
      <c r="AF339" s="711"/>
      <c r="AG339" s="711"/>
      <c r="AH339" s="711"/>
    </row>
    <row r="340">
      <c r="A340" s="48"/>
      <c r="B340" s="48"/>
      <c r="C340" s="48"/>
      <c r="D340" s="721"/>
      <c r="E340" s="711"/>
      <c r="F340" s="711"/>
      <c r="G340" s="721"/>
      <c r="H340" s="721"/>
      <c r="I340" s="721"/>
      <c r="J340" s="48"/>
      <c r="K340" s="721"/>
      <c r="L340" s="721"/>
      <c r="M340" s="721"/>
      <c r="N340" s="719"/>
      <c r="O340" s="48"/>
      <c r="P340" s="719"/>
      <c r="Q340" s="48"/>
      <c r="R340" s="48"/>
      <c r="S340" s="711" t="str">
        <f>IFERROR(__xludf.DUMMYFUNCTION("""COMPUTED_VALUE"""),"")</f>
        <v/>
      </c>
      <c r="T340" s="721"/>
      <c r="U340" s="721"/>
      <c r="V340" s="711"/>
      <c r="W340" s="721"/>
      <c r="X340" s="721"/>
      <c r="Y340" s="48"/>
      <c r="Z340" s="48"/>
      <c r="AA340" s="48"/>
      <c r="AB340" s="711"/>
      <c r="AC340" s="711"/>
      <c r="AD340" s="711"/>
      <c r="AE340" s="711"/>
      <c r="AF340" s="711"/>
      <c r="AG340" s="711"/>
      <c r="AH340" s="711"/>
    </row>
    <row r="341">
      <c r="A341" s="48"/>
      <c r="B341" s="48"/>
      <c r="C341" s="48"/>
      <c r="D341" s="721"/>
      <c r="E341" s="711"/>
      <c r="F341" s="711"/>
      <c r="G341" s="721"/>
      <c r="H341" s="721"/>
      <c r="I341" s="721"/>
      <c r="J341" s="48"/>
      <c r="K341" s="721"/>
      <c r="L341" s="721"/>
      <c r="M341" s="721"/>
      <c r="N341" s="719"/>
      <c r="O341" s="48"/>
      <c r="P341" s="719"/>
      <c r="Q341" s="48"/>
      <c r="R341" s="714" t="str">
        <f>IFERROR(__xludf.DUMMYFUNCTION("""COMPUTED_VALUE"""),"2526PICCIRILLOMAR19.D")</f>
        <v>2526PICCIRILLOMAR19.D</v>
      </c>
      <c r="S341" s="711">
        <f>IFERROR(__xludf.DUMMYFUNCTION("""COMPUTED_VALUE"""),30.0)</f>
        <v>30</v>
      </c>
      <c r="T341" s="722" t="str">
        <f>IFERROR(__xludf.DUMMYFUNCTION("""COMPUTED_VALUE"""),"2526PICCIRILLOMAR19.D")</f>
        <v>2526PICCIRILLOMAR19.D</v>
      </c>
      <c r="U341" s="721"/>
      <c r="V341" s="711"/>
      <c r="W341" s="721"/>
      <c r="X341" s="721"/>
      <c r="Y341" s="48"/>
      <c r="Z341" s="48"/>
      <c r="AA341" s="48"/>
      <c r="AB341" s="711"/>
      <c r="AC341" s="711"/>
      <c r="AD341" s="711"/>
      <c r="AE341" s="711"/>
      <c r="AF341" s="711"/>
      <c r="AG341" s="711"/>
      <c r="AH341" s="711"/>
    </row>
    <row r="342">
      <c r="A342" s="48"/>
      <c r="B342" s="48"/>
      <c r="C342" s="48"/>
      <c r="D342" s="721"/>
      <c r="E342" s="711"/>
      <c r="F342" s="711"/>
      <c r="G342" s="721"/>
      <c r="H342" s="721"/>
      <c r="I342" s="721"/>
      <c r="J342" s="48"/>
      <c r="K342" s="721"/>
      <c r="L342" s="721"/>
      <c r="M342" s="721"/>
      <c r="N342" s="719"/>
      <c r="O342" s="48"/>
      <c r="P342" s="719"/>
      <c r="Q342" s="48"/>
      <c r="R342" s="714" t="str">
        <f>IFERROR(__xludf.DUMMYFUNCTION("""COMPUTED_VALUE"""),"2526MARINOMAR19.A")</f>
        <v>2526MARINOMAR19.A</v>
      </c>
      <c r="S342" s="711">
        <f>IFERROR(__xludf.DUMMYFUNCTION("""COMPUTED_VALUE"""),11.0)</f>
        <v>11</v>
      </c>
      <c r="T342" s="722" t="str">
        <f>IFERROR(__xludf.DUMMYFUNCTION("""COMPUTED_VALUE"""),"2526MARINOMAR19.A")</f>
        <v>2526MARINOMAR19.A</v>
      </c>
      <c r="U342" s="721"/>
      <c r="V342" s="711"/>
      <c r="W342" s="721"/>
      <c r="X342" s="721"/>
      <c r="Y342" s="48"/>
      <c r="Z342" s="48"/>
      <c r="AA342" s="48"/>
      <c r="AB342" s="711"/>
      <c r="AC342" s="711"/>
      <c r="AD342" s="711"/>
      <c r="AE342" s="711"/>
      <c r="AF342" s="711"/>
      <c r="AG342" s="711"/>
      <c r="AH342" s="711"/>
    </row>
    <row r="343">
      <c r="A343" s="48"/>
      <c r="B343" s="48"/>
      <c r="C343" s="48"/>
      <c r="D343" s="721"/>
      <c r="E343" s="711"/>
      <c r="F343" s="711"/>
      <c r="G343" s="721"/>
      <c r="H343" s="721"/>
      <c r="I343" s="721"/>
      <c r="J343" s="48"/>
      <c r="K343" s="721"/>
      <c r="L343" s="721"/>
      <c r="M343" s="721"/>
      <c r="N343" s="719"/>
      <c r="O343" s="48"/>
      <c r="P343" s="719"/>
      <c r="Q343" s="48"/>
      <c r="R343" s="714" t="str">
        <f>IFERROR(__xludf.DUMMYFUNCTION("""COMPUTED_VALUE"""),"2526GARIANOMAR19.D")</f>
        <v>2526GARIANOMAR19.D</v>
      </c>
      <c r="S343" s="711">
        <f>IFERROR(__xludf.DUMMYFUNCTION("""COMPUTED_VALUE"""),24.0)</f>
        <v>24</v>
      </c>
      <c r="T343" s="722" t="str">
        <f>IFERROR(__xludf.DUMMYFUNCTION("""COMPUTED_VALUE"""),"2526GARIANOMAR19.D")</f>
        <v>2526GARIANOMAR19.D</v>
      </c>
      <c r="U343" s="721"/>
      <c r="V343" s="711"/>
      <c r="W343" s="721"/>
      <c r="X343" s="721"/>
      <c r="Y343" s="48"/>
      <c r="Z343" s="48"/>
      <c r="AA343" s="48"/>
      <c r="AB343" s="711"/>
      <c r="AC343" s="711"/>
      <c r="AD343" s="711"/>
      <c r="AE343" s="711"/>
      <c r="AF343" s="711"/>
      <c r="AG343" s="711"/>
      <c r="AH343" s="711"/>
    </row>
    <row r="344">
      <c r="A344" s="48"/>
      <c r="B344" s="48"/>
      <c r="C344" s="48"/>
      <c r="D344" s="721"/>
      <c r="E344" s="711"/>
      <c r="F344" s="711"/>
      <c r="G344" s="721"/>
      <c r="H344" s="721"/>
      <c r="I344" s="721"/>
      <c r="J344" s="48"/>
      <c r="K344" s="721"/>
      <c r="L344" s="721"/>
      <c r="M344" s="721"/>
      <c r="N344" s="719"/>
      <c r="O344" s="48"/>
      <c r="P344" s="719"/>
      <c r="Q344" s="48"/>
      <c r="R344" s="714" t="str">
        <f>IFERROR(__xludf.DUMMYFUNCTION("""COMPUTED_VALUE"""),"2526CEGLIEMAR19.D")</f>
        <v>2526CEGLIEMAR19.D</v>
      </c>
      <c r="S344" s="711">
        <f>IFERROR(__xludf.DUMMYFUNCTION("""COMPUTED_VALUE"""),15.0)</f>
        <v>15</v>
      </c>
      <c r="T344" s="722" t="str">
        <f>IFERROR(__xludf.DUMMYFUNCTION("""COMPUTED_VALUE"""),"2526CEGLIEMAR19.D")</f>
        <v>2526CEGLIEMAR19.D</v>
      </c>
      <c r="U344" s="721"/>
      <c r="V344" s="711"/>
      <c r="W344" s="721"/>
      <c r="X344" s="721"/>
      <c r="Y344" s="48"/>
      <c r="Z344" s="48"/>
      <c r="AA344" s="48"/>
      <c r="AB344" s="711"/>
      <c r="AC344" s="711"/>
      <c r="AD344" s="711"/>
      <c r="AE344" s="711"/>
      <c r="AF344" s="711"/>
      <c r="AG344" s="711"/>
      <c r="AH344" s="711"/>
    </row>
    <row r="345">
      <c r="A345" s="48"/>
      <c r="B345" s="48"/>
      <c r="C345" s="48"/>
      <c r="D345" s="721"/>
      <c r="E345" s="711"/>
      <c r="F345" s="711"/>
      <c r="G345" s="721"/>
      <c r="H345" s="721"/>
      <c r="I345" s="721"/>
      <c r="J345" s="48"/>
      <c r="K345" s="721"/>
      <c r="L345" s="721"/>
      <c r="M345" s="721"/>
      <c r="N345" s="719"/>
      <c r="O345" s="48"/>
      <c r="P345" s="719"/>
      <c r="Q345" s="48"/>
      <c r="R345" s="714" t="str">
        <f>IFERROR(__xludf.DUMMYFUNCTION("""COMPUTED_VALUE"""),"2526NEMBRIMAR19.C")</f>
        <v>2526NEMBRIMAR19.C</v>
      </c>
      <c r="S345" s="711">
        <f>IFERROR(__xludf.DUMMYFUNCTION("""COMPUTED_VALUE"""),50.0)</f>
        <v>50</v>
      </c>
      <c r="T345" s="722" t="str">
        <f>IFERROR(__xludf.DUMMYFUNCTION("""COMPUTED_VALUE"""),"2526NEMBRIMAR19.C")</f>
        <v>2526NEMBRIMAR19.C</v>
      </c>
      <c r="U345" s="721"/>
      <c r="V345" s="711"/>
      <c r="W345" s="721"/>
      <c r="X345" s="721"/>
      <c r="Y345" s="48"/>
      <c r="Z345" s="48"/>
      <c r="AA345" s="48"/>
      <c r="AB345" s="711"/>
      <c r="AC345" s="711"/>
      <c r="AD345" s="711"/>
      <c r="AE345" s="711"/>
      <c r="AF345" s="711"/>
      <c r="AG345" s="711"/>
      <c r="AH345" s="711"/>
    </row>
    <row r="346">
      <c r="A346" s="48"/>
      <c r="B346" s="48"/>
      <c r="C346" s="48"/>
      <c r="D346" s="721"/>
      <c r="E346" s="711"/>
      <c r="F346" s="711"/>
      <c r="G346" s="721"/>
      <c r="H346" s="721"/>
      <c r="I346" s="721"/>
      <c r="J346" s="48"/>
      <c r="K346" s="721"/>
      <c r="L346" s="721"/>
      <c r="M346" s="721"/>
      <c r="N346" s="719"/>
      <c r="O346" s="48"/>
      <c r="P346" s="719"/>
      <c r="Q346" s="48"/>
      <c r="R346" s="714" t="str">
        <f>IFERROR(__xludf.DUMMYFUNCTION("""COMPUTED_VALUE"""),"2526MAZZAROLOMAR19.A")</f>
        <v>2526MAZZAROLOMAR19.A</v>
      </c>
      <c r="S346" s="711">
        <f>IFERROR(__xludf.DUMMYFUNCTION("""COMPUTED_VALUE"""),6.0)</f>
        <v>6</v>
      </c>
      <c r="T346" s="722" t="str">
        <f>IFERROR(__xludf.DUMMYFUNCTION("""COMPUTED_VALUE"""),"2526MAZZAROLOMAR19.A")</f>
        <v>2526MAZZAROLOMAR19.A</v>
      </c>
      <c r="U346" s="721"/>
      <c r="V346" s="711"/>
      <c r="W346" s="721"/>
      <c r="X346" s="721"/>
      <c r="Y346" s="48"/>
      <c r="Z346" s="48"/>
      <c r="AA346" s="48"/>
      <c r="AB346" s="711"/>
      <c r="AC346" s="711"/>
      <c r="AD346" s="711"/>
      <c r="AE346" s="711"/>
      <c r="AF346" s="711"/>
      <c r="AG346" s="711"/>
      <c r="AH346" s="711"/>
    </row>
    <row r="347">
      <c r="A347" s="48"/>
      <c r="B347" s="48"/>
      <c r="C347" s="48"/>
      <c r="D347" s="721"/>
      <c r="E347" s="711"/>
      <c r="F347" s="711"/>
      <c r="G347" s="721"/>
      <c r="H347" s="721"/>
      <c r="I347" s="721"/>
      <c r="J347" s="48"/>
      <c r="K347" s="721"/>
      <c r="L347" s="721"/>
      <c r="M347" s="721"/>
      <c r="N347" s="719"/>
      <c r="O347" s="48"/>
      <c r="P347" s="719"/>
      <c r="Q347" s="48"/>
      <c r="R347" s="714" t="str">
        <f>IFERROR(__xludf.DUMMYFUNCTION("""COMPUTED_VALUE"""),"2526CRUZMAR19.F")</f>
        <v>2526CRUZMAR19.F</v>
      </c>
      <c r="S347" s="711">
        <f>IFERROR(__xludf.DUMMYFUNCTION("""COMPUTED_VALUE"""),30.0)</f>
        <v>30</v>
      </c>
      <c r="T347" s="722" t="str">
        <f>IFERROR(__xludf.DUMMYFUNCTION("""COMPUTED_VALUE"""),"2526CRUZMAR19.F")</f>
        <v>2526CRUZMAR19.F</v>
      </c>
      <c r="U347" s="721"/>
      <c r="V347" s="711"/>
      <c r="W347" s="721"/>
      <c r="X347" s="721"/>
      <c r="Y347" s="48"/>
      <c r="Z347" s="48"/>
      <c r="AA347" s="48"/>
      <c r="AB347" s="711"/>
      <c r="AC347" s="711"/>
      <c r="AD347" s="711"/>
      <c r="AE347" s="711"/>
      <c r="AF347" s="711"/>
      <c r="AG347" s="711"/>
      <c r="AH347" s="711"/>
    </row>
    <row r="348">
      <c r="A348" s="48"/>
      <c r="B348" s="48"/>
      <c r="C348" s="48"/>
      <c r="D348" s="721"/>
      <c r="E348" s="711"/>
      <c r="F348" s="711"/>
      <c r="G348" s="721"/>
      <c r="H348" s="721"/>
      <c r="I348" s="721"/>
      <c r="J348" s="48"/>
      <c r="K348" s="721"/>
      <c r="L348" s="721"/>
      <c r="M348" s="721"/>
      <c r="N348" s="719"/>
      <c r="O348" s="48"/>
      <c r="P348" s="719"/>
      <c r="Q348" s="48"/>
      <c r="R348" s="714" t="str">
        <f>IFERROR(__xludf.DUMMYFUNCTION("""COMPUTED_VALUE"""),"2526CENZONMAR19.F")</f>
        <v>2526CENZONMAR19.F</v>
      </c>
      <c r="S348" s="711">
        <f>IFERROR(__xludf.DUMMYFUNCTION("""COMPUTED_VALUE"""),20.0)</f>
        <v>20</v>
      </c>
      <c r="T348" s="722" t="str">
        <f>IFERROR(__xludf.DUMMYFUNCTION("""COMPUTED_VALUE"""),"2526CENZONMAR19.F")</f>
        <v>2526CENZONMAR19.F</v>
      </c>
      <c r="U348" s="721"/>
      <c r="V348" s="711"/>
      <c r="W348" s="721"/>
      <c r="X348" s="721"/>
      <c r="Y348" s="48"/>
      <c r="Z348" s="48"/>
      <c r="AA348" s="48"/>
      <c r="AB348" s="711"/>
      <c r="AC348" s="711"/>
      <c r="AD348" s="711"/>
      <c r="AE348" s="711"/>
      <c r="AF348" s="711"/>
      <c r="AG348" s="711"/>
      <c r="AH348" s="711"/>
    </row>
    <row r="349">
      <c r="A349" s="48"/>
      <c r="B349" s="48"/>
      <c r="C349" s="48"/>
      <c r="D349" s="721"/>
      <c r="E349" s="711"/>
      <c r="F349" s="711"/>
      <c r="G349" s="721"/>
      <c r="H349" s="721"/>
      <c r="I349" s="721"/>
      <c r="J349" s="48"/>
      <c r="K349" s="721"/>
      <c r="L349" s="721"/>
      <c r="M349" s="721"/>
      <c r="N349" s="719"/>
      <c r="O349" s="48"/>
      <c r="P349" s="719"/>
      <c r="Q349" s="48"/>
      <c r="R349" s="714" t="str">
        <f>IFERROR(__xludf.DUMMYFUNCTION("""COMPUTED_VALUE"""),"2526GRANDEMAR19.D")</f>
        <v>2526GRANDEMAR19.D</v>
      </c>
      <c r="S349" s="711">
        <f>IFERROR(__xludf.DUMMYFUNCTION("""COMPUTED_VALUE"""),15.0)</f>
        <v>15</v>
      </c>
      <c r="T349" s="722" t="str">
        <f>IFERROR(__xludf.DUMMYFUNCTION("""COMPUTED_VALUE"""),"2526GRANDEMAR19.D")</f>
        <v>2526GRANDEMAR19.D</v>
      </c>
      <c r="U349" s="721"/>
      <c r="V349" s="711"/>
      <c r="W349" s="721"/>
      <c r="X349" s="721"/>
      <c r="Y349" s="48"/>
      <c r="Z349" s="48"/>
      <c r="AA349" s="48"/>
      <c r="AB349" s="711"/>
      <c r="AC349" s="711"/>
      <c r="AD349" s="711"/>
      <c r="AE349" s="711"/>
      <c r="AF349" s="711"/>
      <c r="AG349" s="711"/>
      <c r="AH349" s="711"/>
    </row>
    <row r="350">
      <c r="A350" s="48"/>
      <c r="B350" s="48"/>
      <c r="C350" s="48"/>
      <c r="D350" s="721"/>
      <c r="E350" s="711"/>
      <c r="F350" s="711"/>
      <c r="G350" s="721"/>
      <c r="H350" s="721"/>
      <c r="I350" s="721"/>
      <c r="J350" s="48"/>
      <c r="K350" s="721"/>
      <c r="L350" s="721"/>
      <c r="M350" s="721"/>
      <c r="N350" s="719"/>
      <c r="O350" s="48"/>
      <c r="P350" s="719"/>
      <c r="Q350" s="48"/>
      <c r="R350" s="714" t="str">
        <f>IFERROR(__xludf.DUMMYFUNCTION("""COMPUTED_VALUE"""),"2526BELLAYMAR20.F")</f>
        <v>2526BELLAYMAR20.F</v>
      </c>
      <c r="S350" s="711">
        <f>IFERROR(__xludf.DUMMYFUNCTION("""COMPUTED_VALUE"""),15.0)</f>
        <v>15</v>
      </c>
      <c r="T350" s="722" t="str">
        <f>IFERROR(__xludf.DUMMYFUNCTION("""COMPUTED_VALUE"""),"2526BELLAYMAR20.F")</f>
        <v>2526BELLAYMAR20.F</v>
      </c>
      <c r="U350" s="721"/>
      <c r="V350" s="711"/>
      <c r="W350" s="721"/>
      <c r="X350" s="721"/>
      <c r="Y350" s="48"/>
      <c r="Z350" s="48"/>
      <c r="AA350" s="48"/>
      <c r="AB350" s="711"/>
      <c r="AC350" s="711"/>
      <c r="AD350" s="711"/>
      <c r="AE350" s="711"/>
      <c r="AF350" s="711"/>
      <c r="AG350" s="711"/>
      <c r="AH350" s="711"/>
    </row>
    <row r="351">
      <c r="A351" s="48"/>
      <c r="B351" s="48"/>
      <c r="C351" s="48"/>
      <c r="D351" s="721"/>
      <c r="E351" s="711"/>
      <c r="F351" s="711"/>
      <c r="G351" s="721"/>
      <c r="H351" s="721"/>
      <c r="I351" s="721"/>
      <c r="J351" s="48"/>
      <c r="K351" s="721"/>
      <c r="L351" s="721"/>
      <c r="M351" s="721"/>
      <c r="N351" s="719"/>
      <c r="O351" s="48"/>
      <c r="P351" s="719"/>
      <c r="Q351" s="48"/>
      <c r="R351" s="48"/>
      <c r="S351" s="711" t="str">
        <f>IFERROR(__xludf.DUMMYFUNCTION("""COMPUTED_VALUE"""),"")</f>
        <v/>
      </c>
      <c r="T351" s="721"/>
      <c r="U351" s="721"/>
      <c r="V351" s="711"/>
      <c r="W351" s="721"/>
      <c r="X351" s="721"/>
      <c r="Y351" s="48"/>
      <c r="Z351" s="48"/>
      <c r="AA351" s="48"/>
      <c r="AB351" s="711"/>
      <c r="AC351" s="711"/>
      <c r="AD351" s="711"/>
      <c r="AE351" s="711"/>
      <c r="AF351" s="711"/>
      <c r="AG351" s="711"/>
      <c r="AH351" s="711"/>
    </row>
    <row r="352">
      <c r="A352" s="48"/>
      <c r="B352" s="48"/>
      <c r="C352" s="48"/>
      <c r="D352" s="721"/>
      <c r="E352" s="711"/>
      <c r="F352" s="711"/>
      <c r="G352" s="721"/>
      <c r="H352" s="721"/>
      <c r="I352" s="721"/>
      <c r="J352" s="48"/>
      <c r="K352" s="721"/>
      <c r="L352" s="721"/>
      <c r="M352" s="721"/>
      <c r="N352" s="719"/>
      <c r="O352" s="48"/>
      <c r="P352" s="719"/>
      <c r="Q352" s="48"/>
      <c r="R352" s="48"/>
      <c r="S352" s="711" t="str">
        <f>IFERROR(__xludf.DUMMYFUNCTION("""COMPUTED_VALUE"""),"")</f>
        <v/>
      </c>
      <c r="T352" s="721"/>
      <c r="U352" s="721"/>
      <c r="V352" s="711"/>
      <c r="W352" s="721"/>
      <c r="X352" s="721"/>
      <c r="Y352" s="48"/>
      <c r="Z352" s="48"/>
      <c r="AA352" s="48"/>
      <c r="AB352" s="711"/>
      <c r="AC352" s="711"/>
      <c r="AD352" s="711"/>
      <c r="AE352" s="711"/>
      <c r="AF352" s="711"/>
      <c r="AG352" s="711"/>
      <c r="AH352" s="711"/>
    </row>
    <row r="353">
      <c r="A353" s="48"/>
      <c r="B353" s="48"/>
      <c r="C353" s="48"/>
      <c r="D353" s="721"/>
      <c r="E353" s="711"/>
      <c r="F353" s="711"/>
      <c r="G353" s="721"/>
      <c r="H353" s="721"/>
      <c r="I353" s="721"/>
      <c r="J353" s="48"/>
      <c r="K353" s="721"/>
      <c r="L353" s="721"/>
      <c r="M353" s="721"/>
      <c r="N353" s="719"/>
      <c r="O353" s="48"/>
      <c r="P353" s="719"/>
      <c r="Q353" s="48"/>
      <c r="R353" s="714" t="str">
        <f>IFERROR(__xludf.DUMMYFUNCTION("""COMPUTED_VALUE"""),"2526PICCIRILLOMAR20.D")</f>
        <v>2526PICCIRILLOMAR20.D</v>
      </c>
      <c r="S353" s="711">
        <f>IFERROR(__xludf.DUMMYFUNCTION("""COMPUTED_VALUE"""),30.0)</f>
        <v>30</v>
      </c>
      <c r="T353" s="722" t="str">
        <f>IFERROR(__xludf.DUMMYFUNCTION("""COMPUTED_VALUE"""),"2526PICCIRILLOMAR20.D")</f>
        <v>2526PICCIRILLOMAR20.D</v>
      </c>
      <c r="U353" s="721"/>
      <c r="V353" s="711"/>
      <c r="W353" s="721"/>
      <c r="X353" s="721"/>
      <c r="Y353" s="48"/>
      <c r="Z353" s="48"/>
      <c r="AA353" s="48"/>
      <c r="AB353" s="711"/>
      <c r="AC353" s="711"/>
      <c r="AD353" s="711"/>
      <c r="AE353" s="711"/>
      <c r="AF353" s="711"/>
      <c r="AG353" s="711"/>
      <c r="AH353" s="711"/>
    </row>
    <row r="354">
      <c r="A354" s="48"/>
      <c r="B354" s="48"/>
      <c r="C354" s="48"/>
      <c r="D354" s="721"/>
      <c r="E354" s="711"/>
      <c r="F354" s="711"/>
      <c r="G354" s="721"/>
      <c r="H354" s="721"/>
      <c r="I354" s="721"/>
      <c r="J354" s="48"/>
      <c r="K354" s="721"/>
      <c r="L354" s="721"/>
      <c r="M354" s="721"/>
      <c r="N354" s="719"/>
      <c r="O354" s="48"/>
      <c r="P354" s="719"/>
      <c r="Q354" s="48"/>
      <c r="R354" s="714" t="str">
        <f>IFERROR(__xludf.DUMMYFUNCTION("""COMPUTED_VALUE"""),"2526CEGLIEMAR20.D")</f>
        <v>2526CEGLIEMAR20.D</v>
      </c>
      <c r="S354" s="711">
        <f>IFERROR(__xludf.DUMMYFUNCTION("""COMPUTED_VALUE"""),26.0)</f>
        <v>26</v>
      </c>
      <c r="T354" s="722" t="str">
        <f>IFERROR(__xludf.DUMMYFUNCTION("""COMPUTED_VALUE"""),"2526CEGLIEMAR20.D")</f>
        <v>2526CEGLIEMAR20.D</v>
      </c>
      <c r="U354" s="721"/>
      <c r="V354" s="711"/>
      <c r="W354" s="721"/>
      <c r="X354" s="721"/>
      <c r="Y354" s="48"/>
      <c r="Z354" s="48"/>
      <c r="AA354" s="48"/>
      <c r="AB354" s="711"/>
      <c r="AC354" s="711"/>
      <c r="AD354" s="711"/>
      <c r="AE354" s="711"/>
      <c r="AF354" s="711"/>
      <c r="AG354" s="711"/>
      <c r="AH354" s="711"/>
    </row>
    <row r="355">
      <c r="A355" s="48"/>
      <c r="B355" s="48"/>
      <c r="C355" s="48"/>
      <c r="D355" s="721"/>
      <c r="E355" s="711"/>
      <c r="F355" s="711"/>
      <c r="G355" s="721"/>
      <c r="H355" s="721"/>
      <c r="I355" s="721"/>
      <c r="J355" s="48"/>
      <c r="K355" s="721"/>
      <c r="L355" s="721"/>
      <c r="M355" s="721"/>
      <c r="N355" s="719"/>
      <c r="O355" s="48"/>
      <c r="P355" s="719"/>
      <c r="Q355" s="48"/>
      <c r="R355" s="714" t="str">
        <f>IFERROR(__xludf.DUMMYFUNCTION("""COMPUTED_VALUE"""),"2526ASSABIMAR20.C")</f>
        <v>2526ASSABIMAR20.C</v>
      </c>
      <c r="S355" s="711">
        <f>IFERROR(__xludf.DUMMYFUNCTION("""COMPUTED_VALUE"""),24.0)</f>
        <v>24</v>
      </c>
      <c r="T355" s="722" t="str">
        <f>IFERROR(__xludf.DUMMYFUNCTION("""COMPUTED_VALUE"""),"2526ASSABIMAR20.C")</f>
        <v>2526ASSABIMAR20.C</v>
      </c>
      <c r="U355" s="721"/>
      <c r="V355" s="711"/>
      <c r="W355" s="721"/>
      <c r="X355" s="721"/>
      <c r="Y355" s="48"/>
      <c r="Z355" s="48"/>
      <c r="AA355" s="48"/>
      <c r="AB355" s="711"/>
      <c r="AC355" s="711"/>
      <c r="AD355" s="711"/>
      <c r="AE355" s="711"/>
      <c r="AF355" s="711"/>
      <c r="AG355" s="711"/>
      <c r="AH355" s="711"/>
    </row>
    <row r="356">
      <c r="A356" s="48"/>
      <c r="B356" s="48"/>
      <c r="C356" s="48"/>
      <c r="D356" s="721"/>
      <c r="E356" s="711"/>
      <c r="F356" s="711"/>
      <c r="G356" s="721"/>
      <c r="H356" s="721"/>
      <c r="I356" s="721"/>
      <c r="J356" s="48"/>
      <c r="K356" s="721"/>
      <c r="L356" s="721"/>
      <c r="M356" s="721"/>
      <c r="N356" s="719"/>
      <c r="O356" s="48"/>
      <c r="P356" s="719"/>
      <c r="Q356" s="48"/>
      <c r="R356" s="714" t="str">
        <f>IFERROR(__xludf.DUMMYFUNCTION("""COMPUTED_VALUE"""),"2526AVILAMAR20.C")</f>
        <v>2526AVILAMAR20.C</v>
      </c>
      <c r="S356" s="711">
        <f>IFERROR(__xludf.DUMMYFUNCTION("""COMPUTED_VALUE"""),26.0)</f>
        <v>26</v>
      </c>
      <c r="T356" s="722" t="str">
        <f>IFERROR(__xludf.DUMMYFUNCTION("""COMPUTED_VALUE"""),"2526AVILAMAR20.C")</f>
        <v>2526AVILAMAR20.C</v>
      </c>
      <c r="U356" s="721"/>
      <c r="V356" s="711"/>
      <c r="W356" s="721"/>
      <c r="X356" s="721"/>
      <c r="Y356" s="48"/>
      <c r="Z356" s="48"/>
      <c r="AA356" s="48"/>
      <c r="AB356" s="711"/>
      <c r="AC356" s="711"/>
      <c r="AD356" s="711"/>
      <c r="AE356" s="711"/>
      <c r="AF356" s="711"/>
      <c r="AG356" s="711"/>
      <c r="AH356" s="711"/>
    </row>
    <row r="357">
      <c r="A357" s="48"/>
      <c r="B357" s="48"/>
      <c r="C357" s="48"/>
      <c r="D357" s="721"/>
      <c r="E357" s="711"/>
      <c r="F357" s="711"/>
      <c r="G357" s="721"/>
      <c r="H357" s="721"/>
      <c r="I357" s="721"/>
      <c r="J357" s="48"/>
      <c r="K357" s="721"/>
      <c r="L357" s="721"/>
      <c r="M357" s="721"/>
      <c r="N357" s="719"/>
      <c r="O357" s="48"/>
      <c r="P357" s="719"/>
      <c r="Q357" s="48"/>
      <c r="R357" s="714" t="str">
        <f>IFERROR(__xludf.DUMMYFUNCTION("""COMPUTED_VALUE"""),"2526NEMBRIMAR20.C")</f>
        <v>2526NEMBRIMAR20.C</v>
      </c>
      <c r="S357" s="711">
        <f>IFERROR(__xludf.DUMMYFUNCTION("""COMPUTED_VALUE"""),50.0)</f>
        <v>50</v>
      </c>
      <c r="T357" s="722" t="str">
        <f>IFERROR(__xludf.DUMMYFUNCTION("""COMPUTED_VALUE"""),"2526NEMBRIMAR20.C")</f>
        <v>2526NEMBRIMAR20.C</v>
      </c>
      <c r="U357" s="721"/>
      <c r="V357" s="711"/>
      <c r="W357" s="721"/>
      <c r="X357" s="721"/>
      <c r="Y357" s="48"/>
      <c r="Z357" s="48"/>
      <c r="AA357" s="48"/>
      <c r="AB357" s="711"/>
      <c r="AC357" s="711"/>
      <c r="AD357" s="711"/>
      <c r="AE357" s="711"/>
      <c r="AF357" s="711"/>
      <c r="AG357" s="711"/>
      <c r="AH357" s="711"/>
    </row>
    <row r="358">
      <c r="A358" s="48"/>
      <c r="B358" s="48"/>
      <c r="C358" s="48"/>
      <c r="D358" s="721"/>
      <c r="E358" s="711"/>
      <c r="F358" s="711"/>
      <c r="G358" s="721"/>
      <c r="H358" s="721"/>
      <c r="I358" s="721"/>
      <c r="J358" s="48"/>
      <c r="K358" s="721"/>
      <c r="L358" s="721"/>
      <c r="M358" s="721"/>
      <c r="N358" s="719"/>
      <c r="O358" s="48"/>
      <c r="P358" s="719"/>
      <c r="Q358" s="48"/>
      <c r="R358" s="714" t="str">
        <f>IFERROR(__xludf.DUMMYFUNCTION("""COMPUTED_VALUE"""),"2526MAZZAROLOMAR20.A")</f>
        <v>2526MAZZAROLOMAR20.A</v>
      </c>
      <c r="S358" s="711">
        <f>IFERROR(__xludf.DUMMYFUNCTION("""COMPUTED_VALUE"""),6.0)</f>
        <v>6</v>
      </c>
      <c r="T358" s="722" t="str">
        <f>IFERROR(__xludf.DUMMYFUNCTION("""COMPUTED_VALUE"""),"2526MAZZAROLOMAR20.A")</f>
        <v>2526MAZZAROLOMAR20.A</v>
      </c>
      <c r="U358" s="721"/>
      <c r="V358" s="711"/>
      <c r="W358" s="721"/>
      <c r="X358" s="721"/>
      <c r="Y358" s="48"/>
      <c r="Z358" s="48"/>
      <c r="AA358" s="48"/>
      <c r="AB358" s="711"/>
      <c r="AC358" s="711"/>
      <c r="AD358" s="711"/>
      <c r="AE358" s="711"/>
      <c r="AF358" s="711"/>
      <c r="AG358" s="711"/>
      <c r="AH358" s="711"/>
    </row>
    <row r="359">
      <c r="A359" s="48"/>
      <c r="B359" s="48"/>
      <c r="C359" s="48"/>
      <c r="D359" s="721"/>
      <c r="E359" s="711"/>
      <c r="F359" s="711"/>
      <c r="G359" s="721"/>
      <c r="H359" s="721"/>
      <c r="I359" s="721"/>
      <c r="J359" s="48"/>
      <c r="K359" s="721"/>
      <c r="L359" s="721"/>
      <c r="M359" s="721"/>
      <c r="N359" s="719"/>
      <c r="O359" s="48"/>
      <c r="P359" s="719"/>
      <c r="Q359" s="48"/>
      <c r="R359" s="714" t="str">
        <f>IFERROR(__xludf.DUMMYFUNCTION("""COMPUTED_VALUE"""),"2526CRUZMAR20.D")</f>
        <v>2526CRUZMAR20.D</v>
      </c>
      <c r="S359" s="711">
        <f>IFERROR(__xludf.DUMMYFUNCTION("""COMPUTED_VALUE"""),24.0)</f>
        <v>24</v>
      </c>
      <c r="T359" s="722" t="str">
        <f>IFERROR(__xludf.DUMMYFUNCTION("""COMPUTED_VALUE"""),"2526CRUZMAR20.D")</f>
        <v>2526CRUZMAR20.D</v>
      </c>
      <c r="U359" s="721"/>
      <c r="V359" s="711"/>
      <c r="W359" s="721"/>
      <c r="X359" s="721"/>
      <c r="Y359" s="48"/>
      <c r="Z359" s="48"/>
      <c r="AA359" s="48"/>
      <c r="AB359" s="711"/>
      <c r="AC359" s="711"/>
      <c r="AD359" s="711"/>
      <c r="AE359" s="711"/>
      <c r="AF359" s="711"/>
      <c r="AG359" s="711"/>
      <c r="AH359" s="711"/>
    </row>
    <row r="360">
      <c r="A360" s="48"/>
      <c r="B360" s="48"/>
      <c r="C360" s="48"/>
      <c r="D360" s="721"/>
      <c r="E360" s="711"/>
      <c r="F360" s="711"/>
      <c r="G360" s="721"/>
      <c r="H360" s="721"/>
      <c r="I360" s="721"/>
      <c r="J360" s="48"/>
      <c r="K360" s="721"/>
      <c r="L360" s="721"/>
      <c r="M360" s="721"/>
      <c r="N360" s="719"/>
      <c r="O360" s="48"/>
      <c r="P360" s="719"/>
      <c r="Q360" s="48"/>
      <c r="R360" s="714" t="str">
        <f>IFERROR(__xludf.DUMMYFUNCTION("""COMPUTED_VALUE"""),"2526SETTIMAR20.C")</f>
        <v>2526SETTIMAR20.C</v>
      </c>
      <c r="S360" s="711">
        <f>IFERROR(__xludf.DUMMYFUNCTION("""COMPUTED_VALUE"""),30.0)</f>
        <v>30</v>
      </c>
      <c r="T360" s="722" t="str">
        <f>IFERROR(__xludf.DUMMYFUNCTION("""COMPUTED_VALUE"""),"2526SETTIMAR20.C")</f>
        <v>2526SETTIMAR20.C</v>
      </c>
      <c r="U360" s="721"/>
      <c r="V360" s="711"/>
      <c r="W360" s="721"/>
      <c r="X360" s="721"/>
      <c r="Y360" s="48"/>
      <c r="Z360" s="48"/>
      <c r="AA360" s="48"/>
      <c r="AB360" s="711"/>
      <c r="AC360" s="711"/>
      <c r="AD360" s="711"/>
      <c r="AE360" s="711"/>
      <c r="AF360" s="711"/>
      <c r="AG360" s="711"/>
      <c r="AH360" s="711"/>
    </row>
    <row r="361">
      <c r="A361" s="48"/>
      <c r="B361" s="48"/>
      <c r="C361" s="48"/>
      <c r="D361" s="721"/>
      <c r="E361" s="711"/>
      <c r="F361" s="711"/>
      <c r="G361" s="721"/>
      <c r="H361" s="721"/>
      <c r="I361" s="721"/>
      <c r="J361" s="48"/>
      <c r="K361" s="721"/>
      <c r="L361" s="721"/>
      <c r="M361" s="721"/>
      <c r="N361" s="719"/>
      <c r="O361" s="48"/>
      <c r="P361" s="719"/>
      <c r="Q361" s="48"/>
      <c r="R361" s="714" t="str">
        <f>IFERROR(__xludf.DUMMYFUNCTION("""COMPUTED_VALUE"""),"2526GRANDEMAR20.D")</f>
        <v>2526GRANDEMAR20.D</v>
      </c>
      <c r="S361" s="711">
        <f>IFERROR(__xludf.DUMMYFUNCTION("""COMPUTED_VALUE"""),18.0)</f>
        <v>18</v>
      </c>
      <c r="T361" s="722" t="str">
        <f>IFERROR(__xludf.DUMMYFUNCTION("""COMPUTED_VALUE"""),"2526GRANDEMAR20.D")</f>
        <v>2526GRANDEMAR20.D</v>
      </c>
      <c r="U361" s="721"/>
      <c r="V361" s="711"/>
      <c r="W361" s="721"/>
      <c r="X361" s="721"/>
      <c r="Y361" s="48"/>
      <c r="Z361" s="48"/>
      <c r="AA361" s="48"/>
      <c r="AB361" s="711"/>
      <c r="AC361" s="711"/>
      <c r="AD361" s="711"/>
      <c r="AE361" s="711"/>
      <c r="AF361" s="711"/>
      <c r="AG361" s="711"/>
      <c r="AH361" s="711"/>
    </row>
    <row r="362">
      <c r="A362" s="48"/>
      <c r="B362" s="48"/>
      <c r="C362" s="48"/>
      <c r="D362" s="721"/>
      <c r="E362" s="711"/>
      <c r="F362" s="711"/>
      <c r="G362" s="721"/>
      <c r="H362" s="721"/>
      <c r="I362" s="721"/>
      <c r="J362" s="48"/>
      <c r="K362" s="721"/>
      <c r="L362" s="721"/>
      <c r="M362" s="721"/>
      <c r="N362" s="719"/>
      <c r="O362" s="48"/>
      <c r="P362" s="719"/>
      <c r="Q362" s="48"/>
      <c r="R362" s="48"/>
      <c r="S362" s="711" t="str">
        <f>IFERROR(__xludf.DUMMYFUNCTION("""COMPUTED_VALUE"""),"")</f>
        <v/>
      </c>
      <c r="T362" s="721"/>
      <c r="U362" s="721"/>
      <c r="V362" s="711"/>
      <c r="W362" s="721"/>
      <c r="X362" s="721"/>
      <c r="Y362" s="48"/>
      <c r="Z362" s="48"/>
      <c r="AA362" s="48"/>
      <c r="AB362" s="711"/>
      <c r="AC362" s="711"/>
      <c r="AD362" s="711"/>
      <c r="AE362" s="711"/>
      <c r="AF362" s="711"/>
      <c r="AG362" s="711"/>
      <c r="AH362" s="711"/>
    </row>
    <row r="363">
      <c r="A363" s="48"/>
      <c r="B363" s="48"/>
      <c r="C363" s="48"/>
      <c r="D363" s="721"/>
      <c r="E363" s="711"/>
      <c r="F363" s="711"/>
      <c r="G363" s="721"/>
      <c r="H363" s="721"/>
      <c r="I363" s="721"/>
      <c r="J363" s="48"/>
      <c r="K363" s="721"/>
      <c r="L363" s="721"/>
      <c r="M363" s="721"/>
      <c r="N363" s="719"/>
      <c r="O363" s="48"/>
      <c r="P363" s="719"/>
      <c r="Q363" s="48"/>
      <c r="R363" s="48"/>
      <c r="S363" s="711" t="str">
        <f>IFERROR(__xludf.DUMMYFUNCTION("""COMPUTED_VALUE"""),"")</f>
        <v/>
      </c>
      <c r="T363" s="721"/>
      <c r="U363" s="721"/>
      <c r="V363" s="711"/>
      <c r="W363" s="721"/>
      <c r="X363" s="721"/>
      <c r="Y363" s="48"/>
      <c r="Z363" s="48"/>
      <c r="AA363" s="48"/>
      <c r="AB363" s="711"/>
      <c r="AC363" s="711"/>
      <c r="AD363" s="711"/>
      <c r="AE363" s="711"/>
      <c r="AF363" s="711"/>
      <c r="AG363" s="711"/>
      <c r="AH363" s="711"/>
    </row>
    <row r="364">
      <c r="A364" s="48"/>
      <c r="B364" s="48"/>
      <c r="C364" s="48"/>
      <c r="D364" s="721"/>
      <c r="E364" s="711"/>
      <c r="F364" s="711"/>
      <c r="G364" s="721"/>
      <c r="H364" s="721"/>
      <c r="I364" s="721"/>
      <c r="J364" s="48"/>
      <c r="K364" s="721"/>
      <c r="L364" s="721"/>
      <c r="M364" s="721"/>
      <c r="N364" s="719"/>
      <c r="O364" s="48"/>
      <c r="P364" s="719"/>
      <c r="Q364" s="48"/>
      <c r="R364" s="48"/>
      <c r="S364" s="711" t="str">
        <f>IFERROR(__xludf.DUMMYFUNCTION("""COMPUTED_VALUE"""),"")</f>
        <v/>
      </c>
      <c r="T364" s="721"/>
      <c r="U364" s="721"/>
      <c r="V364" s="711"/>
      <c r="W364" s="721"/>
      <c r="X364" s="721"/>
      <c r="Y364" s="48"/>
      <c r="Z364" s="48"/>
      <c r="AA364" s="48"/>
      <c r="AB364" s="711"/>
      <c r="AC364" s="711"/>
      <c r="AD364" s="711"/>
      <c r="AE364" s="711"/>
      <c r="AF364" s="711"/>
      <c r="AG364" s="711"/>
      <c r="AH364" s="711"/>
    </row>
    <row r="365">
      <c r="A365" s="48"/>
      <c r="B365" s="48"/>
      <c r="C365" s="48"/>
      <c r="D365" s="721"/>
      <c r="E365" s="711"/>
      <c r="F365" s="711"/>
      <c r="G365" s="721"/>
      <c r="H365" s="721"/>
      <c r="I365" s="721"/>
      <c r="J365" s="48"/>
      <c r="K365" s="721"/>
      <c r="L365" s="721"/>
      <c r="M365" s="721"/>
      <c r="N365" s="719"/>
      <c r="O365" s="48"/>
      <c r="P365" s="719"/>
      <c r="Q365" s="48"/>
      <c r="R365" s="714" t="str">
        <f>IFERROR(__xludf.DUMMYFUNCTION("""COMPUTED_VALUE"""),"2526TODISCOMAR21.C")</f>
        <v>2526TODISCOMAR21.C</v>
      </c>
      <c r="S365" s="711">
        <f>IFERROR(__xludf.DUMMYFUNCTION("""COMPUTED_VALUE"""),30.0)</f>
        <v>30</v>
      </c>
      <c r="T365" s="722" t="str">
        <f>IFERROR(__xludf.DUMMYFUNCTION("""COMPUTED_VALUE"""),"2526TODISCOMAR21.C")</f>
        <v>2526TODISCOMAR21.C</v>
      </c>
      <c r="U365" s="721"/>
      <c r="V365" s="711"/>
      <c r="W365" s="721"/>
      <c r="X365" s="721"/>
      <c r="Y365" s="48"/>
      <c r="Z365" s="48"/>
      <c r="AA365" s="48"/>
      <c r="AB365" s="711"/>
      <c r="AC365" s="711"/>
      <c r="AD365" s="711"/>
      <c r="AE365" s="711"/>
      <c r="AF365" s="711"/>
      <c r="AG365" s="711"/>
      <c r="AH365" s="711"/>
    </row>
    <row r="366">
      <c r="A366" s="48"/>
      <c r="B366" s="48"/>
      <c r="C366" s="48"/>
      <c r="D366" s="721"/>
      <c r="E366" s="711"/>
      <c r="F366" s="711"/>
      <c r="G366" s="721"/>
      <c r="H366" s="721"/>
      <c r="I366" s="721"/>
      <c r="J366" s="48"/>
      <c r="K366" s="721"/>
      <c r="L366" s="721"/>
      <c r="M366" s="721"/>
      <c r="N366" s="719"/>
      <c r="O366" s="48"/>
      <c r="P366" s="719"/>
      <c r="Q366" s="48"/>
      <c r="R366" s="714" t="str">
        <f>IFERROR(__xludf.DUMMYFUNCTION("""COMPUTED_VALUE"""),"2526CEGLIEMAR21.D")</f>
        <v>2526CEGLIEMAR21.D</v>
      </c>
      <c r="S366" s="711">
        <f>IFERROR(__xludf.DUMMYFUNCTION("""COMPUTED_VALUE"""),26.0)</f>
        <v>26</v>
      </c>
      <c r="T366" s="722" t="str">
        <f>IFERROR(__xludf.DUMMYFUNCTION("""COMPUTED_VALUE"""),"2526CEGLIEMAR21.D")</f>
        <v>2526CEGLIEMAR21.D</v>
      </c>
      <c r="U366" s="721"/>
      <c r="V366" s="711"/>
      <c r="W366" s="721"/>
      <c r="X366" s="721"/>
      <c r="Y366" s="48"/>
      <c r="Z366" s="48"/>
      <c r="AA366" s="48"/>
      <c r="AB366" s="711"/>
      <c r="AC366" s="711"/>
      <c r="AD366" s="711"/>
      <c r="AE366" s="711"/>
      <c r="AF366" s="711"/>
      <c r="AG366" s="711"/>
      <c r="AH366" s="711"/>
    </row>
    <row r="367">
      <c r="A367" s="48"/>
      <c r="B367" s="48"/>
      <c r="C367" s="48"/>
      <c r="D367" s="721"/>
      <c r="E367" s="711"/>
      <c r="F367" s="711"/>
      <c r="G367" s="721"/>
      <c r="H367" s="721"/>
      <c r="I367" s="721"/>
      <c r="J367" s="48"/>
      <c r="K367" s="721"/>
      <c r="L367" s="721"/>
      <c r="M367" s="721"/>
      <c r="N367" s="719"/>
      <c r="O367" s="48"/>
      <c r="P367" s="719"/>
      <c r="Q367" s="48"/>
      <c r="R367" s="714" t="str">
        <f>IFERROR(__xludf.DUMMYFUNCTION("""COMPUTED_VALUE"""),"2526ASSABIMAR21.C")</f>
        <v>2526ASSABIMAR21.C</v>
      </c>
      <c r="S367" s="711">
        <f>IFERROR(__xludf.DUMMYFUNCTION("""COMPUTED_VALUE"""),24.0)</f>
        <v>24</v>
      </c>
      <c r="T367" s="722" t="str">
        <f>IFERROR(__xludf.DUMMYFUNCTION("""COMPUTED_VALUE"""),"2526ASSABIMAR21.C")</f>
        <v>2526ASSABIMAR21.C</v>
      </c>
      <c r="U367" s="721"/>
      <c r="V367" s="711"/>
      <c r="W367" s="721"/>
      <c r="X367" s="721"/>
      <c r="Y367" s="48"/>
      <c r="Z367" s="48"/>
      <c r="AA367" s="48"/>
      <c r="AB367" s="711"/>
      <c r="AC367" s="711"/>
      <c r="AD367" s="711"/>
      <c r="AE367" s="711"/>
      <c r="AF367" s="711"/>
      <c r="AG367" s="711"/>
      <c r="AH367" s="711"/>
    </row>
    <row r="368">
      <c r="A368" s="48"/>
      <c r="B368" s="48"/>
      <c r="C368" s="48"/>
      <c r="D368" s="721"/>
      <c r="E368" s="711"/>
      <c r="F368" s="711"/>
      <c r="G368" s="721"/>
      <c r="H368" s="721"/>
      <c r="I368" s="721"/>
      <c r="J368" s="48"/>
      <c r="K368" s="721"/>
      <c r="L368" s="721"/>
      <c r="M368" s="721"/>
      <c r="N368" s="719"/>
      <c r="O368" s="48"/>
      <c r="P368" s="719"/>
      <c r="Q368" s="48"/>
      <c r="R368" s="714" t="str">
        <f>IFERROR(__xludf.DUMMYFUNCTION("""COMPUTED_VALUE"""),"2526AVILAMAR21.C")</f>
        <v>2526AVILAMAR21.C</v>
      </c>
      <c r="S368" s="711">
        <f>IFERROR(__xludf.DUMMYFUNCTION("""COMPUTED_VALUE"""),26.0)</f>
        <v>26</v>
      </c>
      <c r="T368" s="722" t="str">
        <f>IFERROR(__xludf.DUMMYFUNCTION("""COMPUTED_VALUE"""),"2526AVILAMAR21.C")</f>
        <v>2526AVILAMAR21.C</v>
      </c>
      <c r="U368" s="721"/>
      <c r="V368" s="711"/>
      <c r="W368" s="721"/>
      <c r="X368" s="721"/>
      <c r="Y368" s="48"/>
      <c r="Z368" s="48"/>
      <c r="AA368" s="48"/>
      <c r="AB368" s="711"/>
      <c r="AC368" s="711"/>
      <c r="AD368" s="711"/>
      <c r="AE368" s="711"/>
      <c r="AF368" s="711"/>
      <c r="AG368" s="711"/>
      <c r="AH368" s="711"/>
    </row>
    <row r="369">
      <c r="A369" s="48"/>
      <c r="B369" s="48"/>
      <c r="C369" s="48"/>
      <c r="D369" s="721"/>
      <c r="E369" s="711"/>
      <c r="F369" s="711"/>
      <c r="G369" s="721"/>
      <c r="H369" s="721"/>
      <c r="I369" s="721"/>
      <c r="J369" s="48"/>
      <c r="K369" s="721"/>
      <c r="L369" s="721"/>
      <c r="M369" s="721"/>
      <c r="N369" s="719"/>
      <c r="O369" s="48"/>
      <c r="P369" s="719"/>
      <c r="Q369" s="48"/>
      <c r="R369" s="714" t="str">
        <f>IFERROR(__xludf.DUMMYFUNCTION("""COMPUTED_VALUE"""),"2526NEMBRIMAR21.C")</f>
        <v>2526NEMBRIMAR21.C</v>
      </c>
      <c r="S369" s="711">
        <f>IFERROR(__xludf.DUMMYFUNCTION("""COMPUTED_VALUE"""),50.0)</f>
        <v>50</v>
      </c>
      <c r="T369" s="722" t="str">
        <f>IFERROR(__xludf.DUMMYFUNCTION("""COMPUTED_VALUE"""),"2526NEMBRIMAR21.C")</f>
        <v>2526NEMBRIMAR21.C</v>
      </c>
      <c r="U369" s="721"/>
      <c r="V369" s="711"/>
      <c r="W369" s="721"/>
      <c r="X369" s="721"/>
      <c r="Y369" s="48"/>
      <c r="Z369" s="48"/>
      <c r="AA369" s="48"/>
      <c r="AB369" s="711"/>
      <c r="AC369" s="711"/>
      <c r="AD369" s="711"/>
      <c r="AE369" s="711"/>
      <c r="AF369" s="711"/>
      <c r="AG369" s="711"/>
      <c r="AH369" s="711"/>
    </row>
    <row r="370">
      <c r="A370" s="48"/>
      <c r="B370" s="48"/>
      <c r="C370" s="48"/>
      <c r="D370" s="721"/>
      <c r="E370" s="711"/>
      <c r="F370" s="711"/>
      <c r="G370" s="721"/>
      <c r="H370" s="721"/>
      <c r="I370" s="721"/>
      <c r="J370" s="48"/>
      <c r="K370" s="721"/>
      <c r="L370" s="721"/>
      <c r="M370" s="721"/>
      <c r="N370" s="719"/>
      <c r="O370" s="48"/>
      <c r="P370" s="719"/>
      <c r="Q370" s="48"/>
      <c r="R370" s="714" t="str">
        <f>IFERROR(__xludf.DUMMYFUNCTION("""COMPUTED_VALUE"""),"2526MAZZAROLOMAR21.A")</f>
        <v>2526MAZZAROLOMAR21.A</v>
      </c>
      <c r="S370" s="711">
        <f>IFERROR(__xludf.DUMMYFUNCTION("""COMPUTED_VALUE"""),6.0)</f>
        <v>6</v>
      </c>
      <c r="T370" s="722" t="str">
        <f>IFERROR(__xludf.DUMMYFUNCTION("""COMPUTED_VALUE"""),"2526MAZZAROLOMAR21.A")</f>
        <v>2526MAZZAROLOMAR21.A</v>
      </c>
      <c r="U370" s="721"/>
      <c r="V370" s="711"/>
      <c r="W370" s="721"/>
      <c r="X370" s="721"/>
      <c r="Y370" s="48"/>
      <c r="Z370" s="48"/>
      <c r="AA370" s="48"/>
      <c r="AB370" s="711"/>
      <c r="AC370" s="711"/>
      <c r="AD370" s="711"/>
      <c r="AE370" s="711"/>
      <c r="AF370" s="711"/>
      <c r="AG370" s="711"/>
      <c r="AH370" s="711"/>
    </row>
    <row r="371">
      <c r="A371" s="48"/>
      <c r="B371" s="48"/>
      <c r="C371" s="48"/>
      <c r="D371" s="721"/>
      <c r="E371" s="711"/>
      <c r="F371" s="711"/>
      <c r="G371" s="721"/>
      <c r="H371" s="721"/>
      <c r="I371" s="721"/>
      <c r="J371" s="48"/>
      <c r="K371" s="721"/>
      <c r="L371" s="721"/>
      <c r="M371" s="721"/>
      <c r="N371" s="719"/>
      <c r="O371" s="48"/>
      <c r="P371" s="719"/>
      <c r="Q371" s="48"/>
      <c r="R371" s="714" t="str">
        <f>IFERROR(__xludf.DUMMYFUNCTION("""COMPUTED_VALUE"""),"2526ANTONUCCIMAR21.C")</f>
        <v>2526ANTONUCCIMAR21.C</v>
      </c>
      <c r="S371" s="711">
        <f>IFERROR(__xludf.DUMMYFUNCTION("""COMPUTED_VALUE"""),24.0)</f>
        <v>24</v>
      </c>
      <c r="T371" s="722" t="str">
        <f>IFERROR(__xludf.DUMMYFUNCTION("""COMPUTED_VALUE"""),"2526ANTONUCCIMAR21.C")</f>
        <v>2526ANTONUCCIMAR21.C</v>
      </c>
      <c r="U371" s="721"/>
      <c r="V371" s="711"/>
      <c r="W371" s="721"/>
      <c r="X371" s="721"/>
      <c r="Y371" s="48"/>
      <c r="Z371" s="48"/>
      <c r="AA371" s="48"/>
      <c r="AB371" s="711"/>
      <c r="AC371" s="711"/>
      <c r="AD371" s="711"/>
      <c r="AE371" s="711"/>
      <c r="AF371" s="711"/>
      <c r="AG371" s="711"/>
      <c r="AH371" s="711"/>
    </row>
    <row r="372">
      <c r="A372" s="48"/>
      <c r="B372" s="48"/>
      <c r="C372" s="48"/>
      <c r="D372" s="721"/>
      <c r="E372" s="711"/>
      <c r="F372" s="711"/>
      <c r="G372" s="721"/>
      <c r="H372" s="721"/>
      <c r="I372" s="721"/>
      <c r="J372" s="48"/>
      <c r="K372" s="721"/>
      <c r="L372" s="721"/>
      <c r="M372" s="721"/>
      <c r="N372" s="719"/>
      <c r="O372" s="48"/>
      <c r="P372" s="719"/>
      <c r="Q372" s="48"/>
      <c r="R372" s="714" t="str">
        <f>IFERROR(__xludf.DUMMYFUNCTION("""COMPUTED_VALUE"""),"2526PICCIRILLOMAR21.D")</f>
        <v>2526PICCIRILLOMAR21.D</v>
      </c>
      <c r="S372" s="711">
        <f>IFERROR(__xludf.DUMMYFUNCTION("""COMPUTED_VALUE"""),30.0)</f>
        <v>30</v>
      </c>
      <c r="T372" s="722" t="str">
        <f>IFERROR(__xludf.DUMMYFUNCTION("""COMPUTED_VALUE"""),"2526PICCIRILLOMAR21.D")</f>
        <v>2526PICCIRILLOMAR21.D</v>
      </c>
      <c r="U372" s="721"/>
      <c r="V372" s="711"/>
      <c r="W372" s="721"/>
      <c r="X372" s="721"/>
      <c r="Y372" s="48"/>
      <c r="Z372" s="48"/>
      <c r="AA372" s="48"/>
      <c r="AB372" s="711"/>
      <c r="AC372" s="711"/>
      <c r="AD372" s="711"/>
      <c r="AE372" s="711"/>
      <c r="AF372" s="711"/>
      <c r="AG372" s="711"/>
      <c r="AH372" s="711"/>
    </row>
    <row r="373">
      <c r="A373" s="48"/>
      <c r="B373" s="48"/>
      <c r="C373" s="48"/>
      <c r="D373" s="721"/>
      <c r="E373" s="711"/>
      <c r="F373" s="711"/>
      <c r="G373" s="721"/>
      <c r="H373" s="721"/>
      <c r="I373" s="721"/>
      <c r="J373" s="48"/>
      <c r="K373" s="721"/>
      <c r="L373" s="721"/>
      <c r="M373" s="721"/>
      <c r="N373" s="719"/>
      <c r="O373" s="48"/>
      <c r="P373" s="719"/>
      <c r="Q373" s="48"/>
      <c r="R373" s="714" t="str">
        <f>IFERROR(__xludf.DUMMYFUNCTION("""COMPUTED_VALUE"""),"2526ILAGOUMAR21.D")</f>
        <v>2526ILAGOUMAR21.D</v>
      </c>
      <c r="S373" s="711">
        <f>IFERROR(__xludf.DUMMYFUNCTION("""COMPUTED_VALUE"""),20.0)</f>
        <v>20</v>
      </c>
      <c r="T373" s="722" t="str">
        <f>IFERROR(__xludf.DUMMYFUNCTION("""COMPUTED_VALUE"""),"2526ILAGOUMAR21.D")</f>
        <v>2526ILAGOUMAR21.D</v>
      </c>
      <c r="U373" s="721"/>
      <c r="V373" s="711"/>
      <c r="W373" s="721"/>
      <c r="X373" s="721"/>
      <c r="Y373" s="48"/>
      <c r="Z373" s="48"/>
      <c r="AA373" s="48"/>
      <c r="AB373" s="711"/>
      <c r="AC373" s="711"/>
      <c r="AD373" s="711"/>
      <c r="AE373" s="711"/>
      <c r="AF373" s="711"/>
      <c r="AG373" s="711"/>
      <c r="AH373" s="711"/>
    </row>
    <row r="374">
      <c r="A374" s="48"/>
      <c r="B374" s="48"/>
      <c r="C374" s="48"/>
      <c r="D374" s="721"/>
      <c r="E374" s="711"/>
      <c r="F374" s="711"/>
      <c r="G374" s="721"/>
      <c r="H374" s="721"/>
      <c r="I374" s="721"/>
      <c r="J374" s="48"/>
      <c r="K374" s="721"/>
      <c r="L374" s="721"/>
      <c r="M374" s="721"/>
      <c r="N374" s="719"/>
      <c r="O374" s="48"/>
      <c r="P374" s="719"/>
      <c r="Q374" s="48"/>
      <c r="R374" s="48"/>
      <c r="S374" s="711" t="str">
        <f>IFERROR(__xludf.DUMMYFUNCTION("""COMPUTED_VALUE"""),"")</f>
        <v/>
      </c>
      <c r="T374" s="721"/>
      <c r="U374" s="721"/>
      <c r="V374" s="711"/>
      <c r="W374" s="721"/>
      <c r="X374" s="721"/>
      <c r="Y374" s="48"/>
      <c r="Z374" s="48"/>
      <c r="AA374" s="48"/>
      <c r="AB374" s="711"/>
      <c r="AC374" s="711"/>
      <c r="AD374" s="711"/>
      <c r="AE374" s="711"/>
      <c r="AF374" s="711"/>
      <c r="AG374" s="711"/>
      <c r="AH374" s="711"/>
    </row>
    <row r="375">
      <c r="A375" s="48"/>
      <c r="B375" s="48"/>
      <c r="C375" s="48"/>
      <c r="D375" s="721"/>
      <c r="E375" s="711"/>
      <c r="F375" s="711"/>
      <c r="G375" s="721"/>
      <c r="H375" s="721"/>
      <c r="I375" s="721"/>
      <c r="J375" s="48"/>
      <c r="K375" s="721"/>
      <c r="L375" s="721"/>
      <c r="M375" s="721"/>
      <c r="N375" s="719"/>
      <c r="O375" s="48"/>
      <c r="P375" s="719"/>
      <c r="Q375" s="48"/>
      <c r="R375" s="48"/>
      <c r="S375" s="711" t="str">
        <f>IFERROR(__xludf.DUMMYFUNCTION("""COMPUTED_VALUE"""),"")</f>
        <v/>
      </c>
      <c r="T375" s="721"/>
      <c r="U375" s="721"/>
      <c r="V375" s="711"/>
      <c r="W375" s="721"/>
      <c r="X375" s="721"/>
      <c r="Y375" s="48"/>
      <c r="Z375" s="48"/>
      <c r="AA375" s="48"/>
      <c r="AB375" s="711"/>
      <c r="AC375" s="711"/>
      <c r="AD375" s="711"/>
      <c r="AE375" s="711"/>
      <c r="AF375" s="711"/>
      <c r="AG375" s="711"/>
      <c r="AH375" s="711"/>
    </row>
    <row r="376">
      <c r="A376" s="48"/>
      <c r="B376" s="48"/>
      <c r="C376" s="48"/>
      <c r="D376" s="721"/>
      <c r="E376" s="711"/>
      <c r="F376" s="711"/>
      <c r="G376" s="721"/>
      <c r="H376" s="721"/>
      <c r="I376" s="721"/>
      <c r="J376" s="48"/>
      <c r="K376" s="721"/>
      <c r="L376" s="721"/>
      <c r="M376" s="721"/>
      <c r="N376" s="719"/>
      <c r="O376" s="48"/>
      <c r="P376" s="719"/>
      <c r="Q376" s="48"/>
      <c r="R376" s="48"/>
      <c r="S376" s="711" t="str">
        <f>IFERROR(__xludf.DUMMYFUNCTION("""COMPUTED_VALUE"""),"")</f>
        <v/>
      </c>
      <c r="T376" s="721"/>
      <c r="U376" s="721"/>
      <c r="V376" s="711"/>
      <c r="W376" s="721"/>
      <c r="X376" s="721"/>
      <c r="Y376" s="48"/>
      <c r="Z376" s="48"/>
      <c r="AA376" s="48"/>
      <c r="AB376" s="711"/>
      <c r="AC376" s="711"/>
      <c r="AD376" s="711"/>
      <c r="AE376" s="711"/>
      <c r="AF376" s="711"/>
      <c r="AG376" s="711"/>
      <c r="AH376" s="711"/>
    </row>
    <row r="377">
      <c r="A377" s="48"/>
      <c r="B377" s="48"/>
      <c r="C377" s="48"/>
      <c r="D377" s="721"/>
      <c r="E377" s="711"/>
      <c r="F377" s="711"/>
      <c r="G377" s="721"/>
      <c r="H377" s="721"/>
      <c r="I377" s="721"/>
      <c r="J377" s="48"/>
      <c r="K377" s="721"/>
      <c r="L377" s="721"/>
      <c r="M377" s="721"/>
      <c r="N377" s="719"/>
      <c r="O377" s="48"/>
      <c r="P377" s="719"/>
      <c r="Q377" s="48"/>
      <c r="R377" s="48"/>
      <c r="S377" s="711" t="str">
        <f>IFERROR(__xludf.DUMMYFUNCTION("""COMPUTED_VALUE"""),"")</f>
        <v/>
      </c>
      <c r="T377" s="721"/>
      <c r="U377" s="721"/>
      <c r="V377" s="711"/>
      <c r="W377" s="721"/>
      <c r="X377" s="721"/>
      <c r="Y377" s="48"/>
      <c r="Z377" s="48"/>
      <c r="AA377" s="48"/>
      <c r="AB377" s="711"/>
      <c r="AC377" s="711"/>
      <c r="AD377" s="711"/>
      <c r="AE377" s="711"/>
      <c r="AF377" s="711"/>
      <c r="AG377" s="711"/>
      <c r="AH377" s="711"/>
    </row>
    <row r="378">
      <c r="A378" s="48"/>
      <c r="B378" s="48"/>
      <c r="C378" s="48"/>
      <c r="D378" s="721"/>
      <c r="E378" s="711"/>
      <c r="F378" s="711"/>
      <c r="G378" s="721"/>
      <c r="H378" s="721"/>
      <c r="I378" s="721"/>
      <c r="J378" s="48"/>
      <c r="K378" s="721"/>
      <c r="L378" s="721"/>
      <c r="M378" s="721"/>
      <c r="N378" s="719"/>
      <c r="O378" s="48"/>
      <c r="P378" s="719"/>
      <c r="Q378" s="48"/>
      <c r="R378" s="48"/>
      <c r="S378" s="711" t="str">
        <f>IFERROR(__xludf.DUMMYFUNCTION("""COMPUTED_VALUE"""),"")</f>
        <v/>
      </c>
      <c r="T378" s="721"/>
      <c r="U378" s="721"/>
      <c r="V378" s="711"/>
      <c r="W378" s="721"/>
      <c r="X378" s="721"/>
      <c r="Y378" s="48"/>
      <c r="Z378" s="48"/>
      <c r="AA378" s="48"/>
      <c r="AB378" s="711"/>
      <c r="AC378" s="711"/>
      <c r="AD378" s="711"/>
      <c r="AE378" s="711"/>
      <c r="AF378" s="711"/>
      <c r="AG378" s="711"/>
      <c r="AH378" s="711"/>
    </row>
    <row r="379">
      <c r="A379" s="48"/>
      <c r="B379" s="48"/>
      <c r="C379" s="48"/>
      <c r="D379" s="721"/>
      <c r="E379" s="711"/>
      <c r="F379" s="711"/>
      <c r="G379" s="721"/>
      <c r="H379" s="721"/>
      <c r="I379" s="721"/>
      <c r="J379" s="48"/>
      <c r="K379" s="721"/>
      <c r="L379" s="721"/>
      <c r="M379" s="721"/>
      <c r="N379" s="719"/>
      <c r="O379" s="48"/>
      <c r="P379" s="719"/>
      <c r="Q379" s="48"/>
      <c r="R379" s="48"/>
      <c r="S379" s="711" t="str">
        <f>IFERROR(__xludf.DUMMYFUNCTION("""COMPUTED_VALUE"""),"")</f>
        <v/>
      </c>
      <c r="T379" s="721"/>
      <c r="U379" s="721"/>
      <c r="V379" s="711"/>
      <c r="W379" s="721"/>
      <c r="X379" s="721"/>
      <c r="Y379" s="48"/>
      <c r="Z379" s="48"/>
      <c r="AA379" s="48"/>
      <c r="AB379" s="711"/>
      <c r="AC379" s="711"/>
      <c r="AD379" s="711"/>
      <c r="AE379" s="711"/>
      <c r="AF379" s="711"/>
      <c r="AG379" s="711"/>
      <c r="AH379" s="711"/>
    </row>
    <row r="380">
      <c r="A380" s="48"/>
      <c r="B380" s="48"/>
      <c r="C380" s="48"/>
      <c r="D380" s="721"/>
      <c r="E380" s="711"/>
      <c r="F380" s="711"/>
      <c r="G380" s="721"/>
      <c r="H380" s="721"/>
      <c r="I380" s="721"/>
      <c r="J380" s="48"/>
      <c r="K380" s="721"/>
      <c r="L380" s="721"/>
      <c r="M380" s="721"/>
      <c r="N380" s="719"/>
      <c r="O380" s="48"/>
      <c r="P380" s="719"/>
      <c r="Q380" s="48"/>
      <c r="R380" s="48"/>
      <c r="S380" s="711" t="str">
        <f>IFERROR(__xludf.DUMMYFUNCTION("""COMPUTED_VALUE"""),"")</f>
        <v/>
      </c>
      <c r="T380" s="721"/>
      <c r="U380" s="721"/>
      <c r="V380" s="711"/>
      <c r="W380" s="721"/>
      <c r="X380" s="721"/>
      <c r="Y380" s="48"/>
      <c r="Z380" s="48"/>
      <c r="AA380" s="48"/>
      <c r="AB380" s="711"/>
      <c r="AC380" s="711"/>
      <c r="AD380" s="711"/>
      <c r="AE380" s="711"/>
      <c r="AF380" s="711"/>
      <c r="AG380" s="711"/>
      <c r="AH380" s="711"/>
    </row>
    <row r="381">
      <c r="A381" s="48"/>
      <c r="B381" s="48"/>
      <c r="C381" s="48"/>
      <c r="D381" s="721"/>
      <c r="E381" s="711"/>
      <c r="F381" s="711"/>
      <c r="G381" s="721"/>
      <c r="H381" s="721"/>
      <c r="I381" s="721"/>
      <c r="J381" s="48"/>
      <c r="K381" s="721"/>
      <c r="L381" s="721"/>
      <c r="M381" s="721"/>
      <c r="N381" s="719"/>
      <c r="O381" s="48"/>
      <c r="P381" s="719"/>
      <c r="Q381" s="48"/>
      <c r="R381" s="48"/>
      <c r="S381" s="711" t="str">
        <f>IFERROR(__xludf.DUMMYFUNCTION("""COMPUTED_VALUE"""),"")</f>
        <v/>
      </c>
      <c r="T381" s="721"/>
      <c r="U381" s="721"/>
      <c r="V381" s="711"/>
      <c r="W381" s="721"/>
      <c r="X381" s="721"/>
      <c r="Y381" s="48"/>
      <c r="Z381" s="48"/>
      <c r="AA381" s="48"/>
      <c r="AB381" s="711"/>
      <c r="AC381" s="711"/>
      <c r="AD381" s="711"/>
      <c r="AE381" s="711"/>
      <c r="AF381" s="711"/>
      <c r="AG381" s="711"/>
      <c r="AH381" s="711"/>
    </row>
    <row r="382">
      <c r="A382" s="48"/>
      <c r="B382" s="48"/>
      <c r="C382" s="48"/>
      <c r="D382" s="721"/>
      <c r="E382" s="711"/>
      <c r="F382" s="711"/>
      <c r="G382" s="721"/>
      <c r="H382" s="721"/>
      <c r="I382" s="721"/>
      <c r="J382" s="48"/>
      <c r="K382" s="721"/>
      <c r="L382" s="721"/>
      <c r="M382" s="721"/>
      <c r="N382" s="719"/>
      <c r="O382" s="48"/>
      <c r="P382" s="719"/>
      <c r="Q382" s="48"/>
      <c r="R382" s="48"/>
      <c r="S382" s="711" t="str">
        <f>IFERROR(__xludf.DUMMYFUNCTION("""COMPUTED_VALUE"""),"")</f>
        <v/>
      </c>
      <c r="T382" s="721"/>
      <c r="U382" s="721"/>
      <c r="V382" s="711"/>
      <c r="W382" s="721"/>
      <c r="X382" s="721"/>
      <c r="Y382" s="48"/>
      <c r="Z382" s="48"/>
      <c r="AA382" s="48"/>
      <c r="AB382" s="711"/>
      <c r="AC382" s="711"/>
      <c r="AD382" s="711"/>
      <c r="AE382" s="711"/>
      <c r="AF382" s="711"/>
      <c r="AG382" s="711"/>
      <c r="AH382" s="711"/>
    </row>
    <row r="383">
      <c r="A383" s="48"/>
      <c r="B383" s="48"/>
      <c r="C383" s="48"/>
      <c r="D383" s="721"/>
      <c r="E383" s="711"/>
      <c r="F383" s="711"/>
      <c r="G383" s="721"/>
      <c r="H383" s="721"/>
      <c r="I383" s="721"/>
      <c r="J383" s="48"/>
      <c r="K383" s="721"/>
      <c r="L383" s="721"/>
      <c r="M383" s="721"/>
      <c r="N383" s="719"/>
      <c r="O383" s="48"/>
      <c r="P383" s="719"/>
      <c r="Q383" s="48"/>
      <c r="R383" s="48"/>
      <c r="S383" s="711" t="str">
        <f>IFERROR(__xludf.DUMMYFUNCTION("""COMPUTED_VALUE"""),"")</f>
        <v/>
      </c>
      <c r="T383" s="721"/>
      <c r="U383" s="721"/>
      <c r="V383" s="711"/>
      <c r="W383" s="721"/>
      <c r="X383" s="721"/>
      <c r="Y383" s="48"/>
      <c r="Z383" s="48"/>
      <c r="AA383" s="48"/>
      <c r="AB383" s="711"/>
      <c r="AC383" s="711"/>
      <c r="AD383" s="711"/>
      <c r="AE383" s="711"/>
      <c r="AF383" s="711"/>
      <c r="AG383" s="711"/>
      <c r="AH383" s="711"/>
    </row>
    <row r="384">
      <c r="A384" s="48"/>
      <c r="B384" s="48"/>
      <c r="C384" s="48"/>
      <c r="D384" s="721"/>
      <c r="E384" s="711"/>
      <c r="F384" s="711"/>
      <c r="G384" s="721"/>
      <c r="H384" s="721"/>
      <c r="I384" s="721"/>
      <c r="J384" s="48"/>
      <c r="K384" s="721"/>
      <c r="L384" s="721"/>
      <c r="M384" s="721"/>
      <c r="N384" s="719"/>
      <c r="O384" s="48"/>
      <c r="P384" s="719"/>
      <c r="Q384" s="48"/>
      <c r="R384" s="48"/>
      <c r="S384" s="711" t="str">
        <f>IFERROR(__xludf.DUMMYFUNCTION("""COMPUTED_VALUE"""),"")</f>
        <v/>
      </c>
      <c r="T384" s="721"/>
      <c r="U384" s="721"/>
      <c r="V384" s="711"/>
      <c r="W384" s="721"/>
      <c r="X384" s="721"/>
      <c r="Y384" s="48"/>
      <c r="Z384" s="48"/>
      <c r="AA384" s="48"/>
      <c r="AB384" s="711"/>
      <c r="AC384" s="711"/>
      <c r="AD384" s="711"/>
      <c r="AE384" s="711"/>
      <c r="AF384" s="711"/>
      <c r="AG384" s="711"/>
      <c r="AH384" s="711"/>
    </row>
    <row r="385">
      <c r="A385" s="48"/>
      <c r="B385" s="48"/>
      <c r="C385" s="48"/>
      <c r="D385" s="721"/>
      <c r="E385" s="711"/>
      <c r="F385" s="711"/>
      <c r="G385" s="721"/>
      <c r="H385" s="721"/>
      <c r="I385" s="721"/>
      <c r="J385" s="48"/>
      <c r="K385" s="721"/>
      <c r="L385" s="721"/>
      <c r="M385" s="721"/>
      <c r="N385" s="719"/>
      <c r="O385" s="48"/>
      <c r="P385" s="719"/>
      <c r="Q385" s="48"/>
      <c r="R385" s="48"/>
      <c r="S385" s="711" t="str">
        <f>IFERROR(__xludf.DUMMYFUNCTION("""COMPUTED_VALUE"""),"")</f>
        <v/>
      </c>
      <c r="T385" s="721"/>
      <c r="U385" s="721"/>
      <c r="V385" s="711"/>
      <c r="W385" s="721"/>
      <c r="X385" s="721"/>
      <c r="Y385" s="48"/>
      <c r="Z385" s="48"/>
      <c r="AA385" s="48"/>
      <c r="AB385" s="711"/>
      <c r="AC385" s="711"/>
      <c r="AD385" s="711"/>
      <c r="AE385" s="711"/>
      <c r="AF385" s="711"/>
      <c r="AG385" s="711"/>
      <c r="AH385" s="711"/>
    </row>
    <row r="386">
      <c r="A386" s="48"/>
      <c r="B386" s="48"/>
      <c r="C386" s="48"/>
      <c r="D386" s="721"/>
      <c r="E386" s="711"/>
      <c r="F386" s="711"/>
      <c r="G386" s="721"/>
      <c r="H386" s="721"/>
      <c r="I386" s="721"/>
      <c r="J386" s="48"/>
      <c r="K386" s="721"/>
      <c r="L386" s="721"/>
      <c r="M386" s="721"/>
      <c r="N386" s="719"/>
      <c r="O386" s="48"/>
      <c r="P386" s="719"/>
      <c r="Q386" s="48"/>
      <c r="R386" s="48"/>
      <c r="S386" s="711" t="str">
        <f>IFERROR(__xludf.DUMMYFUNCTION("""COMPUTED_VALUE"""),"")</f>
        <v/>
      </c>
      <c r="T386" s="721"/>
      <c r="U386" s="721"/>
      <c r="V386" s="711"/>
      <c r="W386" s="721"/>
      <c r="X386" s="721"/>
      <c r="Y386" s="48"/>
      <c r="Z386" s="48"/>
      <c r="AA386" s="48"/>
      <c r="AB386" s="711"/>
      <c r="AC386" s="711"/>
      <c r="AD386" s="711"/>
      <c r="AE386" s="711"/>
      <c r="AF386" s="711"/>
      <c r="AG386" s="711"/>
      <c r="AH386" s="711"/>
    </row>
    <row r="387">
      <c r="A387" s="48"/>
      <c r="B387" s="48"/>
      <c r="C387" s="48"/>
      <c r="D387" s="721"/>
      <c r="E387" s="711"/>
      <c r="F387" s="711"/>
      <c r="G387" s="721"/>
      <c r="H387" s="721"/>
      <c r="I387" s="721"/>
      <c r="J387" s="48"/>
      <c r="K387" s="721"/>
      <c r="L387" s="721"/>
      <c r="M387" s="721"/>
      <c r="N387" s="719"/>
      <c r="O387" s="48"/>
      <c r="P387" s="719"/>
      <c r="Q387" s="48"/>
      <c r="R387" s="48"/>
      <c r="S387" s="711" t="str">
        <f>IFERROR(__xludf.DUMMYFUNCTION("""COMPUTED_VALUE"""),"")</f>
        <v/>
      </c>
      <c r="T387" s="721"/>
      <c r="U387" s="721"/>
      <c r="V387" s="711"/>
      <c r="W387" s="721"/>
      <c r="X387" s="721"/>
      <c r="Y387" s="48"/>
      <c r="Z387" s="48"/>
      <c r="AA387" s="48"/>
      <c r="AB387" s="711"/>
      <c r="AC387" s="711"/>
      <c r="AD387" s="711"/>
      <c r="AE387" s="711"/>
      <c r="AF387" s="711"/>
      <c r="AG387" s="711"/>
      <c r="AH387" s="711"/>
    </row>
    <row r="388">
      <c r="A388" s="48"/>
      <c r="B388" s="48"/>
      <c r="C388" s="48"/>
      <c r="D388" s="721"/>
      <c r="E388" s="711"/>
      <c r="F388" s="711"/>
      <c r="G388" s="721"/>
      <c r="H388" s="721"/>
      <c r="I388" s="721"/>
      <c r="J388" s="48"/>
      <c r="K388" s="721"/>
      <c r="L388" s="721"/>
      <c r="M388" s="721"/>
      <c r="N388" s="719"/>
      <c r="O388" s="48"/>
      <c r="P388" s="719"/>
      <c r="Q388" s="48"/>
      <c r="R388" s="48"/>
      <c r="S388" s="711" t="str">
        <f>IFERROR(__xludf.DUMMYFUNCTION("""COMPUTED_VALUE"""),"")</f>
        <v/>
      </c>
      <c r="T388" s="721"/>
      <c r="U388" s="721"/>
      <c r="V388" s="711"/>
      <c r="W388" s="721"/>
      <c r="X388" s="721"/>
      <c r="Y388" s="48"/>
      <c r="Z388" s="48"/>
      <c r="AA388" s="48"/>
      <c r="AB388" s="711"/>
      <c r="AC388" s="711"/>
      <c r="AD388" s="711"/>
      <c r="AE388" s="711"/>
      <c r="AF388" s="711"/>
      <c r="AG388" s="711"/>
      <c r="AH388" s="711"/>
    </row>
    <row r="389">
      <c r="A389" s="48"/>
      <c r="B389" s="48"/>
      <c r="C389" s="48"/>
      <c r="D389" s="721"/>
      <c r="E389" s="711"/>
      <c r="F389" s="711"/>
      <c r="G389" s="721"/>
      <c r="H389" s="721"/>
      <c r="I389" s="721"/>
      <c r="J389" s="48"/>
      <c r="K389" s="721"/>
      <c r="L389" s="721"/>
      <c r="M389" s="721"/>
      <c r="N389" s="719"/>
      <c r="O389" s="48"/>
      <c r="P389" s="719"/>
      <c r="Q389" s="48"/>
      <c r="R389" s="48"/>
      <c r="S389" s="711" t="str">
        <f>IFERROR(__xludf.DUMMYFUNCTION("""COMPUTED_VALUE"""),"")</f>
        <v/>
      </c>
      <c r="T389" s="721"/>
      <c r="U389" s="721"/>
      <c r="V389" s="711"/>
      <c r="W389" s="721"/>
      <c r="X389" s="721"/>
      <c r="Y389" s="48"/>
      <c r="Z389" s="48"/>
      <c r="AA389" s="48"/>
      <c r="AB389" s="711"/>
      <c r="AC389" s="711"/>
      <c r="AD389" s="711"/>
      <c r="AE389" s="711"/>
      <c r="AF389" s="711"/>
      <c r="AG389" s="711"/>
      <c r="AH389" s="711"/>
    </row>
    <row r="390">
      <c r="A390" s="48"/>
      <c r="B390" s="48"/>
      <c r="C390" s="48"/>
      <c r="D390" s="721"/>
      <c r="E390" s="711"/>
      <c r="F390" s="711"/>
      <c r="G390" s="721"/>
      <c r="H390" s="721"/>
      <c r="I390" s="721"/>
      <c r="J390" s="48"/>
      <c r="K390" s="721"/>
      <c r="L390" s="721"/>
      <c r="M390" s="721"/>
      <c r="N390" s="719"/>
      <c r="O390" s="48"/>
      <c r="P390" s="719"/>
      <c r="Q390" s="48"/>
      <c r="R390" s="48"/>
      <c r="S390" s="711" t="str">
        <f>IFERROR(__xludf.DUMMYFUNCTION("""COMPUTED_VALUE"""),"")</f>
        <v/>
      </c>
      <c r="T390" s="721"/>
      <c r="U390" s="721"/>
      <c r="V390" s="711"/>
      <c r="W390" s="721"/>
      <c r="X390" s="721"/>
      <c r="Y390" s="48"/>
      <c r="Z390" s="48"/>
      <c r="AA390" s="48"/>
      <c r="AB390" s="711"/>
      <c r="AC390" s="711"/>
      <c r="AD390" s="711"/>
      <c r="AE390" s="711"/>
      <c r="AF390" s="711"/>
      <c r="AG390" s="711"/>
      <c r="AH390" s="711"/>
    </row>
    <row r="391">
      <c r="A391" s="48"/>
      <c r="B391" s="48"/>
      <c r="C391" s="48"/>
      <c r="D391" s="721"/>
      <c r="E391" s="711"/>
      <c r="F391" s="711"/>
      <c r="G391" s="721"/>
      <c r="H391" s="721"/>
      <c r="I391" s="721"/>
      <c r="J391" s="48"/>
      <c r="K391" s="721"/>
      <c r="L391" s="721"/>
      <c r="M391" s="721"/>
      <c r="N391" s="719"/>
      <c r="O391" s="48"/>
      <c r="P391" s="719"/>
      <c r="Q391" s="48"/>
      <c r="R391" s="48"/>
      <c r="S391" s="711" t="str">
        <f>IFERROR(__xludf.DUMMYFUNCTION("""COMPUTED_VALUE"""),"")</f>
        <v/>
      </c>
      <c r="T391" s="721"/>
      <c r="U391" s="721"/>
      <c r="V391" s="711"/>
      <c r="W391" s="721"/>
      <c r="X391" s="721"/>
      <c r="Y391" s="48"/>
      <c r="Z391" s="48"/>
      <c r="AA391" s="48"/>
      <c r="AB391" s="711"/>
      <c r="AC391" s="711"/>
      <c r="AD391" s="711"/>
      <c r="AE391" s="711"/>
      <c r="AF391" s="711"/>
      <c r="AG391" s="711"/>
      <c r="AH391" s="711"/>
    </row>
    <row r="392">
      <c r="A392" s="48"/>
      <c r="B392" s="48"/>
      <c r="C392" s="48"/>
      <c r="D392" s="721"/>
      <c r="E392" s="711"/>
      <c r="F392" s="711"/>
      <c r="G392" s="721"/>
      <c r="H392" s="721"/>
      <c r="I392" s="721"/>
      <c r="J392" s="48"/>
      <c r="K392" s="721"/>
      <c r="L392" s="721"/>
      <c r="M392" s="721"/>
      <c r="N392" s="719"/>
      <c r="O392" s="48"/>
      <c r="P392" s="719"/>
      <c r="Q392" s="48"/>
      <c r="R392" s="48"/>
      <c r="S392" s="711" t="str">
        <f>IFERROR(__xludf.DUMMYFUNCTION("""COMPUTED_VALUE"""),"")</f>
        <v/>
      </c>
      <c r="T392" s="721"/>
      <c r="U392" s="721"/>
      <c r="V392" s="711"/>
      <c r="W392" s="721"/>
      <c r="X392" s="721"/>
      <c r="Y392" s="48"/>
      <c r="Z392" s="48"/>
      <c r="AA392" s="48"/>
      <c r="AB392" s="711"/>
      <c r="AC392" s="711"/>
      <c r="AD392" s="711"/>
      <c r="AE392" s="711"/>
      <c r="AF392" s="711"/>
      <c r="AG392" s="711"/>
      <c r="AH392" s="711"/>
    </row>
    <row r="393">
      <c r="A393" s="48"/>
      <c r="B393" s="48"/>
      <c r="C393" s="48"/>
      <c r="D393" s="721"/>
      <c r="E393" s="711"/>
      <c r="F393" s="711"/>
      <c r="G393" s="721"/>
      <c r="H393" s="721"/>
      <c r="I393" s="721"/>
      <c r="J393" s="48"/>
      <c r="K393" s="721"/>
      <c r="L393" s="721"/>
      <c r="M393" s="721"/>
      <c r="N393" s="719"/>
      <c r="O393" s="48"/>
      <c r="P393" s="719"/>
      <c r="Q393" s="48"/>
      <c r="R393" s="48"/>
      <c r="S393" s="711" t="str">
        <f>IFERROR(__xludf.DUMMYFUNCTION("""COMPUTED_VALUE"""),"")</f>
        <v/>
      </c>
      <c r="T393" s="721"/>
      <c r="U393" s="721"/>
      <c r="V393" s="711"/>
      <c r="W393" s="721"/>
      <c r="X393" s="721"/>
      <c r="Y393" s="48"/>
      <c r="Z393" s="48"/>
      <c r="AA393" s="48"/>
      <c r="AB393" s="711"/>
      <c r="AC393" s="711"/>
      <c r="AD393" s="711"/>
      <c r="AE393" s="711"/>
      <c r="AF393" s="711"/>
      <c r="AG393" s="711"/>
      <c r="AH393" s="711"/>
    </row>
    <row r="394">
      <c r="A394" s="48"/>
      <c r="B394" s="48"/>
      <c r="C394" s="48"/>
      <c r="D394" s="721"/>
      <c r="E394" s="711"/>
      <c r="F394" s="711"/>
      <c r="G394" s="721"/>
      <c r="H394" s="721"/>
      <c r="I394" s="721"/>
      <c r="J394" s="48"/>
      <c r="K394" s="721"/>
      <c r="L394" s="721"/>
      <c r="M394" s="721"/>
      <c r="N394" s="719"/>
      <c r="O394" s="48"/>
      <c r="P394" s="719"/>
      <c r="Q394" s="48"/>
      <c r="R394" s="48"/>
      <c r="S394" s="711" t="str">
        <f>IFERROR(__xludf.DUMMYFUNCTION("""COMPUTED_VALUE"""),"")</f>
        <v/>
      </c>
      <c r="T394" s="721"/>
      <c r="U394" s="721"/>
      <c r="V394" s="711"/>
      <c r="W394" s="721"/>
      <c r="X394" s="721"/>
      <c r="Y394" s="48"/>
      <c r="Z394" s="48"/>
      <c r="AA394" s="48"/>
      <c r="AB394" s="711"/>
      <c r="AC394" s="711"/>
      <c r="AD394" s="711"/>
      <c r="AE394" s="711"/>
      <c r="AF394" s="711"/>
      <c r="AG394" s="711"/>
      <c r="AH394" s="711"/>
    </row>
    <row r="395">
      <c r="A395" s="48"/>
      <c r="B395" s="48"/>
      <c r="C395" s="48"/>
      <c r="D395" s="721"/>
      <c r="E395" s="711"/>
      <c r="F395" s="711"/>
      <c r="G395" s="721"/>
      <c r="H395" s="721"/>
      <c r="I395" s="721"/>
      <c r="J395" s="48"/>
      <c r="K395" s="721"/>
      <c r="L395" s="721"/>
      <c r="M395" s="721"/>
      <c r="N395" s="719"/>
      <c r="O395" s="48"/>
      <c r="P395" s="719"/>
      <c r="Q395" s="48"/>
      <c r="R395" s="48"/>
      <c r="S395" s="711" t="str">
        <f>IFERROR(__xludf.DUMMYFUNCTION("""COMPUTED_VALUE"""),"")</f>
        <v/>
      </c>
      <c r="T395" s="721"/>
      <c r="U395" s="721"/>
      <c r="V395" s="711"/>
      <c r="W395" s="721"/>
      <c r="X395" s="721"/>
      <c r="Y395" s="48"/>
      <c r="Z395" s="48"/>
      <c r="AA395" s="48"/>
      <c r="AB395" s="711"/>
      <c r="AC395" s="711"/>
      <c r="AD395" s="711"/>
      <c r="AE395" s="711"/>
      <c r="AF395" s="711"/>
      <c r="AG395" s="711"/>
      <c r="AH395" s="711"/>
    </row>
    <row r="396">
      <c r="A396" s="48"/>
      <c r="B396" s="48"/>
      <c r="C396" s="48"/>
      <c r="D396" s="721"/>
      <c r="E396" s="711"/>
      <c r="F396" s="711"/>
      <c r="G396" s="721"/>
      <c r="H396" s="721"/>
      <c r="I396" s="721"/>
      <c r="J396" s="48"/>
      <c r="K396" s="721"/>
      <c r="L396" s="721"/>
      <c r="M396" s="721"/>
      <c r="N396" s="719"/>
      <c r="O396" s="48"/>
      <c r="P396" s="719"/>
      <c r="Q396" s="48"/>
      <c r="R396" s="48"/>
      <c r="S396" s="711" t="str">
        <f>IFERROR(__xludf.DUMMYFUNCTION("""COMPUTED_VALUE"""),"")</f>
        <v/>
      </c>
      <c r="T396" s="721"/>
      <c r="U396" s="721"/>
      <c r="V396" s="711"/>
      <c r="W396" s="721"/>
      <c r="X396" s="721"/>
      <c r="Y396" s="48"/>
      <c r="Z396" s="48"/>
      <c r="AA396" s="48"/>
      <c r="AB396" s="711"/>
      <c r="AC396" s="711"/>
      <c r="AD396" s="711"/>
      <c r="AE396" s="711"/>
      <c r="AF396" s="711"/>
      <c r="AG396" s="711"/>
      <c r="AH396" s="711"/>
    </row>
    <row r="397">
      <c r="A397" s="48"/>
      <c r="B397" s="48"/>
      <c r="C397" s="48"/>
      <c r="D397" s="721"/>
      <c r="E397" s="711"/>
      <c r="F397" s="711"/>
      <c r="G397" s="721"/>
      <c r="H397" s="721"/>
      <c r="I397" s="721"/>
      <c r="J397" s="48"/>
      <c r="K397" s="721"/>
      <c r="L397" s="721"/>
      <c r="M397" s="721"/>
      <c r="N397" s="719"/>
      <c r="O397" s="48"/>
      <c r="P397" s="719"/>
      <c r="Q397" s="48"/>
      <c r="R397" s="48"/>
      <c r="S397" s="711" t="str">
        <f>IFERROR(__xludf.DUMMYFUNCTION("""COMPUTED_VALUE"""),"")</f>
        <v/>
      </c>
      <c r="T397" s="721"/>
      <c r="U397" s="721"/>
      <c r="V397" s="711"/>
      <c r="W397" s="721"/>
      <c r="X397" s="721"/>
      <c r="Y397" s="48"/>
      <c r="Z397" s="48"/>
      <c r="AA397" s="48"/>
      <c r="AB397" s="711"/>
      <c r="AC397" s="711"/>
      <c r="AD397" s="711"/>
      <c r="AE397" s="711"/>
      <c r="AF397" s="711"/>
      <c r="AG397" s="711"/>
      <c r="AH397" s="711"/>
    </row>
    <row r="398">
      <c r="A398" s="48"/>
      <c r="B398" s="48"/>
      <c r="C398" s="48"/>
      <c r="D398" s="721"/>
      <c r="E398" s="711"/>
      <c r="F398" s="711"/>
      <c r="G398" s="721"/>
      <c r="H398" s="721"/>
      <c r="I398" s="721"/>
      <c r="J398" s="48"/>
      <c r="K398" s="721"/>
      <c r="L398" s="721"/>
      <c r="M398" s="721"/>
      <c r="N398" s="719"/>
      <c r="O398" s="48"/>
      <c r="P398" s="719"/>
      <c r="Q398" s="48"/>
      <c r="R398" s="48"/>
      <c r="S398" s="711" t="str">
        <f>IFERROR(__xludf.DUMMYFUNCTION("""COMPUTED_VALUE"""),"")</f>
        <v/>
      </c>
      <c r="T398" s="721"/>
      <c r="U398" s="721"/>
      <c r="V398" s="711"/>
      <c r="W398" s="721"/>
      <c r="X398" s="721"/>
      <c r="Y398" s="48"/>
      <c r="Z398" s="48"/>
      <c r="AA398" s="48"/>
      <c r="AB398" s="711"/>
      <c r="AC398" s="711"/>
      <c r="AD398" s="711"/>
      <c r="AE398" s="711"/>
      <c r="AF398" s="711"/>
      <c r="AG398" s="711"/>
      <c r="AH398" s="711"/>
    </row>
    <row r="399">
      <c r="A399" s="48"/>
      <c r="B399" s="48"/>
      <c r="C399" s="48"/>
      <c r="D399" s="721"/>
      <c r="E399" s="711"/>
      <c r="F399" s="711"/>
      <c r="G399" s="721"/>
      <c r="H399" s="721"/>
      <c r="I399" s="721"/>
      <c r="J399" s="48"/>
      <c r="K399" s="721"/>
      <c r="L399" s="721"/>
      <c r="M399" s="721"/>
      <c r="N399" s="719"/>
      <c r="O399" s="48"/>
      <c r="P399" s="719"/>
      <c r="Q399" s="48"/>
      <c r="R399" s="48"/>
      <c r="S399" s="711" t="str">
        <f>IFERROR(__xludf.DUMMYFUNCTION("""COMPUTED_VALUE"""),"")</f>
        <v/>
      </c>
      <c r="T399" s="721"/>
      <c r="U399" s="721"/>
      <c r="V399" s="711"/>
      <c r="W399" s="721"/>
      <c r="X399" s="721"/>
      <c r="Y399" s="48"/>
      <c r="Z399" s="48"/>
      <c r="AA399" s="48"/>
      <c r="AB399" s="711"/>
      <c r="AC399" s="711"/>
      <c r="AD399" s="711"/>
      <c r="AE399" s="711"/>
      <c r="AF399" s="711"/>
      <c r="AG399" s="711"/>
      <c r="AH399" s="711"/>
    </row>
    <row r="400">
      <c r="A400" s="48"/>
      <c r="B400" s="48"/>
      <c r="C400" s="48"/>
      <c r="D400" s="721"/>
      <c r="E400" s="711"/>
      <c r="F400" s="711"/>
      <c r="G400" s="721"/>
      <c r="H400" s="721"/>
      <c r="I400" s="721"/>
      <c r="J400" s="48"/>
      <c r="K400" s="721"/>
      <c r="L400" s="721"/>
      <c r="M400" s="721"/>
      <c r="N400" s="719"/>
      <c r="O400" s="48"/>
      <c r="P400" s="719"/>
      <c r="Q400" s="48"/>
      <c r="R400" s="48"/>
      <c r="S400" s="711" t="str">
        <f>IFERROR(__xludf.DUMMYFUNCTION("""COMPUTED_VALUE"""),"")</f>
        <v/>
      </c>
      <c r="T400" s="721"/>
      <c r="U400" s="721"/>
      <c r="V400" s="711"/>
      <c r="W400" s="721"/>
      <c r="X400" s="721"/>
      <c r="Y400" s="48"/>
      <c r="Z400" s="48"/>
      <c r="AA400" s="48"/>
      <c r="AB400" s="711"/>
      <c r="AC400" s="711"/>
      <c r="AD400" s="711"/>
      <c r="AE400" s="711"/>
      <c r="AF400" s="711"/>
      <c r="AG400" s="711"/>
      <c r="AH400" s="711"/>
    </row>
    <row r="401">
      <c r="A401" s="48"/>
      <c r="B401" s="48"/>
      <c r="C401" s="48"/>
      <c r="D401" s="721"/>
      <c r="E401" s="711"/>
      <c r="F401" s="711"/>
      <c r="G401" s="721"/>
      <c r="H401" s="721"/>
      <c r="I401" s="721"/>
      <c r="J401" s="48"/>
      <c r="K401" s="721"/>
      <c r="L401" s="721"/>
      <c r="M401" s="721"/>
      <c r="N401" s="719"/>
      <c r="O401" s="48"/>
      <c r="P401" s="719"/>
      <c r="Q401" s="48"/>
      <c r="R401" s="48"/>
      <c r="S401" s="711" t="str">
        <f>IFERROR(__xludf.DUMMYFUNCTION("""COMPUTED_VALUE"""),"")</f>
        <v/>
      </c>
      <c r="T401" s="721"/>
      <c r="U401" s="721"/>
      <c r="V401" s="711"/>
      <c r="W401" s="721"/>
      <c r="X401" s="721"/>
      <c r="Y401" s="48"/>
      <c r="Z401" s="48"/>
      <c r="AA401" s="48"/>
      <c r="AB401" s="711"/>
      <c r="AC401" s="711"/>
      <c r="AD401" s="711"/>
      <c r="AE401" s="711"/>
      <c r="AF401" s="711"/>
      <c r="AG401" s="711"/>
      <c r="AH401" s="711"/>
    </row>
    <row r="402">
      <c r="A402" s="48"/>
      <c r="B402" s="48"/>
      <c r="C402" s="48"/>
      <c r="D402" s="721"/>
      <c r="E402" s="711"/>
      <c r="F402" s="711"/>
      <c r="G402" s="721"/>
      <c r="H402" s="721"/>
      <c r="I402" s="721"/>
      <c r="J402" s="48"/>
      <c r="K402" s="721"/>
      <c r="L402" s="721"/>
      <c r="M402" s="721"/>
      <c r="N402" s="719"/>
      <c r="O402" s="48"/>
      <c r="P402" s="719"/>
      <c r="Q402" s="48"/>
      <c r="R402" s="48"/>
      <c r="S402" s="711" t="str">
        <f>IFERROR(__xludf.DUMMYFUNCTION("""COMPUTED_VALUE"""),"")</f>
        <v/>
      </c>
      <c r="T402" s="721"/>
      <c r="U402" s="721"/>
      <c r="V402" s="711"/>
      <c r="W402" s="721"/>
      <c r="X402" s="721"/>
      <c r="Y402" s="48"/>
      <c r="Z402" s="48"/>
      <c r="AA402" s="48"/>
      <c r="AB402" s="711"/>
      <c r="AC402" s="711"/>
      <c r="AD402" s="711"/>
      <c r="AE402" s="711"/>
      <c r="AF402" s="711"/>
      <c r="AG402" s="711"/>
      <c r="AH402" s="711"/>
    </row>
    <row r="403">
      <c r="A403" s="48"/>
      <c r="B403" s="48"/>
      <c r="C403" s="48"/>
      <c r="D403" s="721"/>
      <c r="E403" s="711"/>
      <c r="F403" s="711"/>
      <c r="G403" s="721"/>
      <c r="H403" s="721"/>
      <c r="I403" s="721"/>
      <c r="J403" s="48"/>
      <c r="K403" s="721"/>
      <c r="L403" s="721"/>
      <c r="M403" s="721"/>
      <c r="N403" s="719"/>
      <c r="O403" s="48"/>
      <c r="P403" s="719"/>
      <c r="Q403" s="48"/>
      <c r="R403" s="48"/>
      <c r="S403" s="711" t="str">
        <f>IFERROR(__xludf.DUMMYFUNCTION("""COMPUTED_VALUE"""),"")</f>
        <v/>
      </c>
      <c r="T403" s="721"/>
      <c r="U403" s="721"/>
      <c r="V403" s="711"/>
      <c r="W403" s="721"/>
      <c r="X403" s="721"/>
      <c r="Y403" s="48"/>
      <c r="Z403" s="48"/>
      <c r="AA403" s="48"/>
      <c r="AB403" s="711"/>
      <c r="AC403" s="711"/>
      <c r="AD403" s="711"/>
      <c r="AE403" s="711"/>
      <c r="AF403" s="711"/>
      <c r="AG403" s="711"/>
      <c r="AH403" s="711"/>
    </row>
    <row r="404">
      <c r="A404" s="48"/>
      <c r="B404" s="48"/>
      <c r="C404" s="48"/>
      <c r="D404" s="721"/>
      <c r="E404" s="711"/>
      <c r="F404" s="711"/>
      <c r="G404" s="721"/>
      <c r="H404" s="721"/>
      <c r="I404" s="721"/>
      <c r="J404" s="48"/>
      <c r="K404" s="721"/>
      <c r="L404" s="721"/>
      <c r="M404" s="721"/>
      <c r="N404" s="719"/>
      <c r="O404" s="48"/>
      <c r="P404" s="719"/>
      <c r="Q404" s="48"/>
      <c r="R404" s="48"/>
      <c r="S404" s="711" t="str">
        <f>IFERROR(__xludf.DUMMYFUNCTION("""COMPUTED_VALUE"""),"")</f>
        <v/>
      </c>
      <c r="T404" s="721"/>
      <c r="U404" s="721"/>
      <c r="V404" s="711"/>
      <c r="W404" s="721"/>
      <c r="X404" s="721"/>
      <c r="Y404" s="48"/>
      <c r="Z404" s="48"/>
      <c r="AA404" s="48"/>
      <c r="AB404" s="711"/>
      <c r="AC404" s="711"/>
      <c r="AD404" s="711"/>
      <c r="AE404" s="711"/>
      <c r="AF404" s="711"/>
      <c r="AG404" s="711"/>
      <c r="AH404" s="711"/>
    </row>
    <row r="405">
      <c r="A405" s="48"/>
      <c r="B405" s="48"/>
      <c r="C405" s="48"/>
      <c r="D405" s="721"/>
      <c r="E405" s="711"/>
      <c r="F405" s="711"/>
      <c r="G405" s="721"/>
      <c r="H405" s="721"/>
      <c r="I405" s="721"/>
      <c r="J405" s="48"/>
      <c r="K405" s="721"/>
      <c r="L405" s="721"/>
      <c r="M405" s="721"/>
      <c r="N405" s="719"/>
      <c r="O405" s="48"/>
      <c r="P405" s="719"/>
      <c r="Q405" s="48"/>
      <c r="R405" s="48"/>
      <c r="S405" s="711" t="str">
        <f>IFERROR(__xludf.DUMMYFUNCTION("""COMPUTED_VALUE"""),"")</f>
        <v/>
      </c>
      <c r="T405" s="721"/>
      <c r="U405" s="721"/>
      <c r="V405" s="711"/>
      <c r="W405" s="721"/>
      <c r="X405" s="721"/>
      <c r="Y405" s="48"/>
      <c r="Z405" s="48"/>
      <c r="AA405" s="48"/>
      <c r="AB405" s="711"/>
      <c r="AC405" s="711"/>
      <c r="AD405" s="711"/>
      <c r="AE405" s="711"/>
      <c r="AF405" s="711"/>
      <c r="AG405" s="711"/>
      <c r="AH405" s="711"/>
    </row>
    <row r="406">
      <c r="A406" s="48"/>
      <c r="B406" s="48"/>
      <c r="C406" s="48"/>
      <c r="D406" s="721"/>
      <c r="E406" s="711"/>
      <c r="F406" s="711"/>
      <c r="G406" s="721"/>
      <c r="H406" s="721"/>
      <c r="I406" s="721"/>
      <c r="J406" s="48"/>
      <c r="K406" s="721"/>
      <c r="L406" s="721"/>
      <c r="M406" s="721"/>
      <c r="N406" s="719"/>
      <c r="O406" s="48"/>
      <c r="P406" s="719"/>
      <c r="Q406" s="48"/>
      <c r="R406" s="48"/>
      <c r="S406" s="711" t="str">
        <f>IFERROR(__xludf.DUMMYFUNCTION("""COMPUTED_VALUE"""),"")</f>
        <v/>
      </c>
      <c r="T406" s="721"/>
      <c r="U406" s="721"/>
      <c r="V406" s="711"/>
      <c r="W406" s="721"/>
      <c r="X406" s="721"/>
      <c r="Y406" s="48"/>
      <c r="Z406" s="48"/>
      <c r="AA406" s="48"/>
      <c r="AB406" s="711"/>
      <c r="AC406" s="711"/>
      <c r="AD406" s="711"/>
      <c r="AE406" s="711"/>
      <c r="AF406" s="711"/>
      <c r="AG406" s="711"/>
      <c r="AH406" s="711"/>
    </row>
    <row r="407">
      <c r="A407" s="48"/>
      <c r="B407" s="48"/>
      <c r="C407" s="48"/>
      <c r="D407" s="721"/>
      <c r="E407" s="711"/>
      <c r="F407" s="711"/>
      <c r="G407" s="721"/>
      <c r="H407" s="721"/>
      <c r="I407" s="721"/>
      <c r="J407" s="48"/>
      <c r="K407" s="721"/>
      <c r="L407" s="721"/>
      <c r="M407" s="721"/>
      <c r="N407" s="719"/>
      <c r="O407" s="48"/>
      <c r="P407" s="719"/>
      <c r="Q407" s="48"/>
      <c r="R407" s="48"/>
      <c r="S407" s="711" t="str">
        <f>IFERROR(__xludf.DUMMYFUNCTION("""COMPUTED_VALUE"""),"")</f>
        <v/>
      </c>
      <c r="T407" s="721"/>
      <c r="U407" s="721"/>
      <c r="V407" s="711"/>
      <c r="W407" s="721"/>
      <c r="X407" s="721"/>
      <c r="Y407" s="48"/>
      <c r="Z407" s="48"/>
      <c r="AA407" s="48"/>
      <c r="AB407" s="711"/>
      <c r="AC407" s="711"/>
      <c r="AD407" s="711"/>
      <c r="AE407" s="711"/>
      <c r="AF407" s="711"/>
      <c r="AG407" s="711"/>
      <c r="AH407" s="711"/>
    </row>
    <row r="408">
      <c r="A408" s="48"/>
      <c r="B408" s="48"/>
      <c r="C408" s="48"/>
      <c r="D408" s="721"/>
      <c r="E408" s="711"/>
      <c r="F408" s="711"/>
      <c r="G408" s="721"/>
      <c r="H408" s="721"/>
      <c r="I408" s="721"/>
      <c r="J408" s="48"/>
      <c r="K408" s="721"/>
      <c r="L408" s="721"/>
      <c r="M408" s="721"/>
      <c r="N408" s="719"/>
      <c r="O408" s="48"/>
      <c r="P408" s="719"/>
      <c r="Q408" s="48"/>
      <c r="R408" s="48"/>
      <c r="S408" s="711" t="str">
        <f>IFERROR(__xludf.DUMMYFUNCTION("""COMPUTED_VALUE"""),"")</f>
        <v/>
      </c>
      <c r="T408" s="721"/>
      <c r="U408" s="721"/>
      <c r="V408" s="711"/>
      <c r="W408" s="721"/>
      <c r="X408" s="721"/>
      <c r="Y408" s="48"/>
      <c r="Z408" s="48"/>
      <c r="AA408" s="48"/>
      <c r="AB408" s="711"/>
      <c r="AC408" s="711"/>
      <c r="AD408" s="711"/>
      <c r="AE408" s="711"/>
      <c r="AF408" s="711"/>
      <c r="AG408" s="711"/>
      <c r="AH408" s="711"/>
    </row>
    <row r="409">
      <c r="A409" s="48"/>
      <c r="B409" s="48"/>
      <c r="C409" s="48"/>
      <c r="D409" s="721"/>
      <c r="E409" s="711"/>
      <c r="F409" s="711"/>
      <c r="G409" s="721"/>
      <c r="H409" s="721"/>
      <c r="I409" s="721"/>
      <c r="J409" s="48"/>
      <c r="K409" s="721"/>
      <c r="L409" s="721"/>
      <c r="M409" s="721"/>
      <c r="N409" s="719"/>
      <c r="O409" s="48"/>
      <c r="P409" s="719"/>
      <c r="Q409" s="48"/>
      <c r="R409" s="48"/>
      <c r="S409" s="711" t="str">
        <f>IFERROR(__xludf.DUMMYFUNCTION("""COMPUTED_VALUE"""),"")</f>
        <v/>
      </c>
      <c r="T409" s="721"/>
      <c r="U409" s="721"/>
      <c r="V409" s="711"/>
      <c r="W409" s="721"/>
      <c r="X409" s="721"/>
      <c r="Y409" s="48"/>
      <c r="Z409" s="48"/>
      <c r="AA409" s="48"/>
      <c r="AB409" s="711"/>
      <c r="AC409" s="711"/>
      <c r="AD409" s="711"/>
      <c r="AE409" s="711"/>
      <c r="AF409" s="711"/>
      <c r="AG409" s="711"/>
      <c r="AH409" s="711"/>
    </row>
    <row r="410">
      <c r="A410" s="48"/>
      <c r="B410" s="48"/>
      <c r="C410" s="48"/>
      <c r="D410" s="721"/>
      <c r="E410" s="711"/>
      <c r="F410" s="711"/>
      <c r="G410" s="721"/>
      <c r="H410" s="721"/>
      <c r="I410" s="721"/>
      <c r="J410" s="48"/>
      <c r="K410" s="721"/>
      <c r="L410" s="721"/>
      <c r="M410" s="721"/>
      <c r="N410" s="719"/>
      <c r="O410" s="48"/>
      <c r="P410" s="719"/>
      <c r="Q410" s="48"/>
      <c r="R410" s="48"/>
      <c r="S410" s="711" t="str">
        <f>IFERROR(__xludf.DUMMYFUNCTION("""COMPUTED_VALUE"""),"")</f>
        <v/>
      </c>
      <c r="T410" s="721"/>
      <c r="U410" s="721"/>
      <c r="V410" s="711"/>
      <c r="W410" s="721"/>
      <c r="X410" s="721"/>
      <c r="Y410" s="48"/>
      <c r="Z410" s="48"/>
      <c r="AA410" s="48"/>
      <c r="AB410" s="711"/>
      <c r="AC410" s="711"/>
      <c r="AD410" s="711"/>
      <c r="AE410" s="711"/>
      <c r="AF410" s="711"/>
      <c r="AG410" s="711"/>
      <c r="AH410" s="711"/>
    </row>
    <row r="411">
      <c r="A411" s="48"/>
      <c r="B411" s="48"/>
      <c r="C411" s="48"/>
      <c r="D411" s="721"/>
      <c r="E411" s="711"/>
      <c r="F411" s="711"/>
      <c r="G411" s="721"/>
      <c r="H411" s="721"/>
      <c r="I411" s="721"/>
      <c r="J411" s="48"/>
      <c r="K411" s="721"/>
      <c r="L411" s="721"/>
      <c r="M411" s="721"/>
      <c r="N411" s="719"/>
      <c r="O411" s="48"/>
      <c r="P411" s="719"/>
      <c r="Q411" s="48"/>
      <c r="R411" s="48"/>
      <c r="S411" s="711" t="str">
        <f>IFERROR(__xludf.DUMMYFUNCTION("""COMPUTED_VALUE"""),"")</f>
        <v/>
      </c>
      <c r="T411" s="721"/>
      <c r="U411" s="721"/>
      <c r="V411" s="711"/>
      <c r="W411" s="721"/>
      <c r="X411" s="721"/>
      <c r="Y411" s="48"/>
      <c r="Z411" s="48"/>
      <c r="AA411" s="48"/>
      <c r="AB411" s="711"/>
      <c r="AC411" s="711"/>
      <c r="AD411" s="711"/>
      <c r="AE411" s="711"/>
      <c r="AF411" s="711"/>
      <c r="AG411" s="711"/>
      <c r="AH411" s="711"/>
    </row>
    <row r="412">
      <c r="A412" s="48"/>
      <c r="B412" s="48"/>
      <c r="C412" s="48"/>
      <c r="D412" s="721"/>
      <c r="E412" s="711"/>
      <c r="F412" s="711"/>
      <c r="G412" s="721"/>
      <c r="H412" s="721"/>
      <c r="I412" s="721"/>
      <c r="J412" s="48"/>
      <c r="K412" s="721"/>
      <c r="L412" s="721"/>
      <c r="M412" s="721"/>
      <c r="N412" s="719"/>
      <c r="O412" s="48"/>
      <c r="P412" s="719"/>
      <c r="Q412" s="48"/>
      <c r="R412" s="48"/>
      <c r="S412" s="711" t="str">
        <f>IFERROR(__xludf.DUMMYFUNCTION("""COMPUTED_VALUE"""),"")</f>
        <v/>
      </c>
      <c r="T412" s="721"/>
      <c r="U412" s="721"/>
      <c r="V412" s="711"/>
      <c r="W412" s="721"/>
      <c r="X412" s="721"/>
      <c r="Y412" s="48"/>
      <c r="Z412" s="48"/>
      <c r="AA412" s="48"/>
      <c r="AB412" s="711"/>
      <c r="AC412" s="711"/>
      <c r="AD412" s="711"/>
      <c r="AE412" s="711"/>
      <c r="AF412" s="711"/>
      <c r="AG412" s="711"/>
      <c r="AH412" s="711"/>
    </row>
    <row r="413">
      <c r="A413" s="48"/>
      <c r="B413" s="48"/>
      <c r="C413" s="48"/>
      <c r="D413" s="721"/>
      <c r="E413" s="711"/>
      <c r="F413" s="711"/>
      <c r="G413" s="721"/>
      <c r="H413" s="721"/>
      <c r="I413" s="721"/>
      <c r="J413" s="48"/>
      <c r="K413" s="721"/>
      <c r="L413" s="721"/>
      <c r="M413" s="721"/>
      <c r="N413" s="719"/>
      <c r="O413" s="48"/>
      <c r="P413" s="719"/>
      <c r="Q413" s="48"/>
      <c r="R413" s="48"/>
      <c r="S413" s="711" t="str">
        <f>IFERROR(__xludf.DUMMYFUNCTION("""COMPUTED_VALUE"""),"")</f>
        <v/>
      </c>
      <c r="T413" s="721"/>
      <c r="U413" s="721"/>
      <c r="V413" s="711"/>
      <c r="W413" s="721"/>
      <c r="X413" s="721"/>
      <c r="Y413" s="48"/>
      <c r="Z413" s="48"/>
      <c r="AA413" s="48"/>
      <c r="AB413" s="711"/>
      <c r="AC413" s="711"/>
      <c r="AD413" s="711"/>
      <c r="AE413" s="711"/>
      <c r="AF413" s="711"/>
      <c r="AG413" s="711"/>
      <c r="AH413" s="711"/>
    </row>
    <row r="414">
      <c r="A414" s="48"/>
      <c r="B414" s="48"/>
      <c r="C414" s="48"/>
      <c r="D414" s="721"/>
      <c r="E414" s="711"/>
      <c r="F414" s="711"/>
      <c r="G414" s="721"/>
      <c r="H414" s="721"/>
      <c r="I414" s="721"/>
      <c r="J414" s="48"/>
      <c r="K414" s="721"/>
      <c r="L414" s="721"/>
      <c r="M414" s="721"/>
      <c r="N414" s="719"/>
      <c r="O414" s="48"/>
      <c r="P414" s="719"/>
      <c r="Q414" s="48"/>
      <c r="R414" s="711" t="str">
        <f>IFERROR(__xludf.DUMMYFUNCTION("""COMPUTED_VALUE"""),"2526MODULOMER09.Y")</f>
        <v>2526MODULOMER09.Y</v>
      </c>
      <c r="S414" s="711">
        <f>IFERROR(__xludf.DUMMYFUNCTION("""COMPUTED_VALUE"""),40.0)</f>
        <v>40</v>
      </c>
      <c r="T414" s="721" t="str">
        <f>IFERROR(__xludf.DUMMYFUNCTION("""COMPUTED_VALUE"""),"2526MODULOMER09.Y")</f>
        <v>2526MODULOMER09.Y</v>
      </c>
      <c r="U414" s="721"/>
      <c r="V414" s="711"/>
      <c r="W414" s="721"/>
      <c r="X414" s="721"/>
      <c r="Y414" s="48"/>
      <c r="Z414" s="48"/>
      <c r="AA414" s="48"/>
      <c r="AB414" s="711"/>
      <c r="AC414" s="711"/>
      <c r="AD414" s="711"/>
      <c r="AE414" s="711"/>
      <c r="AF414" s="711"/>
      <c r="AG414" s="711"/>
      <c r="AH414" s="711"/>
    </row>
    <row r="415">
      <c r="A415" s="48"/>
      <c r="B415" s="48"/>
      <c r="C415" s="48"/>
      <c r="D415" s="721"/>
      <c r="E415" s="711"/>
      <c r="F415" s="711"/>
      <c r="G415" s="721"/>
      <c r="H415" s="721"/>
      <c r="I415" s="721"/>
      <c r="J415" s="48"/>
      <c r="K415" s="721"/>
      <c r="L415" s="721"/>
      <c r="M415" s="721"/>
      <c r="N415" s="719"/>
      <c r="O415" s="48"/>
      <c r="P415" s="719"/>
      <c r="Q415" s="48"/>
      <c r="R415" s="48"/>
      <c r="S415" s="711" t="str">
        <f>IFERROR(__xludf.DUMMYFUNCTION("""COMPUTED_VALUE"""),"")</f>
        <v/>
      </c>
      <c r="T415" s="721"/>
      <c r="U415" s="721"/>
      <c r="V415" s="711"/>
      <c r="W415" s="721"/>
      <c r="X415" s="721"/>
      <c r="Y415" s="48"/>
      <c r="Z415" s="48"/>
      <c r="AA415" s="48"/>
      <c r="AB415" s="711"/>
      <c r="AC415" s="711"/>
      <c r="AD415" s="711"/>
      <c r="AE415" s="711"/>
      <c r="AF415" s="711"/>
      <c r="AG415" s="711"/>
      <c r="AH415" s="711"/>
    </row>
    <row r="416">
      <c r="A416" s="48"/>
      <c r="B416" s="48"/>
      <c r="C416" s="48"/>
      <c r="D416" s="721"/>
      <c r="E416" s="711"/>
      <c r="F416" s="711"/>
      <c r="G416" s="721"/>
      <c r="H416" s="721"/>
      <c r="I416" s="721"/>
      <c r="J416" s="48"/>
      <c r="K416" s="721"/>
      <c r="L416" s="721"/>
      <c r="M416" s="721"/>
      <c r="N416" s="719"/>
      <c r="O416" s="48"/>
      <c r="P416" s="719"/>
      <c r="Q416" s="48"/>
      <c r="R416" s="711" t="str">
        <f>IFERROR(__xludf.DUMMYFUNCTION("""COMPUTED_VALUE"""),"2526MODULOMER09.Y")</f>
        <v>2526MODULOMER09.Y</v>
      </c>
      <c r="S416" s="711">
        <f>IFERROR(__xludf.DUMMYFUNCTION("""COMPUTED_VALUE"""),40.0)</f>
        <v>40</v>
      </c>
      <c r="T416" s="721" t="str">
        <f>IFERROR(__xludf.DUMMYFUNCTION("""COMPUTED_VALUE"""),"2526MODULOMER09.Y")</f>
        <v>2526MODULOMER09.Y</v>
      </c>
      <c r="U416" s="721"/>
      <c r="V416" s="711"/>
      <c r="W416" s="721"/>
      <c r="X416" s="721"/>
      <c r="Y416" s="48"/>
      <c r="Z416" s="48"/>
      <c r="AA416" s="48"/>
      <c r="AB416" s="711"/>
      <c r="AC416" s="711"/>
      <c r="AD416" s="711"/>
      <c r="AE416" s="711"/>
      <c r="AF416" s="711"/>
      <c r="AG416" s="711"/>
      <c r="AH416" s="711"/>
    </row>
    <row r="417">
      <c r="A417" s="48"/>
      <c r="B417" s="48"/>
      <c r="C417" s="48"/>
      <c r="D417" s="721"/>
      <c r="E417" s="711"/>
      <c r="F417" s="711"/>
      <c r="G417" s="721"/>
      <c r="H417" s="721"/>
      <c r="I417" s="721"/>
      <c r="J417" s="48"/>
      <c r="K417" s="721"/>
      <c r="L417" s="721"/>
      <c r="M417" s="721"/>
      <c r="N417" s="719"/>
      <c r="O417" s="48"/>
      <c r="P417" s="719"/>
      <c r="Q417" s="48"/>
      <c r="R417" s="711" t="str">
        <f>IFERROR(__xludf.DUMMYFUNCTION("""COMPUTED_VALUE"""),"2526MODULOMER09.Y")</f>
        <v>2526MODULOMER09.Y</v>
      </c>
      <c r="S417" s="711">
        <f>IFERROR(__xludf.DUMMYFUNCTION("""COMPUTED_VALUE"""),40.0)</f>
        <v>40</v>
      </c>
      <c r="T417" s="721" t="str">
        <f>IFERROR(__xludf.DUMMYFUNCTION("""COMPUTED_VALUE"""),"2526MODULOMER09.Y")</f>
        <v>2526MODULOMER09.Y</v>
      </c>
      <c r="U417" s="721"/>
      <c r="V417" s="711"/>
      <c r="W417" s="721"/>
      <c r="X417" s="721"/>
      <c r="Y417" s="48"/>
      <c r="Z417" s="48"/>
      <c r="AA417" s="48"/>
      <c r="AB417" s="711"/>
      <c r="AC417" s="711"/>
      <c r="AD417" s="711"/>
      <c r="AE417" s="711"/>
      <c r="AF417" s="711"/>
      <c r="AG417" s="711"/>
      <c r="AH417" s="711"/>
    </row>
    <row r="418">
      <c r="A418" s="48"/>
      <c r="B418" s="48"/>
      <c r="C418" s="48"/>
      <c r="D418" s="721"/>
      <c r="E418" s="711"/>
      <c r="F418" s="711"/>
      <c r="G418" s="721"/>
      <c r="H418" s="721"/>
      <c r="I418" s="721"/>
      <c r="J418" s="48"/>
      <c r="K418" s="721"/>
      <c r="L418" s="721"/>
      <c r="M418" s="721"/>
      <c r="N418" s="719"/>
      <c r="O418" s="48"/>
      <c r="P418" s="719"/>
      <c r="Q418" s="48"/>
      <c r="R418" s="48"/>
      <c r="S418" s="711" t="str">
        <f>IFERROR(__xludf.DUMMYFUNCTION("""COMPUTED_VALUE"""),"")</f>
        <v/>
      </c>
      <c r="T418" s="721"/>
      <c r="U418" s="721"/>
      <c r="V418" s="711"/>
      <c r="W418" s="721"/>
      <c r="X418" s="721"/>
      <c r="Y418" s="48"/>
      <c r="Z418" s="48"/>
      <c r="AA418" s="48"/>
      <c r="AB418" s="711"/>
      <c r="AC418" s="711"/>
      <c r="AD418" s="711"/>
      <c r="AE418" s="711"/>
      <c r="AF418" s="711"/>
      <c r="AG418" s="711"/>
      <c r="AH418" s="711"/>
    </row>
    <row r="419">
      <c r="A419" s="48"/>
      <c r="B419" s="48"/>
      <c r="C419" s="48"/>
      <c r="D419" s="721"/>
      <c r="E419" s="711"/>
      <c r="F419" s="711"/>
      <c r="G419" s="721"/>
      <c r="H419" s="721"/>
      <c r="I419" s="721"/>
      <c r="J419" s="48"/>
      <c r="K419" s="721"/>
      <c r="L419" s="721"/>
      <c r="M419" s="721"/>
      <c r="N419" s="719"/>
      <c r="O419" s="48"/>
      <c r="P419" s="719"/>
      <c r="Q419" s="48"/>
      <c r="R419" s="48"/>
      <c r="S419" s="711" t="str">
        <f>IFERROR(__xludf.DUMMYFUNCTION("""COMPUTED_VALUE"""),"")</f>
        <v/>
      </c>
      <c r="T419" s="721"/>
      <c r="U419" s="721"/>
      <c r="V419" s="711"/>
      <c r="W419" s="721"/>
      <c r="X419" s="721"/>
      <c r="Y419" s="48"/>
      <c r="Z419" s="48"/>
      <c r="AA419" s="48"/>
      <c r="AB419" s="711"/>
      <c r="AC419" s="711"/>
      <c r="AD419" s="711"/>
      <c r="AE419" s="711"/>
      <c r="AF419" s="711"/>
      <c r="AG419" s="711"/>
      <c r="AH419" s="711"/>
    </row>
    <row r="420">
      <c r="A420" s="48"/>
      <c r="B420" s="48"/>
      <c r="C420" s="48"/>
      <c r="D420" s="721"/>
      <c r="E420" s="711"/>
      <c r="F420" s="711"/>
      <c r="G420" s="721"/>
      <c r="H420" s="721"/>
      <c r="I420" s="721"/>
      <c r="J420" s="48"/>
      <c r="K420" s="721"/>
      <c r="L420" s="721"/>
      <c r="M420" s="721"/>
      <c r="N420" s="719"/>
      <c r="O420" s="48"/>
      <c r="P420" s="719"/>
      <c r="Q420" s="48"/>
      <c r="R420" s="711" t="str">
        <f>IFERROR(__xludf.DUMMYFUNCTION("""COMPUTED_VALUE"""),"2526MODULOMER09.Y")</f>
        <v>2526MODULOMER09.Y</v>
      </c>
      <c r="S420" s="711">
        <f>IFERROR(__xludf.DUMMYFUNCTION("""COMPUTED_VALUE"""),40.0)</f>
        <v>40</v>
      </c>
      <c r="T420" s="721" t="str">
        <f>IFERROR(__xludf.DUMMYFUNCTION("""COMPUTED_VALUE"""),"2526MODULOMER09.Y")</f>
        <v>2526MODULOMER09.Y</v>
      </c>
      <c r="U420" s="721"/>
      <c r="V420" s="711"/>
      <c r="W420" s="721"/>
      <c r="X420" s="721"/>
      <c r="Y420" s="48"/>
      <c r="Z420" s="48"/>
      <c r="AA420" s="48"/>
      <c r="AB420" s="711"/>
      <c r="AC420" s="711"/>
      <c r="AD420" s="711"/>
      <c r="AE420" s="711"/>
      <c r="AF420" s="711"/>
      <c r="AG420" s="711"/>
      <c r="AH420" s="711"/>
    </row>
    <row r="421">
      <c r="A421" s="48"/>
      <c r="B421" s="48"/>
      <c r="C421" s="48"/>
      <c r="D421" s="721"/>
      <c r="E421" s="711"/>
      <c r="F421" s="711"/>
      <c r="G421" s="721"/>
      <c r="H421" s="721"/>
      <c r="I421" s="721"/>
      <c r="J421" s="48"/>
      <c r="K421" s="721"/>
      <c r="L421" s="721"/>
      <c r="M421" s="721"/>
      <c r="N421" s="719"/>
      <c r="O421" s="48"/>
      <c r="P421" s="719"/>
      <c r="Q421" s="48"/>
      <c r="R421" s="711" t="str">
        <f>IFERROR(__xludf.DUMMYFUNCTION("""COMPUTED_VALUE"""),"2526SEABRAMER09.Y")</f>
        <v>2526SEABRAMER09.Y</v>
      </c>
      <c r="S421" s="711">
        <f>IFERROR(__xludf.DUMMYFUNCTION("""COMPUTED_VALUE"""),20.0)</f>
        <v>20</v>
      </c>
      <c r="T421" s="721" t="str">
        <f>IFERROR(__xludf.DUMMYFUNCTION("""COMPUTED_VALUE"""),"2526SEABRAMER09.Y")</f>
        <v>2526SEABRAMER09.Y</v>
      </c>
      <c r="U421" s="721"/>
      <c r="V421" s="711"/>
      <c r="W421" s="721"/>
      <c r="X421" s="721"/>
      <c r="Y421" s="48"/>
      <c r="Z421" s="48"/>
      <c r="AA421" s="48"/>
      <c r="AB421" s="711"/>
      <c r="AC421" s="711"/>
      <c r="AD421" s="711"/>
      <c r="AE421" s="711"/>
      <c r="AF421" s="711"/>
      <c r="AG421" s="711"/>
      <c r="AH421" s="711"/>
    </row>
    <row r="422">
      <c r="A422" s="48"/>
      <c r="B422" s="48"/>
      <c r="C422" s="48"/>
      <c r="D422" s="721"/>
      <c r="E422" s="711"/>
      <c r="F422" s="711"/>
      <c r="G422" s="721"/>
      <c r="H422" s="721"/>
      <c r="I422" s="721"/>
      <c r="J422" s="48"/>
      <c r="K422" s="721"/>
      <c r="L422" s="721"/>
      <c r="M422" s="721"/>
      <c r="N422" s="719"/>
      <c r="O422" s="48"/>
      <c r="P422" s="719"/>
      <c r="Q422" s="48"/>
      <c r="R422" s="48"/>
      <c r="S422" s="711" t="str">
        <f>IFERROR(__xludf.DUMMYFUNCTION("""COMPUTED_VALUE"""),"")</f>
        <v/>
      </c>
      <c r="T422" s="721"/>
      <c r="U422" s="721"/>
      <c r="V422" s="711"/>
      <c r="W422" s="721"/>
      <c r="X422" s="721"/>
      <c r="Y422" s="48"/>
      <c r="Z422" s="48"/>
      <c r="AA422" s="48"/>
      <c r="AB422" s="711"/>
      <c r="AC422" s="711"/>
      <c r="AD422" s="711"/>
      <c r="AE422" s="711"/>
      <c r="AF422" s="711"/>
      <c r="AG422" s="711"/>
      <c r="AH422" s="711"/>
    </row>
    <row r="423">
      <c r="A423" s="48"/>
      <c r="B423" s="48"/>
      <c r="C423" s="48"/>
      <c r="D423" s="721"/>
      <c r="E423" s="711"/>
      <c r="F423" s="711"/>
      <c r="G423" s="721"/>
      <c r="H423" s="721"/>
      <c r="I423" s="721"/>
      <c r="J423" s="48"/>
      <c r="K423" s="721"/>
      <c r="L423" s="721"/>
      <c r="M423" s="721"/>
      <c r="N423" s="719"/>
      <c r="O423" s="48"/>
      <c r="P423" s="719"/>
      <c r="Q423" s="48"/>
      <c r="R423" s="48"/>
      <c r="S423" s="711" t="str">
        <f>IFERROR(__xludf.DUMMYFUNCTION("""COMPUTED_VALUE"""),"")</f>
        <v/>
      </c>
      <c r="T423" s="721"/>
      <c r="U423" s="721"/>
      <c r="V423" s="711"/>
      <c r="W423" s="721"/>
      <c r="X423" s="721"/>
      <c r="Y423" s="48"/>
      <c r="Z423" s="48"/>
      <c r="AA423" s="48"/>
      <c r="AB423" s="711"/>
      <c r="AC423" s="711"/>
      <c r="AD423" s="711"/>
      <c r="AE423" s="711"/>
      <c r="AF423" s="711"/>
      <c r="AG423" s="711"/>
      <c r="AH423" s="711"/>
    </row>
    <row r="424">
      <c r="A424" s="48"/>
      <c r="B424" s="48"/>
      <c r="C424" s="48"/>
      <c r="D424" s="721"/>
      <c r="E424" s="711"/>
      <c r="F424" s="711"/>
      <c r="G424" s="721"/>
      <c r="H424" s="721"/>
      <c r="I424" s="721"/>
      <c r="J424" s="48"/>
      <c r="K424" s="721"/>
      <c r="L424" s="721"/>
      <c r="M424" s="721"/>
      <c r="N424" s="719"/>
      <c r="O424" s="48"/>
      <c r="P424" s="719"/>
      <c r="Q424" s="48"/>
      <c r="R424" s="48"/>
      <c r="S424" s="711" t="str">
        <f>IFERROR(__xludf.DUMMYFUNCTION("""COMPUTED_VALUE"""),"")</f>
        <v/>
      </c>
      <c r="T424" s="721"/>
      <c r="U424" s="721"/>
      <c r="V424" s="711"/>
      <c r="W424" s="721"/>
      <c r="X424" s="721"/>
      <c r="Y424" s="48"/>
      <c r="Z424" s="48"/>
      <c r="AA424" s="48"/>
      <c r="AB424" s="711"/>
      <c r="AC424" s="711"/>
      <c r="AD424" s="711"/>
      <c r="AE424" s="711"/>
      <c r="AF424" s="711"/>
      <c r="AG424" s="711"/>
      <c r="AH424" s="711"/>
    </row>
    <row r="425">
      <c r="A425" s="48"/>
      <c r="B425" s="48"/>
      <c r="C425" s="48"/>
      <c r="D425" s="721"/>
      <c r="E425" s="711"/>
      <c r="F425" s="711"/>
      <c r="G425" s="721"/>
      <c r="H425" s="721"/>
      <c r="I425" s="721"/>
      <c r="J425" s="48"/>
      <c r="K425" s="721"/>
      <c r="L425" s="721"/>
      <c r="M425" s="721"/>
      <c r="N425" s="719"/>
      <c r="O425" s="48"/>
      <c r="P425" s="719"/>
      <c r="Q425" s="48"/>
      <c r="R425" s="714" t="str">
        <f>IFERROR(__xludf.DUMMYFUNCTION("""COMPUTED_VALUE"""),"2526CRUZMER10.F")</f>
        <v>2526CRUZMER10.F</v>
      </c>
      <c r="S425" s="711">
        <f>IFERROR(__xludf.DUMMYFUNCTION("""COMPUTED_VALUE"""),40.0)</f>
        <v>40</v>
      </c>
      <c r="T425" s="722" t="str">
        <f>IFERROR(__xludf.DUMMYFUNCTION("""COMPUTED_VALUE"""),"2526CRUZMER10.F")</f>
        <v>2526CRUZMER10.F</v>
      </c>
      <c r="U425" s="721"/>
      <c r="V425" s="711"/>
      <c r="W425" s="721"/>
      <c r="X425" s="721"/>
      <c r="Y425" s="48"/>
      <c r="Z425" s="48"/>
      <c r="AA425" s="48"/>
      <c r="AB425" s="711"/>
      <c r="AC425" s="711"/>
      <c r="AD425" s="711"/>
      <c r="AE425" s="711"/>
      <c r="AF425" s="711"/>
      <c r="AG425" s="711"/>
      <c r="AH425" s="711"/>
    </row>
    <row r="426">
      <c r="A426" s="48"/>
      <c r="B426" s="48"/>
      <c r="C426" s="48"/>
      <c r="D426" s="721"/>
      <c r="E426" s="711"/>
      <c r="F426" s="711"/>
      <c r="G426" s="721"/>
      <c r="H426" s="721"/>
      <c r="I426" s="721"/>
      <c r="J426" s="48"/>
      <c r="K426" s="721"/>
      <c r="L426" s="721"/>
      <c r="M426" s="721"/>
      <c r="N426" s="719"/>
      <c r="O426" s="48"/>
      <c r="P426" s="719"/>
      <c r="Q426" s="48"/>
      <c r="R426" s="711" t="str">
        <f>IFERROR(__xludf.DUMMYFUNCTION("""COMPUTED_VALUE"""),"2526MODULOMER10.Y")</f>
        <v>2526MODULOMER10.Y</v>
      </c>
      <c r="S426" s="711">
        <f>IFERROR(__xludf.DUMMYFUNCTION("""COMPUTED_VALUE"""),40.0)</f>
        <v>40</v>
      </c>
      <c r="T426" s="721" t="str">
        <f>IFERROR(__xludf.DUMMYFUNCTION("""COMPUTED_VALUE"""),"2526MODULOMER10.Y")</f>
        <v>2526MODULOMER10.Y</v>
      </c>
      <c r="U426" s="721"/>
      <c r="V426" s="711"/>
      <c r="W426" s="721"/>
      <c r="X426" s="721"/>
      <c r="Y426" s="48"/>
      <c r="Z426" s="48"/>
      <c r="AA426" s="48"/>
      <c r="AB426" s="711"/>
      <c r="AC426" s="711"/>
      <c r="AD426" s="711"/>
      <c r="AE426" s="711"/>
      <c r="AF426" s="711"/>
      <c r="AG426" s="711"/>
      <c r="AH426" s="711"/>
    </row>
    <row r="427">
      <c r="A427" s="48"/>
      <c r="B427" s="48"/>
      <c r="C427" s="48"/>
      <c r="D427" s="721"/>
      <c r="E427" s="711"/>
      <c r="F427" s="711"/>
      <c r="G427" s="721"/>
      <c r="H427" s="721"/>
      <c r="I427" s="721"/>
      <c r="J427" s="48"/>
      <c r="K427" s="721"/>
      <c r="L427" s="721"/>
      <c r="M427" s="721"/>
      <c r="N427" s="719"/>
      <c r="O427" s="48"/>
      <c r="P427" s="719"/>
      <c r="Q427" s="48"/>
      <c r="R427" s="48"/>
      <c r="S427" s="711" t="str">
        <f>IFERROR(__xludf.DUMMYFUNCTION("""COMPUTED_VALUE"""),"")</f>
        <v/>
      </c>
      <c r="T427" s="721"/>
      <c r="U427" s="721"/>
      <c r="V427" s="711"/>
      <c r="W427" s="721"/>
      <c r="X427" s="721"/>
      <c r="Y427" s="48"/>
      <c r="Z427" s="48"/>
      <c r="AA427" s="48"/>
      <c r="AB427" s="711"/>
      <c r="AC427" s="711"/>
      <c r="AD427" s="711"/>
      <c r="AE427" s="711"/>
      <c r="AF427" s="711"/>
      <c r="AG427" s="711"/>
      <c r="AH427" s="711"/>
    </row>
    <row r="428">
      <c r="A428" s="48"/>
      <c r="B428" s="48"/>
      <c r="C428" s="48"/>
      <c r="D428" s="721"/>
      <c r="E428" s="711"/>
      <c r="F428" s="711"/>
      <c r="G428" s="721"/>
      <c r="H428" s="721"/>
      <c r="I428" s="721"/>
      <c r="J428" s="48"/>
      <c r="K428" s="721"/>
      <c r="L428" s="721"/>
      <c r="M428" s="721"/>
      <c r="N428" s="719"/>
      <c r="O428" s="48"/>
      <c r="P428" s="719"/>
      <c r="Q428" s="48"/>
      <c r="R428" s="711" t="str">
        <f>IFERROR(__xludf.DUMMYFUNCTION("""COMPUTED_VALUE"""),"2526MODULOMER10.Y")</f>
        <v>2526MODULOMER10.Y</v>
      </c>
      <c r="S428" s="711">
        <f>IFERROR(__xludf.DUMMYFUNCTION("""COMPUTED_VALUE"""),40.0)</f>
        <v>40</v>
      </c>
      <c r="T428" s="721" t="str">
        <f>IFERROR(__xludf.DUMMYFUNCTION("""COMPUTED_VALUE"""),"2526MODULOMER10.Y")</f>
        <v>2526MODULOMER10.Y</v>
      </c>
      <c r="U428" s="721"/>
      <c r="V428" s="711"/>
      <c r="W428" s="721"/>
      <c r="X428" s="721"/>
      <c r="Y428" s="48"/>
      <c r="Z428" s="48"/>
      <c r="AA428" s="48"/>
      <c r="AB428" s="711"/>
      <c r="AC428" s="711"/>
      <c r="AD428" s="711"/>
      <c r="AE428" s="711"/>
      <c r="AF428" s="711"/>
      <c r="AG428" s="711"/>
      <c r="AH428" s="711"/>
    </row>
    <row r="429">
      <c r="A429" s="48"/>
      <c r="B429" s="48"/>
      <c r="C429" s="48"/>
      <c r="D429" s="721"/>
      <c r="E429" s="711"/>
      <c r="F429" s="711"/>
      <c r="G429" s="721"/>
      <c r="H429" s="721"/>
      <c r="I429" s="721"/>
      <c r="J429" s="48"/>
      <c r="K429" s="721"/>
      <c r="L429" s="721"/>
      <c r="M429" s="721"/>
      <c r="N429" s="719"/>
      <c r="O429" s="48"/>
      <c r="P429" s="719"/>
      <c r="Q429" s="48"/>
      <c r="R429" s="711" t="str">
        <f>IFERROR(__xludf.DUMMYFUNCTION("""COMPUTED_VALUE"""),"2526MODULOMER10.Y")</f>
        <v>2526MODULOMER10.Y</v>
      </c>
      <c r="S429" s="711">
        <f>IFERROR(__xludf.DUMMYFUNCTION("""COMPUTED_VALUE"""),40.0)</f>
        <v>40</v>
      </c>
      <c r="T429" s="721" t="str">
        <f>IFERROR(__xludf.DUMMYFUNCTION("""COMPUTED_VALUE"""),"2526MODULOMER10.Y")</f>
        <v>2526MODULOMER10.Y</v>
      </c>
      <c r="U429" s="721"/>
      <c r="V429" s="711"/>
      <c r="W429" s="721"/>
      <c r="X429" s="721"/>
      <c r="Y429" s="48"/>
      <c r="Z429" s="48"/>
      <c r="AA429" s="48"/>
      <c r="AB429" s="711"/>
      <c r="AC429" s="711"/>
      <c r="AD429" s="711"/>
      <c r="AE429" s="711"/>
      <c r="AF429" s="711"/>
      <c r="AG429" s="711"/>
      <c r="AH429" s="711"/>
    </row>
    <row r="430">
      <c r="A430" s="48"/>
      <c r="B430" s="48"/>
      <c r="C430" s="48"/>
      <c r="D430" s="721"/>
      <c r="E430" s="711"/>
      <c r="F430" s="711"/>
      <c r="G430" s="721"/>
      <c r="H430" s="721"/>
      <c r="I430" s="721"/>
      <c r="J430" s="48"/>
      <c r="K430" s="721"/>
      <c r="L430" s="721"/>
      <c r="M430" s="721"/>
      <c r="N430" s="719"/>
      <c r="O430" s="48"/>
      <c r="P430" s="719"/>
      <c r="Q430" s="48"/>
      <c r="R430" s="48"/>
      <c r="S430" s="711" t="str">
        <f>IFERROR(__xludf.DUMMYFUNCTION("""COMPUTED_VALUE"""),"")</f>
        <v/>
      </c>
      <c r="T430" s="721"/>
      <c r="U430" s="721"/>
      <c r="V430" s="711"/>
      <c r="W430" s="721"/>
      <c r="X430" s="721"/>
      <c r="Y430" s="48"/>
      <c r="Z430" s="48"/>
      <c r="AA430" s="48"/>
      <c r="AB430" s="711"/>
      <c r="AC430" s="711"/>
      <c r="AD430" s="711"/>
      <c r="AE430" s="711"/>
      <c r="AF430" s="711"/>
      <c r="AG430" s="711"/>
      <c r="AH430" s="711"/>
    </row>
    <row r="431">
      <c r="A431" s="48"/>
      <c r="B431" s="48"/>
      <c r="C431" s="48"/>
      <c r="D431" s="721"/>
      <c r="E431" s="711"/>
      <c r="F431" s="711"/>
      <c r="G431" s="721"/>
      <c r="H431" s="721"/>
      <c r="I431" s="721"/>
      <c r="J431" s="48"/>
      <c r="K431" s="721"/>
      <c r="L431" s="721"/>
      <c r="M431" s="721"/>
      <c r="N431" s="719"/>
      <c r="O431" s="48"/>
      <c r="P431" s="719"/>
      <c r="Q431" s="48"/>
      <c r="R431" s="48"/>
      <c r="S431" s="711" t="str">
        <f>IFERROR(__xludf.DUMMYFUNCTION("""COMPUTED_VALUE"""),"")</f>
        <v/>
      </c>
      <c r="T431" s="721"/>
      <c r="U431" s="721"/>
      <c r="V431" s="711"/>
      <c r="W431" s="721"/>
      <c r="X431" s="721"/>
      <c r="Y431" s="48"/>
      <c r="Z431" s="48"/>
      <c r="AA431" s="48"/>
      <c r="AB431" s="711"/>
      <c r="AC431" s="711"/>
      <c r="AD431" s="711"/>
      <c r="AE431" s="711"/>
      <c r="AF431" s="711"/>
      <c r="AG431" s="711"/>
      <c r="AH431" s="711"/>
    </row>
    <row r="432">
      <c r="A432" s="48"/>
      <c r="B432" s="48"/>
      <c r="C432" s="48"/>
      <c r="D432" s="721"/>
      <c r="E432" s="711"/>
      <c r="F432" s="711"/>
      <c r="G432" s="721"/>
      <c r="H432" s="721"/>
      <c r="I432" s="721"/>
      <c r="J432" s="48"/>
      <c r="K432" s="721"/>
      <c r="L432" s="721"/>
      <c r="M432" s="721"/>
      <c r="N432" s="719"/>
      <c r="O432" s="48"/>
      <c r="P432" s="719"/>
      <c r="Q432" s="48"/>
      <c r="R432" s="711" t="str">
        <f>IFERROR(__xludf.DUMMYFUNCTION("""COMPUTED_VALUE"""),"2526MODULOMER10.Y")</f>
        <v>2526MODULOMER10.Y</v>
      </c>
      <c r="S432" s="711">
        <f>IFERROR(__xludf.DUMMYFUNCTION("""COMPUTED_VALUE"""),40.0)</f>
        <v>40</v>
      </c>
      <c r="T432" s="721" t="str">
        <f>IFERROR(__xludf.DUMMYFUNCTION("""COMPUTED_VALUE"""),"2526MODULOMER10.Y")</f>
        <v>2526MODULOMER10.Y</v>
      </c>
      <c r="U432" s="721"/>
      <c r="V432" s="711"/>
      <c r="W432" s="721"/>
      <c r="X432" s="721"/>
      <c r="Y432" s="48"/>
      <c r="Z432" s="48"/>
      <c r="AA432" s="48"/>
      <c r="AB432" s="711"/>
      <c r="AC432" s="711"/>
      <c r="AD432" s="711"/>
      <c r="AE432" s="711"/>
      <c r="AF432" s="711"/>
      <c r="AG432" s="711"/>
      <c r="AH432" s="711"/>
    </row>
    <row r="433">
      <c r="A433" s="48"/>
      <c r="B433" s="48"/>
      <c r="C433" s="48"/>
      <c r="D433" s="721"/>
      <c r="E433" s="711"/>
      <c r="F433" s="711"/>
      <c r="G433" s="721"/>
      <c r="H433" s="721"/>
      <c r="I433" s="721"/>
      <c r="J433" s="48"/>
      <c r="K433" s="721"/>
      <c r="L433" s="721"/>
      <c r="M433" s="721"/>
      <c r="N433" s="719"/>
      <c r="O433" s="48"/>
      <c r="P433" s="719"/>
      <c r="Q433" s="48"/>
      <c r="R433" s="711" t="str">
        <f>IFERROR(__xludf.DUMMYFUNCTION("""COMPUTED_VALUE"""),"2526SEABRAMER10.Y")</f>
        <v>2526SEABRAMER10.Y</v>
      </c>
      <c r="S433" s="711">
        <f>IFERROR(__xludf.DUMMYFUNCTION("""COMPUTED_VALUE"""),20.0)</f>
        <v>20</v>
      </c>
      <c r="T433" s="721" t="str">
        <f>IFERROR(__xludf.DUMMYFUNCTION("""COMPUTED_VALUE"""),"2526SEABRAMER10.Y")</f>
        <v>2526SEABRAMER10.Y</v>
      </c>
      <c r="U433" s="721"/>
      <c r="V433" s="711"/>
      <c r="W433" s="721"/>
      <c r="X433" s="721"/>
      <c r="Y433" s="48"/>
      <c r="Z433" s="48"/>
      <c r="AA433" s="48"/>
      <c r="AB433" s="711"/>
      <c r="AC433" s="711"/>
      <c r="AD433" s="711"/>
      <c r="AE433" s="711"/>
      <c r="AF433" s="711"/>
      <c r="AG433" s="711"/>
      <c r="AH433" s="711"/>
    </row>
    <row r="434">
      <c r="A434" s="48"/>
      <c r="B434" s="48"/>
      <c r="C434" s="48"/>
      <c r="D434" s="721"/>
      <c r="E434" s="711"/>
      <c r="F434" s="711"/>
      <c r="G434" s="721"/>
      <c r="H434" s="721"/>
      <c r="I434" s="721"/>
      <c r="J434" s="48"/>
      <c r="K434" s="721"/>
      <c r="L434" s="721"/>
      <c r="M434" s="721"/>
      <c r="N434" s="719"/>
      <c r="O434" s="48"/>
      <c r="P434" s="719"/>
      <c r="Q434" s="48"/>
      <c r="R434" s="48"/>
      <c r="S434" s="711" t="str">
        <f>IFERROR(__xludf.DUMMYFUNCTION("""COMPUTED_VALUE"""),"")</f>
        <v/>
      </c>
      <c r="T434" s="721"/>
      <c r="U434" s="721"/>
      <c r="V434" s="711"/>
      <c r="W434" s="721"/>
      <c r="X434" s="721"/>
      <c r="Y434" s="48"/>
      <c r="Z434" s="48"/>
      <c r="AA434" s="48"/>
      <c r="AB434" s="711"/>
      <c r="AC434" s="711"/>
      <c r="AD434" s="711"/>
      <c r="AE434" s="711"/>
      <c r="AF434" s="711"/>
      <c r="AG434" s="711"/>
      <c r="AH434" s="711"/>
    </row>
    <row r="435">
      <c r="A435" s="48"/>
      <c r="B435" s="48"/>
      <c r="C435" s="48"/>
      <c r="D435" s="721"/>
      <c r="E435" s="711"/>
      <c r="F435" s="711"/>
      <c r="G435" s="721"/>
      <c r="H435" s="721"/>
      <c r="I435" s="721"/>
      <c r="J435" s="48"/>
      <c r="K435" s="721"/>
      <c r="L435" s="721"/>
      <c r="M435" s="721"/>
      <c r="N435" s="719"/>
      <c r="O435" s="48"/>
      <c r="P435" s="719"/>
      <c r="Q435" s="48"/>
      <c r="R435" s="48"/>
      <c r="S435" s="711" t="str">
        <f>IFERROR(__xludf.DUMMYFUNCTION("""COMPUTED_VALUE"""),"")</f>
        <v/>
      </c>
      <c r="T435" s="721"/>
      <c r="U435" s="721"/>
      <c r="V435" s="711"/>
      <c r="W435" s="721"/>
      <c r="X435" s="721"/>
      <c r="Y435" s="48"/>
      <c r="Z435" s="48"/>
      <c r="AA435" s="48"/>
      <c r="AB435" s="711"/>
      <c r="AC435" s="711"/>
      <c r="AD435" s="711"/>
      <c r="AE435" s="711"/>
      <c r="AF435" s="711"/>
      <c r="AG435" s="711"/>
      <c r="AH435" s="711"/>
    </row>
    <row r="436">
      <c r="A436" s="48"/>
      <c r="B436" s="48"/>
      <c r="C436" s="48"/>
      <c r="D436" s="721"/>
      <c r="E436" s="711"/>
      <c r="F436" s="711"/>
      <c r="G436" s="721"/>
      <c r="H436" s="721"/>
      <c r="I436" s="721"/>
      <c r="J436" s="48"/>
      <c r="K436" s="721"/>
      <c r="L436" s="721"/>
      <c r="M436" s="721"/>
      <c r="N436" s="719"/>
      <c r="O436" s="48"/>
      <c r="P436" s="719"/>
      <c r="Q436" s="48"/>
      <c r="R436" s="48"/>
      <c r="S436" s="711" t="str">
        <f>IFERROR(__xludf.DUMMYFUNCTION("""COMPUTED_VALUE"""),"")</f>
        <v/>
      </c>
      <c r="T436" s="721"/>
      <c r="U436" s="721"/>
      <c r="V436" s="711"/>
      <c r="W436" s="721"/>
      <c r="X436" s="721"/>
      <c r="Y436" s="48"/>
      <c r="Z436" s="48"/>
      <c r="AA436" s="48"/>
      <c r="AB436" s="711"/>
      <c r="AC436" s="711"/>
      <c r="AD436" s="711"/>
      <c r="AE436" s="711"/>
      <c r="AF436" s="711"/>
      <c r="AG436" s="711"/>
      <c r="AH436" s="711"/>
    </row>
    <row r="437">
      <c r="A437" s="48"/>
      <c r="B437" s="48"/>
      <c r="C437" s="48"/>
      <c r="D437" s="721"/>
      <c r="E437" s="711"/>
      <c r="F437" s="711"/>
      <c r="G437" s="721"/>
      <c r="H437" s="721"/>
      <c r="I437" s="721"/>
      <c r="J437" s="48"/>
      <c r="K437" s="721"/>
      <c r="L437" s="721"/>
      <c r="M437" s="721"/>
      <c r="N437" s="719"/>
      <c r="O437" s="48"/>
      <c r="P437" s="719"/>
      <c r="Q437" s="48"/>
      <c r="R437" s="714" t="str">
        <f>IFERROR(__xludf.DUMMYFUNCTION("""COMPUTED_VALUE"""),"2526CRUZMER11.F")</f>
        <v>2526CRUZMER11.F</v>
      </c>
      <c r="S437" s="711">
        <f>IFERROR(__xludf.DUMMYFUNCTION("""COMPUTED_VALUE"""),40.0)</f>
        <v>40</v>
      </c>
      <c r="T437" s="722" t="str">
        <f>IFERROR(__xludf.DUMMYFUNCTION("""COMPUTED_VALUE"""),"2526CRUZMER11.F")</f>
        <v>2526CRUZMER11.F</v>
      </c>
      <c r="U437" s="721"/>
      <c r="V437" s="711"/>
      <c r="W437" s="721"/>
      <c r="X437" s="721"/>
      <c r="Y437" s="48"/>
      <c r="Z437" s="48"/>
      <c r="AA437" s="48"/>
      <c r="AB437" s="711"/>
      <c r="AC437" s="711"/>
      <c r="AD437" s="711"/>
      <c r="AE437" s="711"/>
      <c r="AF437" s="711"/>
      <c r="AG437" s="711"/>
      <c r="AH437" s="711"/>
    </row>
    <row r="438">
      <c r="A438" s="48"/>
      <c r="B438" s="48"/>
      <c r="C438" s="48"/>
      <c r="D438" s="721"/>
      <c r="E438" s="711"/>
      <c r="F438" s="711"/>
      <c r="G438" s="721"/>
      <c r="H438" s="721"/>
      <c r="I438" s="721"/>
      <c r="J438" s="48"/>
      <c r="K438" s="721"/>
      <c r="L438" s="721"/>
      <c r="M438" s="721"/>
      <c r="N438" s="719"/>
      <c r="O438" s="48"/>
      <c r="P438" s="719"/>
      <c r="Q438" s="48"/>
      <c r="R438" s="711" t="str">
        <f>IFERROR(__xludf.DUMMYFUNCTION("""COMPUTED_VALUE"""),"2526MODULOMER11.Y")</f>
        <v>2526MODULOMER11.Y</v>
      </c>
      <c r="S438" s="711">
        <f>IFERROR(__xludf.DUMMYFUNCTION("""COMPUTED_VALUE"""),40.0)</f>
        <v>40</v>
      </c>
      <c r="T438" s="721" t="str">
        <f>IFERROR(__xludf.DUMMYFUNCTION("""COMPUTED_VALUE"""),"2526MODULOMER11.Y")</f>
        <v>2526MODULOMER11.Y</v>
      </c>
      <c r="U438" s="721"/>
      <c r="V438" s="711"/>
      <c r="W438" s="721"/>
      <c r="X438" s="721"/>
      <c r="Y438" s="48"/>
      <c r="Z438" s="48"/>
      <c r="AA438" s="48"/>
      <c r="AB438" s="711"/>
      <c r="AC438" s="711"/>
      <c r="AD438" s="711"/>
      <c r="AE438" s="711"/>
      <c r="AF438" s="711"/>
      <c r="AG438" s="711"/>
      <c r="AH438" s="711"/>
    </row>
    <row r="439">
      <c r="A439" s="48"/>
      <c r="B439" s="48"/>
      <c r="C439" s="48"/>
      <c r="D439" s="721"/>
      <c r="E439" s="711"/>
      <c r="F439" s="711"/>
      <c r="G439" s="721"/>
      <c r="H439" s="721"/>
      <c r="I439" s="721"/>
      <c r="J439" s="48"/>
      <c r="K439" s="721"/>
      <c r="L439" s="721"/>
      <c r="M439" s="721"/>
      <c r="N439" s="719"/>
      <c r="O439" s="48"/>
      <c r="P439" s="719"/>
      <c r="Q439" s="48"/>
      <c r="R439" s="48"/>
      <c r="S439" s="711" t="str">
        <f>IFERROR(__xludf.DUMMYFUNCTION("""COMPUTED_VALUE"""),"")</f>
        <v/>
      </c>
      <c r="T439" s="721"/>
      <c r="U439" s="721"/>
      <c r="V439" s="711"/>
      <c r="W439" s="721"/>
      <c r="X439" s="721"/>
      <c r="Y439" s="48"/>
      <c r="Z439" s="48"/>
      <c r="AA439" s="48"/>
      <c r="AB439" s="711"/>
      <c r="AC439" s="711"/>
      <c r="AD439" s="711"/>
      <c r="AE439" s="711"/>
      <c r="AF439" s="711"/>
      <c r="AG439" s="711"/>
      <c r="AH439" s="711"/>
    </row>
    <row r="440">
      <c r="A440" s="48"/>
      <c r="B440" s="48"/>
      <c r="C440" s="48"/>
      <c r="D440" s="721"/>
      <c r="E440" s="711"/>
      <c r="F440" s="711"/>
      <c r="G440" s="721"/>
      <c r="H440" s="721"/>
      <c r="I440" s="721"/>
      <c r="J440" s="48"/>
      <c r="K440" s="721"/>
      <c r="L440" s="721"/>
      <c r="M440" s="721"/>
      <c r="N440" s="719"/>
      <c r="O440" s="48"/>
      <c r="P440" s="719"/>
      <c r="Q440" s="48"/>
      <c r="R440" s="711" t="str">
        <f>IFERROR(__xludf.DUMMYFUNCTION("""COMPUTED_VALUE"""),"2526MODULOMER11.Y")</f>
        <v>2526MODULOMER11.Y</v>
      </c>
      <c r="S440" s="711">
        <f>IFERROR(__xludf.DUMMYFUNCTION("""COMPUTED_VALUE"""),40.0)</f>
        <v>40</v>
      </c>
      <c r="T440" s="721" t="str">
        <f>IFERROR(__xludf.DUMMYFUNCTION("""COMPUTED_VALUE"""),"2526MODULOMER11.Y")</f>
        <v>2526MODULOMER11.Y</v>
      </c>
      <c r="U440" s="721"/>
      <c r="V440" s="711"/>
      <c r="W440" s="721"/>
      <c r="X440" s="721"/>
      <c r="Y440" s="48"/>
      <c r="Z440" s="48"/>
      <c r="AA440" s="48"/>
      <c r="AB440" s="711"/>
      <c r="AC440" s="711"/>
      <c r="AD440" s="711"/>
      <c r="AE440" s="711"/>
      <c r="AF440" s="711"/>
      <c r="AG440" s="711"/>
      <c r="AH440" s="711"/>
    </row>
    <row r="441">
      <c r="A441" s="48"/>
      <c r="B441" s="48"/>
      <c r="C441" s="48"/>
      <c r="D441" s="721"/>
      <c r="E441" s="711"/>
      <c r="F441" s="711"/>
      <c r="G441" s="721"/>
      <c r="H441" s="721"/>
      <c r="I441" s="721"/>
      <c r="J441" s="48"/>
      <c r="K441" s="721"/>
      <c r="L441" s="721"/>
      <c r="M441" s="721"/>
      <c r="N441" s="719"/>
      <c r="O441" s="48"/>
      <c r="P441" s="719"/>
      <c r="Q441" s="48"/>
      <c r="R441" s="711" t="str">
        <f>IFERROR(__xludf.DUMMYFUNCTION("""COMPUTED_VALUE"""),"2526MODULOMER11.Y")</f>
        <v>2526MODULOMER11.Y</v>
      </c>
      <c r="S441" s="711">
        <f>IFERROR(__xludf.DUMMYFUNCTION("""COMPUTED_VALUE"""),40.0)</f>
        <v>40</v>
      </c>
      <c r="T441" s="721" t="str">
        <f>IFERROR(__xludf.DUMMYFUNCTION("""COMPUTED_VALUE"""),"2526MODULOMER11.Y")</f>
        <v>2526MODULOMER11.Y</v>
      </c>
      <c r="U441" s="721"/>
      <c r="V441" s="711"/>
      <c r="W441" s="721"/>
      <c r="X441" s="721"/>
      <c r="Y441" s="48"/>
      <c r="Z441" s="48"/>
      <c r="AA441" s="48"/>
      <c r="AB441" s="711"/>
      <c r="AC441" s="711"/>
      <c r="AD441" s="711"/>
      <c r="AE441" s="711"/>
      <c r="AF441" s="711"/>
      <c r="AG441" s="711"/>
      <c r="AH441" s="711"/>
    </row>
    <row r="442">
      <c r="A442" s="48"/>
      <c r="B442" s="48"/>
      <c r="C442" s="48"/>
      <c r="D442" s="721"/>
      <c r="E442" s="711"/>
      <c r="F442" s="711"/>
      <c r="G442" s="721"/>
      <c r="H442" s="721"/>
      <c r="I442" s="721"/>
      <c r="J442" s="48"/>
      <c r="K442" s="721"/>
      <c r="L442" s="721"/>
      <c r="M442" s="721"/>
      <c r="N442" s="719"/>
      <c r="O442" s="48"/>
      <c r="P442" s="719"/>
      <c r="Q442" s="48"/>
      <c r="R442" s="711" t="str">
        <f>IFERROR(__xludf.DUMMYFUNCTION("""COMPUTED_VALUE"""),"2526FILLYMER11.Y")</f>
        <v>2526FILLYMER11.Y</v>
      </c>
      <c r="S442" s="711">
        <f>IFERROR(__xludf.DUMMYFUNCTION("""COMPUTED_VALUE"""),3.0)</f>
        <v>3</v>
      </c>
      <c r="T442" s="721" t="str">
        <f>IFERROR(__xludf.DUMMYFUNCTION("""COMPUTED_VALUE"""),"2526FILLYMER11.Y")</f>
        <v>2526FILLYMER11.Y</v>
      </c>
      <c r="U442" s="721"/>
      <c r="V442" s="711"/>
      <c r="W442" s="721"/>
      <c r="X442" s="721"/>
      <c r="Y442" s="48"/>
      <c r="Z442" s="48"/>
      <c r="AA442" s="48"/>
      <c r="AB442" s="711"/>
      <c r="AC442" s="711"/>
      <c r="AD442" s="711"/>
      <c r="AE442" s="711"/>
      <c r="AF442" s="711"/>
      <c r="AG442" s="711"/>
      <c r="AH442" s="711"/>
    </row>
    <row r="443">
      <c r="A443" s="48"/>
      <c r="B443" s="48"/>
      <c r="C443" s="48"/>
      <c r="D443" s="721"/>
      <c r="E443" s="711"/>
      <c r="F443" s="711"/>
      <c r="G443" s="721"/>
      <c r="H443" s="721"/>
      <c r="I443" s="721"/>
      <c r="J443" s="48"/>
      <c r="K443" s="721"/>
      <c r="L443" s="721"/>
      <c r="M443" s="721"/>
      <c r="N443" s="719"/>
      <c r="O443" s="48"/>
      <c r="P443" s="719"/>
      <c r="Q443" s="48"/>
      <c r="R443" s="48"/>
      <c r="S443" s="711" t="str">
        <f>IFERROR(__xludf.DUMMYFUNCTION("""COMPUTED_VALUE"""),"")</f>
        <v/>
      </c>
      <c r="T443" s="721"/>
      <c r="U443" s="721"/>
      <c r="V443" s="711"/>
      <c r="W443" s="721"/>
      <c r="X443" s="721"/>
      <c r="Y443" s="48"/>
      <c r="Z443" s="48"/>
      <c r="AA443" s="48"/>
      <c r="AB443" s="711"/>
      <c r="AC443" s="711"/>
      <c r="AD443" s="711"/>
      <c r="AE443" s="711"/>
      <c r="AF443" s="711"/>
      <c r="AG443" s="711"/>
      <c r="AH443" s="711"/>
    </row>
    <row r="444">
      <c r="A444" s="48"/>
      <c r="B444" s="48"/>
      <c r="C444" s="48"/>
      <c r="D444" s="721"/>
      <c r="E444" s="711"/>
      <c r="F444" s="711"/>
      <c r="G444" s="721"/>
      <c r="H444" s="721"/>
      <c r="I444" s="721"/>
      <c r="J444" s="48"/>
      <c r="K444" s="721"/>
      <c r="L444" s="721"/>
      <c r="M444" s="721"/>
      <c r="N444" s="719"/>
      <c r="O444" s="48"/>
      <c r="P444" s="719"/>
      <c r="Q444" s="48"/>
      <c r="R444" s="711" t="str">
        <f>IFERROR(__xludf.DUMMYFUNCTION("""COMPUTED_VALUE"""),"2526MODULOMER11.Y")</f>
        <v>2526MODULOMER11.Y</v>
      </c>
      <c r="S444" s="711">
        <f>IFERROR(__xludf.DUMMYFUNCTION("""COMPUTED_VALUE"""),40.0)</f>
        <v>40</v>
      </c>
      <c r="T444" s="721" t="str">
        <f>IFERROR(__xludf.DUMMYFUNCTION("""COMPUTED_VALUE"""),"2526MODULOMER11.Y")</f>
        <v>2526MODULOMER11.Y</v>
      </c>
      <c r="U444" s="721"/>
      <c r="V444" s="711"/>
      <c r="W444" s="721"/>
      <c r="X444" s="721"/>
      <c r="Y444" s="48"/>
      <c r="Z444" s="48"/>
      <c r="AA444" s="48"/>
      <c r="AB444" s="711"/>
      <c r="AC444" s="711"/>
      <c r="AD444" s="711"/>
      <c r="AE444" s="711"/>
      <c r="AF444" s="711"/>
      <c r="AG444" s="711"/>
      <c r="AH444" s="711"/>
    </row>
    <row r="445">
      <c r="A445" s="48"/>
      <c r="B445" s="48"/>
      <c r="C445" s="48"/>
      <c r="D445" s="721"/>
      <c r="E445" s="711"/>
      <c r="F445" s="711"/>
      <c r="G445" s="721"/>
      <c r="H445" s="721"/>
      <c r="I445" s="721"/>
      <c r="J445" s="48"/>
      <c r="K445" s="721"/>
      <c r="L445" s="721"/>
      <c r="M445" s="721"/>
      <c r="N445" s="719"/>
      <c r="O445" s="48"/>
      <c r="P445" s="719"/>
      <c r="Q445" s="48"/>
      <c r="R445" s="711" t="str">
        <f>IFERROR(__xludf.DUMMYFUNCTION("""COMPUTED_VALUE"""),"2526SEABRAMER11.Y")</f>
        <v>2526SEABRAMER11.Y</v>
      </c>
      <c r="S445" s="711">
        <f>IFERROR(__xludf.DUMMYFUNCTION("""COMPUTED_VALUE"""),20.0)</f>
        <v>20</v>
      </c>
      <c r="T445" s="721" t="str">
        <f>IFERROR(__xludf.DUMMYFUNCTION("""COMPUTED_VALUE"""),"2526SEABRAMER11.Y")</f>
        <v>2526SEABRAMER11.Y</v>
      </c>
      <c r="U445" s="721"/>
      <c r="V445" s="711"/>
      <c r="W445" s="721"/>
      <c r="X445" s="721"/>
      <c r="Y445" s="48"/>
      <c r="Z445" s="48"/>
      <c r="AA445" s="48"/>
      <c r="AB445" s="711"/>
      <c r="AC445" s="711"/>
      <c r="AD445" s="711"/>
      <c r="AE445" s="711"/>
      <c r="AF445" s="711"/>
      <c r="AG445" s="711"/>
      <c r="AH445" s="711"/>
    </row>
    <row r="446">
      <c r="A446" s="48"/>
      <c r="B446" s="48"/>
      <c r="C446" s="48"/>
      <c r="D446" s="721"/>
      <c r="E446" s="711"/>
      <c r="F446" s="711"/>
      <c r="G446" s="721"/>
      <c r="H446" s="721"/>
      <c r="I446" s="721"/>
      <c r="J446" s="48"/>
      <c r="K446" s="721"/>
      <c r="L446" s="721"/>
      <c r="M446" s="721"/>
      <c r="N446" s="719"/>
      <c r="O446" s="48"/>
      <c r="P446" s="719"/>
      <c r="Q446" s="48"/>
      <c r="R446" s="48"/>
      <c r="S446" s="711" t="str">
        <f>IFERROR(__xludf.DUMMYFUNCTION("""COMPUTED_VALUE"""),"")</f>
        <v/>
      </c>
      <c r="T446" s="721"/>
      <c r="U446" s="721"/>
      <c r="V446" s="711"/>
      <c r="W446" s="721"/>
      <c r="X446" s="721"/>
      <c r="Y446" s="48"/>
      <c r="Z446" s="48"/>
      <c r="AA446" s="48"/>
      <c r="AB446" s="711"/>
      <c r="AC446" s="711"/>
      <c r="AD446" s="711"/>
      <c r="AE446" s="711"/>
      <c r="AF446" s="711"/>
      <c r="AG446" s="711"/>
      <c r="AH446" s="711"/>
    </row>
    <row r="447">
      <c r="A447" s="48"/>
      <c r="B447" s="48"/>
      <c r="C447" s="48"/>
      <c r="D447" s="721"/>
      <c r="E447" s="711"/>
      <c r="F447" s="711"/>
      <c r="G447" s="721"/>
      <c r="H447" s="721"/>
      <c r="I447" s="721"/>
      <c r="J447" s="48"/>
      <c r="K447" s="721"/>
      <c r="L447" s="721"/>
      <c r="M447" s="721"/>
      <c r="N447" s="719"/>
      <c r="O447" s="48"/>
      <c r="P447" s="719"/>
      <c r="Q447" s="48"/>
      <c r="R447" s="48"/>
      <c r="S447" s="711" t="str">
        <f>IFERROR(__xludf.DUMMYFUNCTION("""COMPUTED_VALUE"""),"")</f>
        <v/>
      </c>
      <c r="T447" s="721"/>
      <c r="U447" s="721"/>
      <c r="V447" s="711"/>
      <c r="W447" s="721"/>
      <c r="X447" s="721"/>
      <c r="Y447" s="48"/>
      <c r="Z447" s="48"/>
      <c r="AA447" s="48"/>
      <c r="AB447" s="711"/>
      <c r="AC447" s="711"/>
      <c r="AD447" s="711"/>
      <c r="AE447" s="711"/>
      <c r="AF447" s="711"/>
      <c r="AG447" s="711"/>
      <c r="AH447" s="711"/>
    </row>
    <row r="448">
      <c r="A448" s="48"/>
      <c r="B448" s="48"/>
      <c r="C448" s="48"/>
      <c r="D448" s="721"/>
      <c r="E448" s="711"/>
      <c r="F448" s="711"/>
      <c r="G448" s="721"/>
      <c r="H448" s="721"/>
      <c r="I448" s="721"/>
      <c r="J448" s="48"/>
      <c r="K448" s="721"/>
      <c r="L448" s="721"/>
      <c r="M448" s="721"/>
      <c r="N448" s="719"/>
      <c r="O448" s="48"/>
      <c r="P448" s="719"/>
      <c r="Q448" s="48"/>
      <c r="R448" s="48"/>
      <c r="S448" s="711" t="str">
        <f>IFERROR(__xludf.DUMMYFUNCTION("""COMPUTED_VALUE"""),"")</f>
        <v/>
      </c>
      <c r="T448" s="721"/>
      <c r="U448" s="721"/>
      <c r="V448" s="711"/>
      <c r="W448" s="721"/>
      <c r="X448" s="721"/>
      <c r="Y448" s="48"/>
      <c r="Z448" s="48"/>
      <c r="AA448" s="48"/>
      <c r="AB448" s="711"/>
      <c r="AC448" s="711"/>
      <c r="AD448" s="711"/>
      <c r="AE448" s="711"/>
      <c r="AF448" s="711"/>
      <c r="AG448" s="711"/>
      <c r="AH448" s="711"/>
    </row>
    <row r="449">
      <c r="A449" s="48"/>
      <c r="B449" s="48"/>
      <c r="C449" s="48"/>
      <c r="D449" s="721"/>
      <c r="E449" s="711"/>
      <c r="F449" s="711"/>
      <c r="G449" s="721"/>
      <c r="H449" s="721"/>
      <c r="I449" s="721"/>
      <c r="J449" s="48"/>
      <c r="K449" s="721"/>
      <c r="L449" s="721"/>
      <c r="M449" s="721"/>
      <c r="N449" s="719"/>
      <c r="O449" s="48"/>
      <c r="P449" s="719"/>
      <c r="Q449" s="48"/>
      <c r="R449" s="714" t="str">
        <f>IFERROR(__xludf.DUMMYFUNCTION("""COMPUTED_VALUE"""),"2526CRUZMER12.F")</f>
        <v>2526CRUZMER12.F</v>
      </c>
      <c r="S449" s="711">
        <f>IFERROR(__xludf.DUMMYFUNCTION("""COMPUTED_VALUE"""),30.0)</f>
        <v>30</v>
      </c>
      <c r="T449" s="722" t="str">
        <f>IFERROR(__xludf.DUMMYFUNCTION("""COMPUTED_VALUE"""),"2526CRUZMER12.F")</f>
        <v>2526CRUZMER12.F</v>
      </c>
      <c r="U449" s="721"/>
      <c r="V449" s="711"/>
      <c r="W449" s="721"/>
      <c r="X449" s="721"/>
      <c r="Y449" s="48"/>
      <c r="Z449" s="48"/>
      <c r="AA449" s="48"/>
      <c r="AB449" s="711"/>
      <c r="AC449" s="711"/>
      <c r="AD449" s="711"/>
      <c r="AE449" s="711"/>
      <c r="AF449" s="711"/>
      <c r="AG449" s="711"/>
      <c r="AH449" s="711"/>
    </row>
    <row r="450">
      <c r="A450" s="48"/>
      <c r="B450" s="48"/>
      <c r="C450" s="48"/>
      <c r="D450" s="721"/>
      <c r="E450" s="711"/>
      <c r="F450" s="711"/>
      <c r="G450" s="721"/>
      <c r="H450" s="721"/>
      <c r="I450" s="721"/>
      <c r="J450" s="48"/>
      <c r="K450" s="721"/>
      <c r="L450" s="721"/>
      <c r="M450" s="721"/>
      <c r="N450" s="719"/>
      <c r="O450" s="48"/>
      <c r="P450" s="719"/>
      <c r="Q450" s="48"/>
      <c r="R450" s="711" t="str">
        <f>IFERROR(__xludf.DUMMYFUNCTION("""COMPUTED_VALUE"""),"2526MODULOMER12.Y")</f>
        <v>2526MODULOMER12.Y</v>
      </c>
      <c r="S450" s="711">
        <f>IFERROR(__xludf.DUMMYFUNCTION("""COMPUTED_VALUE"""),40.0)</f>
        <v>40</v>
      </c>
      <c r="T450" s="721" t="str">
        <f>IFERROR(__xludf.DUMMYFUNCTION("""COMPUTED_VALUE"""),"2526MODULOMER12.Y")</f>
        <v>2526MODULOMER12.Y</v>
      </c>
      <c r="U450" s="721"/>
      <c r="V450" s="711"/>
      <c r="W450" s="721"/>
      <c r="X450" s="721"/>
      <c r="Y450" s="48"/>
      <c r="Z450" s="48"/>
      <c r="AA450" s="48"/>
      <c r="AB450" s="711"/>
      <c r="AC450" s="711"/>
      <c r="AD450" s="711"/>
      <c r="AE450" s="711"/>
      <c r="AF450" s="711"/>
      <c r="AG450" s="711"/>
      <c r="AH450" s="711"/>
    </row>
    <row r="451">
      <c r="A451" s="48"/>
      <c r="B451" s="48"/>
      <c r="C451" s="48"/>
      <c r="D451" s="721"/>
      <c r="E451" s="711"/>
      <c r="F451" s="711"/>
      <c r="G451" s="721"/>
      <c r="H451" s="721"/>
      <c r="I451" s="721"/>
      <c r="J451" s="48"/>
      <c r="K451" s="721"/>
      <c r="L451" s="721"/>
      <c r="M451" s="721"/>
      <c r="N451" s="719"/>
      <c r="O451" s="48"/>
      <c r="P451" s="719"/>
      <c r="Q451" s="48"/>
      <c r="R451" s="48"/>
      <c r="S451" s="711" t="str">
        <f>IFERROR(__xludf.DUMMYFUNCTION("""COMPUTED_VALUE"""),"")</f>
        <v/>
      </c>
      <c r="T451" s="721"/>
      <c r="U451" s="721"/>
      <c r="V451" s="711"/>
      <c r="W451" s="721"/>
      <c r="X451" s="721"/>
      <c r="Y451" s="48"/>
      <c r="Z451" s="48"/>
      <c r="AA451" s="48"/>
      <c r="AB451" s="711"/>
      <c r="AC451" s="711"/>
      <c r="AD451" s="711"/>
      <c r="AE451" s="711"/>
      <c r="AF451" s="711"/>
      <c r="AG451" s="711"/>
      <c r="AH451" s="711"/>
    </row>
    <row r="452">
      <c r="A452" s="48"/>
      <c r="B452" s="48"/>
      <c r="C452" s="48"/>
      <c r="D452" s="721"/>
      <c r="E452" s="711"/>
      <c r="F452" s="711"/>
      <c r="G452" s="721"/>
      <c r="H452" s="721"/>
      <c r="I452" s="721"/>
      <c r="J452" s="48"/>
      <c r="K452" s="721"/>
      <c r="L452" s="721"/>
      <c r="M452" s="721"/>
      <c r="N452" s="719"/>
      <c r="O452" s="48"/>
      <c r="P452" s="719"/>
      <c r="Q452" s="48"/>
      <c r="R452" s="711" t="str">
        <f>IFERROR(__xludf.DUMMYFUNCTION("""COMPUTED_VALUE"""),"2526MODULOMER12.Y")</f>
        <v>2526MODULOMER12.Y</v>
      </c>
      <c r="S452" s="711">
        <f>IFERROR(__xludf.DUMMYFUNCTION("""COMPUTED_VALUE"""),40.0)</f>
        <v>40</v>
      </c>
      <c r="T452" s="721" t="str">
        <f>IFERROR(__xludf.DUMMYFUNCTION("""COMPUTED_VALUE"""),"2526MODULOMER12.Y")</f>
        <v>2526MODULOMER12.Y</v>
      </c>
      <c r="U452" s="721"/>
      <c r="V452" s="711"/>
      <c r="W452" s="721"/>
      <c r="X452" s="721"/>
      <c r="Y452" s="48"/>
      <c r="Z452" s="48"/>
      <c r="AA452" s="48"/>
      <c r="AB452" s="711"/>
      <c r="AC452" s="711"/>
      <c r="AD452" s="711"/>
      <c r="AE452" s="711"/>
      <c r="AF452" s="711"/>
      <c r="AG452" s="711"/>
      <c r="AH452" s="711"/>
    </row>
    <row r="453">
      <c r="A453" s="48"/>
      <c r="B453" s="48"/>
      <c r="C453" s="48"/>
      <c r="D453" s="721"/>
      <c r="E453" s="711"/>
      <c r="F453" s="711"/>
      <c r="G453" s="721"/>
      <c r="H453" s="721"/>
      <c r="I453" s="721"/>
      <c r="J453" s="48"/>
      <c r="K453" s="721"/>
      <c r="L453" s="721"/>
      <c r="M453" s="721"/>
      <c r="N453" s="719"/>
      <c r="O453" s="48"/>
      <c r="P453" s="719"/>
      <c r="Q453" s="48"/>
      <c r="R453" s="48"/>
      <c r="S453" s="711" t="str">
        <f>IFERROR(__xludf.DUMMYFUNCTION("""COMPUTED_VALUE"""),"")</f>
        <v/>
      </c>
      <c r="T453" s="721"/>
      <c r="U453" s="721"/>
      <c r="V453" s="711"/>
      <c r="W453" s="721"/>
      <c r="X453" s="721"/>
      <c r="Y453" s="48"/>
      <c r="Z453" s="48"/>
      <c r="AA453" s="48"/>
      <c r="AB453" s="711"/>
      <c r="AC453" s="711"/>
      <c r="AD453" s="711"/>
      <c r="AE453" s="711"/>
      <c r="AF453" s="711"/>
      <c r="AG453" s="711"/>
      <c r="AH453" s="711"/>
    </row>
    <row r="454">
      <c r="A454" s="48"/>
      <c r="B454" s="48"/>
      <c r="C454" s="48"/>
      <c r="D454" s="721"/>
      <c r="E454" s="711"/>
      <c r="F454" s="711"/>
      <c r="G454" s="721"/>
      <c r="H454" s="721"/>
      <c r="I454" s="721"/>
      <c r="J454" s="48"/>
      <c r="K454" s="721"/>
      <c r="L454" s="721"/>
      <c r="M454" s="721"/>
      <c r="N454" s="719"/>
      <c r="O454" s="48"/>
      <c r="P454" s="719"/>
      <c r="Q454" s="48"/>
      <c r="R454" s="711" t="str">
        <f>IFERROR(__xludf.DUMMYFUNCTION("""COMPUTED_VALUE"""),"2526FILLYMER12.Y")</f>
        <v>2526FILLYMER12.Y</v>
      </c>
      <c r="S454" s="711">
        <f>IFERROR(__xludf.DUMMYFUNCTION("""COMPUTED_VALUE"""),3.0)</f>
        <v>3</v>
      </c>
      <c r="T454" s="721" t="str">
        <f>IFERROR(__xludf.DUMMYFUNCTION("""COMPUTED_VALUE"""),"2526FILLYMER12.Y")</f>
        <v>2526FILLYMER12.Y</v>
      </c>
      <c r="U454" s="721"/>
      <c r="V454" s="711"/>
      <c r="W454" s="721"/>
      <c r="X454" s="721"/>
      <c r="Y454" s="48"/>
      <c r="Z454" s="48"/>
      <c r="AA454" s="48"/>
      <c r="AB454" s="711"/>
      <c r="AC454" s="711"/>
      <c r="AD454" s="711"/>
      <c r="AE454" s="711"/>
      <c r="AF454" s="711"/>
      <c r="AG454" s="711"/>
      <c r="AH454" s="711"/>
    </row>
    <row r="455">
      <c r="A455" s="48"/>
      <c r="B455" s="48"/>
      <c r="C455" s="48"/>
      <c r="D455" s="721"/>
      <c r="E455" s="711"/>
      <c r="F455" s="711"/>
      <c r="G455" s="721"/>
      <c r="H455" s="721"/>
      <c r="I455" s="721"/>
      <c r="J455" s="48"/>
      <c r="K455" s="721"/>
      <c r="L455" s="721"/>
      <c r="M455" s="721"/>
      <c r="N455" s="719"/>
      <c r="O455" s="48"/>
      <c r="P455" s="719"/>
      <c r="Q455" s="48"/>
      <c r="R455" s="48"/>
      <c r="S455" s="711" t="str">
        <f>IFERROR(__xludf.DUMMYFUNCTION("""COMPUTED_VALUE"""),"")</f>
        <v/>
      </c>
      <c r="T455" s="721"/>
      <c r="U455" s="721"/>
      <c r="V455" s="711"/>
      <c r="W455" s="721"/>
      <c r="X455" s="721"/>
      <c r="Y455" s="48"/>
      <c r="Z455" s="48"/>
      <c r="AA455" s="48"/>
      <c r="AB455" s="711"/>
      <c r="AC455" s="711"/>
      <c r="AD455" s="711"/>
      <c r="AE455" s="711"/>
      <c r="AF455" s="711"/>
      <c r="AG455" s="711"/>
      <c r="AH455" s="711"/>
    </row>
    <row r="456">
      <c r="A456" s="48"/>
      <c r="B456" s="48"/>
      <c r="C456" s="48"/>
      <c r="D456" s="721"/>
      <c r="E456" s="711"/>
      <c r="F456" s="711"/>
      <c r="G456" s="721"/>
      <c r="H456" s="721"/>
      <c r="I456" s="721"/>
      <c r="J456" s="48"/>
      <c r="K456" s="721"/>
      <c r="L456" s="721"/>
      <c r="M456" s="721"/>
      <c r="N456" s="719"/>
      <c r="O456" s="48"/>
      <c r="P456" s="719"/>
      <c r="Q456" s="48"/>
      <c r="R456" s="711" t="str">
        <f>IFERROR(__xludf.DUMMYFUNCTION("""COMPUTED_VALUE"""),"2526MODULOMER12.Y")</f>
        <v>2526MODULOMER12.Y</v>
      </c>
      <c r="S456" s="711">
        <f>IFERROR(__xludf.DUMMYFUNCTION("""COMPUTED_VALUE"""),40.0)</f>
        <v>40</v>
      </c>
      <c r="T456" s="721" t="str">
        <f>IFERROR(__xludf.DUMMYFUNCTION("""COMPUTED_VALUE"""),"2526MODULOMER12.Y")</f>
        <v>2526MODULOMER12.Y</v>
      </c>
      <c r="U456" s="721"/>
      <c r="V456" s="711"/>
      <c r="W456" s="721"/>
      <c r="X456" s="721"/>
      <c r="Y456" s="48"/>
      <c r="Z456" s="48"/>
      <c r="AA456" s="48"/>
      <c r="AB456" s="711"/>
      <c r="AC456" s="711"/>
      <c r="AD456" s="711"/>
      <c r="AE456" s="711"/>
      <c r="AF456" s="711"/>
      <c r="AG456" s="711"/>
      <c r="AH456" s="711"/>
    </row>
    <row r="457">
      <c r="A457" s="48"/>
      <c r="B457" s="48"/>
      <c r="C457" s="48"/>
      <c r="D457" s="721"/>
      <c r="E457" s="711"/>
      <c r="F457" s="711"/>
      <c r="G457" s="721"/>
      <c r="H457" s="721"/>
      <c r="I457" s="721"/>
      <c r="J457" s="48"/>
      <c r="K457" s="721"/>
      <c r="L457" s="721"/>
      <c r="M457" s="721"/>
      <c r="N457" s="719"/>
      <c r="O457" s="48"/>
      <c r="P457" s="719"/>
      <c r="Q457" s="48"/>
      <c r="R457" s="711" t="str">
        <f>IFERROR(__xludf.DUMMYFUNCTION("""COMPUTED_VALUE"""),"2526SEABRAMER12.Y")</f>
        <v>2526SEABRAMER12.Y</v>
      </c>
      <c r="S457" s="711">
        <f>IFERROR(__xludf.DUMMYFUNCTION("""COMPUTED_VALUE"""),20.0)</f>
        <v>20</v>
      </c>
      <c r="T457" s="721" t="str">
        <f>IFERROR(__xludf.DUMMYFUNCTION("""COMPUTED_VALUE"""),"2526SEABRAMER12.Y")</f>
        <v>2526SEABRAMER12.Y</v>
      </c>
      <c r="U457" s="721"/>
      <c r="V457" s="711"/>
      <c r="W457" s="721"/>
      <c r="X457" s="721"/>
      <c r="Y457" s="48"/>
      <c r="Z457" s="48"/>
      <c r="AA457" s="48"/>
      <c r="AB457" s="711"/>
      <c r="AC457" s="711"/>
      <c r="AD457" s="711"/>
      <c r="AE457" s="711"/>
      <c r="AF457" s="711"/>
      <c r="AG457" s="711"/>
      <c r="AH457" s="711"/>
    </row>
    <row r="458">
      <c r="A458" s="48"/>
      <c r="B458" s="48"/>
      <c r="C458" s="48"/>
      <c r="D458" s="721"/>
      <c r="E458" s="711"/>
      <c r="F458" s="711"/>
      <c r="G458" s="721"/>
      <c r="H458" s="721"/>
      <c r="I458" s="721"/>
      <c r="J458" s="48"/>
      <c r="K458" s="721"/>
      <c r="L458" s="721"/>
      <c r="M458" s="721"/>
      <c r="N458" s="719"/>
      <c r="O458" s="48"/>
      <c r="P458" s="719"/>
      <c r="Q458" s="48"/>
      <c r="R458" s="48"/>
      <c r="S458" s="711" t="str">
        <f>IFERROR(__xludf.DUMMYFUNCTION("""COMPUTED_VALUE"""),"")</f>
        <v/>
      </c>
      <c r="T458" s="721"/>
      <c r="U458" s="721"/>
      <c r="V458" s="711"/>
      <c r="W458" s="721"/>
      <c r="X458" s="721"/>
      <c r="Y458" s="48"/>
      <c r="Z458" s="48"/>
      <c r="AA458" s="48"/>
      <c r="AB458" s="711"/>
      <c r="AC458" s="711"/>
      <c r="AD458" s="711"/>
      <c r="AE458" s="711"/>
      <c r="AF458" s="711"/>
      <c r="AG458" s="711"/>
      <c r="AH458" s="711"/>
    </row>
    <row r="459">
      <c r="A459" s="48"/>
      <c r="B459" s="48"/>
      <c r="C459" s="48"/>
      <c r="D459" s="721"/>
      <c r="E459" s="711"/>
      <c r="F459" s="711"/>
      <c r="G459" s="721"/>
      <c r="H459" s="721"/>
      <c r="I459" s="721"/>
      <c r="J459" s="48"/>
      <c r="K459" s="721"/>
      <c r="L459" s="721"/>
      <c r="M459" s="721"/>
      <c r="N459" s="719"/>
      <c r="O459" s="48"/>
      <c r="P459" s="719"/>
      <c r="Q459" s="48"/>
      <c r="R459" s="48"/>
      <c r="S459" s="711" t="str">
        <f>IFERROR(__xludf.DUMMYFUNCTION("""COMPUTED_VALUE"""),"")</f>
        <v/>
      </c>
      <c r="T459" s="721"/>
      <c r="U459" s="721"/>
      <c r="V459" s="711"/>
      <c r="W459" s="721"/>
      <c r="X459" s="721"/>
      <c r="Y459" s="48"/>
      <c r="Z459" s="48"/>
      <c r="AA459" s="48"/>
      <c r="AB459" s="711"/>
      <c r="AC459" s="711"/>
      <c r="AD459" s="711"/>
      <c r="AE459" s="711"/>
      <c r="AF459" s="711"/>
      <c r="AG459" s="711"/>
      <c r="AH459" s="711"/>
    </row>
    <row r="460">
      <c r="A460" s="48"/>
      <c r="B460" s="48"/>
      <c r="C460" s="48"/>
      <c r="D460" s="721"/>
      <c r="E460" s="711"/>
      <c r="F460" s="711"/>
      <c r="G460" s="721"/>
      <c r="H460" s="721"/>
      <c r="I460" s="721"/>
      <c r="J460" s="48"/>
      <c r="K460" s="721"/>
      <c r="L460" s="721"/>
      <c r="M460" s="721"/>
      <c r="N460" s="719"/>
      <c r="O460" s="48"/>
      <c r="P460" s="719"/>
      <c r="Q460" s="48"/>
      <c r="R460" s="48"/>
      <c r="S460" s="711" t="str">
        <f>IFERROR(__xludf.DUMMYFUNCTION("""COMPUTED_VALUE"""),"")</f>
        <v/>
      </c>
      <c r="T460" s="721"/>
      <c r="U460" s="721"/>
      <c r="V460" s="711"/>
      <c r="W460" s="721"/>
      <c r="X460" s="721"/>
      <c r="Y460" s="48"/>
      <c r="Z460" s="48"/>
      <c r="AA460" s="48"/>
      <c r="AB460" s="711"/>
      <c r="AC460" s="711"/>
      <c r="AD460" s="711"/>
      <c r="AE460" s="711"/>
      <c r="AF460" s="711"/>
      <c r="AG460" s="711"/>
      <c r="AH460" s="711"/>
    </row>
    <row r="461">
      <c r="A461" s="48"/>
      <c r="B461" s="48"/>
      <c r="C461" s="48"/>
      <c r="D461" s="721"/>
      <c r="E461" s="711"/>
      <c r="F461" s="711"/>
      <c r="G461" s="721"/>
      <c r="H461" s="721"/>
      <c r="I461" s="721"/>
      <c r="J461" s="48"/>
      <c r="K461" s="721"/>
      <c r="L461" s="721"/>
      <c r="M461" s="721"/>
      <c r="N461" s="719"/>
      <c r="O461" s="48"/>
      <c r="P461" s="719"/>
      <c r="Q461" s="48"/>
      <c r="R461" s="714" t="str">
        <f>IFERROR(__xludf.DUMMYFUNCTION("""COMPUTED_VALUE"""),"2526CRUZMER13.F")</f>
        <v>2526CRUZMER13.F</v>
      </c>
      <c r="S461" s="711">
        <f>IFERROR(__xludf.DUMMYFUNCTION("""COMPUTED_VALUE"""),40.0)</f>
        <v>40</v>
      </c>
      <c r="T461" s="722" t="str">
        <f>IFERROR(__xludf.DUMMYFUNCTION("""COMPUTED_VALUE"""),"2526CRUZMER13.F")</f>
        <v>2526CRUZMER13.F</v>
      </c>
      <c r="U461" s="721"/>
      <c r="V461" s="711"/>
      <c r="W461" s="721"/>
      <c r="X461" s="721"/>
      <c r="Y461" s="48"/>
      <c r="Z461" s="48"/>
      <c r="AA461" s="48"/>
      <c r="AB461" s="711"/>
      <c r="AC461" s="711"/>
      <c r="AD461" s="711"/>
      <c r="AE461" s="711"/>
      <c r="AF461" s="711"/>
      <c r="AG461" s="711"/>
      <c r="AH461" s="711"/>
    </row>
    <row r="462">
      <c r="A462" s="48"/>
      <c r="B462" s="48"/>
      <c r="C462" s="48"/>
      <c r="D462" s="721"/>
      <c r="E462" s="711"/>
      <c r="F462" s="711"/>
      <c r="G462" s="721"/>
      <c r="H462" s="721"/>
      <c r="I462" s="721"/>
      <c r="J462" s="48"/>
      <c r="K462" s="721"/>
      <c r="L462" s="721"/>
      <c r="M462" s="721"/>
      <c r="N462" s="719"/>
      <c r="O462" s="48"/>
      <c r="P462" s="719"/>
      <c r="Q462" s="48"/>
      <c r="R462" s="711" t="str">
        <f>IFERROR(__xludf.DUMMYFUNCTION("""COMPUTED_VALUE"""),"2526MODULOMER13.Y")</f>
        <v>2526MODULOMER13.Y</v>
      </c>
      <c r="S462" s="711">
        <f>IFERROR(__xludf.DUMMYFUNCTION("""COMPUTED_VALUE"""),40.0)</f>
        <v>40</v>
      </c>
      <c r="T462" s="721" t="str">
        <f>IFERROR(__xludf.DUMMYFUNCTION("""COMPUTED_VALUE"""),"2526MODULOMER13.Y")</f>
        <v>2526MODULOMER13.Y</v>
      </c>
      <c r="U462" s="721"/>
      <c r="V462" s="711"/>
      <c r="W462" s="721"/>
      <c r="X462" s="721"/>
      <c r="Y462" s="48"/>
      <c r="Z462" s="48"/>
      <c r="AA462" s="48"/>
      <c r="AB462" s="711"/>
      <c r="AC462" s="711"/>
      <c r="AD462" s="711"/>
      <c r="AE462" s="711"/>
      <c r="AF462" s="711"/>
      <c r="AG462" s="711"/>
      <c r="AH462" s="711"/>
    </row>
    <row r="463">
      <c r="A463" s="48"/>
      <c r="B463" s="48"/>
      <c r="C463" s="48"/>
      <c r="D463" s="721"/>
      <c r="E463" s="711"/>
      <c r="F463" s="711"/>
      <c r="G463" s="721"/>
      <c r="H463" s="721"/>
      <c r="I463" s="721"/>
      <c r="J463" s="48"/>
      <c r="K463" s="721"/>
      <c r="L463" s="721"/>
      <c r="M463" s="721"/>
      <c r="N463" s="719"/>
      <c r="O463" s="48"/>
      <c r="P463" s="719"/>
      <c r="Q463" s="48"/>
      <c r="R463" s="714" t="str">
        <f>IFERROR(__xludf.DUMMYFUNCTION("""COMPUTED_VALUE"""),"2526GRANDEMER13.D")</f>
        <v>2526GRANDEMER13.D</v>
      </c>
      <c r="S463" s="711">
        <f>IFERROR(__xludf.DUMMYFUNCTION("""COMPUTED_VALUE"""),15.0)</f>
        <v>15</v>
      </c>
      <c r="T463" s="722" t="str">
        <f>IFERROR(__xludf.DUMMYFUNCTION("""COMPUTED_VALUE"""),"2526GRANDEMER13.D")</f>
        <v>2526GRANDEMER13.D</v>
      </c>
      <c r="U463" s="721"/>
      <c r="V463" s="711"/>
      <c r="W463" s="721"/>
      <c r="X463" s="721"/>
      <c r="Y463" s="48"/>
      <c r="Z463" s="48"/>
      <c r="AA463" s="48"/>
      <c r="AB463" s="711"/>
      <c r="AC463" s="711"/>
      <c r="AD463" s="711"/>
      <c r="AE463" s="711"/>
      <c r="AF463" s="711"/>
      <c r="AG463" s="711"/>
      <c r="AH463" s="711"/>
    </row>
    <row r="464">
      <c r="A464" s="48"/>
      <c r="B464" s="48"/>
      <c r="C464" s="48"/>
      <c r="D464" s="721"/>
      <c r="E464" s="711"/>
      <c r="F464" s="711"/>
      <c r="G464" s="721"/>
      <c r="H464" s="721"/>
      <c r="I464" s="721"/>
      <c r="J464" s="48"/>
      <c r="K464" s="721"/>
      <c r="L464" s="721"/>
      <c r="M464" s="721"/>
      <c r="N464" s="719"/>
      <c r="O464" s="48"/>
      <c r="P464" s="719"/>
      <c r="Q464" s="48"/>
      <c r="R464" s="711" t="str">
        <f>IFERROR(__xludf.DUMMYFUNCTION("""COMPUTED_VALUE"""),"2526MODULOMER13.Y")</f>
        <v>2526MODULOMER13.Y</v>
      </c>
      <c r="S464" s="711">
        <f>IFERROR(__xludf.DUMMYFUNCTION("""COMPUTED_VALUE"""),40.0)</f>
        <v>40</v>
      </c>
      <c r="T464" s="721" t="str">
        <f>IFERROR(__xludf.DUMMYFUNCTION("""COMPUTED_VALUE"""),"2526MODULOMER13.Y")</f>
        <v>2526MODULOMER13.Y</v>
      </c>
      <c r="U464" s="721"/>
      <c r="V464" s="711"/>
      <c r="W464" s="721"/>
      <c r="X464" s="721"/>
      <c r="Y464" s="48"/>
      <c r="Z464" s="48"/>
      <c r="AA464" s="48"/>
      <c r="AB464" s="711"/>
      <c r="AC464" s="711"/>
      <c r="AD464" s="711"/>
      <c r="AE464" s="711"/>
      <c r="AF464" s="711"/>
      <c r="AG464" s="711"/>
      <c r="AH464" s="711"/>
    </row>
    <row r="465">
      <c r="A465" s="48"/>
      <c r="B465" s="48"/>
      <c r="C465" s="48"/>
      <c r="D465" s="721"/>
      <c r="E465" s="711"/>
      <c r="F465" s="711"/>
      <c r="G465" s="721"/>
      <c r="H465" s="721"/>
      <c r="I465" s="721"/>
      <c r="J465" s="48"/>
      <c r="K465" s="721"/>
      <c r="L465" s="721"/>
      <c r="M465" s="721"/>
      <c r="N465" s="719"/>
      <c r="O465" s="48"/>
      <c r="P465" s="719"/>
      <c r="Q465" s="48"/>
      <c r="R465" s="714" t="str">
        <f>IFERROR(__xludf.DUMMYFUNCTION("""COMPUTED_VALUE"""),"2526KUQIMER13.F")</f>
        <v>2526KUQIMER13.F</v>
      </c>
      <c r="S465" s="711">
        <f>IFERROR(__xludf.DUMMYFUNCTION("""COMPUTED_VALUE"""),20.0)</f>
        <v>20</v>
      </c>
      <c r="T465" s="722" t="str">
        <f>IFERROR(__xludf.DUMMYFUNCTION("""COMPUTED_VALUE"""),"2526KUQIMER13.F")</f>
        <v>2526KUQIMER13.F</v>
      </c>
      <c r="U465" s="721"/>
      <c r="V465" s="711"/>
      <c r="W465" s="721"/>
      <c r="X465" s="721"/>
      <c r="Y465" s="48"/>
      <c r="Z465" s="48"/>
      <c r="AA465" s="48"/>
      <c r="AB465" s="711"/>
      <c r="AC465" s="711"/>
      <c r="AD465" s="711"/>
      <c r="AE465" s="711"/>
      <c r="AF465" s="711"/>
      <c r="AG465" s="711"/>
      <c r="AH465" s="711"/>
    </row>
    <row r="466">
      <c r="A466" s="48"/>
      <c r="B466" s="48"/>
      <c r="C466" s="48"/>
      <c r="D466" s="721"/>
      <c r="E466" s="711"/>
      <c r="F466" s="711"/>
      <c r="G466" s="721"/>
      <c r="H466" s="721"/>
      <c r="I466" s="721"/>
      <c r="J466" s="48"/>
      <c r="K466" s="721"/>
      <c r="L466" s="721"/>
      <c r="M466" s="721"/>
      <c r="N466" s="719"/>
      <c r="O466" s="48"/>
      <c r="P466" s="719"/>
      <c r="Q466" s="48"/>
      <c r="R466" s="48"/>
      <c r="S466" s="711" t="str">
        <f>IFERROR(__xludf.DUMMYFUNCTION("""COMPUTED_VALUE"""),"")</f>
        <v/>
      </c>
      <c r="T466" s="721"/>
      <c r="U466" s="721"/>
      <c r="V466" s="711"/>
      <c r="W466" s="721"/>
      <c r="X466" s="721"/>
      <c r="Y466" s="48"/>
      <c r="Z466" s="48"/>
      <c r="AA466" s="48"/>
      <c r="AB466" s="711"/>
      <c r="AC466" s="711"/>
      <c r="AD466" s="711"/>
      <c r="AE466" s="711"/>
      <c r="AF466" s="711"/>
      <c r="AG466" s="711"/>
      <c r="AH466" s="711"/>
    </row>
    <row r="467">
      <c r="A467" s="48"/>
      <c r="B467" s="48"/>
      <c r="C467" s="48"/>
      <c r="D467" s="721"/>
      <c r="E467" s="711"/>
      <c r="F467" s="711"/>
      <c r="G467" s="721"/>
      <c r="H467" s="721"/>
      <c r="I467" s="721"/>
      <c r="J467" s="48"/>
      <c r="K467" s="721"/>
      <c r="L467" s="721"/>
      <c r="M467" s="721"/>
      <c r="N467" s="719"/>
      <c r="O467" s="48"/>
      <c r="P467" s="719"/>
      <c r="Q467" s="48"/>
      <c r="R467" s="48"/>
      <c r="S467" s="711" t="str">
        <f>IFERROR(__xludf.DUMMYFUNCTION("""COMPUTED_VALUE"""),"")</f>
        <v/>
      </c>
      <c r="T467" s="721"/>
      <c r="U467" s="721"/>
      <c r="V467" s="711"/>
      <c r="W467" s="721"/>
      <c r="X467" s="721"/>
      <c r="Y467" s="48"/>
      <c r="Z467" s="48"/>
      <c r="AA467" s="48"/>
      <c r="AB467" s="711"/>
      <c r="AC467" s="711"/>
      <c r="AD467" s="711"/>
      <c r="AE467" s="711"/>
      <c r="AF467" s="711"/>
      <c r="AG467" s="711"/>
      <c r="AH467" s="711"/>
    </row>
    <row r="468">
      <c r="A468" s="48"/>
      <c r="B468" s="48"/>
      <c r="C468" s="48"/>
      <c r="D468" s="721"/>
      <c r="E468" s="711"/>
      <c r="F468" s="711"/>
      <c r="G468" s="721"/>
      <c r="H468" s="721"/>
      <c r="I468" s="721"/>
      <c r="J468" s="48"/>
      <c r="K468" s="721"/>
      <c r="L468" s="721"/>
      <c r="M468" s="721"/>
      <c r="N468" s="719"/>
      <c r="O468" s="48"/>
      <c r="P468" s="719"/>
      <c r="Q468" s="48"/>
      <c r="R468" s="711" t="str">
        <f>IFERROR(__xludf.DUMMYFUNCTION("""COMPUTED_VALUE"""),"2526MODULOMER13.Y")</f>
        <v>2526MODULOMER13.Y</v>
      </c>
      <c r="S468" s="711">
        <f>IFERROR(__xludf.DUMMYFUNCTION("""COMPUTED_VALUE"""),40.0)</f>
        <v>40</v>
      </c>
      <c r="T468" s="721" t="str">
        <f>IFERROR(__xludf.DUMMYFUNCTION("""COMPUTED_VALUE"""),"2526MODULOMER13.Y")</f>
        <v>2526MODULOMER13.Y</v>
      </c>
      <c r="U468" s="721"/>
      <c r="V468" s="711"/>
      <c r="W468" s="721"/>
      <c r="X468" s="721"/>
      <c r="Y468" s="48"/>
      <c r="Z468" s="48"/>
      <c r="AA468" s="48"/>
      <c r="AB468" s="711"/>
      <c r="AC468" s="711"/>
      <c r="AD468" s="711"/>
      <c r="AE468" s="711"/>
      <c r="AF468" s="711"/>
      <c r="AG468" s="711"/>
      <c r="AH468" s="711"/>
    </row>
    <row r="469">
      <c r="A469" s="48"/>
      <c r="B469" s="48"/>
      <c r="C469" s="48"/>
      <c r="D469" s="721"/>
      <c r="E469" s="711"/>
      <c r="F469" s="711"/>
      <c r="G469" s="721"/>
      <c r="H469" s="721"/>
      <c r="I469" s="721"/>
      <c r="J469" s="48"/>
      <c r="K469" s="721"/>
      <c r="L469" s="721"/>
      <c r="M469" s="721"/>
      <c r="N469" s="719"/>
      <c r="O469" s="48"/>
      <c r="P469" s="719"/>
      <c r="Q469" s="48"/>
      <c r="R469" s="711" t="str">
        <f>IFERROR(__xludf.DUMMYFUNCTION("""COMPUTED_VALUE"""),"2526SEABRAMER13.Y")</f>
        <v>2526SEABRAMER13.Y</v>
      </c>
      <c r="S469" s="711">
        <f>IFERROR(__xludf.DUMMYFUNCTION("""COMPUTED_VALUE"""),20.0)</f>
        <v>20</v>
      </c>
      <c r="T469" s="721" t="str">
        <f>IFERROR(__xludf.DUMMYFUNCTION("""COMPUTED_VALUE"""),"2526SEABRAMER13.Y")</f>
        <v>2526SEABRAMER13.Y</v>
      </c>
      <c r="U469" s="721"/>
      <c r="V469" s="711"/>
      <c r="W469" s="721"/>
      <c r="X469" s="721"/>
      <c r="Y469" s="48"/>
      <c r="Z469" s="48"/>
      <c r="AA469" s="48"/>
      <c r="AB469" s="711"/>
      <c r="AC469" s="711"/>
      <c r="AD469" s="711"/>
      <c r="AE469" s="711"/>
      <c r="AF469" s="711"/>
      <c r="AG469" s="711"/>
      <c r="AH469" s="711"/>
    </row>
    <row r="470">
      <c r="A470" s="48"/>
      <c r="B470" s="48"/>
      <c r="C470" s="48"/>
      <c r="D470" s="721"/>
      <c r="E470" s="711"/>
      <c r="F470" s="711"/>
      <c r="G470" s="721"/>
      <c r="H470" s="721"/>
      <c r="I470" s="721"/>
      <c r="J470" s="48"/>
      <c r="K470" s="721"/>
      <c r="L470" s="721"/>
      <c r="M470" s="721"/>
      <c r="N470" s="719"/>
      <c r="O470" s="48"/>
      <c r="P470" s="719"/>
      <c r="Q470" s="48"/>
      <c r="R470" s="48"/>
      <c r="S470" s="711" t="str">
        <f>IFERROR(__xludf.DUMMYFUNCTION("""COMPUTED_VALUE"""),"")</f>
        <v/>
      </c>
      <c r="T470" s="721"/>
      <c r="U470" s="721"/>
      <c r="V470" s="711"/>
      <c r="W470" s="721"/>
      <c r="X470" s="721"/>
      <c r="Y470" s="48"/>
      <c r="Z470" s="48"/>
      <c r="AA470" s="48"/>
      <c r="AB470" s="711"/>
      <c r="AC470" s="711"/>
      <c r="AD470" s="711"/>
      <c r="AE470" s="711"/>
      <c r="AF470" s="711"/>
      <c r="AG470" s="711"/>
      <c r="AH470" s="711"/>
    </row>
    <row r="471">
      <c r="A471" s="48"/>
      <c r="B471" s="48"/>
      <c r="C471" s="48"/>
      <c r="D471" s="721"/>
      <c r="E471" s="711"/>
      <c r="F471" s="711"/>
      <c r="G471" s="721"/>
      <c r="H471" s="721"/>
      <c r="I471" s="721"/>
      <c r="J471" s="48"/>
      <c r="K471" s="721"/>
      <c r="L471" s="721"/>
      <c r="M471" s="721"/>
      <c r="N471" s="719"/>
      <c r="O471" s="48"/>
      <c r="P471" s="719"/>
      <c r="Q471" s="48"/>
      <c r="R471" s="48"/>
      <c r="S471" s="711" t="str">
        <f>IFERROR(__xludf.DUMMYFUNCTION("""COMPUTED_VALUE"""),"")</f>
        <v/>
      </c>
      <c r="T471" s="721"/>
      <c r="U471" s="721"/>
      <c r="V471" s="711"/>
      <c r="W471" s="721"/>
      <c r="X471" s="721"/>
      <c r="Y471" s="48"/>
      <c r="Z471" s="48"/>
      <c r="AA471" s="48"/>
      <c r="AB471" s="711"/>
      <c r="AC471" s="711"/>
      <c r="AD471" s="711"/>
      <c r="AE471" s="711"/>
      <c r="AF471" s="711"/>
      <c r="AG471" s="711"/>
      <c r="AH471" s="711"/>
    </row>
    <row r="472">
      <c r="A472" s="48"/>
      <c r="B472" s="48"/>
      <c r="C472" s="48"/>
      <c r="D472" s="721"/>
      <c r="E472" s="711"/>
      <c r="F472" s="711"/>
      <c r="G472" s="721"/>
      <c r="H472" s="721"/>
      <c r="I472" s="721"/>
      <c r="J472" s="48"/>
      <c r="K472" s="721"/>
      <c r="L472" s="721"/>
      <c r="M472" s="721"/>
      <c r="N472" s="719"/>
      <c r="O472" s="48"/>
      <c r="P472" s="719"/>
      <c r="Q472" s="48"/>
      <c r="R472" s="48"/>
      <c r="S472" s="711" t="str">
        <f>IFERROR(__xludf.DUMMYFUNCTION("""COMPUTED_VALUE"""),"")</f>
        <v/>
      </c>
      <c r="T472" s="721"/>
      <c r="U472" s="721"/>
      <c r="V472" s="711"/>
      <c r="W472" s="721"/>
      <c r="X472" s="721"/>
      <c r="Y472" s="48"/>
      <c r="Z472" s="48"/>
      <c r="AA472" s="48"/>
      <c r="AB472" s="711"/>
      <c r="AC472" s="711"/>
      <c r="AD472" s="711"/>
      <c r="AE472" s="711"/>
      <c r="AF472" s="711"/>
      <c r="AG472" s="711"/>
      <c r="AH472" s="711"/>
    </row>
    <row r="473">
      <c r="A473" s="48"/>
      <c r="B473" s="48"/>
      <c r="C473" s="48"/>
      <c r="D473" s="721"/>
      <c r="E473" s="711"/>
      <c r="F473" s="711"/>
      <c r="G473" s="721"/>
      <c r="H473" s="721"/>
      <c r="I473" s="721"/>
      <c r="J473" s="48"/>
      <c r="K473" s="721"/>
      <c r="L473" s="721"/>
      <c r="M473" s="721"/>
      <c r="N473" s="719"/>
      <c r="O473" s="48"/>
      <c r="P473" s="719"/>
      <c r="Q473" s="48"/>
      <c r="R473" s="48"/>
      <c r="S473" s="711" t="str">
        <f>IFERROR(__xludf.DUMMYFUNCTION("""COMPUTED_VALUE"""),"")</f>
        <v/>
      </c>
      <c r="T473" s="721"/>
      <c r="U473" s="721"/>
      <c r="V473" s="711"/>
      <c r="W473" s="721"/>
      <c r="X473" s="721"/>
      <c r="Y473" s="48"/>
      <c r="Z473" s="48"/>
      <c r="AA473" s="48"/>
      <c r="AB473" s="711"/>
      <c r="AC473" s="711"/>
      <c r="AD473" s="711"/>
      <c r="AE473" s="711"/>
      <c r="AF473" s="711"/>
      <c r="AG473" s="711"/>
      <c r="AH473" s="711"/>
    </row>
    <row r="474">
      <c r="A474" s="48"/>
      <c r="B474" s="48"/>
      <c r="C474" s="48"/>
      <c r="D474" s="721"/>
      <c r="E474" s="711"/>
      <c r="F474" s="711"/>
      <c r="G474" s="721"/>
      <c r="H474" s="721"/>
      <c r="I474" s="721"/>
      <c r="J474" s="48"/>
      <c r="K474" s="721"/>
      <c r="L474" s="721"/>
      <c r="M474" s="721"/>
      <c r="N474" s="719"/>
      <c r="O474" s="48"/>
      <c r="P474" s="719"/>
      <c r="Q474" s="48"/>
      <c r="R474" s="711" t="str">
        <f>IFERROR(__xludf.DUMMYFUNCTION("""COMPUTED_VALUE"""),"2526MODULOMER14.Y")</f>
        <v>2526MODULOMER14.Y</v>
      </c>
      <c r="S474" s="711">
        <f>IFERROR(__xludf.DUMMYFUNCTION("""COMPUTED_VALUE"""),40.0)</f>
        <v>40</v>
      </c>
      <c r="T474" s="721" t="str">
        <f>IFERROR(__xludf.DUMMYFUNCTION("""COMPUTED_VALUE"""),"2526MODULOMER14.Y")</f>
        <v>2526MODULOMER14.Y</v>
      </c>
      <c r="U474" s="721"/>
      <c r="V474" s="711"/>
      <c r="W474" s="721"/>
      <c r="X474" s="721"/>
      <c r="Y474" s="48"/>
      <c r="Z474" s="48"/>
      <c r="AA474" s="48"/>
      <c r="AB474" s="711"/>
      <c r="AC474" s="711"/>
      <c r="AD474" s="711"/>
      <c r="AE474" s="711"/>
      <c r="AF474" s="711"/>
      <c r="AG474" s="711"/>
      <c r="AH474" s="711"/>
    </row>
    <row r="475">
      <c r="A475" s="48"/>
      <c r="B475" s="48"/>
      <c r="C475" s="48"/>
      <c r="D475" s="721"/>
      <c r="E475" s="711"/>
      <c r="F475" s="711"/>
      <c r="G475" s="721"/>
      <c r="H475" s="721"/>
      <c r="I475" s="721"/>
      <c r="J475" s="48"/>
      <c r="K475" s="721"/>
      <c r="L475" s="721"/>
      <c r="M475" s="721"/>
      <c r="N475" s="719"/>
      <c r="O475" s="48"/>
      <c r="P475" s="719"/>
      <c r="Q475" s="48"/>
      <c r="R475" s="48"/>
      <c r="S475" s="711" t="str">
        <f>IFERROR(__xludf.DUMMYFUNCTION("""COMPUTED_VALUE"""),"")</f>
        <v/>
      </c>
      <c r="T475" s="721"/>
      <c r="U475" s="721"/>
      <c r="V475" s="711"/>
      <c r="W475" s="721"/>
      <c r="X475" s="721"/>
      <c r="Y475" s="48"/>
      <c r="Z475" s="48"/>
      <c r="AA475" s="48"/>
      <c r="AB475" s="711"/>
      <c r="AC475" s="711"/>
      <c r="AD475" s="711"/>
      <c r="AE475" s="711"/>
      <c r="AF475" s="711"/>
      <c r="AG475" s="711"/>
      <c r="AH475" s="711"/>
    </row>
    <row r="476">
      <c r="A476" s="48"/>
      <c r="B476" s="48"/>
      <c r="C476" s="48"/>
      <c r="D476" s="721"/>
      <c r="E476" s="711"/>
      <c r="F476" s="711"/>
      <c r="G476" s="721"/>
      <c r="H476" s="721"/>
      <c r="I476" s="721"/>
      <c r="J476" s="48"/>
      <c r="K476" s="721"/>
      <c r="L476" s="721"/>
      <c r="M476" s="721"/>
      <c r="N476" s="719"/>
      <c r="O476" s="48"/>
      <c r="P476" s="719"/>
      <c r="Q476" s="48"/>
      <c r="R476" s="711" t="str">
        <f>IFERROR(__xludf.DUMMYFUNCTION("""COMPUTED_VALUE"""),"2526MODULOMER14.Y")</f>
        <v>2526MODULOMER14.Y</v>
      </c>
      <c r="S476" s="711">
        <f>IFERROR(__xludf.DUMMYFUNCTION("""COMPUTED_VALUE"""),40.0)</f>
        <v>40</v>
      </c>
      <c r="T476" s="721" t="str">
        <f>IFERROR(__xludf.DUMMYFUNCTION("""COMPUTED_VALUE"""),"2526MODULOMER14.Y")</f>
        <v>2526MODULOMER14.Y</v>
      </c>
      <c r="U476" s="721"/>
      <c r="V476" s="711"/>
      <c r="W476" s="721"/>
      <c r="X476" s="721"/>
      <c r="Y476" s="48"/>
      <c r="Z476" s="48"/>
      <c r="AA476" s="48"/>
      <c r="AB476" s="711"/>
      <c r="AC476" s="711"/>
      <c r="AD476" s="711"/>
      <c r="AE476" s="711"/>
      <c r="AF476" s="711"/>
      <c r="AG476" s="711"/>
      <c r="AH476" s="711"/>
    </row>
    <row r="477">
      <c r="A477" s="48"/>
      <c r="B477" s="48"/>
      <c r="C477" s="48"/>
      <c r="D477" s="721"/>
      <c r="E477" s="711"/>
      <c r="F477" s="711"/>
      <c r="G477" s="721"/>
      <c r="H477" s="721"/>
      <c r="I477" s="721"/>
      <c r="J477" s="48"/>
      <c r="K477" s="721"/>
      <c r="L477" s="721"/>
      <c r="M477" s="721"/>
      <c r="N477" s="719"/>
      <c r="O477" s="48"/>
      <c r="P477" s="719"/>
      <c r="Q477" s="48"/>
      <c r="R477" s="711" t="str">
        <f>IFERROR(__xludf.DUMMYFUNCTION("""COMPUTED_VALUE"""),"2526MODULOMER14.Y")</f>
        <v>2526MODULOMER14.Y</v>
      </c>
      <c r="S477" s="711">
        <f>IFERROR(__xludf.DUMMYFUNCTION("""COMPUTED_VALUE"""),40.0)</f>
        <v>40</v>
      </c>
      <c r="T477" s="721" t="str">
        <f>IFERROR(__xludf.DUMMYFUNCTION("""COMPUTED_VALUE"""),"2526MODULOMER14.Y")</f>
        <v>2526MODULOMER14.Y</v>
      </c>
      <c r="U477" s="721"/>
      <c r="V477" s="711"/>
      <c r="W477" s="721"/>
      <c r="X477" s="721"/>
      <c r="Y477" s="48"/>
      <c r="Z477" s="48"/>
      <c r="AA477" s="48"/>
      <c r="AB477" s="711"/>
      <c r="AC477" s="711"/>
      <c r="AD477" s="711"/>
      <c r="AE477" s="711"/>
      <c r="AF477" s="711"/>
      <c r="AG477" s="711"/>
      <c r="AH477" s="711"/>
    </row>
    <row r="478">
      <c r="A478" s="48"/>
      <c r="B478" s="48"/>
      <c r="C478" s="48"/>
      <c r="D478" s="721"/>
      <c r="E478" s="711"/>
      <c r="F478" s="711"/>
      <c r="G478" s="721"/>
      <c r="H478" s="721"/>
      <c r="I478" s="721"/>
      <c r="J478" s="48"/>
      <c r="K478" s="721"/>
      <c r="L478" s="721"/>
      <c r="M478" s="721"/>
      <c r="N478" s="719"/>
      <c r="O478" s="48"/>
      <c r="P478" s="719"/>
      <c r="Q478" s="48"/>
      <c r="R478" s="48"/>
      <c r="S478" s="711" t="str">
        <f>IFERROR(__xludf.DUMMYFUNCTION("""COMPUTED_VALUE"""),"")</f>
        <v/>
      </c>
      <c r="T478" s="721"/>
      <c r="U478" s="721"/>
      <c r="V478" s="711"/>
      <c r="W478" s="721"/>
      <c r="X478" s="721"/>
      <c r="Y478" s="48"/>
      <c r="Z478" s="48"/>
      <c r="AA478" s="48"/>
      <c r="AB478" s="711"/>
      <c r="AC478" s="711"/>
      <c r="AD478" s="711"/>
      <c r="AE478" s="711"/>
      <c r="AF478" s="711"/>
      <c r="AG478" s="711"/>
      <c r="AH478" s="711"/>
    </row>
    <row r="479">
      <c r="A479" s="48"/>
      <c r="B479" s="48"/>
      <c r="C479" s="48"/>
      <c r="D479" s="721"/>
      <c r="E479" s="711"/>
      <c r="F479" s="711"/>
      <c r="G479" s="721"/>
      <c r="H479" s="721"/>
      <c r="I479" s="721"/>
      <c r="J479" s="48"/>
      <c r="K479" s="721"/>
      <c r="L479" s="721"/>
      <c r="M479" s="721"/>
      <c r="N479" s="719"/>
      <c r="O479" s="48"/>
      <c r="P479" s="719"/>
      <c r="Q479" s="48"/>
      <c r="R479" s="48"/>
      <c r="S479" s="711" t="str">
        <f>IFERROR(__xludf.DUMMYFUNCTION("""COMPUTED_VALUE"""),"")</f>
        <v/>
      </c>
      <c r="T479" s="721"/>
      <c r="U479" s="721"/>
      <c r="V479" s="711"/>
      <c r="W479" s="721"/>
      <c r="X479" s="721"/>
      <c r="Y479" s="48"/>
      <c r="Z479" s="48"/>
      <c r="AA479" s="48"/>
      <c r="AB479" s="711"/>
      <c r="AC479" s="711"/>
      <c r="AD479" s="711"/>
      <c r="AE479" s="711"/>
      <c r="AF479" s="711"/>
      <c r="AG479" s="711"/>
      <c r="AH479" s="711"/>
    </row>
    <row r="480">
      <c r="A480" s="48"/>
      <c r="B480" s="48"/>
      <c r="C480" s="48"/>
      <c r="D480" s="721"/>
      <c r="E480" s="711"/>
      <c r="F480" s="711"/>
      <c r="G480" s="721"/>
      <c r="H480" s="721"/>
      <c r="I480" s="721"/>
      <c r="J480" s="48"/>
      <c r="K480" s="721"/>
      <c r="L480" s="721"/>
      <c r="M480" s="721"/>
      <c r="N480" s="719"/>
      <c r="O480" s="48"/>
      <c r="P480" s="719"/>
      <c r="Q480" s="48"/>
      <c r="R480" s="711" t="str">
        <f>IFERROR(__xludf.DUMMYFUNCTION("""COMPUTED_VALUE"""),"2526MODULOMER14.Y")</f>
        <v>2526MODULOMER14.Y</v>
      </c>
      <c r="S480" s="711">
        <f>IFERROR(__xludf.DUMMYFUNCTION("""COMPUTED_VALUE"""),40.0)</f>
        <v>40</v>
      </c>
      <c r="T480" s="721" t="str">
        <f>IFERROR(__xludf.DUMMYFUNCTION("""COMPUTED_VALUE"""),"2526MODULOMER14.Y")</f>
        <v>2526MODULOMER14.Y</v>
      </c>
      <c r="U480" s="721"/>
      <c r="V480" s="711"/>
      <c r="W480" s="721"/>
      <c r="X480" s="721"/>
      <c r="Y480" s="48"/>
      <c r="Z480" s="48"/>
      <c r="AA480" s="48"/>
      <c r="AB480" s="711"/>
      <c r="AC480" s="711"/>
      <c r="AD480" s="711"/>
      <c r="AE480" s="711"/>
      <c r="AF480" s="711"/>
      <c r="AG480" s="711"/>
      <c r="AH480" s="711"/>
    </row>
    <row r="481">
      <c r="A481" s="48"/>
      <c r="B481" s="48"/>
      <c r="C481" s="48"/>
      <c r="D481" s="721"/>
      <c r="E481" s="711"/>
      <c r="F481" s="711"/>
      <c r="G481" s="721"/>
      <c r="H481" s="721"/>
      <c r="I481" s="721"/>
      <c r="J481" s="48"/>
      <c r="K481" s="721"/>
      <c r="L481" s="721"/>
      <c r="M481" s="721"/>
      <c r="N481" s="719"/>
      <c r="O481" s="48"/>
      <c r="P481" s="719"/>
      <c r="Q481" s="48"/>
      <c r="R481" s="711" t="str">
        <f>IFERROR(__xludf.DUMMYFUNCTION("""COMPUTED_VALUE"""),"2526SEABRAMER14.Y")</f>
        <v>2526SEABRAMER14.Y</v>
      </c>
      <c r="S481" s="711">
        <f>IFERROR(__xludf.DUMMYFUNCTION("""COMPUTED_VALUE"""),20.0)</f>
        <v>20</v>
      </c>
      <c r="T481" s="721" t="str">
        <f>IFERROR(__xludf.DUMMYFUNCTION("""COMPUTED_VALUE"""),"2526SEABRAMER14.Y")</f>
        <v>2526SEABRAMER14.Y</v>
      </c>
      <c r="U481" s="721"/>
      <c r="V481" s="711"/>
      <c r="W481" s="721"/>
      <c r="X481" s="721"/>
      <c r="Y481" s="48"/>
      <c r="Z481" s="48"/>
      <c r="AA481" s="48"/>
      <c r="AB481" s="711"/>
      <c r="AC481" s="711"/>
      <c r="AD481" s="711"/>
      <c r="AE481" s="711"/>
      <c r="AF481" s="711"/>
      <c r="AG481" s="711"/>
      <c r="AH481" s="711"/>
    </row>
    <row r="482">
      <c r="A482" s="48"/>
      <c r="B482" s="48"/>
      <c r="C482" s="48"/>
      <c r="D482" s="721"/>
      <c r="E482" s="711"/>
      <c r="F482" s="711"/>
      <c r="G482" s="721"/>
      <c r="H482" s="721"/>
      <c r="I482" s="721"/>
      <c r="J482" s="48"/>
      <c r="K482" s="721"/>
      <c r="L482" s="721"/>
      <c r="M482" s="721"/>
      <c r="N482" s="719"/>
      <c r="O482" s="48"/>
      <c r="P482" s="719"/>
      <c r="Q482" s="48"/>
      <c r="R482" s="48"/>
      <c r="S482" s="711" t="str">
        <f>IFERROR(__xludf.DUMMYFUNCTION("""COMPUTED_VALUE"""),"")</f>
        <v/>
      </c>
      <c r="T482" s="721"/>
      <c r="U482" s="721"/>
      <c r="V482" s="711"/>
      <c r="W482" s="721"/>
      <c r="X482" s="721"/>
      <c r="Y482" s="48"/>
      <c r="Z482" s="48"/>
      <c r="AA482" s="48"/>
      <c r="AB482" s="711"/>
      <c r="AC482" s="711"/>
      <c r="AD482" s="711"/>
      <c r="AE482" s="711"/>
      <c r="AF482" s="711"/>
      <c r="AG482" s="711"/>
      <c r="AH482" s="711"/>
    </row>
    <row r="483">
      <c r="A483" s="48"/>
      <c r="B483" s="48"/>
      <c r="C483" s="48"/>
      <c r="D483" s="721"/>
      <c r="E483" s="711"/>
      <c r="F483" s="711"/>
      <c r="G483" s="721"/>
      <c r="H483" s="721"/>
      <c r="I483" s="721"/>
      <c r="J483" s="48"/>
      <c r="K483" s="721"/>
      <c r="L483" s="721"/>
      <c r="M483" s="721"/>
      <c r="N483" s="719"/>
      <c r="O483" s="48"/>
      <c r="P483" s="719"/>
      <c r="Q483" s="48"/>
      <c r="R483" s="48"/>
      <c r="S483" s="711" t="str">
        <f>IFERROR(__xludf.DUMMYFUNCTION("""COMPUTED_VALUE"""),"")</f>
        <v/>
      </c>
      <c r="T483" s="721"/>
      <c r="U483" s="721"/>
      <c r="V483" s="711"/>
      <c r="W483" s="721"/>
      <c r="X483" s="721"/>
      <c r="Y483" s="48"/>
      <c r="Z483" s="48"/>
      <c r="AA483" s="48"/>
      <c r="AB483" s="711"/>
      <c r="AC483" s="711"/>
      <c r="AD483" s="711"/>
      <c r="AE483" s="711"/>
      <c r="AF483" s="711"/>
      <c r="AG483" s="711"/>
      <c r="AH483" s="711"/>
    </row>
    <row r="484">
      <c r="A484" s="48"/>
      <c r="B484" s="48"/>
      <c r="C484" s="48"/>
      <c r="D484" s="721"/>
      <c r="E484" s="711"/>
      <c r="F484" s="711"/>
      <c r="G484" s="721"/>
      <c r="H484" s="721"/>
      <c r="I484" s="721"/>
      <c r="J484" s="48"/>
      <c r="K484" s="721"/>
      <c r="L484" s="721"/>
      <c r="M484" s="721"/>
      <c r="N484" s="719"/>
      <c r="O484" s="48"/>
      <c r="P484" s="719"/>
      <c r="Q484" s="48"/>
      <c r="R484" s="48"/>
      <c r="S484" s="711" t="str">
        <f>IFERROR(__xludf.DUMMYFUNCTION("""COMPUTED_VALUE"""),"")</f>
        <v/>
      </c>
      <c r="T484" s="721"/>
      <c r="U484" s="721"/>
      <c r="V484" s="711"/>
      <c r="W484" s="721"/>
      <c r="X484" s="721"/>
      <c r="Y484" s="48"/>
      <c r="Z484" s="48"/>
      <c r="AA484" s="48"/>
      <c r="AB484" s="711"/>
      <c r="AC484" s="711"/>
      <c r="AD484" s="711"/>
      <c r="AE484" s="711"/>
      <c r="AF484" s="711"/>
      <c r="AG484" s="711"/>
      <c r="AH484" s="711"/>
    </row>
    <row r="485">
      <c r="A485" s="48"/>
      <c r="B485" s="48"/>
      <c r="C485" s="48"/>
      <c r="D485" s="721"/>
      <c r="E485" s="711"/>
      <c r="F485" s="711"/>
      <c r="G485" s="721"/>
      <c r="H485" s="721"/>
      <c r="I485" s="721"/>
      <c r="J485" s="48"/>
      <c r="K485" s="721"/>
      <c r="L485" s="721"/>
      <c r="M485" s="721"/>
      <c r="N485" s="719"/>
      <c r="O485" s="48"/>
      <c r="P485" s="719"/>
      <c r="Q485" s="48"/>
      <c r="R485" s="48"/>
      <c r="S485" s="711" t="str">
        <f>IFERROR(__xludf.DUMMYFUNCTION("""COMPUTED_VALUE"""),"")</f>
        <v/>
      </c>
      <c r="T485" s="721"/>
      <c r="U485" s="721"/>
      <c r="V485" s="711"/>
      <c r="W485" s="721"/>
      <c r="X485" s="721"/>
      <c r="Y485" s="48"/>
      <c r="Z485" s="48"/>
      <c r="AA485" s="48"/>
      <c r="AB485" s="711"/>
      <c r="AC485" s="711"/>
      <c r="AD485" s="711"/>
      <c r="AE485" s="711"/>
      <c r="AF485" s="711"/>
      <c r="AG485" s="711"/>
      <c r="AH485" s="711"/>
    </row>
    <row r="486">
      <c r="A486" s="48"/>
      <c r="B486" s="48"/>
      <c r="C486" s="48"/>
      <c r="D486" s="721"/>
      <c r="E486" s="711"/>
      <c r="F486" s="711"/>
      <c r="G486" s="721"/>
      <c r="H486" s="721"/>
      <c r="I486" s="721"/>
      <c r="J486" s="48"/>
      <c r="K486" s="721"/>
      <c r="L486" s="721"/>
      <c r="M486" s="721"/>
      <c r="N486" s="719"/>
      <c r="O486" s="48"/>
      <c r="P486" s="719"/>
      <c r="Q486" s="48"/>
      <c r="R486" s="711" t="str">
        <f>IFERROR(__xludf.DUMMYFUNCTION("""COMPUTED_VALUE"""),"2526MODULOMER15.Y")</f>
        <v>2526MODULOMER15.Y</v>
      </c>
      <c r="S486" s="711">
        <f>IFERROR(__xludf.DUMMYFUNCTION("""COMPUTED_VALUE"""),40.0)</f>
        <v>40</v>
      </c>
      <c r="T486" s="721" t="str">
        <f>IFERROR(__xludf.DUMMYFUNCTION("""COMPUTED_VALUE"""),"2526MODULOMER15.Y")</f>
        <v>2526MODULOMER15.Y</v>
      </c>
      <c r="U486" s="721"/>
      <c r="V486" s="711"/>
      <c r="W486" s="721"/>
      <c r="X486" s="721"/>
      <c r="Y486" s="48"/>
      <c r="Z486" s="48"/>
      <c r="AA486" s="48"/>
      <c r="AB486" s="711"/>
      <c r="AC486" s="711"/>
      <c r="AD486" s="711"/>
      <c r="AE486" s="711"/>
      <c r="AF486" s="711"/>
      <c r="AG486" s="711"/>
      <c r="AH486" s="711"/>
    </row>
    <row r="487">
      <c r="A487" s="48"/>
      <c r="B487" s="48"/>
      <c r="C487" s="48"/>
      <c r="D487" s="721"/>
      <c r="E487" s="711"/>
      <c r="F487" s="711"/>
      <c r="G487" s="721"/>
      <c r="H487" s="721"/>
      <c r="I487" s="721"/>
      <c r="J487" s="48"/>
      <c r="K487" s="721"/>
      <c r="L487" s="721"/>
      <c r="M487" s="721"/>
      <c r="N487" s="719"/>
      <c r="O487" s="48"/>
      <c r="P487" s="719"/>
      <c r="Q487" s="48"/>
      <c r="R487" s="48"/>
      <c r="S487" s="711" t="str">
        <f>IFERROR(__xludf.DUMMYFUNCTION("""COMPUTED_VALUE"""),"")</f>
        <v/>
      </c>
      <c r="T487" s="721"/>
      <c r="U487" s="721"/>
      <c r="V487" s="711"/>
      <c r="W487" s="721"/>
      <c r="X487" s="721"/>
      <c r="Y487" s="48"/>
      <c r="Z487" s="48"/>
      <c r="AA487" s="48"/>
      <c r="AB487" s="711"/>
      <c r="AC487" s="711"/>
      <c r="AD487" s="711"/>
      <c r="AE487" s="711"/>
      <c r="AF487" s="711"/>
      <c r="AG487" s="711"/>
      <c r="AH487" s="711"/>
    </row>
    <row r="488">
      <c r="A488" s="48"/>
      <c r="B488" s="48"/>
      <c r="C488" s="48"/>
      <c r="D488" s="721"/>
      <c r="E488" s="711"/>
      <c r="F488" s="711"/>
      <c r="G488" s="721"/>
      <c r="H488" s="721"/>
      <c r="I488" s="721"/>
      <c r="J488" s="48"/>
      <c r="K488" s="721"/>
      <c r="L488" s="721"/>
      <c r="M488" s="721"/>
      <c r="N488" s="719"/>
      <c r="O488" s="48"/>
      <c r="P488" s="719"/>
      <c r="Q488" s="48"/>
      <c r="R488" s="711" t="str">
        <f>IFERROR(__xludf.DUMMYFUNCTION("""COMPUTED_VALUE"""),"2526MODULOMER15.Y")</f>
        <v>2526MODULOMER15.Y</v>
      </c>
      <c r="S488" s="711">
        <f>IFERROR(__xludf.DUMMYFUNCTION("""COMPUTED_VALUE"""),40.0)</f>
        <v>40</v>
      </c>
      <c r="T488" s="721" t="str">
        <f>IFERROR(__xludf.DUMMYFUNCTION("""COMPUTED_VALUE"""),"2526MODULOMER15.Y")</f>
        <v>2526MODULOMER15.Y</v>
      </c>
      <c r="U488" s="721"/>
      <c r="V488" s="711"/>
      <c r="W488" s="721"/>
      <c r="X488" s="721"/>
      <c r="Y488" s="48"/>
      <c r="Z488" s="48"/>
      <c r="AA488" s="48"/>
      <c r="AB488" s="711"/>
      <c r="AC488" s="711"/>
      <c r="AD488" s="711"/>
      <c r="AE488" s="711"/>
      <c r="AF488" s="711"/>
      <c r="AG488" s="711"/>
      <c r="AH488" s="711"/>
    </row>
    <row r="489">
      <c r="A489" s="48"/>
      <c r="B489" s="48"/>
      <c r="C489" s="48"/>
      <c r="D489" s="721"/>
      <c r="E489" s="711"/>
      <c r="F489" s="711"/>
      <c r="G489" s="721"/>
      <c r="H489" s="721"/>
      <c r="I489" s="721"/>
      <c r="J489" s="48"/>
      <c r="K489" s="721"/>
      <c r="L489" s="721"/>
      <c r="M489" s="721"/>
      <c r="N489" s="719"/>
      <c r="O489" s="48"/>
      <c r="P489" s="719"/>
      <c r="Q489" s="48"/>
      <c r="R489" s="711" t="str">
        <f>IFERROR(__xludf.DUMMYFUNCTION("""COMPUTED_VALUE"""),"2526MODULOMER15.Y")</f>
        <v>2526MODULOMER15.Y</v>
      </c>
      <c r="S489" s="711">
        <f>IFERROR(__xludf.DUMMYFUNCTION("""COMPUTED_VALUE"""),40.0)</f>
        <v>40</v>
      </c>
      <c r="T489" s="721" t="str">
        <f>IFERROR(__xludf.DUMMYFUNCTION("""COMPUTED_VALUE"""),"2526MODULOMER15.Y")</f>
        <v>2526MODULOMER15.Y</v>
      </c>
      <c r="U489" s="721"/>
      <c r="V489" s="711"/>
      <c r="W489" s="721"/>
      <c r="X489" s="721"/>
      <c r="Y489" s="48"/>
      <c r="Z489" s="48"/>
      <c r="AA489" s="48"/>
      <c r="AB489" s="711"/>
      <c r="AC489" s="711"/>
      <c r="AD489" s="711"/>
      <c r="AE489" s="711"/>
      <c r="AF489" s="711"/>
      <c r="AG489" s="711"/>
      <c r="AH489" s="711"/>
    </row>
    <row r="490">
      <c r="A490" s="48"/>
      <c r="B490" s="48"/>
      <c r="C490" s="48"/>
      <c r="D490" s="721"/>
      <c r="E490" s="711"/>
      <c r="F490" s="711"/>
      <c r="G490" s="721"/>
      <c r="H490" s="721"/>
      <c r="I490" s="721"/>
      <c r="J490" s="48"/>
      <c r="K490" s="721"/>
      <c r="L490" s="721"/>
      <c r="M490" s="721"/>
      <c r="N490" s="719"/>
      <c r="O490" s="48"/>
      <c r="P490" s="719"/>
      <c r="Q490" s="48"/>
      <c r="R490" s="48"/>
      <c r="S490" s="711" t="str">
        <f>IFERROR(__xludf.DUMMYFUNCTION("""COMPUTED_VALUE"""),"")</f>
        <v/>
      </c>
      <c r="T490" s="721"/>
      <c r="U490" s="721"/>
      <c r="V490" s="711"/>
      <c r="W490" s="721"/>
      <c r="X490" s="721"/>
      <c r="Y490" s="48"/>
      <c r="Z490" s="48"/>
      <c r="AA490" s="48"/>
      <c r="AB490" s="711"/>
      <c r="AC490" s="711"/>
      <c r="AD490" s="711"/>
      <c r="AE490" s="711"/>
      <c r="AF490" s="711"/>
      <c r="AG490" s="711"/>
      <c r="AH490" s="711"/>
    </row>
    <row r="491">
      <c r="A491" s="48"/>
      <c r="B491" s="48"/>
      <c r="C491" s="48"/>
      <c r="D491" s="721"/>
      <c r="E491" s="711"/>
      <c r="F491" s="711"/>
      <c r="G491" s="721"/>
      <c r="H491" s="721"/>
      <c r="I491" s="721"/>
      <c r="J491" s="48"/>
      <c r="K491" s="721"/>
      <c r="L491" s="721"/>
      <c r="M491" s="721"/>
      <c r="N491" s="719"/>
      <c r="O491" s="48"/>
      <c r="P491" s="719"/>
      <c r="Q491" s="48"/>
      <c r="R491" s="48"/>
      <c r="S491" s="711" t="str">
        <f>IFERROR(__xludf.DUMMYFUNCTION("""COMPUTED_VALUE"""),"")</f>
        <v/>
      </c>
      <c r="T491" s="721"/>
      <c r="U491" s="721"/>
      <c r="V491" s="711"/>
      <c r="W491" s="721"/>
      <c r="X491" s="721"/>
      <c r="Y491" s="48"/>
      <c r="Z491" s="48"/>
      <c r="AA491" s="48"/>
      <c r="AB491" s="711"/>
      <c r="AC491" s="711"/>
      <c r="AD491" s="711"/>
      <c r="AE491" s="711"/>
      <c r="AF491" s="711"/>
      <c r="AG491" s="711"/>
      <c r="AH491" s="711"/>
    </row>
    <row r="492">
      <c r="A492" s="48"/>
      <c r="B492" s="48"/>
      <c r="C492" s="48"/>
      <c r="D492" s="721"/>
      <c r="E492" s="711"/>
      <c r="F492" s="711"/>
      <c r="G492" s="721"/>
      <c r="H492" s="721"/>
      <c r="I492" s="721"/>
      <c r="J492" s="48"/>
      <c r="K492" s="721"/>
      <c r="L492" s="721"/>
      <c r="M492" s="721"/>
      <c r="N492" s="719"/>
      <c r="O492" s="48"/>
      <c r="P492" s="719"/>
      <c r="Q492" s="48"/>
      <c r="R492" s="711" t="str">
        <f>IFERROR(__xludf.DUMMYFUNCTION("""COMPUTED_VALUE"""),"2526MODULOMER15.Y")</f>
        <v>2526MODULOMER15.Y</v>
      </c>
      <c r="S492" s="711">
        <f>IFERROR(__xludf.DUMMYFUNCTION("""COMPUTED_VALUE"""),40.0)</f>
        <v>40</v>
      </c>
      <c r="T492" s="721" t="str">
        <f>IFERROR(__xludf.DUMMYFUNCTION("""COMPUTED_VALUE"""),"2526MODULOMER15.Y")</f>
        <v>2526MODULOMER15.Y</v>
      </c>
      <c r="U492" s="721"/>
      <c r="V492" s="711"/>
      <c r="W492" s="721"/>
      <c r="X492" s="721"/>
      <c r="Y492" s="48"/>
      <c r="Z492" s="48"/>
      <c r="AA492" s="48"/>
      <c r="AB492" s="711"/>
      <c r="AC492" s="711"/>
      <c r="AD492" s="711"/>
      <c r="AE492" s="711"/>
      <c r="AF492" s="711"/>
      <c r="AG492" s="711"/>
      <c r="AH492" s="711"/>
    </row>
    <row r="493">
      <c r="A493" s="48"/>
      <c r="B493" s="48"/>
      <c r="C493" s="48"/>
      <c r="D493" s="721"/>
      <c r="E493" s="711"/>
      <c r="F493" s="711"/>
      <c r="G493" s="721"/>
      <c r="H493" s="721"/>
      <c r="I493" s="721"/>
      <c r="J493" s="48"/>
      <c r="K493" s="721"/>
      <c r="L493" s="721"/>
      <c r="M493" s="721"/>
      <c r="N493" s="719"/>
      <c r="O493" s="48"/>
      <c r="P493" s="719"/>
      <c r="Q493" s="48"/>
      <c r="R493" s="711" t="str">
        <f>IFERROR(__xludf.DUMMYFUNCTION("""COMPUTED_VALUE"""),"2526SEABRAMER15.Y")</f>
        <v>2526SEABRAMER15.Y</v>
      </c>
      <c r="S493" s="711">
        <f>IFERROR(__xludf.DUMMYFUNCTION("""COMPUTED_VALUE"""),20.0)</f>
        <v>20</v>
      </c>
      <c r="T493" s="721" t="str">
        <f>IFERROR(__xludf.DUMMYFUNCTION("""COMPUTED_VALUE"""),"2526SEABRAMER15.Y")</f>
        <v>2526SEABRAMER15.Y</v>
      </c>
      <c r="U493" s="721"/>
      <c r="V493" s="711"/>
      <c r="W493" s="721"/>
      <c r="X493" s="721"/>
      <c r="Y493" s="48"/>
      <c r="Z493" s="48"/>
      <c r="AA493" s="48"/>
      <c r="AB493" s="711"/>
      <c r="AC493" s="711"/>
      <c r="AD493" s="711"/>
      <c r="AE493" s="711"/>
      <c r="AF493" s="711"/>
      <c r="AG493" s="711"/>
      <c r="AH493" s="711"/>
    </row>
    <row r="494">
      <c r="A494" s="48"/>
      <c r="B494" s="48"/>
      <c r="C494" s="48"/>
      <c r="D494" s="721"/>
      <c r="E494" s="711"/>
      <c r="F494" s="711"/>
      <c r="G494" s="721"/>
      <c r="H494" s="721"/>
      <c r="I494" s="721"/>
      <c r="J494" s="48"/>
      <c r="K494" s="721"/>
      <c r="L494" s="721"/>
      <c r="M494" s="721"/>
      <c r="N494" s="719"/>
      <c r="O494" s="48"/>
      <c r="P494" s="719"/>
      <c r="Q494" s="48"/>
      <c r="R494" s="48"/>
      <c r="S494" s="711" t="str">
        <f>IFERROR(__xludf.DUMMYFUNCTION("""COMPUTED_VALUE"""),"")</f>
        <v/>
      </c>
      <c r="T494" s="721"/>
      <c r="U494" s="721"/>
      <c r="V494" s="711"/>
      <c r="W494" s="721"/>
      <c r="X494" s="721"/>
      <c r="Y494" s="48"/>
      <c r="Z494" s="48"/>
      <c r="AA494" s="48"/>
      <c r="AB494" s="711"/>
      <c r="AC494" s="711"/>
      <c r="AD494" s="711"/>
      <c r="AE494" s="711"/>
      <c r="AF494" s="711"/>
      <c r="AG494" s="711"/>
      <c r="AH494" s="711"/>
    </row>
    <row r="495">
      <c r="A495" s="48"/>
      <c r="B495" s="48"/>
      <c r="C495" s="48"/>
      <c r="D495" s="721"/>
      <c r="E495" s="711"/>
      <c r="F495" s="711"/>
      <c r="G495" s="721"/>
      <c r="H495" s="721"/>
      <c r="I495" s="721"/>
      <c r="J495" s="48"/>
      <c r="K495" s="721"/>
      <c r="L495" s="721"/>
      <c r="M495" s="721"/>
      <c r="N495" s="719"/>
      <c r="O495" s="48"/>
      <c r="P495" s="719"/>
      <c r="Q495" s="48"/>
      <c r="R495" s="48"/>
      <c r="S495" s="711" t="str">
        <f>IFERROR(__xludf.DUMMYFUNCTION("""COMPUTED_VALUE"""),"")</f>
        <v/>
      </c>
      <c r="T495" s="721"/>
      <c r="U495" s="721"/>
      <c r="V495" s="711"/>
      <c r="W495" s="721"/>
      <c r="X495" s="721"/>
      <c r="Y495" s="48"/>
      <c r="Z495" s="48"/>
      <c r="AA495" s="48"/>
      <c r="AB495" s="711"/>
      <c r="AC495" s="711"/>
      <c r="AD495" s="711"/>
      <c r="AE495" s="711"/>
      <c r="AF495" s="711"/>
      <c r="AG495" s="711"/>
      <c r="AH495" s="711"/>
    </row>
    <row r="496">
      <c r="A496" s="48"/>
      <c r="B496" s="48"/>
      <c r="C496" s="48"/>
      <c r="D496" s="721"/>
      <c r="E496" s="711"/>
      <c r="F496" s="711"/>
      <c r="G496" s="721"/>
      <c r="H496" s="721"/>
      <c r="I496" s="721"/>
      <c r="J496" s="48"/>
      <c r="K496" s="721"/>
      <c r="L496" s="721"/>
      <c r="M496" s="721"/>
      <c r="N496" s="719"/>
      <c r="O496" s="48"/>
      <c r="P496" s="719"/>
      <c r="Q496" s="48"/>
      <c r="R496" s="48"/>
      <c r="S496" s="711" t="str">
        <f>IFERROR(__xludf.DUMMYFUNCTION("""COMPUTED_VALUE"""),"")</f>
        <v/>
      </c>
      <c r="T496" s="721"/>
      <c r="U496" s="721"/>
      <c r="V496" s="711"/>
      <c r="W496" s="721"/>
      <c r="X496" s="721"/>
      <c r="Y496" s="48"/>
      <c r="Z496" s="48"/>
      <c r="AA496" s="48"/>
      <c r="AB496" s="711"/>
      <c r="AC496" s="711"/>
      <c r="AD496" s="711"/>
      <c r="AE496" s="711"/>
      <c r="AF496" s="711"/>
      <c r="AG496" s="711"/>
      <c r="AH496" s="711"/>
    </row>
    <row r="497">
      <c r="A497" s="48"/>
      <c r="B497" s="48"/>
      <c r="C497" s="48"/>
      <c r="D497" s="721"/>
      <c r="E497" s="711"/>
      <c r="F497" s="711"/>
      <c r="G497" s="721"/>
      <c r="H497" s="721"/>
      <c r="I497" s="721"/>
      <c r="J497" s="48"/>
      <c r="K497" s="721"/>
      <c r="L497" s="721"/>
      <c r="M497" s="721"/>
      <c r="N497" s="719"/>
      <c r="O497" s="48"/>
      <c r="P497" s="719"/>
      <c r="Q497" s="48"/>
      <c r="R497" s="48"/>
      <c r="S497" s="711" t="str">
        <f>IFERROR(__xludf.DUMMYFUNCTION("""COMPUTED_VALUE"""),"")</f>
        <v/>
      </c>
      <c r="T497" s="721"/>
      <c r="U497" s="721"/>
      <c r="V497" s="711"/>
      <c r="W497" s="721"/>
      <c r="X497" s="721"/>
      <c r="Y497" s="48"/>
      <c r="Z497" s="48"/>
      <c r="AA497" s="48"/>
      <c r="AB497" s="711"/>
      <c r="AC497" s="711"/>
      <c r="AD497" s="711"/>
      <c r="AE497" s="711"/>
      <c r="AF497" s="711"/>
      <c r="AG497" s="711"/>
      <c r="AH497" s="711"/>
    </row>
    <row r="498">
      <c r="A498" s="48"/>
      <c r="B498" s="48"/>
      <c r="C498" s="48"/>
      <c r="D498" s="721"/>
      <c r="E498" s="711"/>
      <c r="F498" s="711"/>
      <c r="G498" s="721"/>
      <c r="H498" s="721"/>
      <c r="I498" s="721"/>
      <c r="J498" s="48"/>
      <c r="K498" s="721"/>
      <c r="L498" s="721"/>
      <c r="M498" s="721"/>
      <c r="N498" s="719"/>
      <c r="O498" s="48"/>
      <c r="P498" s="719"/>
      <c r="Q498" s="48"/>
      <c r="R498" s="48"/>
      <c r="S498" s="711" t="str">
        <f>IFERROR(__xludf.DUMMYFUNCTION("""COMPUTED_VALUE"""),"")</f>
        <v/>
      </c>
      <c r="T498" s="721"/>
      <c r="U498" s="721"/>
      <c r="V498" s="711"/>
      <c r="W498" s="721"/>
      <c r="X498" s="721"/>
      <c r="Y498" s="48"/>
      <c r="Z498" s="48"/>
      <c r="AA498" s="48"/>
      <c r="AB498" s="711"/>
      <c r="AC498" s="711"/>
      <c r="AD498" s="711"/>
      <c r="AE498" s="711"/>
      <c r="AF498" s="711"/>
      <c r="AG498" s="711"/>
      <c r="AH498" s="711"/>
    </row>
    <row r="499">
      <c r="A499" s="48"/>
      <c r="B499" s="48"/>
      <c r="C499" s="48"/>
      <c r="D499" s="721"/>
      <c r="E499" s="711"/>
      <c r="F499" s="711"/>
      <c r="G499" s="721"/>
      <c r="H499" s="721"/>
      <c r="I499" s="721"/>
      <c r="J499" s="48"/>
      <c r="K499" s="721"/>
      <c r="L499" s="721"/>
      <c r="M499" s="721"/>
      <c r="N499" s="719"/>
      <c r="O499" s="48"/>
      <c r="P499" s="719"/>
      <c r="Q499" s="48"/>
      <c r="R499" s="48"/>
      <c r="S499" s="711" t="str">
        <f>IFERROR(__xludf.DUMMYFUNCTION("""COMPUTED_VALUE"""),"")</f>
        <v/>
      </c>
      <c r="T499" s="721"/>
      <c r="U499" s="721"/>
      <c r="V499" s="711"/>
      <c r="W499" s="721"/>
      <c r="X499" s="721"/>
      <c r="Y499" s="48"/>
      <c r="Z499" s="48"/>
      <c r="AA499" s="48"/>
      <c r="AB499" s="711"/>
      <c r="AC499" s="711"/>
      <c r="AD499" s="711"/>
      <c r="AE499" s="711"/>
      <c r="AF499" s="711"/>
      <c r="AG499" s="711"/>
      <c r="AH499" s="711"/>
    </row>
    <row r="500">
      <c r="A500" s="48"/>
      <c r="B500" s="48"/>
      <c r="C500" s="48"/>
      <c r="D500" s="721"/>
      <c r="E500" s="711"/>
      <c r="F500" s="711"/>
      <c r="G500" s="721"/>
      <c r="H500" s="721"/>
      <c r="I500" s="721"/>
      <c r="J500" s="48"/>
      <c r="K500" s="721"/>
      <c r="L500" s="721"/>
      <c r="M500" s="721"/>
      <c r="N500" s="719"/>
      <c r="O500" s="48"/>
      <c r="P500" s="719"/>
      <c r="Q500" s="48"/>
      <c r="R500" s="714" t="str">
        <f>IFERROR(__xludf.DUMMYFUNCTION("""COMPUTED_VALUE"""),"2526MALINMER16.B")</f>
        <v>2526MALINMER16.B</v>
      </c>
      <c r="S500" s="711">
        <f>IFERROR(__xludf.DUMMYFUNCTION("""COMPUTED_VALUE"""),18.0)</f>
        <v>18</v>
      </c>
      <c r="T500" s="722" t="str">
        <f>IFERROR(__xludf.DUMMYFUNCTION("""COMPUTED_VALUE"""),"2526MALINMER16.B")</f>
        <v>2526MALINMER16.B</v>
      </c>
      <c r="U500" s="721"/>
      <c r="V500" s="711"/>
      <c r="W500" s="721"/>
      <c r="X500" s="721"/>
      <c r="Y500" s="48"/>
      <c r="Z500" s="48"/>
      <c r="AA500" s="48"/>
      <c r="AB500" s="711"/>
      <c r="AC500" s="711"/>
      <c r="AD500" s="711"/>
      <c r="AE500" s="711"/>
      <c r="AF500" s="711"/>
      <c r="AG500" s="711"/>
      <c r="AH500" s="711"/>
    </row>
    <row r="501">
      <c r="A501" s="48"/>
      <c r="B501" s="48"/>
      <c r="C501" s="48"/>
      <c r="D501" s="721"/>
      <c r="E501" s="711"/>
      <c r="F501" s="711"/>
      <c r="G501" s="721"/>
      <c r="H501" s="721"/>
      <c r="I501" s="721"/>
      <c r="J501" s="48"/>
      <c r="K501" s="721"/>
      <c r="L501" s="721"/>
      <c r="M501" s="721"/>
      <c r="N501" s="719"/>
      <c r="O501" s="48"/>
      <c r="P501" s="719"/>
      <c r="Q501" s="48"/>
      <c r="R501" s="711" t="str">
        <f>IFERROR(__xludf.DUMMYFUNCTION("""COMPUTED_VALUE"""),"2526MODULOMER16.Y")</f>
        <v>2526MODULOMER16.Y</v>
      </c>
      <c r="S501" s="711">
        <f>IFERROR(__xludf.DUMMYFUNCTION("""COMPUTED_VALUE"""),40.0)</f>
        <v>40</v>
      </c>
      <c r="T501" s="721" t="str">
        <f>IFERROR(__xludf.DUMMYFUNCTION("""COMPUTED_VALUE"""),"2526MODULOMER16.Y")</f>
        <v>2526MODULOMER16.Y</v>
      </c>
      <c r="U501" s="721"/>
      <c r="V501" s="711"/>
      <c r="W501" s="721"/>
      <c r="X501" s="721"/>
      <c r="Y501" s="48"/>
      <c r="Z501" s="48"/>
      <c r="AA501" s="48"/>
      <c r="AB501" s="711"/>
      <c r="AC501" s="711"/>
      <c r="AD501" s="711"/>
      <c r="AE501" s="711"/>
      <c r="AF501" s="711"/>
      <c r="AG501" s="711"/>
      <c r="AH501" s="711"/>
    </row>
    <row r="502">
      <c r="A502" s="48"/>
      <c r="B502" s="48"/>
      <c r="C502" s="48"/>
      <c r="D502" s="721"/>
      <c r="E502" s="711"/>
      <c r="F502" s="711"/>
      <c r="G502" s="721"/>
      <c r="H502" s="721"/>
      <c r="I502" s="721"/>
      <c r="J502" s="48"/>
      <c r="K502" s="721"/>
      <c r="L502" s="721"/>
      <c r="M502" s="721"/>
      <c r="N502" s="719"/>
      <c r="O502" s="48"/>
      <c r="P502" s="719"/>
      <c r="Q502" s="48"/>
      <c r="R502" s="48"/>
      <c r="S502" s="711" t="str">
        <f>IFERROR(__xludf.DUMMYFUNCTION("""COMPUTED_VALUE"""),"")</f>
        <v/>
      </c>
      <c r="T502" s="721"/>
      <c r="U502" s="721"/>
      <c r="V502" s="711"/>
      <c r="W502" s="721"/>
      <c r="X502" s="721"/>
      <c r="Y502" s="48"/>
      <c r="Z502" s="48"/>
      <c r="AA502" s="48"/>
      <c r="AB502" s="711"/>
      <c r="AC502" s="711"/>
      <c r="AD502" s="711"/>
      <c r="AE502" s="711"/>
      <c r="AF502" s="711"/>
      <c r="AG502" s="711"/>
      <c r="AH502" s="711"/>
    </row>
    <row r="503">
      <c r="A503" s="48"/>
      <c r="B503" s="48"/>
      <c r="C503" s="48"/>
      <c r="D503" s="721"/>
      <c r="E503" s="711"/>
      <c r="F503" s="711"/>
      <c r="G503" s="721"/>
      <c r="H503" s="721"/>
      <c r="I503" s="721"/>
      <c r="J503" s="48"/>
      <c r="K503" s="721"/>
      <c r="L503" s="721"/>
      <c r="M503" s="721"/>
      <c r="N503" s="719"/>
      <c r="O503" s="48"/>
      <c r="P503" s="719"/>
      <c r="Q503" s="48"/>
      <c r="R503" s="714" t="str">
        <f>IFERROR(__xludf.DUMMYFUNCTION("""COMPUTED_VALUE"""),"2526BORDONIMER16.B")</f>
        <v>2526BORDONIMER16.B</v>
      </c>
      <c r="S503" s="711">
        <f>IFERROR(__xludf.DUMMYFUNCTION("""COMPUTED_VALUE"""),15.0)</f>
        <v>15</v>
      </c>
      <c r="T503" s="722" t="str">
        <f>IFERROR(__xludf.DUMMYFUNCTION("""COMPUTED_VALUE"""),"2526BORDONIMER16.B")</f>
        <v>2526BORDONIMER16.B</v>
      </c>
      <c r="U503" s="721"/>
      <c r="V503" s="711"/>
      <c r="W503" s="721"/>
      <c r="X503" s="721"/>
      <c r="Y503" s="48"/>
      <c r="Z503" s="48"/>
      <c r="AA503" s="48"/>
      <c r="AB503" s="711"/>
      <c r="AC503" s="711"/>
      <c r="AD503" s="711"/>
      <c r="AE503" s="711"/>
      <c r="AF503" s="711"/>
      <c r="AG503" s="711"/>
      <c r="AH503" s="711"/>
    </row>
    <row r="504">
      <c r="A504" s="48"/>
      <c r="B504" s="48"/>
      <c r="C504" s="48"/>
      <c r="D504" s="721"/>
      <c r="E504" s="711"/>
      <c r="F504" s="711"/>
      <c r="G504" s="721"/>
      <c r="H504" s="721"/>
      <c r="I504" s="721"/>
      <c r="J504" s="48"/>
      <c r="K504" s="721"/>
      <c r="L504" s="721"/>
      <c r="M504" s="721"/>
      <c r="N504" s="719"/>
      <c r="O504" s="48"/>
      <c r="P504" s="719"/>
      <c r="Q504" s="48"/>
      <c r="R504" s="48"/>
      <c r="S504" s="711" t="str">
        <f>IFERROR(__xludf.DUMMYFUNCTION("""COMPUTED_VALUE"""),"")</f>
        <v/>
      </c>
      <c r="T504" s="721"/>
      <c r="U504" s="721"/>
      <c r="V504" s="711"/>
      <c r="W504" s="721"/>
      <c r="X504" s="721"/>
      <c r="Y504" s="48"/>
      <c r="Z504" s="48"/>
      <c r="AA504" s="48"/>
      <c r="AB504" s="711"/>
      <c r="AC504" s="711"/>
      <c r="AD504" s="711"/>
      <c r="AE504" s="711"/>
      <c r="AF504" s="711"/>
      <c r="AG504" s="711"/>
      <c r="AH504" s="711"/>
    </row>
    <row r="505">
      <c r="A505" s="48"/>
      <c r="B505" s="48"/>
      <c r="C505" s="48"/>
      <c r="D505" s="721"/>
      <c r="E505" s="711"/>
      <c r="F505" s="711"/>
      <c r="G505" s="721"/>
      <c r="H505" s="721"/>
      <c r="I505" s="721"/>
      <c r="J505" s="48"/>
      <c r="K505" s="721"/>
      <c r="L505" s="721"/>
      <c r="M505" s="721"/>
      <c r="N505" s="719"/>
      <c r="O505" s="48"/>
      <c r="P505" s="719"/>
      <c r="Q505" s="48"/>
      <c r="R505" s="714" t="str">
        <f>IFERROR(__xludf.DUMMYFUNCTION("""COMPUTED_VALUE"""),"2526BORRIMER16.B")</f>
        <v>2526BORRIMER16.B</v>
      </c>
      <c r="S505" s="711">
        <f>IFERROR(__xludf.DUMMYFUNCTION("""COMPUTED_VALUE"""),15.0)</f>
        <v>15</v>
      </c>
      <c r="T505" s="722" t="str">
        <f>IFERROR(__xludf.DUMMYFUNCTION("""COMPUTED_VALUE"""),"2526BORRIMER16.B")</f>
        <v>2526BORRIMER16.B</v>
      </c>
      <c r="U505" s="721"/>
      <c r="V505" s="711"/>
      <c r="W505" s="721"/>
      <c r="X505" s="721"/>
      <c r="Y505" s="48"/>
      <c r="Z505" s="48"/>
      <c r="AA505" s="48"/>
      <c r="AB505" s="711"/>
      <c r="AC505" s="711"/>
      <c r="AD505" s="711"/>
      <c r="AE505" s="711"/>
      <c r="AF505" s="711"/>
      <c r="AG505" s="711"/>
      <c r="AH505" s="711"/>
    </row>
    <row r="506">
      <c r="A506" s="48"/>
      <c r="B506" s="48"/>
      <c r="C506" s="48"/>
      <c r="D506" s="721"/>
      <c r="E506" s="711"/>
      <c r="F506" s="711"/>
      <c r="G506" s="721"/>
      <c r="H506" s="721"/>
      <c r="I506" s="721"/>
      <c r="J506" s="48"/>
      <c r="K506" s="721"/>
      <c r="L506" s="721"/>
      <c r="M506" s="721"/>
      <c r="N506" s="719"/>
      <c r="O506" s="48"/>
      <c r="P506" s="719"/>
      <c r="Q506" s="48"/>
      <c r="R506" s="48"/>
      <c r="S506" s="711" t="str">
        <f>IFERROR(__xludf.DUMMYFUNCTION("""COMPUTED_VALUE"""),"")</f>
        <v/>
      </c>
      <c r="T506" s="721"/>
      <c r="U506" s="721"/>
      <c r="V506" s="711"/>
      <c r="W506" s="721"/>
      <c r="X506" s="721"/>
      <c r="Y506" s="48"/>
      <c r="Z506" s="48"/>
      <c r="AA506" s="48"/>
      <c r="AB506" s="711"/>
      <c r="AC506" s="711"/>
      <c r="AD506" s="711"/>
      <c r="AE506" s="711"/>
      <c r="AF506" s="711"/>
      <c r="AG506" s="711"/>
      <c r="AH506" s="711"/>
    </row>
    <row r="507">
      <c r="A507" s="48"/>
      <c r="B507" s="48"/>
      <c r="C507" s="48"/>
      <c r="D507" s="721"/>
      <c r="E507" s="711"/>
      <c r="F507" s="711"/>
      <c r="G507" s="721"/>
      <c r="H507" s="721"/>
      <c r="I507" s="721"/>
      <c r="J507" s="48"/>
      <c r="K507" s="721"/>
      <c r="L507" s="721"/>
      <c r="M507" s="721"/>
      <c r="N507" s="719"/>
      <c r="O507" s="48"/>
      <c r="P507" s="719"/>
      <c r="Q507" s="48"/>
      <c r="R507" s="48"/>
      <c r="S507" s="711" t="str">
        <f>IFERROR(__xludf.DUMMYFUNCTION("""COMPUTED_VALUE"""),"")</f>
        <v/>
      </c>
      <c r="T507" s="721"/>
      <c r="U507" s="721"/>
      <c r="V507" s="711"/>
      <c r="W507" s="721"/>
      <c r="X507" s="721"/>
      <c r="Y507" s="48"/>
      <c r="Z507" s="48"/>
      <c r="AA507" s="48"/>
      <c r="AB507" s="711"/>
      <c r="AC507" s="711"/>
      <c r="AD507" s="711"/>
      <c r="AE507" s="711"/>
      <c r="AF507" s="711"/>
      <c r="AG507" s="711"/>
      <c r="AH507" s="711"/>
    </row>
    <row r="508">
      <c r="A508" s="48"/>
      <c r="B508" s="48"/>
      <c r="C508" s="48"/>
      <c r="D508" s="721"/>
      <c r="E508" s="711"/>
      <c r="F508" s="711"/>
      <c r="G508" s="721"/>
      <c r="H508" s="721"/>
      <c r="I508" s="721"/>
      <c r="J508" s="48"/>
      <c r="K508" s="721"/>
      <c r="L508" s="721"/>
      <c r="M508" s="721"/>
      <c r="N508" s="719"/>
      <c r="O508" s="48"/>
      <c r="P508" s="719"/>
      <c r="Q508" s="48"/>
      <c r="R508" s="48"/>
      <c r="S508" s="711" t="str">
        <f>IFERROR(__xludf.DUMMYFUNCTION("""COMPUTED_VALUE"""),"")</f>
        <v/>
      </c>
      <c r="T508" s="721"/>
      <c r="U508" s="721"/>
      <c r="V508" s="711"/>
      <c r="W508" s="721"/>
      <c r="X508" s="721"/>
      <c r="Y508" s="48"/>
      <c r="Z508" s="48"/>
      <c r="AA508" s="48"/>
      <c r="AB508" s="711"/>
      <c r="AC508" s="711"/>
      <c r="AD508" s="711"/>
      <c r="AE508" s="711"/>
      <c r="AF508" s="711"/>
      <c r="AG508" s="711"/>
      <c r="AH508" s="711"/>
    </row>
    <row r="509">
      <c r="A509" s="48"/>
      <c r="B509" s="48"/>
      <c r="C509" s="48"/>
      <c r="D509" s="721"/>
      <c r="E509" s="711"/>
      <c r="F509" s="711"/>
      <c r="G509" s="721"/>
      <c r="H509" s="721"/>
      <c r="I509" s="721"/>
      <c r="J509" s="48"/>
      <c r="K509" s="721"/>
      <c r="L509" s="721"/>
      <c r="M509" s="721"/>
      <c r="N509" s="719"/>
      <c r="O509" s="48"/>
      <c r="P509" s="719"/>
      <c r="Q509" s="48"/>
      <c r="R509" s="714" t="str">
        <f>IFERROR(__xludf.DUMMYFUNCTION("""COMPUTED_VALUE"""),"2526DUTTAMER17.D")</f>
        <v>2526DUTTAMER17.D</v>
      </c>
      <c r="S509" s="711">
        <f>IFERROR(__xludf.DUMMYFUNCTION("""COMPUTED_VALUE"""),30.0)</f>
        <v>30</v>
      </c>
      <c r="T509" s="722" t="str">
        <f>IFERROR(__xludf.DUMMYFUNCTION("""COMPUTED_VALUE"""),"2526DUTTAMER17.D")</f>
        <v>2526DUTTAMER17.D</v>
      </c>
      <c r="U509" s="721"/>
      <c r="V509" s="711"/>
      <c r="W509" s="721"/>
      <c r="X509" s="721"/>
      <c r="Y509" s="48"/>
      <c r="Z509" s="48"/>
      <c r="AA509" s="48"/>
      <c r="AB509" s="711"/>
      <c r="AC509" s="711"/>
      <c r="AD509" s="711"/>
      <c r="AE509" s="711"/>
      <c r="AF509" s="711"/>
      <c r="AG509" s="711"/>
      <c r="AH509" s="711"/>
    </row>
    <row r="510">
      <c r="A510" s="48"/>
      <c r="B510" s="48"/>
      <c r="C510" s="48"/>
      <c r="D510" s="721"/>
      <c r="E510" s="711"/>
      <c r="F510" s="711"/>
      <c r="G510" s="721"/>
      <c r="H510" s="721"/>
      <c r="I510" s="721"/>
      <c r="J510" s="48"/>
      <c r="K510" s="721"/>
      <c r="L510" s="721"/>
      <c r="M510" s="721"/>
      <c r="N510" s="719"/>
      <c r="O510" s="48"/>
      <c r="P510" s="719"/>
      <c r="Q510" s="48"/>
      <c r="R510" s="714" t="str">
        <f>IFERROR(__xludf.DUMMYFUNCTION("""COMPUTED_VALUE"""),"2526BARTOLINIMER17.B")</f>
        <v>2526BARTOLINIMER17.B</v>
      </c>
      <c r="S510" s="711">
        <f>IFERROR(__xludf.DUMMYFUNCTION("""COMPUTED_VALUE"""),11.0)</f>
        <v>11</v>
      </c>
      <c r="T510" s="722" t="str">
        <f>IFERROR(__xludf.DUMMYFUNCTION("""COMPUTED_VALUE"""),"2526BARTOLINIMER17.B")</f>
        <v>2526BARTOLINIMER17.B</v>
      </c>
      <c r="U510" s="721"/>
      <c r="V510" s="711"/>
      <c r="W510" s="721"/>
      <c r="X510" s="721"/>
      <c r="Y510" s="48"/>
      <c r="Z510" s="48"/>
      <c r="AA510" s="48"/>
      <c r="AB510" s="711"/>
      <c r="AC510" s="711"/>
      <c r="AD510" s="711"/>
      <c r="AE510" s="711"/>
      <c r="AF510" s="711"/>
      <c r="AG510" s="711"/>
      <c r="AH510" s="711"/>
    </row>
    <row r="511">
      <c r="A511" s="48"/>
      <c r="B511" s="48"/>
      <c r="C511" s="48"/>
      <c r="D511" s="721"/>
      <c r="E511" s="711"/>
      <c r="F511" s="711"/>
      <c r="G511" s="721"/>
      <c r="H511" s="721"/>
      <c r="I511" s="721"/>
      <c r="J511" s="48"/>
      <c r="K511" s="721"/>
      <c r="L511" s="721"/>
      <c r="M511" s="721"/>
      <c r="N511" s="719"/>
      <c r="O511" s="48"/>
      <c r="P511" s="719"/>
      <c r="Q511" s="48"/>
      <c r="R511" s="714" t="str">
        <f>IFERROR(__xludf.DUMMYFUNCTION("""COMPUTED_VALUE"""),"2526TAZZIMER17.B")</f>
        <v>2526TAZZIMER17.B</v>
      </c>
      <c r="S511" s="711">
        <f>IFERROR(__xludf.DUMMYFUNCTION("""COMPUTED_VALUE"""),15.0)</f>
        <v>15</v>
      </c>
      <c r="T511" s="722" t="str">
        <f>IFERROR(__xludf.DUMMYFUNCTION("""COMPUTED_VALUE"""),"2526TAZZIMER17.B")</f>
        <v>2526TAZZIMER17.B</v>
      </c>
      <c r="U511" s="721"/>
      <c r="V511" s="711"/>
      <c r="W511" s="721"/>
      <c r="X511" s="721"/>
      <c r="Y511" s="48"/>
      <c r="Z511" s="48"/>
      <c r="AA511" s="48"/>
      <c r="AB511" s="711"/>
      <c r="AC511" s="711"/>
      <c r="AD511" s="711"/>
      <c r="AE511" s="711"/>
      <c r="AF511" s="711"/>
      <c r="AG511" s="711"/>
      <c r="AH511" s="711"/>
    </row>
    <row r="512">
      <c r="A512" s="48"/>
      <c r="B512" s="48"/>
      <c r="C512" s="48"/>
      <c r="D512" s="721"/>
      <c r="E512" s="711"/>
      <c r="F512" s="711"/>
      <c r="G512" s="721"/>
      <c r="H512" s="721"/>
      <c r="I512" s="721"/>
      <c r="J512" s="48"/>
      <c r="K512" s="721"/>
      <c r="L512" s="721"/>
      <c r="M512" s="721"/>
      <c r="N512" s="719"/>
      <c r="O512" s="48"/>
      <c r="P512" s="719"/>
      <c r="Q512" s="48"/>
      <c r="R512" s="714" t="str">
        <f>IFERROR(__xludf.DUMMYFUNCTION("""COMPUTED_VALUE"""),"2526MALINMER17.B")</f>
        <v>2526MALINMER17.B</v>
      </c>
      <c r="S512" s="711">
        <f>IFERROR(__xludf.DUMMYFUNCTION("""COMPUTED_VALUE"""),18.0)</f>
        <v>18</v>
      </c>
      <c r="T512" s="722" t="str">
        <f>IFERROR(__xludf.DUMMYFUNCTION("""COMPUTED_VALUE"""),"2526MALINMER17.B")</f>
        <v>2526MALINMER17.B</v>
      </c>
      <c r="U512" s="721"/>
      <c r="V512" s="711"/>
      <c r="W512" s="721"/>
      <c r="X512" s="721"/>
      <c r="Y512" s="48"/>
      <c r="Z512" s="48"/>
      <c r="AA512" s="48"/>
      <c r="AB512" s="711"/>
      <c r="AC512" s="711"/>
      <c r="AD512" s="711"/>
      <c r="AE512" s="711"/>
      <c r="AF512" s="711"/>
      <c r="AG512" s="711"/>
      <c r="AH512" s="711"/>
    </row>
    <row r="513">
      <c r="A513" s="48"/>
      <c r="B513" s="48"/>
      <c r="C513" s="48"/>
      <c r="D513" s="721"/>
      <c r="E513" s="711"/>
      <c r="F513" s="711"/>
      <c r="G513" s="721"/>
      <c r="H513" s="721"/>
      <c r="I513" s="721"/>
      <c r="J513" s="48"/>
      <c r="K513" s="721"/>
      <c r="L513" s="721"/>
      <c r="M513" s="721"/>
      <c r="N513" s="719"/>
      <c r="O513" s="48"/>
      <c r="P513" s="719"/>
      <c r="Q513" s="48"/>
      <c r="R513" s="714" t="str">
        <f>IFERROR(__xludf.DUMMYFUNCTION("""COMPUTED_VALUE"""),"2526MIRAMMER17.B")</f>
        <v>2526MIRAMMER17.B</v>
      </c>
      <c r="S513" s="711">
        <f>IFERROR(__xludf.DUMMYFUNCTION("""COMPUTED_VALUE"""),30.0)</f>
        <v>30</v>
      </c>
      <c r="T513" s="722" t="str">
        <f>IFERROR(__xludf.DUMMYFUNCTION("""COMPUTED_VALUE"""),"2526MIRAMMER17.B")</f>
        <v>2526MIRAMMER17.B</v>
      </c>
      <c r="U513" s="721"/>
      <c r="V513" s="711"/>
      <c r="W513" s="721"/>
      <c r="X513" s="721"/>
      <c r="Y513" s="48"/>
      <c r="Z513" s="48"/>
      <c r="AA513" s="48"/>
      <c r="AB513" s="711"/>
      <c r="AC513" s="711"/>
      <c r="AD513" s="711"/>
      <c r="AE513" s="711"/>
      <c r="AF513" s="711"/>
      <c r="AG513" s="711"/>
      <c r="AH513" s="711"/>
    </row>
    <row r="514">
      <c r="A514" s="48"/>
      <c r="B514" s="48"/>
      <c r="C514" s="48"/>
      <c r="D514" s="721"/>
      <c r="E514" s="711"/>
      <c r="F514" s="711"/>
      <c r="G514" s="721"/>
      <c r="H514" s="721"/>
      <c r="I514" s="721"/>
      <c r="J514" s="48"/>
      <c r="K514" s="721"/>
      <c r="L514" s="721"/>
      <c r="M514" s="721"/>
      <c r="N514" s="719"/>
      <c r="O514" s="48"/>
      <c r="P514" s="719"/>
      <c r="Q514" s="48"/>
      <c r="R514" s="48"/>
      <c r="S514" s="711" t="str">
        <f>IFERROR(__xludf.DUMMYFUNCTION("""COMPUTED_VALUE"""),"")</f>
        <v/>
      </c>
      <c r="T514" s="721"/>
      <c r="U514" s="721"/>
      <c r="V514" s="711"/>
      <c r="W514" s="721"/>
      <c r="X514" s="721"/>
      <c r="Y514" s="48"/>
      <c r="Z514" s="48"/>
      <c r="AA514" s="48"/>
      <c r="AB514" s="711"/>
      <c r="AC514" s="711"/>
      <c r="AD514" s="711"/>
      <c r="AE514" s="711"/>
      <c r="AF514" s="711"/>
      <c r="AG514" s="711"/>
      <c r="AH514" s="711"/>
    </row>
    <row r="515">
      <c r="A515" s="48"/>
      <c r="B515" s="48"/>
      <c r="C515" s="48"/>
      <c r="D515" s="721"/>
      <c r="E515" s="711"/>
      <c r="F515" s="711"/>
      <c r="G515" s="721"/>
      <c r="H515" s="721"/>
      <c r="I515" s="721"/>
      <c r="J515" s="48"/>
      <c r="K515" s="721"/>
      <c r="L515" s="721"/>
      <c r="M515" s="721"/>
      <c r="N515" s="719"/>
      <c r="O515" s="48"/>
      <c r="P515" s="719"/>
      <c r="Q515" s="48"/>
      <c r="R515" s="714" t="str">
        <f>IFERROR(__xludf.DUMMYFUNCTION("""COMPUTED_VALUE"""),"2526BORDONIMER17.B")</f>
        <v>2526BORDONIMER17.B</v>
      </c>
      <c r="S515" s="711">
        <f>IFERROR(__xludf.DUMMYFUNCTION("""COMPUTED_VALUE"""),15.0)</f>
        <v>15</v>
      </c>
      <c r="T515" s="722" t="str">
        <f>IFERROR(__xludf.DUMMYFUNCTION("""COMPUTED_VALUE"""),"2526BORDONIMER17.B")</f>
        <v>2526BORDONIMER17.B</v>
      </c>
      <c r="U515" s="721"/>
      <c r="V515" s="711"/>
      <c r="W515" s="721"/>
      <c r="X515" s="721"/>
      <c r="Y515" s="48"/>
      <c r="Z515" s="48"/>
      <c r="AA515" s="48"/>
      <c r="AB515" s="711"/>
      <c r="AC515" s="711"/>
      <c r="AD515" s="711"/>
      <c r="AE515" s="711"/>
      <c r="AF515" s="711"/>
      <c r="AG515" s="711"/>
      <c r="AH515" s="711"/>
    </row>
    <row r="516">
      <c r="A516" s="48"/>
      <c r="B516" s="48"/>
      <c r="C516" s="48"/>
      <c r="D516" s="721"/>
      <c r="E516" s="711"/>
      <c r="F516" s="711"/>
      <c r="G516" s="721"/>
      <c r="H516" s="721"/>
      <c r="I516" s="721"/>
      <c r="J516" s="48"/>
      <c r="K516" s="721"/>
      <c r="L516" s="721"/>
      <c r="M516" s="721"/>
      <c r="N516" s="719"/>
      <c r="O516" s="48"/>
      <c r="P516" s="719"/>
      <c r="Q516" s="48"/>
      <c r="R516" s="48"/>
      <c r="S516" s="711" t="str">
        <f>IFERROR(__xludf.DUMMYFUNCTION("""COMPUTED_VALUE"""),"")</f>
        <v/>
      </c>
      <c r="T516" s="721"/>
      <c r="U516" s="721"/>
      <c r="V516" s="711"/>
      <c r="W516" s="721"/>
      <c r="X516" s="721"/>
      <c r="Y516" s="48"/>
      <c r="Z516" s="48"/>
      <c r="AA516" s="48"/>
      <c r="AB516" s="711"/>
      <c r="AC516" s="711"/>
      <c r="AD516" s="711"/>
      <c r="AE516" s="711"/>
      <c r="AF516" s="711"/>
      <c r="AG516" s="711"/>
      <c r="AH516" s="711"/>
    </row>
    <row r="517">
      <c r="A517" s="48"/>
      <c r="B517" s="48"/>
      <c r="C517" s="48"/>
      <c r="D517" s="721"/>
      <c r="E517" s="711"/>
      <c r="F517" s="711"/>
      <c r="G517" s="721"/>
      <c r="H517" s="721"/>
      <c r="I517" s="721"/>
      <c r="J517" s="48"/>
      <c r="K517" s="721"/>
      <c r="L517" s="721"/>
      <c r="M517" s="721"/>
      <c r="N517" s="719"/>
      <c r="O517" s="48"/>
      <c r="P517" s="719"/>
      <c r="Q517" s="48"/>
      <c r="R517" s="714" t="str">
        <f>IFERROR(__xludf.DUMMYFUNCTION("""COMPUTED_VALUE"""),"2526BORRIMER17.B")</f>
        <v>2526BORRIMER17.B</v>
      </c>
      <c r="S517" s="711">
        <f>IFERROR(__xludf.DUMMYFUNCTION("""COMPUTED_VALUE"""),18.0)</f>
        <v>18</v>
      </c>
      <c r="T517" s="722" t="str">
        <f>IFERROR(__xludf.DUMMYFUNCTION("""COMPUTED_VALUE"""),"2526BORRIMER17.B")</f>
        <v>2526BORRIMER17.B</v>
      </c>
      <c r="U517" s="721"/>
      <c r="V517" s="711"/>
      <c r="W517" s="721"/>
      <c r="X517" s="721"/>
      <c r="Y517" s="48"/>
      <c r="Z517" s="48"/>
      <c r="AA517" s="48"/>
      <c r="AB517" s="711"/>
      <c r="AC517" s="711"/>
      <c r="AD517" s="711"/>
      <c r="AE517" s="711"/>
      <c r="AF517" s="711"/>
      <c r="AG517" s="711"/>
      <c r="AH517" s="711"/>
    </row>
    <row r="518">
      <c r="A518" s="48"/>
      <c r="B518" s="48"/>
      <c r="C518" s="48"/>
      <c r="D518" s="721"/>
      <c r="E518" s="711"/>
      <c r="F518" s="711"/>
      <c r="G518" s="721"/>
      <c r="H518" s="721"/>
      <c r="I518" s="721"/>
      <c r="J518" s="48"/>
      <c r="K518" s="721"/>
      <c r="L518" s="721"/>
      <c r="M518" s="721"/>
      <c r="N518" s="719"/>
      <c r="O518" s="48"/>
      <c r="P518" s="719"/>
      <c r="Q518" s="48"/>
      <c r="R518" s="714" t="str">
        <f>IFERROR(__xludf.DUMMYFUNCTION("""COMPUTED_VALUE"""),"2526CARIZZONIMER18.F")</f>
        <v>2526CARIZZONIMER18.F</v>
      </c>
      <c r="S518" s="711">
        <f>IFERROR(__xludf.DUMMYFUNCTION("""COMPUTED_VALUE"""),11.0)</f>
        <v>11</v>
      </c>
      <c r="T518" s="722" t="str">
        <f>IFERROR(__xludf.DUMMYFUNCTION("""COMPUTED_VALUE"""),"2526CARIZZONIMER18.F")</f>
        <v>2526CARIZZONIMER18.F</v>
      </c>
      <c r="U518" s="721"/>
      <c r="V518" s="711"/>
      <c r="W518" s="721"/>
      <c r="X518" s="721"/>
      <c r="Y518" s="48"/>
      <c r="Z518" s="48"/>
      <c r="AA518" s="48"/>
      <c r="AB518" s="711"/>
      <c r="AC518" s="711"/>
      <c r="AD518" s="711"/>
      <c r="AE518" s="711"/>
      <c r="AF518" s="711"/>
      <c r="AG518" s="711"/>
      <c r="AH518" s="711"/>
    </row>
    <row r="519">
      <c r="A519" s="48"/>
      <c r="B519" s="48"/>
      <c r="C519" s="48"/>
      <c r="D519" s="721"/>
      <c r="E519" s="711"/>
      <c r="F519" s="711"/>
      <c r="G519" s="721"/>
      <c r="H519" s="721"/>
      <c r="I519" s="721"/>
      <c r="J519" s="48"/>
      <c r="K519" s="721"/>
      <c r="L519" s="721"/>
      <c r="M519" s="721"/>
      <c r="N519" s="719"/>
      <c r="O519" s="48"/>
      <c r="P519" s="719"/>
      <c r="Q519" s="48"/>
      <c r="R519" s="714" t="str">
        <f>IFERROR(__xludf.DUMMYFUNCTION("""COMPUTED_VALUE"""),"2526SETTIMER18.F")</f>
        <v>2526SETTIMER18.F</v>
      </c>
      <c r="S519" s="711">
        <f>IFERROR(__xludf.DUMMYFUNCTION("""COMPUTED_VALUE"""),15.0)</f>
        <v>15</v>
      </c>
      <c r="T519" s="722" t="str">
        <f>IFERROR(__xludf.DUMMYFUNCTION("""COMPUTED_VALUE"""),"2526SETTIMER18.F")</f>
        <v>2526SETTIMER18.F</v>
      </c>
      <c r="U519" s="721"/>
      <c r="V519" s="711"/>
      <c r="W519" s="721"/>
      <c r="X519" s="721"/>
      <c r="Y519" s="48"/>
      <c r="Z519" s="48"/>
      <c r="AA519" s="48"/>
      <c r="AB519" s="711"/>
      <c r="AC519" s="711"/>
      <c r="AD519" s="711"/>
      <c r="AE519" s="711"/>
      <c r="AF519" s="711"/>
      <c r="AG519" s="711"/>
      <c r="AH519" s="711"/>
    </row>
    <row r="520">
      <c r="A520" s="48"/>
      <c r="B520" s="48"/>
      <c r="C520" s="48"/>
      <c r="D520" s="721"/>
      <c r="E520" s="711"/>
      <c r="F520" s="711"/>
      <c r="G520" s="721"/>
      <c r="H520" s="721"/>
      <c r="I520" s="721"/>
      <c r="J520" s="48"/>
      <c r="K520" s="721"/>
      <c r="L520" s="721"/>
      <c r="M520" s="721"/>
      <c r="N520" s="719"/>
      <c r="O520" s="48"/>
      <c r="P520" s="719"/>
      <c r="Q520" s="48"/>
      <c r="R520" s="48"/>
      <c r="S520" s="711" t="str">
        <f>IFERROR(__xludf.DUMMYFUNCTION("""COMPUTED_VALUE"""),"")</f>
        <v/>
      </c>
      <c r="T520" s="721"/>
      <c r="U520" s="721"/>
      <c r="V520" s="711"/>
      <c r="W520" s="721"/>
      <c r="X520" s="721"/>
      <c r="Y520" s="48"/>
      <c r="Z520" s="48"/>
      <c r="AA520" s="48"/>
      <c r="AB520" s="711"/>
      <c r="AC520" s="711"/>
      <c r="AD520" s="711"/>
      <c r="AE520" s="711"/>
      <c r="AF520" s="711"/>
      <c r="AG520" s="711"/>
      <c r="AH520" s="711"/>
    </row>
    <row r="521">
      <c r="A521" s="48"/>
      <c r="B521" s="48"/>
      <c r="C521" s="48"/>
      <c r="D521" s="721"/>
      <c r="E521" s="711"/>
      <c r="F521" s="711"/>
      <c r="G521" s="721"/>
      <c r="H521" s="721"/>
      <c r="I521" s="721"/>
      <c r="J521" s="48"/>
      <c r="K521" s="721"/>
      <c r="L521" s="721"/>
      <c r="M521" s="721"/>
      <c r="N521" s="719"/>
      <c r="O521" s="48"/>
      <c r="P521" s="719"/>
      <c r="Q521" s="48"/>
      <c r="R521" s="714" t="str">
        <f>IFERROR(__xludf.DUMMYFUNCTION("""COMPUTED_VALUE"""),"2526DUTTAMER18.D")</f>
        <v>2526DUTTAMER18.D</v>
      </c>
      <c r="S521" s="711">
        <f>IFERROR(__xludf.DUMMYFUNCTION("""COMPUTED_VALUE"""),30.0)</f>
        <v>30</v>
      </c>
      <c r="T521" s="722" t="str">
        <f>IFERROR(__xludf.DUMMYFUNCTION("""COMPUTED_VALUE"""),"2526DUTTAMER18.D")</f>
        <v>2526DUTTAMER18.D</v>
      </c>
      <c r="U521" s="721"/>
      <c r="V521" s="711"/>
      <c r="W521" s="721"/>
      <c r="X521" s="721"/>
      <c r="Y521" s="48"/>
      <c r="Z521" s="48"/>
      <c r="AA521" s="48"/>
      <c r="AB521" s="711"/>
      <c r="AC521" s="711"/>
      <c r="AD521" s="711"/>
      <c r="AE521" s="711"/>
      <c r="AF521" s="711"/>
      <c r="AG521" s="711"/>
      <c r="AH521" s="711"/>
    </row>
    <row r="522">
      <c r="A522" s="48"/>
      <c r="B522" s="48"/>
      <c r="C522" s="48"/>
      <c r="D522" s="721"/>
      <c r="E522" s="711"/>
      <c r="F522" s="711"/>
      <c r="G522" s="721"/>
      <c r="H522" s="721"/>
      <c r="I522" s="721"/>
      <c r="J522" s="48"/>
      <c r="K522" s="721"/>
      <c r="L522" s="721"/>
      <c r="M522" s="721"/>
      <c r="N522" s="719"/>
      <c r="O522" s="48"/>
      <c r="P522" s="719"/>
      <c r="Q522" s="48"/>
      <c r="R522" s="714" t="str">
        <f>IFERROR(__xludf.DUMMYFUNCTION("""COMPUTED_VALUE"""),"2526BARTOLINIMER18.B")</f>
        <v>2526BARTOLINIMER18.B</v>
      </c>
      <c r="S522" s="711">
        <f>IFERROR(__xludf.DUMMYFUNCTION("""COMPUTED_VALUE"""),11.0)</f>
        <v>11</v>
      </c>
      <c r="T522" s="722" t="str">
        <f>IFERROR(__xludf.DUMMYFUNCTION("""COMPUTED_VALUE"""),"2526BARTOLINIMER18.B")</f>
        <v>2526BARTOLINIMER18.B</v>
      </c>
      <c r="U522" s="721"/>
      <c r="V522" s="711"/>
      <c r="W522" s="721"/>
      <c r="X522" s="721"/>
      <c r="Y522" s="48"/>
      <c r="Z522" s="48"/>
      <c r="AA522" s="48"/>
      <c r="AB522" s="711"/>
      <c r="AC522" s="711"/>
      <c r="AD522" s="711"/>
      <c r="AE522" s="711"/>
      <c r="AF522" s="711"/>
      <c r="AG522" s="711"/>
      <c r="AH522" s="711"/>
    </row>
    <row r="523">
      <c r="A523" s="48"/>
      <c r="B523" s="48"/>
      <c r="C523" s="48"/>
      <c r="D523" s="721"/>
      <c r="E523" s="711"/>
      <c r="F523" s="711"/>
      <c r="G523" s="721"/>
      <c r="H523" s="721"/>
      <c r="I523" s="721"/>
      <c r="J523" s="48"/>
      <c r="K523" s="721"/>
      <c r="L523" s="721"/>
      <c r="M523" s="721"/>
      <c r="N523" s="719"/>
      <c r="O523" s="48"/>
      <c r="P523" s="719"/>
      <c r="Q523" s="48"/>
      <c r="R523" s="714" t="str">
        <f>IFERROR(__xludf.DUMMYFUNCTION("""COMPUTED_VALUE"""),"2526GEDDOMER18.D")</f>
        <v>2526GEDDOMER18.D</v>
      </c>
      <c r="S523" s="711">
        <f>IFERROR(__xludf.DUMMYFUNCTION("""COMPUTED_VALUE"""),24.0)</f>
        <v>24</v>
      </c>
      <c r="T523" s="722" t="str">
        <f>IFERROR(__xludf.DUMMYFUNCTION("""COMPUTED_VALUE"""),"2526GEDDOMER18.D")</f>
        <v>2526GEDDOMER18.D</v>
      </c>
      <c r="U523" s="721"/>
      <c r="V523" s="711"/>
      <c r="W523" s="721"/>
      <c r="X523" s="721"/>
      <c r="Y523" s="48"/>
      <c r="Z523" s="48"/>
      <c r="AA523" s="48"/>
      <c r="AB523" s="711"/>
      <c r="AC523" s="711"/>
      <c r="AD523" s="711"/>
      <c r="AE523" s="711"/>
      <c r="AF523" s="711"/>
      <c r="AG523" s="711"/>
      <c r="AH523" s="711"/>
    </row>
    <row r="524">
      <c r="A524" s="48"/>
      <c r="B524" s="48"/>
      <c r="C524" s="48"/>
      <c r="D524" s="721"/>
      <c r="E524" s="711"/>
      <c r="F524" s="711"/>
      <c r="G524" s="721"/>
      <c r="H524" s="721"/>
      <c r="I524" s="721"/>
      <c r="J524" s="48"/>
      <c r="K524" s="721"/>
      <c r="L524" s="721"/>
      <c r="M524" s="721"/>
      <c r="N524" s="719"/>
      <c r="O524" s="48"/>
      <c r="P524" s="719"/>
      <c r="Q524" s="48"/>
      <c r="R524" s="714" t="str">
        <f>IFERROR(__xludf.DUMMYFUNCTION("""COMPUTED_VALUE"""),"2526MGRANDEMER18.D")</f>
        <v>2526MGRANDEMER18.D</v>
      </c>
      <c r="S524" s="711">
        <f>IFERROR(__xludf.DUMMYFUNCTION("""COMPUTED_VALUE"""),30.0)</f>
        <v>30</v>
      </c>
      <c r="T524" s="722" t="str">
        <f>IFERROR(__xludf.DUMMYFUNCTION("""COMPUTED_VALUE"""),"2526MGRANDEMER18.D")</f>
        <v>2526MGRANDEMER18.D</v>
      </c>
      <c r="U524" s="721"/>
      <c r="V524" s="711"/>
      <c r="W524" s="721"/>
      <c r="X524" s="721"/>
      <c r="Y524" s="48"/>
      <c r="Z524" s="48"/>
      <c r="AA524" s="48"/>
      <c r="AB524" s="711"/>
      <c r="AC524" s="711"/>
      <c r="AD524" s="711"/>
      <c r="AE524" s="711"/>
      <c r="AF524" s="711"/>
      <c r="AG524" s="711"/>
      <c r="AH524" s="711"/>
    </row>
    <row r="525">
      <c r="A525" s="48"/>
      <c r="B525" s="48"/>
      <c r="C525" s="48"/>
      <c r="D525" s="721"/>
      <c r="E525" s="711"/>
      <c r="F525" s="711"/>
      <c r="G525" s="721"/>
      <c r="H525" s="721"/>
      <c r="I525" s="721"/>
      <c r="J525" s="48"/>
      <c r="K525" s="721"/>
      <c r="L525" s="721"/>
      <c r="M525" s="721"/>
      <c r="N525" s="719"/>
      <c r="O525" s="48"/>
      <c r="P525" s="719"/>
      <c r="Q525" s="48"/>
      <c r="R525" s="714" t="str">
        <f>IFERROR(__xludf.DUMMYFUNCTION("""COMPUTED_VALUE"""),"2526PACILLOMER18.F")</f>
        <v>2526PACILLOMER18.F</v>
      </c>
      <c r="S525" s="711">
        <f>IFERROR(__xludf.DUMMYFUNCTION("""COMPUTED_VALUE"""),40.0)</f>
        <v>40</v>
      </c>
      <c r="T525" s="722" t="str">
        <f>IFERROR(__xludf.DUMMYFUNCTION("""COMPUTED_VALUE"""),"2526PACILLOMER18.F")</f>
        <v>2526PACILLOMER18.F</v>
      </c>
      <c r="U525" s="721"/>
      <c r="V525" s="711"/>
      <c r="W525" s="721"/>
      <c r="X525" s="721"/>
      <c r="Y525" s="48"/>
      <c r="Z525" s="48"/>
      <c r="AA525" s="48"/>
      <c r="AB525" s="711"/>
      <c r="AC525" s="711"/>
      <c r="AD525" s="711"/>
      <c r="AE525" s="711"/>
      <c r="AF525" s="711"/>
      <c r="AG525" s="711"/>
      <c r="AH525" s="711"/>
    </row>
    <row r="526">
      <c r="A526" s="48"/>
      <c r="B526" s="48"/>
      <c r="C526" s="48"/>
      <c r="D526" s="721"/>
      <c r="E526" s="711"/>
      <c r="F526" s="711"/>
      <c r="G526" s="721"/>
      <c r="H526" s="721"/>
      <c r="I526" s="721"/>
      <c r="J526" s="48"/>
      <c r="K526" s="721"/>
      <c r="L526" s="721"/>
      <c r="M526" s="721"/>
      <c r="N526" s="719"/>
      <c r="O526" s="48"/>
      <c r="P526" s="719"/>
      <c r="Q526" s="48"/>
      <c r="R526" s="714" t="str">
        <f>IFERROR(__xludf.DUMMYFUNCTION("""COMPUTED_VALUE"""),"2526MAZZAROLOMER18.A")</f>
        <v>2526MAZZAROLOMER18.A</v>
      </c>
      <c r="S526" s="711">
        <f>IFERROR(__xludf.DUMMYFUNCTION("""COMPUTED_VALUE"""),6.0)</f>
        <v>6</v>
      </c>
      <c r="T526" s="722" t="str">
        <f>IFERROR(__xludf.DUMMYFUNCTION("""COMPUTED_VALUE"""),"2526MAZZAROLOMER18.A")</f>
        <v>2526MAZZAROLOMER18.A</v>
      </c>
      <c r="U526" s="721"/>
      <c r="V526" s="711"/>
      <c r="W526" s="721"/>
      <c r="X526" s="721"/>
      <c r="Y526" s="48"/>
      <c r="Z526" s="48"/>
      <c r="AA526" s="48"/>
      <c r="AB526" s="711"/>
      <c r="AC526" s="711"/>
      <c r="AD526" s="711"/>
      <c r="AE526" s="711"/>
      <c r="AF526" s="711"/>
      <c r="AG526" s="711"/>
      <c r="AH526" s="711"/>
    </row>
    <row r="527">
      <c r="A527" s="48"/>
      <c r="B527" s="48"/>
      <c r="C527" s="48"/>
      <c r="D527" s="721"/>
      <c r="E527" s="711"/>
      <c r="F527" s="711"/>
      <c r="G527" s="721"/>
      <c r="H527" s="721"/>
      <c r="I527" s="721"/>
      <c r="J527" s="48"/>
      <c r="K527" s="721"/>
      <c r="L527" s="721"/>
      <c r="M527" s="721"/>
      <c r="N527" s="719"/>
      <c r="O527" s="48"/>
      <c r="P527" s="719"/>
      <c r="Q527" s="48"/>
      <c r="R527" s="714" t="str">
        <f>IFERROR(__xludf.DUMMYFUNCTION("""COMPUTED_VALUE"""),"2526MIRAMMER18.B")</f>
        <v>2526MIRAMMER18.B</v>
      </c>
      <c r="S527" s="711">
        <f>IFERROR(__xludf.DUMMYFUNCTION("""COMPUTED_VALUE"""),24.0)</f>
        <v>24</v>
      </c>
      <c r="T527" s="722" t="str">
        <f>IFERROR(__xludf.DUMMYFUNCTION("""COMPUTED_VALUE"""),"2526MIRAMMER18.B")</f>
        <v>2526MIRAMMER18.B</v>
      </c>
      <c r="U527" s="721"/>
      <c r="V527" s="711"/>
      <c r="W527" s="721"/>
      <c r="X527" s="721"/>
      <c r="Y527" s="48"/>
      <c r="Z527" s="48"/>
      <c r="AA527" s="48"/>
      <c r="AB527" s="711"/>
      <c r="AC527" s="711"/>
      <c r="AD527" s="711"/>
      <c r="AE527" s="711"/>
      <c r="AF527" s="711"/>
      <c r="AG527" s="711"/>
      <c r="AH527" s="711"/>
    </row>
    <row r="528">
      <c r="A528" s="48"/>
      <c r="B528" s="48"/>
      <c r="C528" s="48"/>
      <c r="D528" s="721"/>
      <c r="E528" s="711"/>
      <c r="F528" s="711"/>
      <c r="G528" s="721"/>
      <c r="H528" s="721"/>
      <c r="I528" s="721"/>
      <c r="J528" s="48"/>
      <c r="K528" s="721"/>
      <c r="L528" s="721"/>
      <c r="M528" s="721"/>
      <c r="N528" s="719"/>
      <c r="O528" s="48"/>
      <c r="P528" s="719"/>
      <c r="Q528" s="48"/>
      <c r="R528" s="714" t="str">
        <f>IFERROR(__xludf.DUMMYFUNCTION("""COMPUTED_VALUE"""),"2526PICCIRILLOMER18.D")</f>
        <v>2526PICCIRILLOMER18.D</v>
      </c>
      <c r="S528" s="711">
        <f>IFERROR(__xludf.DUMMYFUNCTION("""COMPUTED_VALUE"""),30.0)</f>
        <v>30</v>
      </c>
      <c r="T528" s="722" t="str">
        <f>IFERROR(__xludf.DUMMYFUNCTION("""COMPUTED_VALUE"""),"2526PICCIRILLOMER18.D")</f>
        <v>2526PICCIRILLOMER18.D</v>
      </c>
      <c r="U528" s="721"/>
      <c r="V528" s="711"/>
      <c r="W528" s="721"/>
      <c r="X528" s="721"/>
      <c r="Y528" s="48"/>
      <c r="Z528" s="48"/>
      <c r="AA528" s="48"/>
      <c r="AB528" s="711"/>
      <c r="AC528" s="711"/>
      <c r="AD528" s="711"/>
      <c r="AE528" s="711"/>
      <c r="AF528" s="711"/>
      <c r="AG528" s="711"/>
      <c r="AH528" s="711"/>
    </row>
    <row r="529">
      <c r="A529" s="48"/>
      <c r="B529" s="48"/>
      <c r="C529" s="48"/>
      <c r="D529" s="721"/>
      <c r="E529" s="711"/>
      <c r="F529" s="711"/>
      <c r="G529" s="721"/>
      <c r="H529" s="721"/>
      <c r="I529" s="721"/>
      <c r="J529" s="48"/>
      <c r="K529" s="721"/>
      <c r="L529" s="721"/>
      <c r="M529" s="721"/>
      <c r="N529" s="719"/>
      <c r="O529" s="48"/>
      <c r="P529" s="719"/>
      <c r="Q529" s="48"/>
      <c r="R529" s="714" t="str">
        <f>IFERROR(__xludf.DUMMYFUNCTION("""COMPUTED_VALUE"""),"2526BORRIMER18.B")</f>
        <v>2526BORRIMER18.B</v>
      </c>
      <c r="S529" s="711">
        <f>IFERROR(__xludf.DUMMYFUNCTION("""COMPUTED_VALUE"""),18.0)</f>
        <v>18</v>
      </c>
      <c r="T529" s="722" t="str">
        <f>IFERROR(__xludf.DUMMYFUNCTION("""COMPUTED_VALUE"""),"2526BORRIMER18.B")</f>
        <v>2526BORRIMER18.B</v>
      </c>
      <c r="U529" s="721"/>
      <c r="V529" s="711"/>
      <c r="W529" s="721"/>
      <c r="X529" s="721"/>
      <c r="Y529" s="48"/>
      <c r="Z529" s="48"/>
      <c r="AA529" s="48"/>
      <c r="AB529" s="711"/>
      <c r="AC529" s="711"/>
      <c r="AD529" s="711"/>
      <c r="AE529" s="711"/>
      <c r="AF529" s="711"/>
      <c r="AG529" s="711"/>
      <c r="AH529" s="711"/>
    </row>
    <row r="530">
      <c r="A530" s="48"/>
      <c r="B530" s="48"/>
      <c r="C530" s="48"/>
      <c r="D530" s="721"/>
      <c r="E530" s="711"/>
      <c r="F530" s="711"/>
      <c r="G530" s="721"/>
      <c r="H530" s="721"/>
      <c r="I530" s="721"/>
      <c r="J530" s="48"/>
      <c r="K530" s="721"/>
      <c r="L530" s="721"/>
      <c r="M530" s="721"/>
      <c r="N530" s="719"/>
      <c r="O530" s="48"/>
      <c r="P530" s="719"/>
      <c r="Q530" s="48"/>
      <c r="R530" s="714" t="str">
        <f>IFERROR(__xludf.DUMMYFUNCTION("""COMPUTED_VALUE"""),"2526SETTIMER19.F")</f>
        <v>2526SETTIMER19.F</v>
      </c>
      <c r="S530" s="711">
        <f>IFERROR(__xludf.DUMMYFUNCTION("""COMPUTED_VALUE"""),15.0)</f>
        <v>15</v>
      </c>
      <c r="T530" s="722" t="str">
        <f>IFERROR(__xludf.DUMMYFUNCTION("""COMPUTED_VALUE"""),"2526SETTIMER19.F")</f>
        <v>2526SETTIMER19.F</v>
      </c>
      <c r="U530" s="721"/>
      <c r="V530" s="711"/>
      <c r="W530" s="721"/>
      <c r="X530" s="721"/>
      <c r="Y530" s="48"/>
      <c r="Z530" s="48"/>
      <c r="AA530" s="48"/>
      <c r="AB530" s="711"/>
      <c r="AC530" s="711"/>
      <c r="AD530" s="711"/>
      <c r="AE530" s="711"/>
      <c r="AF530" s="711"/>
      <c r="AG530" s="711"/>
      <c r="AH530" s="711"/>
    </row>
    <row r="531">
      <c r="A531" s="48"/>
      <c r="B531" s="48"/>
      <c r="C531" s="48"/>
      <c r="D531" s="721"/>
      <c r="E531" s="711"/>
      <c r="F531" s="711"/>
      <c r="G531" s="721"/>
      <c r="H531" s="721"/>
      <c r="I531" s="721"/>
      <c r="J531" s="48"/>
      <c r="K531" s="721"/>
      <c r="L531" s="721"/>
      <c r="M531" s="721"/>
      <c r="N531" s="719"/>
      <c r="O531" s="48"/>
      <c r="P531" s="719"/>
      <c r="Q531" s="48"/>
      <c r="R531" s="48"/>
      <c r="S531" s="711" t="str">
        <f>IFERROR(__xludf.DUMMYFUNCTION("""COMPUTED_VALUE"""),"")</f>
        <v/>
      </c>
      <c r="T531" s="721"/>
      <c r="U531" s="721"/>
      <c r="V531" s="711"/>
      <c r="W531" s="721"/>
      <c r="X531" s="721"/>
      <c r="Y531" s="48"/>
      <c r="Z531" s="48"/>
      <c r="AA531" s="48"/>
      <c r="AB531" s="711"/>
      <c r="AC531" s="711"/>
      <c r="AD531" s="711"/>
      <c r="AE531" s="711"/>
      <c r="AF531" s="711"/>
      <c r="AG531" s="711"/>
      <c r="AH531" s="711"/>
    </row>
    <row r="532">
      <c r="A532" s="48"/>
      <c r="B532" s="48"/>
      <c r="C532" s="48"/>
      <c r="D532" s="721"/>
      <c r="E532" s="711"/>
      <c r="F532" s="711"/>
      <c r="G532" s="721"/>
      <c r="H532" s="721"/>
      <c r="I532" s="721"/>
      <c r="J532" s="48"/>
      <c r="K532" s="721"/>
      <c r="L532" s="721"/>
      <c r="M532" s="721"/>
      <c r="N532" s="719"/>
      <c r="O532" s="48"/>
      <c r="P532" s="719"/>
      <c r="Q532" s="48"/>
      <c r="R532" s="48"/>
      <c r="S532" s="711" t="str">
        <f>IFERROR(__xludf.DUMMYFUNCTION("""COMPUTED_VALUE"""),"")</f>
        <v/>
      </c>
      <c r="T532" s="721"/>
      <c r="U532" s="721"/>
      <c r="V532" s="711"/>
      <c r="W532" s="721"/>
      <c r="X532" s="721"/>
      <c r="Y532" s="48"/>
      <c r="Z532" s="48"/>
      <c r="AA532" s="48"/>
      <c r="AB532" s="711"/>
      <c r="AC532" s="711"/>
      <c r="AD532" s="711"/>
      <c r="AE532" s="711"/>
      <c r="AF532" s="711"/>
      <c r="AG532" s="711"/>
      <c r="AH532" s="711"/>
    </row>
    <row r="533">
      <c r="A533" s="48"/>
      <c r="B533" s="48"/>
      <c r="C533" s="48"/>
      <c r="D533" s="721"/>
      <c r="E533" s="711"/>
      <c r="F533" s="711"/>
      <c r="G533" s="721"/>
      <c r="H533" s="721"/>
      <c r="I533" s="721"/>
      <c r="J533" s="48"/>
      <c r="K533" s="721"/>
      <c r="L533" s="721"/>
      <c r="M533" s="721"/>
      <c r="N533" s="719"/>
      <c r="O533" s="48"/>
      <c r="P533" s="719"/>
      <c r="Q533" s="48"/>
      <c r="R533" s="714" t="str">
        <f>IFERROR(__xludf.DUMMYFUNCTION("""COMPUTED_VALUE"""),"2526ARUTAMER19.C")</f>
        <v>2526ARUTAMER19.C</v>
      </c>
      <c r="S533" s="711">
        <f>IFERROR(__xludf.DUMMYFUNCTION("""COMPUTED_VALUE"""),40.0)</f>
        <v>40</v>
      </c>
      <c r="T533" s="722" t="str">
        <f>IFERROR(__xludf.DUMMYFUNCTION("""COMPUTED_VALUE"""),"2526ARUTAMER19.C")</f>
        <v>2526ARUTAMER19.C</v>
      </c>
      <c r="U533" s="721"/>
      <c r="V533" s="711"/>
      <c r="W533" s="721"/>
      <c r="X533" s="721"/>
      <c r="Y533" s="48"/>
      <c r="Z533" s="48"/>
      <c r="AA533" s="48"/>
      <c r="AB533" s="711"/>
      <c r="AC533" s="711"/>
      <c r="AD533" s="711"/>
      <c r="AE533" s="711"/>
      <c r="AF533" s="711"/>
      <c r="AG533" s="711"/>
      <c r="AH533" s="711"/>
    </row>
    <row r="534">
      <c r="A534" s="48"/>
      <c r="B534" s="48"/>
      <c r="C534" s="48"/>
      <c r="D534" s="721"/>
      <c r="E534" s="711"/>
      <c r="F534" s="711"/>
      <c r="G534" s="721"/>
      <c r="H534" s="721"/>
      <c r="I534" s="721"/>
      <c r="J534" s="48"/>
      <c r="K534" s="721"/>
      <c r="L534" s="721"/>
      <c r="M534" s="721"/>
      <c r="N534" s="719"/>
      <c r="O534" s="48"/>
      <c r="P534" s="719"/>
      <c r="Q534" s="48"/>
      <c r="R534" s="714" t="str">
        <f>IFERROR(__xludf.DUMMYFUNCTION("""COMPUTED_VALUE"""),"2526GEDDOMER19.D")</f>
        <v>2526GEDDOMER19.D</v>
      </c>
      <c r="S534" s="711">
        <f>IFERROR(__xludf.DUMMYFUNCTION("""COMPUTED_VALUE"""),26.0)</f>
        <v>26</v>
      </c>
      <c r="T534" s="722" t="str">
        <f>IFERROR(__xludf.DUMMYFUNCTION("""COMPUTED_VALUE"""),"2526GEDDOMER19.D")</f>
        <v>2526GEDDOMER19.D</v>
      </c>
      <c r="U534" s="721"/>
      <c r="V534" s="711"/>
      <c r="W534" s="721"/>
      <c r="X534" s="721"/>
      <c r="Y534" s="48"/>
      <c r="Z534" s="48"/>
      <c r="AA534" s="48"/>
      <c r="AB534" s="711"/>
      <c r="AC534" s="711"/>
      <c r="AD534" s="711"/>
      <c r="AE534" s="711"/>
      <c r="AF534" s="711"/>
      <c r="AG534" s="711"/>
      <c r="AH534" s="711"/>
    </row>
    <row r="535">
      <c r="A535" s="48"/>
      <c r="B535" s="48"/>
      <c r="C535" s="48"/>
      <c r="D535" s="721"/>
      <c r="E535" s="711"/>
      <c r="F535" s="711"/>
      <c r="G535" s="721"/>
      <c r="H535" s="721"/>
      <c r="I535" s="721"/>
      <c r="J535" s="48"/>
      <c r="K535" s="721"/>
      <c r="L535" s="721"/>
      <c r="M535" s="721"/>
      <c r="N535" s="719"/>
      <c r="O535" s="48"/>
      <c r="P535" s="719"/>
      <c r="Q535" s="48"/>
      <c r="R535" s="714" t="str">
        <f>IFERROR(__xludf.DUMMYFUNCTION("""COMPUTED_VALUE"""),"2526CEGLIEMER19.D")</f>
        <v>2526CEGLIEMER19.D</v>
      </c>
      <c r="S535" s="711">
        <f>IFERROR(__xludf.DUMMYFUNCTION("""COMPUTED_VALUE"""),24.0)</f>
        <v>24</v>
      </c>
      <c r="T535" s="722" t="str">
        <f>IFERROR(__xludf.DUMMYFUNCTION("""COMPUTED_VALUE"""),"2526CEGLIEMER19.D")</f>
        <v>2526CEGLIEMER19.D</v>
      </c>
      <c r="U535" s="721"/>
      <c r="V535" s="711"/>
      <c r="W535" s="721"/>
      <c r="X535" s="721"/>
      <c r="Y535" s="48"/>
      <c r="Z535" s="48"/>
      <c r="AA535" s="48"/>
      <c r="AB535" s="711"/>
      <c r="AC535" s="711"/>
      <c r="AD535" s="711"/>
      <c r="AE535" s="711"/>
      <c r="AF535" s="711"/>
      <c r="AG535" s="711"/>
      <c r="AH535" s="711"/>
    </row>
    <row r="536">
      <c r="A536" s="48"/>
      <c r="B536" s="48"/>
      <c r="C536" s="48"/>
      <c r="D536" s="721"/>
      <c r="E536" s="711"/>
      <c r="F536" s="711"/>
      <c r="G536" s="721"/>
      <c r="H536" s="721"/>
      <c r="I536" s="721"/>
      <c r="J536" s="48"/>
      <c r="K536" s="721"/>
      <c r="L536" s="721"/>
      <c r="M536" s="721"/>
      <c r="N536" s="719"/>
      <c r="O536" s="48"/>
      <c r="P536" s="719"/>
      <c r="Q536" s="48"/>
      <c r="R536" s="714" t="str">
        <f>IFERROR(__xludf.DUMMYFUNCTION("""COMPUTED_VALUE"""),"2526PACILLOMER19.F")</f>
        <v>2526PACILLOMER19.F</v>
      </c>
      <c r="S536" s="711">
        <f>IFERROR(__xludf.DUMMYFUNCTION("""COMPUTED_VALUE"""),15.0)</f>
        <v>15</v>
      </c>
      <c r="T536" s="722" t="str">
        <f>IFERROR(__xludf.DUMMYFUNCTION("""COMPUTED_VALUE"""),"2526PACILLOMER19.F")</f>
        <v>2526PACILLOMER19.F</v>
      </c>
      <c r="U536" s="721"/>
      <c r="V536" s="711"/>
      <c r="W536" s="721"/>
      <c r="X536" s="721"/>
      <c r="Y536" s="48"/>
      <c r="Z536" s="48"/>
      <c r="AA536" s="48"/>
      <c r="AB536" s="711"/>
      <c r="AC536" s="711"/>
      <c r="AD536" s="711"/>
      <c r="AE536" s="711"/>
      <c r="AF536" s="711"/>
      <c r="AG536" s="711"/>
      <c r="AH536" s="711"/>
    </row>
    <row r="537">
      <c r="A537" s="48"/>
      <c r="B537" s="48"/>
      <c r="C537" s="48"/>
      <c r="D537" s="721"/>
      <c r="E537" s="711"/>
      <c r="F537" s="711"/>
      <c r="G537" s="721"/>
      <c r="H537" s="721"/>
      <c r="I537" s="721"/>
      <c r="J537" s="48"/>
      <c r="K537" s="721"/>
      <c r="L537" s="721"/>
      <c r="M537" s="721"/>
      <c r="N537" s="719"/>
      <c r="O537" s="48"/>
      <c r="P537" s="719"/>
      <c r="Q537" s="48"/>
      <c r="R537" s="714" t="str">
        <f>IFERROR(__xludf.DUMMYFUNCTION("""COMPUTED_VALUE"""),"2526BELLAYMER19.D")</f>
        <v>2526BELLAYMER19.D</v>
      </c>
      <c r="S537" s="711">
        <f>IFERROR(__xludf.DUMMYFUNCTION("""COMPUTED_VALUE"""),30.0)</f>
        <v>30</v>
      </c>
      <c r="T537" s="722" t="str">
        <f>IFERROR(__xludf.DUMMYFUNCTION("""COMPUTED_VALUE"""),"2526BELLAYMER19.D")</f>
        <v>2526BELLAYMER19.D</v>
      </c>
      <c r="U537" s="721"/>
      <c r="V537" s="711"/>
      <c r="W537" s="721"/>
      <c r="X537" s="721"/>
      <c r="Y537" s="48"/>
      <c r="Z537" s="48"/>
      <c r="AA537" s="48"/>
      <c r="AB537" s="711"/>
      <c r="AC537" s="711"/>
      <c r="AD537" s="711"/>
      <c r="AE537" s="711"/>
      <c r="AF537" s="711"/>
      <c r="AG537" s="711"/>
      <c r="AH537" s="711"/>
    </row>
    <row r="538">
      <c r="A538" s="48"/>
      <c r="B538" s="48"/>
      <c r="C538" s="48"/>
      <c r="D538" s="721"/>
      <c r="E538" s="711"/>
      <c r="F538" s="711"/>
      <c r="G538" s="721"/>
      <c r="H538" s="721"/>
      <c r="I538" s="721"/>
      <c r="J538" s="48"/>
      <c r="K538" s="721"/>
      <c r="L538" s="721"/>
      <c r="M538" s="721"/>
      <c r="N538" s="719"/>
      <c r="O538" s="48"/>
      <c r="P538" s="719"/>
      <c r="Q538" s="48"/>
      <c r="R538" s="714" t="str">
        <f>IFERROR(__xludf.DUMMYFUNCTION("""COMPUTED_VALUE"""),"2526MAZZAROLOMER19.A")</f>
        <v>2526MAZZAROLOMER19.A</v>
      </c>
      <c r="S538" s="711">
        <f>IFERROR(__xludf.DUMMYFUNCTION("""COMPUTED_VALUE"""),6.0)</f>
        <v>6</v>
      </c>
      <c r="T538" s="722" t="str">
        <f>IFERROR(__xludf.DUMMYFUNCTION("""COMPUTED_VALUE"""),"2526MAZZAROLOMER19.A")</f>
        <v>2526MAZZAROLOMER19.A</v>
      </c>
      <c r="U538" s="721"/>
      <c r="V538" s="711"/>
      <c r="W538" s="721"/>
      <c r="X538" s="721"/>
      <c r="Y538" s="48"/>
      <c r="Z538" s="48"/>
      <c r="AA538" s="48"/>
      <c r="AB538" s="711"/>
      <c r="AC538" s="711"/>
      <c r="AD538" s="711"/>
      <c r="AE538" s="711"/>
      <c r="AF538" s="711"/>
      <c r="AG538" s="711"/>
      <c r="AH538" s="711"/>
    </row>
    <row r="539">
      <c r="A539" s="48"/>
      <c r="B539" s="48"/>
      <c r="C539" s="48"/>
      <c r="D539" s="721"/>
      <c r="E539" s="711"/>
      <c r="F539" s="711"/>
      <c r="G539" s="721"/>
      <c r="H539" s="721"/>
      <c r="I539" s="721"/>
      <c r="J539" s="48"/>
      <c r="K539" s="721"/>
      <c r="L539" s="721"/>
      <c r="M539" s="721"/>
      <c r="N539" s="719"/>
      <c r="O539" s="48"/>
      <c r="P539" s="719"/>
      <c r="Q539" s="48"/>
      <c r="R539" s="714" t="str">
        <f>IFERROR(__xludf.DUMMYFUNCTION("""COMPUTED_VALUE"""),"2526NEMBRIMER19.C")</f>
        <v>2526NEMBRIMER19.C</v>
      </c>
      <c r="S539" s="711">
        <f>IFERROR(__xludf.DUMMYFUNCTION("""COMPUTED_VALUE"""),30.0)</f>
        <v>30</v>
      </c>
      <c r="T539" s="722" t="str">
        <f>IFERROR(__xludf.DUMMYFUNCTION("""COMPUTED_VALUE"""),"2526NEMBRIMER19.C")</f>
        <v>2526NEMBRIMER19.C</v>
      </c>
      <c r="U539" s="721"/>
      <c r="V539" s="711"/>
      <c r="W539" s="721"/>
      <c r="X539" s="721"/>
      <c r="Y539" s="48"/>
      <c r="Z539" s="48"/>
      <c r="AA539" s="48"/>
      <c r="AB539" s="711"/>
      <c r="AC539" s="711"/>
      <c r="AD539" s="711"/>
      <c r="AE539" s="711"/>
      <c r="AF539" s="711"/>
      <c r="AG539" s="711"/>
      <c r="AH539" s="711"/>
    </row>
    <row r="540">
      <c r="A540" s="48"/>
      <c r="B540" s="48"/>
      <c r="C540" s="48"/>
      <c r="D540" s="721"/>
      <c r="E540" s="711"/>
      <c r="F540" s="711"/>
      <c r="G540" s="721"/>
      <c r="H540" s="721"/>
      <c r="I540" s="721"/>
      <c r="J540" s="48"/>
      <c r="K540" s="721"/>
      <c r="L540" s="721"/>
      <c r="M540" s="721"/>
      <c r="N540" s="719"/>
      <c r="O540" s="48"/>
      <c r="P540" s="719"/>
      <c r="Q540" s="48"/>
      <c r="R540" s="714" t="str">
        <f>IFERROR(__xludf.DUMMYFUNCTION("""COMPUTED_VALUE"""),"2526PICCIRILLOMER19.D")</f>
        <v>2526PICCIRILLOMER19.D</v>
      </c>
      <c r="S540" s="711">
        <f>IFERROR(__xludf.DUMMYFUNCTION("""COMPUTED_VALUE"""),30.0)</f>
        <v>30</v>
      </c>
      <c r="T540" s="722" t="str">
        <f>IFERROR(__xludf.DUMMYFUNCTION("""COMPUTED_VALUE"""),"2526PICCIRILLOMER19.D")</f>
        <v>2526PICCIRILLOMER19.D</v>
      </c>
      <c r="U540" s="721"/>
      <c r="V540" s="711"/>
      <c r="W540" s="721"/>
      <c r="X540" s="721"/>
      <c r="Y540" s="48"/>
      <c r="Z540" s="48"/>
      <c r="AA540" s="48"/>
      <c r="AB540" s="711"/>
      <c r="AC540" s="711"/>
      <c r="AD540" s="711"/>
      <c r="AE540" s="711"/>
      <c r="AF540" s="711"/>
      <c r="AG540" s="711"/>
      <c r="AH540" s="711"/>
    </row>
    <row r="541">
      <c r="A541" s="48"/>
      <c r="B541" s="48"/>
      <c r="C541" s="48"/>
      <c r="D541" s="721"/>
      <c r="E541" s="711"/>
      <c r="F541" s="711"/>
      <c r="G541" s="721"/>
      <c r="H541" s="721"/>
      <c r="I541" s="721"/>
      <c r="J541" s="48"/>
      <c r="K541" s="721"/>
      <c r="L541" s="721"/>
      <c r="M541" s="721"/>
      <c r="N541" s="719"/>
      <c r="O541" s="48"/>
      <c r="P541" s="719"/>
      <c r="Q541" s="48"/>
      <c r="R541" s="714" t="str">
        <f>IFERROR(__xludf.DUMMYFUNCTION("""COMPUTED_VALUE"""),"2526BORRIMER19.D")</f>
        <v>2526BORRIMER19.D</v>
      </c>
      <c r="S541" s="711">
        <f>IFERROR(__xludf.DUMMYFUNCTION("""COMPUTED_VALUE"""),18.0)</f>
        <v>18</v>
      </c>
      <c r="T541" s="722" t="str">
        <f>IFERROR(__xludf.DUMMYFUNCTION("""COMPUTED_VALUE"""),"2526BORRIMER19.D")</f>
        <v>2526BORRIMER19.D</v>
      </c>
      <c r="U541" s="721"/>
      <c r="V541" s="711"/>
      <c r="W541" s="721"/>
      <c r="X541" s="721"/>
      <c r="Y541" s="48"/>
      <c r="Z541" s="48"/>
      <c r="AA541" s="48"/>
      <c r="AB541" s="711"/>
      <c r="AC541" s="711"/>
      <c r="AD541" s="711"/>
      <c r="AE541" s="711"/>
      <c r="AF541" s="711"/>
      <c r="AG541" s="711"/>
      <c r="AH541" s="711"/>
    </row>
    <row r="542">
      <c r="A542" s="48"/>
      <c r="B542" s="48"/>
      <c r="C542" s="48"/>
      <c r="D542" s="721"/>
      <c r="E542" s="711"/>
      <c r="F542" s="711"/>
      <c r="G542" s="721"/>
      <c r="H542" s="721"/>
      <c r="I542" s="721"/>
      <c r="J542" s="48"/>
      <c r="K542" s="721"/>
      <c r="L542" s="721"/>
      <c r="M542" s="721"/>
      <c r="N542" s="719"/>
      <c r="O542" s="48"/>
      <c r="P542" s="719"/>
      <c r="Q542" s="48"/>
      <c r="R542" s="714" t="str">
        <f>IFERROR(__xludf.DUMMYFUNCTION("""COMPUTED_VALUE"""),"2526SETTIMER20.F")</f>
        <v>2526SETTIMER20.F</v>
      </c>
      <c r="S542" s="711">
        <f>IFERROR(__xludf.DUMMYFUNCTION("""COMPUTED_VALUE"""),15.0)</f>
        <v>15</v>
      </c>
      <c r="T542" s="722" t="str">
        <f>IFERROR(__xludf.DUMMYFUNCTION("""COMPUTED_VALUE"""),"2526SETTIMER20.F")</f>
        <v>2526SETTIMER20.F</v>
      </c>
      <c r="U542" s="721"/>
      <c r="V542" s="711"/>
      <c r="W542" s="721"/>
      <c r="X542" s="721"/>
      <c r="Y542" s="48"/>
      <c r="Z542" s="48"/>
      <c r="AA542" s="48"/>
      <c r="AB542" s="711"/>
      <c r="AC542" s="711"/>
      <c r="AD542" s="711"/>
      <c r="AE542" s="711"/>
      <c r="AF542" s="711"/>
      <c r="AG542" s="711"/>
      <c r="AH542" s="711"/>
    </row>
    <row r="543">
      <c r="A543" s="48"/>
      <c r="B543" s="48"/>
      <c r="C543" s="48"/>
      <c r="D543" s="721"/>
      <c r="E543" s="711"/>
      <c r="F543" s="711"/>
      <c r="G543" s="721"/>
      <c r="H543" s="721"/>
      <c r="I543" s="721"/>
      <c r="J543" s="48"/>
      <c r="K543" s="721"/>
      <c r="L543" s="721"/>
      <c r="M543" s="721"/>
      <c r="N543" s="719"/>
      <c r="O543" s="48"/>
      <c r="P543" s="719"/>
      <c r="Q543" s="48"/>
      <c r="R543" s="48"/>
      <c r="S543" s="711" t="str">
        <f>IFERROR(__xludf.DUMMYFUNCTION("""COMPUTED_VALUE"""),"")</f>
        <v/>
      </c>
      <c r="T543" s="721"/>
      <c r="U543" s="721"/>
      <c r="V543" s="711"/>
      <c r="W543" s="721"/>
      <c r="X543" s="721"/>
      <c r="Y543" s="48"/>
      <c r="Z543" s="48"/>
      <c r="AA543" s="48"/>
      <c r="AB543" s="711"/>
      <c r="AC543" s="711"/>
      <c r="AD543" s="711"/>
      <c r="AE543" s="711"/>
      <c r="AF543" s="711"/>
      <c r="AG543" s="711"/>
      <c r="AH543" s="711"/>
    </row>
    <row r="544">
      <c r="A544" s="48"/>
      <c r="B544" s="48"/>
      <c r="C544" s="48"/>
      <c r="D544" s="721"/>
      <c r="E544" s="711"/>
      <c r="F544" s="711"/>
      <c r="G544" s="721"/>
      <c r="H544" s="721"/>
      <c r="I544" s="721"/>
      <c r="J544" s="48"/>
      <c r="K544" s="721"/>
      <c r="L544" s="721"/>
      <c r="M544" s="721"/>
      <c r="N544" s="719"/>
      <c r="O544" s="48"/>
      <c r="P544" s="719"/>
      <c r="Q544" s="48"/>
      <c r="R544" s="48"/>
      <c r="S544" s="711" t="str">
        <f>IFERROR(__xludf.DUMMYFUNCTION("""COMPUTED_VALUE"""),"")</f>
        <v/>
      </c>
      <c r="T544" s="721"/>
      <c r="U544" s="721"/>
      <c r="V544" s="711"/>
      <c r="W544" s="721"/>
      <c r="X544" s="721"/>
      <c r="Y544" s="48"/>
      <c r="Z544" s="48"/>
      <c r="AA544" s="48"/>
      <c r="AB544" s="711"/>
      <c r="AC544" s="711"/>
      <c r="AD544" s="711"/>
      <c r="AE544" s="711"/>
      <c r="AF544" s="711"/>
      <c r="AG544" s="711"/>
      <c r="AH544" s="711"/>
    </row>
    <row r="545">
      <c r="A545" s="48"/>
      <c r="B545" s="48"/>
      <c r="C545" s="48"/>
      <c r="D545" s="721"/>
      <c r="E545" s="711"/>
      <c r="F545" s="711"/>
      <c r="G545" s="721"/>
      <c r="H545" s="721"/>
      <c r="I545" s="721"/>
      <c r="J545" s="48"/>
      <c r="K545" s="721"/>
      <c r="L545" s="721"/>
      <c r="M545" s="721"/>
      <c r="N545" s="719"/>
      <c r="O545" s="48"/>
      <c r="P545" s="719"/>
      <c r="Q545" s="48"/>
      <c r="R545" s="714" t="str">
        <f>IFERROR(__xludf.DUMMYFUNCTION("""COMPUTED_VALUE"""),"2526NEMBRIMER20.C")</f>
        <v>2526NEMBRIMER20.C</v>
      </c>
      <c r="S545" s="711">
        <f>IFERROR(__xludf.DUMMYFUNCTION("""COMPUTED_VALUE"""),40.0)</f>
        <v>40</v>
      </c>
      <c r="T545" s="722" t="str">
        <f>IFERROR(__xludf.DUMMYFUNCTION("""COMPUTED_VALUE"""),"2526NEMBRIMER20.C")</f>
        <v>2526NEMBRIMER20.C</v>
      </c>
      <c r="U545" s="721"/>
      <c r="V545" s="711"/>
      <c r="W545" s="721"/>
      <c r="X545" s="721"/>
      <c r="Y545" s="48"/>
      <c r="Z545" s="48"/>
      <c r="AA545" s="48"/>
      <c r="AB545" s="711"/>
      <c r="AC545" s="711"/>
      <c r="AD545" s="711"/>
      <c r="AE545" s="711"/>
      <c r="AF545" s="711"/>
      <c r="AG545" s="711"/>
      <c r="AH545" s="711"/>
    </row>
    <row r="546">
      <c r="A546" s="48"/>
      <c r="B546" s="48"/>
      <c r="C546" s="48"/>
      <c r="D546" s="721"/>
      <c r="E546" s="711"/>
      <c r="F546" s="711"/>
      <c r="G546" s="721"/>
      <c r="H546" s="721"/>
      <c r="I546" s="721"/>
      <c r="J546" s="48"/>
      <c r="K546" s="721"/>
      <c r="L546" s="721"/>
      <c r="M546" s="721"/>
      <c r="N546" s="719"/>
      <c r="O546" s="48"/>
      <c r="P546" s="719"/>
      <c r="Q546" s="48"/>
      <c r="R546" s="714" t="str">
        <f>IFERROR(__xludf.DUMMYFUNCTION("""COMPUTED_VALUE"""),"2526ARUTAMER20.C")</f>
        <v>2526ARUTAMER20.C</v>
      </c>
      <c r="S546" s="711">
        <f>IFERROR(__xludf.DUMMYFUNCTION("""COMPUTED_VALUE"""),30.0)</f>
        <v>30</v>
      </c>
      <c r="T546" s="722" t="str">
        <f>IFERROR(__xludf.DUMMYFUNCTION("""COMPUTED_VALUE"""),"2526ARUTAMER20.C")</f>
        <v>2526ARUTAMER20.C</v>
      </c>
      <c r="U546" s="721"/>
      <c r="V546" s="711"/>
      <c r="W546" s="721"/>
      <c r="X546" s="721"/>
      <c r="Y546" s="48"/>
      <c r="Z546" s="48"/>
      <c r="AA546" s="48"/>
      <c r="AB546" s="711"/>
      <c r="AC546" s="711"/>
      <c r="AD546" s="711"/>
      <c r="AE546" s="711"/>
      <c r="AF546" s="711"/>
      <c r="AG546" s="711"/>
      <c r="AH546" s="711"/>
    </row>
    <row r="547">
      <c r="A547" s="48"/>
      <c r="B547" s="48"/>
      <c r="C547" s="48"/>
      <c r="D547" s="721"/>
      <c r="E547" s="711"/>
      <c r="F547" s="711"/>
      <c r="G547" s="721"/>
      <c r="H547" s="721"/>
      <c r="I547" s="721"/>
      <c r="J547" s="48"/>
      <c r="K547" s="721"/>
      <c r="L547" s="721"/>
      <c r="M547" s="721"/>
      <c r="N547" s="719"/>
      <c r="O547" s="48"/>
      <c r="P547" s="719"/>
      <c r="Q547" s="48"/>
      <c r="R547" s="714" t="str">
        <f>IFERROR(__xludf.DUMMYFUNCTION("""COMPUTED_VALUE"""),"2526CEGLIEMER20.D")</f>
        <v>2526CEGLIEMER20.D</v>
      </c>
      <c r="S547" s="711">
        <f>IFERROR(__xludf.DUMMYFUNCTION("""COMPUTED_VALUE"""),24.0)</f>
        <v>24</v>
      </c>
      <c r="T547" s="722" t="str">
        <f>IFERROR(__xludf.DUMMYFUNCTION("""COMPUTED_VALUE"""),"2526CEGLIEMER20.D")</f>
        <v>2526CEGLIEMER20.D</v>
      </c>
      <c r="U547" s="721"/>
      <c r="V547" s="711"/>
      <c r="W547" s="721"/>
      <c r="X547" s="721"/>
      <c r="Y547" s="48"/>
      <c r="Z547" s="48"/>
      <c r="AA547" s="48"/>
      <c r="AB547" s="711"/>
      <c r="AC547" s="711"/>
      <c r="AD547" s="711"/>
      <c r="AE547" s="711"/>
      <c r="AF547" s="711"/>
      <c r="AG547" s="711"/>
      <c r="AH547" s="711"/>
    </row>
    <row r="548">
      <c r="A548" s="48"/>
      <c r="B548" s="48"/>
      <c r="C548" s="48"/>
      <c r="D548" s="721"/>
      <c r="E548" s="711"/>
      <c r="F548" s="711"/>
      <c r="G548" s="721"/>
      <c r="H548" s="721"/>
      <c r="I548" s="721"/>
      <c r="J548" s="48"/>
      <c r="K548" s="721"/>
      <c r="L548" s="721"/>
      <c r="M548" s="721"/>
      <c r="N548" s="719"/>
      <c r="O548" s="48"/>
      <c r="P548" s="719"/>
      <c r="Q548" s="48"/>
      <c r="R548" s="714" t="str">
        <f>IFERROR(__xludf.DUMMYFUNCTION("""COMPUTED_VALUE"""),"2526MELEMER20.C")</f>
        <v>2526MELEMER20.C</v>
      </c>
      <c r="S548" s="711">
        <f>IFERROR(__xludf.DUMMYFUNCTION("""COMPUTED_VALUE"""),26.0)</f>
        <v>26</v>
      </c>
      <c r="T548" s="722" t="str">
        <f>IFERROR(__xludf.DUMMYFUNCTION("""COMPUTED_VALUE"""),"2526MELEMER20.C")</f>
        <v>2526MELEMER20.C</v>
      </c>
      <c r="U548" s="721"/>
      <c r="V548" s="711"/>
      <c r="W548" s="721"/>
      <c r="X548" s="721"/>
      <c r="Y548" s="48"/>
      <c r="Z548" s="48"/>
      <c r="AA548" s="48"/>
      <c r="AB548" s="711"/>
      <c r="AC548" s="711"/>
      <c r="AD548" s="711"/>
      <c r="AE548" s="711"/>
      <c r="AF548" s="711"/>
      <c r="AG548" s="711"/>
      <c r="AH548" s="711"/>
    </row>
    <row r="549">
      <c r="A549" s="48"/>
      <c r="B549" s="48"/>
      <c r="C549" s="48"/>
      <c r="D549" s="721"/>
      <c r="E549" s="711"/>
      <c r="F549" s="711"/>
      <c r="G549" s="721"/>
      <c r="H549" s="721"/>
      <c r="I549" s="721"/>
      <c r="J549" s="48"/>
      <c r="K549" s="721"/>
      <c r="L549" s="721"/>
      <c r="M549" s="721"/>
      <c r="N549" s="719"/>
      <c r="O549" s="48"/>
      <c r="P549" s="719"/>
      <c r="Q549" s="48"/>
      <c r="R549" s="714" t="str">
        <f>IFERROR(__xludf.DUMMYFUNCTION("""COMPUTED_VALUE"""),"2526BELLAYMER20.D")</f>
        <v>2526BELLAYMER20.D</v>
      </c>
      <c r="S549" s="711">
        <f>IFERROR(__xludf.DUMMYFUNCTION("""COMPUTED_VALUE"""),30.0)</f>
        <v>30</v>
      </c>
      <c r="T549" s="722" t="str">
        <f>IFERROR(__xludf.DUMMYFUNCTION("""COMPUTED_VALUE"""),"2526BELLAYMER20.D")</f>
        <v>2526BELLAYMER20.D</v>
      </c>
      <c r="U549" s="721"/>
      <c r="V549" s="711"/>
      <c r="W549" s="721"/>
      <c r="X549" s="721"/>
      <c r="Y549" s="48"/>
      <c r="Z549" s="48"/>
      <c r="AA549" s="48"/>
      <c r="AB549" s="711"/>
      <c r="AC549" s="711"/>
      <c r="AD549" s="711"/>
      <c r="AE549" s="711"/>
      <c r="AF549" s="711"/>
      <c r="AG549" s="711"/>
      <c r="AH549" s="711"/>
    </row>
    <row r="550">
      <c r="A550" s="48"/>
      <c r="B550" s="48"/>
      <c r="C550" s="48"/>
      <c r="D550" s="721"/>
      <c r="E550" s="711"/>
      <c r="F550" s="711"/>
      <c r="G550" s="721"/>
      <c r="H550" s="721"/>
      <c r="I550" s="721"/>
      <c r="J550" s="48"/>
      <c r="K550" s="721"/>
      <c r="L550" s="721"/>
      <c r="M550" s="721"/>
      <c r="N550" s="719"/>
      <c r="O550" s="48"/>
      <c r="P550" s="719"/>
      <c r="Q550" s="48"/>
      <c r="R550" s="714" t="str">
        <f>IFERROR(__xludf.DUMMYFUNCTION("""COMPUTED_VALUE"""),"2526MAZZAROLOMER20.A")</f>
        <v>2526MAZZAROLOMER20.A</v>
      </c>
      <c r="S550" s="711">
        <f>IFERROR(__xludf.DUMMYFUNCTION("""COMPUTED_VALUE"""),6.0)</f>
        <v>6</v>
      </c>
      <c r="T550" s="722" t="str">
        <f>IFERROR(__xludf.DUMMYFUNCTION("""COMPUTED_VALUE"""),"2526MAZZAROLOMER20.A")</f>
        <v>2526MAZZAROLOMER20.A</v>
      </c>
      <c r="U550" s="721"/>
      <c r="V550" s="711"/>
      <c r="W550" s="721"/>
      <c r="X550" s="721"/>
      <c r="Y550" s="48"/>
      <c r="Z550" s="48"/>
      <c r="AA550" s="48"/>
      <c r="AB550" s="711"/>
      <c r="AC550" s="711"/>
      <c r="AD550" s="711"/>
      <c r="AE550" s="711"/>
      <c r="AF550" s="711"/>
      <c r="AG550" s="711"/>
      <c r="AH550" s="711"/>
    </row>
    <row r="551">
      <c r="A551" s="48"/>
      <c r="B551" s="48"/>
      <c r="C551" s="48"/>
      <c r="D551" s="721"/>
      <c r="E551" s="711"/>
      <c r="F551" s="711"/>
      <c r="G551" s="721"/>
      <c r="H551" s="721"/>
      <c r="I551" s="721"/>
      <c r="J551" s="48"/>
      <c r="K551" s="721"/>
      <c r="L551" s="721"/>
      <c r="M551" s="721"/>
      <c r="N551" s="719"/>
      <c r="O551" s="48"/>
      <c r="P551" s="719"/>
      <c r="Q551" s="48"/>
      <c r="R551" s="714" t="str">
        <f>IFERROR(__xludf.DUMMYFUNCTION("""COMPUTED_VALUE"""),"2526BATTISTELLAMER20.C")</f>
        <v>2526BATTISTELLAMER20.C</v>
      </c>
      <c r="S551" s="711">
        <f>IFERROR(__xludf.DUMMYFUNCTION("""COMPUTED_VALUE"""),24.0)</f>
        <v>24</v>
      </c>
      <c r="T551" s="722" t="str">
        <f>IFERROR(__xludf.DUMMYFUNCTION("""COMPUTED_VALUE"""),"2526BATTISTELLAMER20.C")</f>
        <v>2526BATTISTELLAMER20.C</v>
      </c>
      <c r="U551" s="721"/>
      <c r="V551" s="711"/>
      <c r="W551" s="721"/>
      <c r="X551" s="721"/>
      <c r="Y551" s="48"/>
      <c r="Z551" s="48"/>
      <c r="AA551" s="48"/>
      <c r="AB551" s="711"/>
      <c r="AC551" s="711"/>
      <c r="AD551" s="711"/>
      <c r="AE551" s="711"/>
      <c r="AF551" s="711"/>
      <c r="AG551" s="711"/>
      <c r="AH551" s="711"/>
    </row>
    <row r="552">
      <c r="A552" s="48"/>
      <c r="B552" s="48"/>
      <c r="C552" s="48"/>
      <c r="D552" s="721"/>
      <c r="E552" s="711"/>
      <c r="F552" s="711"/>
      <c r="G552" s="721"/>
      <c r="H552" s="721"/>
      <c r="I552" s="721"/>
      <c r="J552" s="48"/>
      <c r="K552" s="721"/>
      <c r="L552" s="721"/>
      <c r="M552" s="721"/>
      <c r="N552" s="719"/>
      <c r="O552" s="48"/>
      <c r="P552" s="719"/>
      <c r="Q552" s="48"/>
      <c r="R552" s="714" t="str">
        <f>IFERROR(__xludf.DUMMYFUNCTION("""COMPUTED_VALUE"""),"2526PICCIRILLOMER20.D")</f>
        <v>2526PICCIRILLOMER20.D</v>
      </c>
      <c r="S552" s="711">
        <f>IFERROR(__xludf.DUMMYFUNCTION("""COMPUTED_VALUE"""),30.0)</f>
        <v>30</v>
      </c>
      <c r="T552" s="722" t="str">
        <f>IFERROR(__xludf.DUMMYFUNCTION("""COMPUTED_VALUE"""),"2526PICCIRILLOMER20.D")</f>
        <v>2526PICCIRILLOMER20.D</v>
      </c>
      <c r="U552" s="721"/>
      <c r="V552" s="711"/>
      <c r="W552" s="721"/>
      <c r="X552" s="721"/>
      <c r="Y552" s="48"/>
      <c r="Z552" s="48"/>
      <c r="AA552" s="48"/>
      <c r="AB552" s="711"/>
      <c r="AC552" s="711"/>
      <c r="AD552" s="711"/>
      <c r="AE552" s="711"/>
      <c r="AF552" s="711"/>
      <c r="AG552" s="711"/>
      <c r="AH552" s="711"/>
    </row>
    <row r="553">
      <c r="A553" s="48"/>
      <c r="B553" s="48"/>
      <c r="C553" s="48"/>
      <c r="D553" s="721"/>
      <c r="E553" s="711"/>
      <c r="F553" s="711"/>
      <c r="G553" s="721"/>
      <c r="H553" s="721"/>
      <c r="I553" s="721"/>
      <c r="J553" s="48"/>
      <c r="K553" s="721"/>
      <c r="L553" s="721"/>
      <c r="M553" s="721"/>
      <c r="N553" s="719"/>
      <c r="O553" s="48"/>
      <c r="P553" s="719"/>
      <c r="Q553" s="48"/>
      <c r="R553" s="714" t="str">
        <f>IFERROR(__xludf.DUMMYFUNCTION("""COMPUTED_VALUE"""),"2526LUISETTOMER20.C")</f>
        <v>2526LUISETTOMER20.C</v>
      </c>
      <c r="S553" s="711">
        <f>IFERROR(__xludf.DUMMYFUNCTION("""COMPUTED_VALUE"""),30.0)</f>
        <v>30</v>
      </c>
      <c r="T553" s="722" t="str">
        <f>IFERROR(__xludf.DUMMYFUNCTION("""COMPUTED_VALUE"""),"2526LUISETTOMER20.C")</f>
        <v>2526LUISETTOMER20.C</v>
      </c>
      <c r="U553" s="721"/>
      <c r="V553" s="711"/>
      <c r="W553" s="721"/>
      <c r="X553" s="721"/>
      <c r="Y553" s="48"/>
      <c r="Z553" s="48"/>
      <c r="AA553" s="48"/>
      <c r="AB553" s="711"/>
      <c r="AC553" s="711"/>
      <c r="AD553" s="711"/>
      <c r="AE553" s="711"/>
      <c r="AF553" s="711"/>
      <c r="AG553" s="711"/>
      <c r="AH553" s="711"/>
    </row>
    <row r="554">
      <c r="A554" s="48"/>
      <c r="B554" s="48"/>
      <c r="C554" s="48"/>
      <c r="D554" s="721"/>
      <c r="E554" s="711"/>
      <c r="F554" s="711"/>
      <c r="G554" s="721"/>
      <c r="H554" s="721"/>
      <c r="I554" s="721"/>
      <c r="J554" s="48"/>
      <c r="K554" s="721"/>
      <c r="L554" s="721"/>
      <c r="M554" s="721"/>
      <c r="N554" s="719"/>
      <c r="O554" s="48"/>
      <c r="P554" s="719"/>
      <c r="Q554" s="48"/>
      <c r="R554" s="48"/>
      <c r="S554" s="711" t="str">
        <f>IFERROR(__xludf.DUMMYFUNCTION("""COMPUTED_VALUE"""),"")</f>
        <v/>
      </c>
      <c r="T554" s="721"/>
      <c r="U554" s="721"/>
      <c r="V554" s="711"/>
      <c r="W554" s="721"/>
      <c r="X554" s="721"/>
      <c r="Y554" s="48"/>
      <c r="Z554" s="48"/>
      <c r="AA554" s="48"/>
      <c r="AB554" s="711"/>
      <c r="AC554" s="711"/>
      <c r="AD554" s="711"/>
      <c r="AE554" s="711"/>
      <c r="AF554" s="711"/>
      <c r="AG554" s="711"/>
      <c r="AH554" s="711"/>
    </row>
    <row r="555">
      <c r="A555" s="48"/>
      <c r="B555" s="48"/>
      <c r="C555" s="48"/>
      <c r="D555" s="721"/>
      <c r="E555" s="711"/>
      <c r="F555" s="711"/>
      <c r="G555" s="721"/>
      <c r="H555" s="721"/>
      <c r="I555" s="721"/>
      <c r="J555" s="48"/>
      <c r="K555" s="721"/>
      <c r="L555" s="721"/>
      <c r="M555" s="721"/>
      <c r="N555" s="719"/>
      <c r="O555" s="48"/>
      <c r="P555" s="719"/>
      <c r="Q555" s="48"/>
      <c r="R555" s="48"/>
      <c r="S555" s="711" t="str">
        <f>IFERROR(__xludf.DUMMYFUNCTION("""COMPUTED_VALUE"""),"")</f>
        <v/>
      </c>
      <c r="T555" s="721"/>
      <c r="U555" s="721"/>
      <c r="V555" s="711"/>
      <c r="W555" s="721"/>
      <c r="X555" s="721"/>
      <c r="Y555" s="48"/>
      <c r="Z555" s="48"/>
      <c r="AA555" s="48"/>
      <c r="AB555" s="711"/>
      <c r="AC555" s="711"/>
      <c r="AD555" s="711"/>
      <c r="AE555" s="711"/>
      <c r="AF555" s="711"/>
      <c r="AG555" s="711"/>
      <c r="AH555" s="711"/>
    </row>
    <row r="556">
      <c r="A556" s="48"/>
      <c r="B556" s="48"/>
      <c r="C556" s="48"/>
      <c r="D556" s="721"/>
      <c r="E556" s="711"/>
      <c r="F556" s="711"/>
      <c r="G556" s="721"/>
      <c r="H556" s="721"/>
      <c r="I556" s="721"/>
      <c r="J556" s="48"/>
      <c r="K556" s="721"/>
      <c r="L556" s="721"/>
      <c r="M556" s="721"/>
      <c r="N556" s="719"/>
      <c r="O556" s="48"/>
      <c r="P556" s="719"/>
      <c r="Q556" s="48"/>
      <c r="R556" s="48"/>
      <c r="S556" s="711" t="str">
        <f>IFERROR(__xludf.DUMMYFUNCTION("""COMPUTED_VALUE"""),"")</f>
        <v/>
      </c>
      <c r="T556" s="721"/>
      <c r="U556" s="721"/>
      <c r="V556" s="711"/>
      <c r="W556" s="721"/>
      <c r="X556" s="721"/>
      <c r="Y556" s="48"/>
      <c r="Z556" s="48"/>
      <c r="AA556" s="48"/>
      <c r="AB556" s="711"/>
      <c r="AC556" s="711"/>
      <c r="AD556" s="711"/>
      <c r="AE556" s="711"/>
      <c r="AF556" s="711"/>
      <c r="AG556" s="711"/>
      <c r="AH556" s="711"/>
    </row>
    <row r="557">
      <c r="A557" s="48"/>
      <c r="B557" s="48"/>
      <c r="C557" s="48"/>
      <c r="D557" s="721"/>
      <c r="E557" s="711"/>
      <c r="F557" s="711"/>
      <c r="G557" s="721"/>
      <c r="H557" s="721"/>
      <c r="I557" s="721"/>
      <c r="J557" s="48"/>
      <c r="K557" s="721"/>
      <c r="L557" s="721"/>
      <c r="M557" s="721"/>
      <c r="N557" s="719"/>
      <c r="O557" s="48"/>
      <c r="P557" s="719"/>
      <c r="Q557" s="48"/>
      <c r="R557" s="714" t="str">
        <f>IFERROR(__xludf.DUMMYFUNCTION("""COMPUTED_VALUE"""),"2526MELEMER21.C")</f>
        <v>2526MELEMER21.C</v>
      </c>
      <c r="S557" s="711">
        <f>IFERROR(__xludf.DUMMYFUNCTION("""COMPUTED_VALUE"""),40.0)</f>
        <v>40</v>
      </c>
      <c r="T557" s="722" t="str">
        <f>IFERROR(__xludf.DUMMYFUNCTION("""COMPUTED_VALUE"""),"2526MELEMER21.C")</f>
        <v>2526MELEMER21.C</v>
      </c>
      <c r="U557" s="721"/>
      <c r="V557" s="711"/>
      <c r="W557" s="721"/>
      <c r="X557" s="721"/>
      <c r="Y557" s="48"/>
      <c r="Z557" s="48"/>
      <c r="AA557" s="48"/>
      <c r="AB557" s="711"/>
      <c r="AC557" s="711"/>
      <c r="AD557" s="711"/>
      <c r="AE557" s="711"/>
      <c r="AF557" s="711"/>
      <c r="AG557" s="711"/>
      <c r="AH557" s="711"/>
    </row>
    <row r="558">
      <c r="A558" s="48"/>
      <c r="B558" s="48"/>
      <c r="C558" s="48"/>
      <c r="D558" s="721"/>
      <c r="E558" s="711"/>
      <c r="F558" s="711"/>
      <c r="G558" s="721"/>
      <c r="H558" s="721"/>
      <c r="I558" s="721"/>
      <c r="J558" s="48"/>
      <c r="K558" s="721"/>
      <c r="L558" s="721"/>
      <c r="M558" s="721"/>
      <c r="N558" s="719"/>
      <c r="O558" s="48"/>
      <c r="P558" s="719"/>
      <c r="Q558" s="48"/>
      <c r="R558" s="714" t="str">
        <f>IFERROR(__xludf.DUMMYFUNCTION("""COMPUTED_VALUE"""),"2526CEGLIEMER21.D")</f>
        <v>2526CEGLIEMER21.D</v>
      </c>
      <c r="S558" s="711">
        <f>IFERROR(__xludf.DUMMYFUNCTION("""COMPUTED_VALUE"""),26.0)</f>
        <v>26</v>
      </c>
      <c r="T558" s="722" t="str">
        <f>IFERROR(__xludf.DUMMYFUNCTION("""COMPUTED_VALUE"""),"2526CEGLIEMER21.D")</f>
        <v>2526CEGLIEMER21.D</v>
      </c>
      <c r="U558" s="721"/>
      <c r="V558" s="711"/>
      <c r="W558" s="721"/>
      <c r="X558" s="721"/>
      <c r="Y558" s="48"/>
      <c r="Z558" s="48"/>
      <c r="AA558" s="48"/>
      <c r="AB558" s="711"/>
      <c r="AC558" s="711"/>
      <c r="AD558" s="711"/>
      <c r="AE558" s="711"/>
      <c r="AF558" s="711"/>
      <c r="AG558" s="711"/>
      <c r="AH558" s="711"/>
    </row>
    <row r="559">
      <c r="A559" s="48"/>
      <c r="B559" s="48"/>
      <c r="C559" s="48"/>
      <c r="D559" s="721"/>
      <c r="E559" s="711"/>
      <c r="F559" s="711"/>
      <c r="G559" s="721"/>
      <c r="H559" s="721"/>
      <c r="I559" s="721"/>
      <c r="J559" s="48"/>
      <c r="K559" s="721"/>
      <c r="L559" s="721"/>
      <c r="M559" s="721"/>
      <c r="N559" s="719"/>
      <c r="O559" s="48"/>
      <c r="P559" s="719"/>
      <c r="Q559" s="48"/>
      <c r="R559" s="714" t="str">
        <f>IFERROR(__xludf.DUMMYFUNCTION("""COMPUTED_VALUE"""),"2526SETTIMER21.C")</f>
        <v>2526SETTIMER21.C</v>
      </c>
      <c r="S559" s="711">
        <f>IFERROR(__xludf.DUMMYFUNCTION("""COMPUTED_VALUE"""),24.0)</f>
        <v>24</v>
      </c>
      <c r="T559" s="722" t="str">
        <f>IFERROR(__xludf.DUMMYFUNCTION("""COMPUTED_VALUE"""),"2526SETTIMER21.C")</f>
        <v>2526SETTIMER21.C</v>
      </c>
      <c r="U559" s="721"/>
      <c r="V559" s="711"/>
      <c r="W559" s="721"/>
      <c r="X559" s="721"/>
      <c r="Y559" s="48"/>
      <c r="Z559" s="48"/>
      <c r="AA559" s="48"/>
      <c r="AB559" s="711"/>
      <c r="AC559" s="711"/>
      <c r="AD559" s="711"/>
      <c r="AE559" s="711"/>
      <c r="AF559" s="711"/>
      <c r="AG559" s="711"/>
      <c r="AH559" s="711"/>
    </row>
    <row r="560">
      <c r="A560" s="48"/>
      <c r="B560" s="48"/>
      <c r="C560" s="48"/>
      <c r="D560" s="721"/>
      <c r="E560" s="711"/>
      <c r="F560" s="711"/>
      <c r="G560" s="721"/>
      <c r="H560" s="721"/>
      <c r="I560" s="721"/>
      <c r="J560" s="48"/>
      <c r="K560" s="721"/>
      <c r="L560" s="721"/>
      <c r="M560" s="721"/>
      <c r="N560" s="719"/>
      <c r="O560" s="48"/>
      <c r="P560" s="719"/>
      <c r="Q560" s="48"/>
      <c r="R560" s="714" t="str">
        <f>IFERROR(__xludf.DUMMYFUNCTION("""COMPUTED_VALUE"""),"2526NEMBRIMER21.C")</f>
        <v>2526NEMBRIMER21.C</v>
      </c>
      <c r="S560" s="711">
        <f>IFERROR(__xludf.DUMMYFUNCTION("""COMPUTED_VALUE"""),30.0)</f>
        <v>30</v>
      </c>
      <c r="T560" s="722" t="str">
        <f>IFERROR(__xludf.DUMMYFUNCTION("""COMPUTED_VALUE"""),"2526NEMBRIMER21.C")</f>
        <v>2526NEMBRIMER21.C</v>
      </c>
      <c r="U560" s="721"/>
      <c r="V560" s="711"/>
      <c r="W560" s="721"/>
      <c r="X560" s="721"/>
      <c r="Y560" s="48"/>
      <c r="Z560" s="48"/>
      <c r="AA560" s="48"/>
      <c r="AB560" s="711"/>
      <c r="AC560" s="711"/>
      <c r="AD560" s="711"/>
      <c r="AE560" s="711"/>
      <c r="AF560" s="711"/>
      <c r="AG560" s="711"/>
      <c r="AH560" s="711"/>
    </row>
    <row r="561">
      <c r="A561" s="48"/>
      <c r="B561" s="48"/>
      <c r="C561" s="48"/>
      <c r="D561" s="721"/>
      <c r="E561" s="711"/>
      <c r="F561" s="711"/>
      <c r="G561" s="721"/>
      <c r="H561" s="721"/>
      <c r="I561" s="721"/>
      <c r="J561" s="48"/>
      <c r="K561" s="721"/>
      <c r="L561" s="721"/>
      <c r="M561" s="721"/>
      <c r="N561" s="719"/>
      <c r="O561" s="48"/>
      <c r="P561" s="719"/>
      <c r="Q561" s="48"/>
      <c r="R561" s="714" t="str">
        <f>IFERROR(__xludf.DUMMYFUNCTION("""COMPUTED_VALUE"""),"2526ARUTAMER21.C")</f>
        <v>2526ARUTAMER21.C</v>
      </c>
      <c r="S561" s="711">
        <f>IFERROR(__xludf.DUMMYFUNCTION("""COMPUTED_VALUE"""),50.0)</f>
        <v>50</v>
      </c>
      <c r="T561" s="722" t="str">
        <f>IFERROR(__xludf.DUMMYFUNCTION("""COMPUTED_VALUE"""),"2526ARUTAMER21.C")</f>
        <v>2526ARUTAMER21.C</v>
      </c>
      <c r="U561" s="721"/>
      <c r="V561" s="711"/>
      <c r="W561" s="721"/>
      <c r="X561" s="721"/>
      <c r="Y561" s="48"/>
      <c r="Z561" s="48"/>
      <c r="AA561" s="48"/>
      <c r="AB561" s="711"/>
      <c r="AC561" s="711"/>
      <c r="AD561" s="711"/>
      <c r="AE561" s="711"/>
      <c r="AF561" s="711"/>
      <c r="AG561" s="711"/>
      <c r="AH561" s="711"/>
    </row>
    <row r="562">
      <c r="A562" s="48"/>
      <c r="B562" s="48"/>
      <c r="C562" s="48"/>
      <c r="D562" s="721"/>
      <c r="E562" s="711"/>
      <c r="F562" s="711"/>
      <c r="G562" s="721"/>
      <c r="H562" s="721"/>
      <c r="I562" s="721"/>
      <c r="J562" s="48"/>
      <c r="K562" s="721"/>
      <c r="L562" s="721"/>
      <c r="M562" s="721"/>
      <c r="N562" s="719"/>
      <c r="O562" s="48"/>
      <c r="P562" s="719"/>
      <c r="Q562" s="48"/>
      <c r="R562" s="714" t="str">
        <f>IFERROR(__xludf.DUMMYFUNCTION("""COMPUTED_VALUE"""),"2526MAZZAROLOMER21.A")</f>
        <v>2526MAZZAROLOMER21.A</v>
      </c>
      <c r="S562" s="711">
        <f>IFERROR(__xludf.DUMMYFUNCTION("""COMPUTED_VALUE"""),6.0)</f>
        <v>6</v>
      </c>
      <c r="T562" s="722" t="str">
        <f>IFERROR(__xludf.DUMMYFUNCTION("""COMPUTED_VALUE"""),"2526MAZZAROLOMER21.A")</f>
        <v>2526MAZZAROLOMER21.A</v>
      </c>
      <c r="U562" s="721"/>
      <c r="V562" s="711"/>
      <c r="W562" s="721"/>
      <c r="X562" s="721"/>
      <c r="Y562" s="48"/>
      <c r="Z562" s="48"/>
      <c r="AA562" s="48"/>
      <c r="AB562" s="711"/>
      <c r="AC562" s="711"/>
      <c r="AD562" s="711"/>
      <c r="AE562" s="711"/>
      <c r="AF562" s="711"/>
      <c r="AG562" s="711"/>
      <c r="AH562" s="711"/>
    </row>
    <row r="563">
      <c r="A563" s="48"/>
      <c r="B563" s="48"/>
      <c r="C563" s="48"/>
      <c r="D563" s="721"/>
      <c r="E563" s="711"/>
      <c r="F563" s="711"/>
      <c r="G563" s="721"/>
      <c r="H563" s="721"/>
      <c r="I563" s="721"/>
      <c r="J563" s="48"/>
      <c r="K563" s="721"/>
      <c r="L563" s="721"/>
      <c r="M563" s="721"/>
      <c r="N563" s="719"/>
      <c r="O563" s="48"/>
      <c r="P563" s="719"/>
      <c r="Q563" s="48"/>
      <c r="R563" s="714" t="str">
        <f>IFERROR(__xludf.DUMMYFUNCTION("""COMPUTED_VALUE"""),"2526FELLERMER21.C")</f>
        <v>2526FELLERMER21.C</v>
      </c>
      <c r="S563" s="711">
        <f>IFERROR(__xludf.DUMMYFUNCTION("""COMPUTED_VALUE"""),15.0)</f>
        <v>15</v>
      </c>
      <c r="T563" s="722" t="str">
        <f>IFERROR(__xludf.DUMMYFUNCTION("""COMPUTED_VALUE"""),"2526FELLERMER21.C")</f>
        <v>2526FELLERMER21.C</v>
      </c>
      <c r="U563" s="721"/>
      <c r="V563" s="711"/>
      <c r="W563" s="721"/>
      <c r="X563" s="721"/>
      <c r="Y563" s="48"/>
      <c r="Z563" s="48"/>
      <c r="AA563" s="48"/>
      <c r="AB563" s="711"/>
      <c r="AC563" s="711"/>
      <c r="AD563" s="711"/>
      <c r="AE563" s="711"/>
      <c r="AF563" s="711"/>
      <c r="AG563" s="711"/>
      <c r="AH563" s="711"/>
    </row>
    <row r="564">
      <c r="A564" s="48"/>
      <c r="B564" s="48"/>
      <c r="C564" s="48"/>
      <c r="D564" s="721"/>
      <c r="E564" s="711"/>
      <c r="F564" s="711"/>
      <c r="G564" s="721"/>
      <c r="H564" s="721"/>
      <c r="I564" s="721"/>
      <c r="J564" s="48"/>
      <c r="K564" s="721"/>
      <c r="L564" s="721"/>
      <c r="M564" s="721"/>
      <c r="N564" s="719"/>
      <c r="O564" s="48"/>
      <c r="P564" s="719"/>
      <c r="Q564" s="48"/>
      <c r="R564" s="714" t="str">
        <f>IFERROR(__xludf.DUMMYFUNCTION("""COMPUTED_VALUE"""),"2526PICCIRILLOMER21.D")</f>
        <v>2526PICCIRILLOMER21.D</v>
      </c>
      <c r="S564" s="711">
        <f>IFERROR(__xludf.DUMMYFUNCTION("""COMPUTED_VALUE"""),30.0)</f>
        <v>30</v>
      </c>
      <c r="T564" s="722" t="str">
        <f>IFERROR(__xludf.DUMMYFUNCTION("""COMPUTED_VALUE"""),"2526PICCIRILLOMER21.D")</f>
        <v>2526PICCIRILLOMER21.D</v>
      </c>
      <c r="U564" s="721"/>
      <c r="V564" s="711"/>
      <c r="W564" s="721"/>
      <c r="X564" s="721"/>
      <c r="Y564" s="48"/>
      <c r="Z564" s="48"/>
      <c r="AA564" s="48"/>
      <c r="AB564" s="711"/>
      <c r="AC564" s="711"/>
      <c r="AD564" s="711"/>
      <c r="AE564" s="711"/>
      <c r="AF564" s="711"/>
      <c r="AG564" s="711"/>
      <c r="AH564" s="711"/>
    </row>
    <row r="565">
      <c r="A565" s="48"/>
      <c r="B565" s="48"/>
      <c r="C565" s="48"/>
      <c r="D565" s="721"/>
      <c r="E565" s="711"/>
      <c r="F565" s="711"/>
      <c r="G565" s="721"/>
      <c r="H565" s="721"/>
      <c r="I565" s="721"/>
      <c r="J565" s="48"/>
      <c r="K565" s="721"/>
      <c r="L565" s="721"/>
      <c r="M565" s="721"/>
      <c r="N565" s="719"/>
      <c r="O565" s="48"/>
      <c r="P565" s="719"/>
      <c r="Q565" s="48"/>
      <c r="R565" s="714" t="str">
        <f>IFERROR(__xludf.DUMMYFUNCTION("""COMPUTED_VALUE"""),"2526LUISETTOMER21.C")</f>
        <v>2526LUISETTOMER21.C</v>
      </c>
      <c r="S565" s="711">
        <f>IFERROR(__xludf.DUMMYFUNCTION("""COMPUTED_VALUE"""),30.0)</f>
        <v>30</v>
      </c>
      <c r="T565" s="722" t="str">
        <f>IFERROR(__xludf.DUMMYFUNCTION("""COMPUTED_VALUE"""),"2526LUISETTOMER21.C")</f>
        <v>2526LUISETTOMER21.C</v>
      </c>
      <c r="U565" s="721"/>
      <c r="V565" s="711"/>
      <c r="W565" s="721"/>
      <c r="X565" s="721"/>
      <c r="Y565" s="48"/>
      <c r="Z565" s="48"/>
      <c r="AA565" s="48"/>
      <c r="AB565" s="711"/>
      <c r="AC565" s="711"/>
      <c r="AD565" s="711"/>
      <c r="AE565" s="711"/>
      <c r="AF565" s="711"/>
      <c r="AG565" s="711"/>
      <c r="AH565" s="711"/>
    </row>
    <row r="566">
      <c r="A566" s="48"/>
      <c r="B566" s="48"/>
      <c r="C566" s="48"/>
      <c r="D566" s="721"/>
      <c r="E566" s="711"/>
      <c r="F566" s="711"/>
      <c r="G566" s="721"/>
      <c r="H566" s="721"/>
      <c r="I566" s="721"/>
      <c r="J566" s="48"/>
      <c r="K566" s="721"/>
      <c r="L566" s="721"/>
      <c r="M566" s="721"/>
      <c r="N566" s="719"/>
      <c r="O566" s="48"/>
      <c r="P566" s="719"/>
      <c r="Q566" s="48"/>
      <c r="R566" s="48"/>
      <c r="S566" s="711" t="str">
        <f>IFERROR(__xludf.DUMMYFUNCTION("""COMPUTED_VALUE"""),"")</f>
        <v/>
      </c>
      <c r="T566" s="721"/>
      <c r="U566" s="721"/>
      <c r="V566" s="711"/>
      <c r="W566" s="721"/>
      <c r="X566" s="721"/>
      <c r="Y566" s="48"/>
      <c r="Z566" s="48"/>
      <c r="AA566" s="48"/>
      <c r="AB566" s="711"/>
      <c r="AC566" s="711"/>
      <c r="AD566" s="711"/>
      <c r="AE566" s="711"/>
      <c r="AF566" s="711"/>
      <c r="AG566" s="711"/>
      <c r="AH566" s="711"/>
    </row>
    <row r="567">
      <c r="A567" s="48"/>
      <c r="B567" s="48"/>
      <c r="C567" s="48"/>
      <c r="D567" s="721"/>
      <c r="E567" s="711"/>
      <c r="F567" s="711"/>
      <c r="G567" s="721"/>
      <c r="H567" s="721"/>
      <c r="I567" s="721"/>
      <c r="J567" s="48"/>
      <c r="K567" s="721"/>
      <c r="L567" s="721"/>
      <c r="M567" s="721"/>
      <c r="N567" s="719"/>
      <c r="O567" s="48"/>
      <c r="P567" s="719"/>
      <c r="Q567" s="48"/>
      <c r="R567" s="48"/>
      <c r="S567" s="711" t="str">
        <f>IFERROR(__xludf.DUMMYFUNCTION("""COMPUTED_VALUE"""),"")</f>
        <v/>
      </c>
      <c r="T567" s="721"/>
      <c r="U567" s="721"/>
      <c r="V567" s="711"/>
      <c r="W567" s="721"/>
      <c r="X567" s="721"/>
      <c r="Y567" s="48"/>
      <c r="Z567" s="48"/>
      <c r="AA567" s="48"/>
      <c r="AB567" s="711"/>
      <c r="AC567" s="711"/>
      <c r="AD567" s="711"/>
      <c r="AE567" s="711"/>
      <c r="AF567" s="711"/>
      <c r="AG567" s="711"/>
      <c r="AH567" s="711"/>
    </row>
    <row r="568">
      <c r="A568" s="48"/>
      <c r="B568" s="48"/>
      <c r="C568" s="48"/>
      <c r="D568" s="721"/>
      <c r="E568" s="711"/>
      <c r="F568" s="711"/>
      <c r="G568" s="721"/>
      <c r="H568" s="721"/>
      <c r="I568" s="721"/>
      <c r="J568" s="48"/>
      <c r="K568" s="721"/>
      <c r="L568" s="721"/>
      <c r="M568" s="721"/>
      <c r="N568" s="719"/>
      <c r="O568" s="48"/>
      <c r="P568" s="719"/>
      <c r="Q568" s="48"/>
      <c r="R568" s="48"/>
      <c r="S568" s="711" t="str">
        <f>IFERROR(__xludf.DUMMYFUNCTION("""COMPUTED_VALUE"""),"")</f>
        <v/>
      </c>
      <c r="T568" s="721"/>
      <c r="U568" s="721"/>
      <c r="V568" s="711"/>
      <c r="W568" s="721"/>
      <c r="X568" s="721"/>
      <c r="Y568" s="48"/>
      <c r="Z568" s="48"/>
      <c r="AA568" s="48"/>
      <c r="AB568" s="711"/>
      <c r="AC568" s="711"/>
      <c r="AD568" s="711"/>
      <c r="AE568" s="711"/>
      <c r="AF568" s="711"/>
      <c r="AG568" s="711"/>
      <c r="AH568" s="711"/>
    </row>
    <row r="569">
      <c r="A569" s="48"/>
      <c r="B569" s="48"/>
      <c r="C569" s="48"/>
      <c r="D569" s="721"/>
      <c r="E569" s="711"/>
      <c r="F569" s="711"/>
      <c r="G569" s="721"/>
      <c r="H569" s="721"/>
      <c r="I569" s="721"/>
      <c r="J569" s="48"/>
      <c r="K569" s="721"/>
      <c r="L569" s="721"/>
      <c r="M569" s="721"/>
      <c r="N569" s="719"/>
      <c r="O569" s="48"/>
      <c r="P569" s="719"/>
      <c r="Q569" s="48"/>
      <c r="R569" s="48"/>
      <c r="S569" s="711" t="str">
        <f>IFERROR(__xludf.DUMMYFUNCTION("""COMPUTED_VALUE"""),"")</f>
        <v/>
      </c>
      <c r="T569" s="721"/>
      <c r="U569" s="721"/>
      <c r="V569" s="711"/>
      <c r="W569" s="721"/>
      <c r="X569" s="721"/>
      <c r="Y569" s="48"/>
      <c r="Z569" s="48"/>
      <c r="AA569" s="48"/>
      <c r="AB569" s="711"/>
      <c r="AC569" s="711"/>
      <c r="AD569" s="711"/>
      <c r="AE569" s="711"/>
      <c r="AF569" s="711"/>
      <c r="AG569" s="711"/>
      <c r="AH569" s="711"/>
    </row>
    <row r="570">
      <c r="A570" s="48"/>
      <c r="B570" s="48"/>
      <c r="C570" s="48"/>
      <c r="D570" s="721"/>
      <c r="E570" s="711"/>
      <c r="F570" s="711"/>
      <c r="G570" s="721"/>
      <c r="H570" s="721"/>
      <c r="I570" s="721"/>
      <c r="J570" s="48"/>
      <c r="K570" s="721"/>
      <c r="L570" s="721"/>
      <c r="M570" s="721"/>
      <c r="N570" s="719"/>
      <c r="O570" s="48"/>
      <c r="P570" s="719"/>
      <c r="Q570" s="48"/>
      <c r="R570" s="48"/>
      <c r="S570" s="711" t="str">
        <f>IFERROR(__xludf.DUMMYFUNCTION("""COMPUTED_VALUE"""),"")</f>
        <v/>
      </c>
      <c r="T570" s="721"/>
      <c r="U570" s="721"/>
      <c r="V570" s="711"/>
      <c r="W570" s="721"/>
      <c r="X570" s="721"/>
      <c r="Y570" s="48"/>
      <c r="Z570" s="48"/>
      <c r="AA570" s="48"/>
      <c r="AB570" s="711"/>
      <c r="AC570" s="711"/>
      <c r="AD570" s="711"/>
      <c r="AE570" s="711"/>
      <c r="AF570" s="711"/>
      <c r="AG570" s="711"/>
      <c r="AH570" s="711"/>
    </row>
    <row r="571">
      <c r="A571" s="48"/>
      <c r="B571" s="48"/>
      <c r="C571" s="48"/>
      <c r="D571" s="721"/>
      <c r="E571" s="711"/>
      <c r="F571" s="711"/>
      <c r="G571" s="721"/>
      <c r="H571" s="721"/>
      <c r="I571" s="721"/>
      <c r="J571" s="48"/>
      <c r="K571" s="721"/>
      <c r="L571" s="721"/>
      <c r="M571" s="721"/>
      <c r="N571" s="719"/>
      <c r="O571" s="48"/>
      <c r="P571" s="719"/>
      <c r="Q571" s="48"/>
      <c r="R571" s="48"/>
      <c r="S571" s="711" t="str">
        <f>IFERROR(__xludf.DUMMYFUNCTION("""COMPUTED_VALUE"""),"")</f>
        <v/>
      </c>
      <c r="T571" s="721"/>
      <c r="U571" s="721"/>
      <c r="V571" s="711"/>
      <c r="W571" s="721"/>
      <c r="X571" s="721"/>
      <c r="Y571" s="48"/>
      <c r="Z571" s="48"/>
      <c r="AA571" s="48"/>
      <c r="AB571" s="711"/>
      <c r="AC571" s="711"/>
      <c r="AD571" s="711"/>
      <c r="AE571" s="711"/>
      <c r="AF571" s="711"/>
      <c r="AG571" s="711"/>
      <c r="AH571" s="711"/>
    </row>
    <row r="572">
      <c r="A572" s="48"/>
      <c r="B572" s="48"/>
      <c r="C572" s="48"/>
      <c r="D572" s="721"/>
      <c r="E572" s="711"/>
      <c r="F572" s="711"/>
      <c r="G572" s="721"/>
      <c r="H572" s="721"/>
      <c r="I572" s="721"/>
      <c r="J572" s="48"/>
      <c r="K572" s="721"/>
      <c r="L572" s="721"/>
      <c r="M572" s="721"/>
      <c r="N572" s="719"/>
      <c r="O572" s="48"/>
      <c r="P572" s="719"/>
      <c r="Q572" s="48"/>
      <c r="R572" s="48"/>
      <c r="S572" s="711" t="str">
        <f>IFERROR(__xludf.DUMMYFUNCTION("""COMPUTED_VALUE"""),"")</f>
        <v/>
      </c>
      <c r="T572" s="721"/>
      <c r="U572" s="721"/>
      <c r="V572" s="711"/>
      <c r="W572" s="721"/>
      <c r="X572" s="721"/>
      <c r="Y572" s="48"/>
      <c r="Z572" s="48"/>
      <c r="AA572" s="48"/>
      <c r="AB572" s="711"/>
      <c r="AC572" s="711"/>
      <c r="AD572" s="711"/>
      <c r="AE572" s="711"/>
      <c r="AF572" s="711"/>
      <c r="AG572" s="711"/>
      <c r="AH572" s="711"/>
    </row>
    <row r="573">
      <c r="A573" s="48"/>
      <c r="B573" s="48"/>
      <c r="C573" s="48"/>
      <c r="D573" s="721"/>
      <c r="E573" s="711"/>
      <c r="F573" s="711"/>
      <c r="G573" s="721"/>
      <c r="H573" s="721"/>
      <c r="I573" s="721"/>
      <c r="J573" s="48"/>
      <c r="K573" s="721"/>
      <c r="L573" s="721"/>
      <c r="M573" s="721"/>
      <c r="N573" s="719"/>
      <c r="O573" s="48"/>
      <c r="P573" s="719"/>
      <c r="Q573" s="48"/>
      <c r="R573" s="48"/>
      <c r="S573" s="711" t="str">
        <f>IFERROR(__xludf.DUMMYFUNCTION("""COMPUTED_VALUE"""),"")</f>
        <v/>
      </c>
      <c r="T573" s="721"/>
      <c r="U573" s="721"/>
      <c r="V573" s="711"/>
      <c r="W573" s="721"/>
      <c r="X573" s="721"/>
      <c r="Y573" s="48"/>
      <c r="Z573" s="48"/>
      <c r="AA573" s="48"/>
      <c r="AB573" s="711"/>
      <c r="AC573" s="711"/>
      <c r="AD573" s="711"/>
      <c r="AE573" s="711"/>
      <c r="AF573" s="711"/>
      <c r="AG573" s="711"/>
      <c r="AH573" s="711"/>
    </row>
    <row r="574">
      <c r="A574" s="48"/>
      <c r="B574" s="48"/>
      <c r="C574" s="48"/>
      <c r="D574" s="721"/>
      <c r="E574" s="711"/>
      <c r="F574" s="711"/>
      <c r="G574" s="721"/>
      <c r="H574" s="721"/>
      <c r="I574" s="721"/>
      <c r="J574" s="48"/>
      <c r="K574" s="721"/>
      <c r="L574" s="721"/>
      <c r="M574" s="721"/>
      <c r="N574" s="719"/>
      <c r="O574" s="48"/>
      <c r="P574" s="719"/>
      <c r="Q574" s="48"/>
      <c r="R574" s="48"/>
      <c r="S574" s="711" t="str">
        <f>IFERROR(__xludf.DUMMYFUNCTION("""COMPUTED_VALUE"""),"")</f>
        <v/>
      </c>
      <c r="T574" s="721"/>
      <c r="U574" s="721"/>
      <c r="V574" s="711"/>
      <c r="W574" s="721"/>
      <c r="X574" s="721"/>
      <c r="Y574" s="48"/>
      <c r="Z574" s="48"/>
      <c r="AA574" s="48"/>
      <c r="AB574" s="711"/>
      <c r="AC574" s="711"/>
      <c r="AD574" s="711"/>
      <c r="AE574" s="711"/>
      <c r="AF574" s="711"/>
      <c r="AG574" s="711"/>
      <c r="AH574" s="711"/>
    </row>
    <row r="575">
      <c r="A575" s="48"/>
      <c r="B575" s="48"/>
      <c r="C575" s="48"/>
      <c r="D575" s="721"/>
      <c r="E575" s="711"/>
      <c r="F575" s="711"/>
      <c r="G575" s="721"/>
      <c r="H575" s="721"/>
      <c r="I575" s="721"/>
      <c r="J575" s="48"/>
      <c r="K575" s="721"/>
      <c r="L575" s="721"/>
      <c r="M575" s="721"/>
      <c r="N575" s="719"/>
      <c r="O575" s="48"/>
      <c r="P575" s="719"/>
      <c r="Q575" s="48"/>
      <c r="R575" s="48"/>
      <c r="S575" s="711" t="str">
        <f>IFERROR(__xludf.DUMMYFUNCTION("""COMPUTED_VALUE"""),"")</f>
        <v/>
      </c>
      <c r="T575" s="721"/>
      <c r="U575" s="721"/>
      <c r="V575" s="711"/>
      <c r="W575" s="721"/>
      <c r="X575" s="721"/>
      <c r="Y575" s="48"/>
      <c r="Z575" s="48"/>
      <c r="AA575" s="48"/>
      <c r="AB575" s="711"/>
      <c r="AC575" s="711"/>
      <c r="AD575" s="711"/>
      <c r="AE575" s="711"/>
      <c r="AF575" s="711"/>
      <c r="AG575" s="711"/>
      <c r="AH575" s="711"/>
    </row>
    <row r="576">
      <c r="A576" s="48"/>
      <c r="B576" s="48"/>
      <c r="C576" s="48"/>
      <c r="D576" s="721"/>
      <c r="E576" s="711"/>
      <c r="F576" s="711"/>
      <c r="G576" s="721"/>
      <c r="H576" s="721"/>
      <c r="I576" s="721"/>
      <c r="J576" s="48"/>
      <c r="K576" s="721"/>
      <c r="L576" s="721"/>
      <c r="M576" s="721"/>
      <c r="N576" s="719"/>
      <c r="O576" s="48"/>
      <c r="P576" s="719"/>
      <c r="Q576" s="48"/>
      <c r="R576" s="48"/>
      <c r="S576" s="711" t="str">
        <f>IFERROR(__xludf.DUMMYFUNCTION("""COMPUTED_VALUE"""),"")</f>
        <v/>
      </c>
      <c r="T576" s="721"/>
      <c r="U576" s="721"/>
      <c r="V576" s="711"/>
      <c r="W576" s="721"/>
      <c r="X576" s="721"/>
      <c r="Y576" s="48"/>
      <c r="Z576" s="48"/>
      <c r="AA576" s="48"/>
      <c r="AB576" s="711"/>
      <c r="AC576" s="711"/>
      <c r="AD576" s="711"/>
      <c r="AE576" s="711"/>
      <c r="AF576" s="711"/>
      <c r="AG576" s="711"/>
      <c r="AH576" s="711"/>
    </row>
    <row r="577">
      <c r="A577" s="48"/>
      <c r="B577" s="48"/>
      <c r="C577" s="48"/>
      <c r="D577" s="721"/>
      <c r="E577" s="711"/>
      <c r="F577" s="711"/>
      <c r="G577" s="721"/>
      <c r="H577" s="721"/>
      <c r="I577" s="721"/>
      <c r="J577" s="48"/>
      <c r="K577" s="721"/>
      <c r="L577" s="721"/>
      <c r="M577" s="721"/>
      <c r="N577" s="719"/>
      <c r="O577" s="48"/>
      <c r="P577" s="719"/>
      <c r="Q577" s="48"/>
      <c r="R577" s="48"/>
      <c r="S577" s="711" t="str">
        <f>IFERROR(__xludf.DUMMYFUNCTION("""COMPUTED_VALUE"""),"")</f>
        <v/>
      </c>
      <c r="T577" s="721"/>
      <c r="U577" s="721"/>
      <c r="V577" s="711"/>
      <c r="W577" s="721"/>
      <c r="X577" s="721"/>
      <c r="Y577" s="48"/>
      <c r="Z577" s="48"/>
      <c r="AA577" s="48"/>
      <c r="AB577" s="711"/>
      <c r="AC577" s="711"/>
      <c r="AD577" s="711"/>
      <c r="AE577" s="711"/>
      <c r="AF577" s="711"/>
      <c r="AG577" s="711"/>
      <c r="AH577" s="711"/>
    </row>
    <row r="578">
      <c r="A578" s="48"/>
      <c r="B578" s="48"/>
      <c r="C578" s="48"/>
      <c r="D578" s="721"/>
      <c r="E578" s="711"/>
      <c r="F578" s="711"/>
      <c r="G578" s="721"/>
      <c r="H578" s="721"/>
      <c r="I578" s="721"/>
      <c r="J578" s="48"/>
      <c r="K578" s="721"/>
      <c r="L578" s="721"/>
      <c r="M578" s="721"/>
      <c r="N578" s="719"/>
      <c r="O578" s="48"/>
      <c r="P578" s="719"/>
      <c r="Q578" s="48"/>
      <c r="R578" s="48"/>
      <c r="S578" s="711" t="str">
        <f>IFERROR(__xludf.DUMMYFUNCTION("""COMPUTED_VALUE"""),"")</f>
        <v/>
      </c>
      <c r="T578" s="721"/>
      <c r="U578" s="721"/>
      <c r="V578" s="711"/>
      <c r="W578" s="721"/>
      <c r="X578" s="721"/>
      <c r="Y578" s="48"/>
      <c r="Z578" s="48"/>
      <c r="AA578" s="48"/>
      <c r="AB578" s="711"/>
      <c r="AC578" s="711"/>
      <c r="AD578" s="711"/>
      <c r="AE578" s="711"/>
      <c r="AF578" s="711"/>
      <c r="AG578" s="711"/>
      <c r="AH578" s="711"/>
    </row>
    <row r="579">
      <c r="A579" s="48"/>
      <c r="B579" s="48"/>
      <c r="C579" s="48"/>
      <c r="D579" s="721"/>
      <c r="E579" s="711"/>
      <c r="F579" s="711"/>
      <c r="G579" s="721"/>
      <c r="H579" s="721"/>
      <c r="I579" s="721"/>
      <c r="J579" s="48"/>
      <c r="K579" s="721"/>
      <c r="L579" s="721"/>
      <c r="M579" s="721"/>
      <c r="N579" s="719"/>
      <c r="O579" s="48"/>
      <c r="P579" s="719"/>
      <c r="Q579" s="48"/>
      <c r="R579" s="48"/>
      <c r="S579" s="711" t="str">
        <f>IFERROR(__xludf.DUMMYFUNCTION("""COMPUTED_VALUE"""),"")</f>
        <v/>
      </c>
      <c r="T579" s="721"/>
      <c r="U579" s="721"/>
      <c r="V579" s="711"/>
      <c r="W579" s="721"/>
      <c r="X579" s="721"/>
      <c r="Y579" s="48"/>
      <c r="Z579" s="48"/>
      <c r="AA579" s="48"/>
      <c r="AB579" s="711"/>
      <c r="AC579" s="711"/>
      <c r="AD579" s="711"/>
      <c r="AE579" s="711"/>
      <c r="AF579" s="711"/>
      <c r="AG579" s="711"/>
      <c r="AH579" s="711"/>
    </row>
    <row r="580">
      <c r="A580" s="48"/>
      <c r="B580" s="48"/>
      <c r="C580" s="48"/>
      <c r="D580" s="721"/>
      <c r="E580" s="711"/>
      <c r="F580" s="711"/>
      <c r="G580" s="721"/>
      <c r="H580" s="721"/>
      <c r="I580" s="721"/>
      <c r="J580" s="48"/>
      <c r="K580" s="721"/>
      <c r="L580" s="721"/>
      <c r="M580" s="721"/>
      <c r="N580" s="719"/>
      <c r="O580" s="48"/>
      <c r="P580" s="719"/>
      <c r="Q580" s="48"/>
      <c r="R580" s="48"/>
      <c r="S580" s="711" t="str">
        <f>IFERROR(__xludf.DUMMYFUNCTION("""COMPUTED_VALUE"""),"")</f>
        <v/>
      </c>
      <c r="T580" s="721"/>
      <c r="U580" s="721"/>
      <c r="V580" s="711"/>
      <c r="W580" s="721"/>
      <c r="X580" s="721"/>
      <c r="Y580" s="48"/>
      <c r="Z580" s="48"/>
      <c r="AA580" s="48"/>
      <c r="AB580" s="711"/>
      <c r="AC580" s="711"/>
      <c r="AD580" s="711"/>
      <c r="AE580" s="711"/>
      <c r="AF580" s="711"/>
      <c r="AG580" s="711"/>
      <c r="AH580" s="711"/>
    </row>
    <row r="581">
      <c r="A581" s="48"/>
      <c r="B581" s="48"/>
      <c r="C581" s="48"/>
      <c r="D581" s="721"/>
      <c r="E581" s="711"/>
      <c r="F581" s="711"/>
      <c r="G581" s="721"/>
      <c r="H581" s="721"/>
      <c r="I581" s="721"/>
      <c r="J581" s="48"/>
      <c r="K581" s="721"/>
      <c r="L581" s="721"/>
      <c r="M581" s="721"/>
      <c r="N581" s="719"/>
      <c r="O581" s="48"/>
      <c r="P581" s="719"/>
      <c r="Q581" s="48"/>
      <c r="R581" s="48"/>
      <c r="S581" s="711" t="str">
        <f>IFERROR(__xludf.DUMMYFUNCTION("""COMPUTED_VALUE"""),"")</f>
        <v/>
      </c>
      <c r="T581" s="721"/>
      <c r="U581" s="721"/>
      <c r="V581" s="711"/>
      <c r="W581" s="721"/>
      <c r="X581" s="721"/>
      <c r="Y581" s="48"/>
      <c r="Z581" s="48"/>
      <c r="AA581" s="48"/>
      <c r="AB581" s="711"/>
      <c r="AC581" s="711"/>
      <c r="AD581" s="711"/>
      <c r="AE581" s="711"/>
      <c r="AF581" s="711"/>
      <c r="AG581" s="711"/>
      <c r="AH581" s="711"/>
    </row>
    <row r="582">
      <c r="A582" s="48"/>
      <c r="B582" s="48"/>
      <c r="C582" s="48"/>
      <c r="D582" s="721"/>
      <c r="E582" s="711"/>
      <c r="F582" s="711"/>
      <c r="G582" s="721"/>
      <c r="H582" s="721"/>
      <c r="I582" s="721"/>
      <c r="J582" s="48"/>
      <c r="K582" s="721"/>
      <c r="L582" s="721"/>
      <c r="M582" s="721"/>
      <c r="N582" s="719"/>
      <c r="O582" s="48"/>
      <c r="P582" s="719"/>
      <c r="Q582" s="48"/>
      <c r="R582" s="48"/>
      <c r="S582" s="711" t="str">
        <f>IFERROR(__xludf.DUMMYFUNCTION("""COMPUTED_VALUE"""),"")</f>
        <v/>
      </c>
      <c r="T582" s="721"/>
      <c r="U582" s="721"/>
      <c r="V582" s="711"/>
      <c r="W582" s="721"/>
      <c r="X582" s="721"/>
      <c r="Y582" s="48"/>
      <c r="Z582" s="48"/>
      <c r="AA582" s="48"/>
      <c r="AB582" s="711"/>
      <c r="AC582" s="711"/>
      <c r="AD582" s="711"/>
      <c r="AE582" s="711"/>
      <c r="AF582" s="711"/>
      <c r="AG582" s="711"/>
      <c r="AH582" s="711"/>
    </row>
    <row r="583">
      <c r="A583" s="48"/>
      <c r="B583" s="48"/>
      <c r="C583" s="48"/>
      <c r="D583" s="721"/>
      <c r="E583" s="711"/>
      <c r="F583" s="711"/>
      <c r="G583" s="721"/>
      <c r="H583" s="721"/>
      <c r="I583" s="721"/>
      <c r="J583" s="48"/>
      <c r="K583" s="721"/>
      <c r="L583" s="721"/>
      <c r="M583" s="721"/>
      <c r="N583" s="719"/>
      <c r="O583" s="48"/>
      <c r="P583" s="719"/>
      <c r="Q583" s="48"/>
      <c r="R583" s="48"/>
      <c r="S583" s="711" t="str">
        <f>IFERROR(__xludf.DUMMYFUNCTION("""COMPUTED_VALUE"""),"")</f>
        <v/>
      </c>
      <c r="T583" s="721"/>
      <c r="U583" s="721"/>
      <c r="V583" s="711"/>
      <c r="W583" s="721"/>
      <c r="X583" s="721"/>
      <c r="Y583" s="48"/>
      <c r="Z583" s="48"/>
      <c r="AA583" s="48"/>
      <c r="AB583" s="711"/>
      <c r="AC583" s="711"/>
      <c r="AD583" s="711"/>
      <c r="AE583" s="711"/>
      <c r="AF583" s="711"/>
      <c r="AG583" s="711"/>
      <c r="AH583" s="711"/>
    </row>
    <row r="584">
      <c r="A584" s="48"/>
      <c r="B584" s="48"/>
      <c r="C584" s="48"/>
      <c r="D584" s="721"/>
      <c r="E584" s="711"/>
      <c r="F584" s="711"/>
      <c r="G584" s="721"/>
      <c r="H584" s="721"/>
      <c r="I584" s="721"/>
      <c r="J584" s="48"/>
      <c r="K584" s="721"/>
      <c r="L584" s="721"/>
      <c r="M584" s="721"/>
      <c r="N584" s="719"/>
      <c r="O584" s="48"/>
      <c r="P584" s="719"/>
      <c r="Q584" s="48"/>
      <c r="R584" s="48"/>
      <c r="S584" s="711" t="str">
        <f>IFERROR(__xludf.DUMMYFUNCTION("""COMPUTED_VALUE"""),"")</f>
        <v/>
      </c>
      <c r="T584" s="721"/>
      <c r="U584" s="721"/>
      <c r="V584" s="711"/>
      <c r="W584" s="721"/>
      <c r="X584" s="721"/>
      <c r="Y584" s="48"/>
      <c r="Z584" s="48"/>
      <c r="AA584" s="48"/>
      <c r="AB584" s="711"/>
      <c r="AC584" s="711"/>
      <c r="AD584" s="711"/>
      <c r="AE584" s="711"/>
      <c r="AF584" s="711"/>
      <c r="AG584" s="711"/>
      <c r="AH584" s="711"/>
    </row>
    <row r="585">
      <c r="A585" s="48"/>
      <c r="B585" s="48"/>
      <c r="C585" s="48"/>
      <c r="D585" s="721"/>
      <c r="E585" s="711"/>
      <c r="F585" s="711"/>
      <c r="G585" s="721"/>
      <c r="H585" s="721"/>
      <c r="I585" s="721"/>
      <c r="J585" s="48"/>
      <c r="K585" s="721"/>
      <c r="L585" s="721"/>
      <c r="M585" s="721"/>
      <c r="N585" s="719"/>
      <c r="O585" s="48"/>
      <c r="P585" s="719"/>
      <c r="Q585" s="48"/>
      <c r="R585" s="48"/>
      <c r="S585" s="711" t="str">
        <f>IFERROR(__xludf.DUMMYFUNCTION("""COMPUTED_VALUE"""),"")</f>
        <v/>
      </c>
      <c r="T585" s="721"/>
      <c r="U585" s="721"/>
      <c r="V585" s="711"/>
      <c r="W585" s="721"/>
      <c r="X585" s="721"/>
      <c r="Y585" s="48"/>
      <c r="Z585" s="48"/>
      <c r="AA585" s="48"/>
      <c r="AB585" s="711"/>
      <c r="AC585" s="711"/>
      <c r="AD585" s="711"/>
      <c r="AE585" s="711"/>
      <c r="AF585" s="711"/>
      <c r="AG585" s="711"/>
      <c r="AH585" s="711"/>
    </row>
    <row r="586">
      <c r="A586" s="48"/>
      <c r="B586" s="48"/>
      <c r="C586" s="48"/>
      <c r="D586" s="721"/>
      <c r="E586" s="711"/>
      <c r="F586" s="711"/>
      <c r="G586" s="721"/>
      <c r="H586" s="721"/>
      <c r="I586" s="721"/>
      <c r="J586" s="48"/>
      <c r="K586" s="721"/>
      <c r="L586" s="721"/>
      <c r="M586" s="721"/>
      <c r="N586" s="719"/>
      <c r="O586" s="48"/>
      <c r="P586" s="719"/>
      <c r="Q586" s="48"/>
      <c r="R586" s="48"/>
      <c r="S586" s="711" t="str">
        <f>IFERROR(__xludf.DUMMYFUNCTION("""COMPUTED_VALUE"""),"")</f>
        <v/>
      </c>
      <c r="T586" s="721"/>
      <c r="U586" s="721"/>
      <c r="V586" s="711"/>
      <c r="W586" s="721"/>
      <c r="X586" s="721"/>
      <c r="Y586" s="48"/>
      <c r="Z586" s="48"/>
      <c r="AA586" s="48"/>
      <c r="AB586" s="711"/>
      <c r="AC586" s="711"/>
      <c r="AD586" s="711"/>
      <c r="AE586" s="711"/>
      <c r="AF586" s="711"/>
      <c r="AG586" s="711"/>
      <c r="AH586" s="711"/>
    </row>
    <row r="587">
      <c r="A587" s="48"/>
      <c r="B587" s="48"/>
      <c r="C587" s="48"/>
      <c r="D587" s="721"/>
      <c r="E587" s="711"/>
      <c r="F587" s="711"/>
      <c r="G587" s="721"/>
      <c r="H587" s="721"/>
      <c r="I587" s="721"/>
      <c r="J587" s="48"/>
      <c r="K587" s="721"/>
      <c r="L587" s="721"/>
      <c r="M587" s="721"/>
      <c r="N587" s="719"/>
      <c r="O587" s="48"/>
      <c r="P587" s="719"/>
      <c r="Q587" s="48"/>
      <c r="R587" s="48"/>
      <c r="S587" s="711" t="str">
        <f>IFERROR(__xludf.DUMMYFUNCTION("""COMPUTED_VALUE"""),"")</f>
        <v/>
      </c>
      <c r="T587" s="721"/>
      <c r="U587" s="721"/>
      <c r="V587" s="711"/>
      <c r="W587" s="721"/>
      <c r="X587" s="721"/>
      <c r="Y587" s="48"/>
      <c r="Z587" s="48"/>
      <c r="AA587" s="48"/>
      <c r="AB587" s="711"/>
      <c r="AC587" s="711"/>
      <c r="AD587" s="711"/>
      <c r="AE587" s="711"/>
      <c r="AF587" s="711"/>
      <c r="AG587" s="711"/>
      <c r="AH587" s="711"/>
    </row>
    <row r="588">
      <c r="A588" s="48"/>
      <c r="B588" s="48"/>
      <c r="C588" s="48"/>
      <c r="D588" s="721"/>
      <c r="E588" s="711"/>
      <c r="F588" s="711"/>
      <c r="G588" s="721"/>
      <c r="H588" s="721"/>
      <c r="I588" s="721"/>
      <c r="J588" s="48"/>
      <c r="K588" s="721"/>
      <c r="L588" s="721"/>
      <c r="M588" s="721"/>
      <c r="N588" s="719"/>
      <c r="O588" s="48"/>
      <c r="P588" s="719"/>
      <c r="Q588" s="48"/>
      <c r="R588" s="48"/>
      <c r="S588" s="711" t="str">
        <f>IFERROR(__xludf.DUMMYFUNCTION("""COMPUTED_VALUE"""),"")</f>
        <v/>
      </c>
      <c r="T588" s="721"/>
      <c r="U588" s="721"/>
      <c r="V588" s="711"/>
      <c r="W588" s="721"/>
      <c r="X588" s="721"/>
      <c r="Y588" s="48"/>
      <c r="Z588" s="48"/>
      <c r="AA588" s="48"/>
      <c r="AB588" s="711"/>
      <c r="AC588" s="711"/>
      <c r="AD588" s="711"/>
      <c r="AE588" s="711"/>
      <c r="AF588" s="711"/>
      <c r="AG588" s="711"/>
      <c r="AH588" s="711"/>
    </row>
    <row r="589">
      <c r="A589" s="48"/>
      <c r="B589" s="48"/>
      <c r="C589" s="48"/>
      <c r="D589" s="721"/>
      <c r="E589" s="711"/>
      <c r="F589" s="711"/>
      <c r="G589" s="721"/>
      <c r="H589" s="721"/>
      <c r="I589" s="721"/>
      <c r="J589" s="48"/>
      <c r="K589" s="721"/>
      <c r="L589" s="721"/>
      <c r="M589" s="721"/>
      <c r="N589" s="719"/>
      <c r="O589" s="48"/>
      <c r="P589" s="719"/>
      <c r="Q589" s="48"/>
      <c r="R589" s="48"/>
      <c r="S589" s="711" t="str">
        <f>IFERROR(__xludf.DUMMYFUNCTION("""COMPUTED_VALUE"""),"")</f>
        <v/>
      </c>
      <c r="T589" s="721"/>
      <c r="U589" s="721"/>
      <c r="V589" s="711"/>
      <c r="W589" s="721"/>
      <c r="X589" s="721"/>
      <c r="Y589" s="48"/>
      <c r="Z589" s="48"/>
      <c r="AA589" s="48"/>
      <c r="AB589" s="711"/>
      <c r="AC589" s="711"/>
      <c r="AD589" s="711"/>
      <c r="AE589" s="711"/>
      <c r="AF589" s="711"/>
      <c r="AG589" s="711"/>
      <c r="AH589" s="711"/>
    </row>
    <row r="590">
      <c r="A590" s="48"/>
      <c r="B590" s="48"/>
      <c r="C590" s="48"/>
      <c r="D590" s="721"/>
      <c r="E590" s="711"/>
      <c r="F590" s="711"/>
      <c r="G590" s="721"/>
      <c r="H590" s="721"/>
      <c r="I590" s="721"/>
      <c r="J590" s="48"/>
      <c r="K590" s="721"/>
      <c r="L590" s="721"/>
      <c r="M590" s="721"/>
      <c r="N590" s="719"/>
      <c r="O590" s="48"/>
      <c r="P590" s="719"/>
      <c r="Q590" s="48"/>
      <c r="R590" s="48"/>
      <c r="S590" s="711" t="str">
        <f>IFERROR(__xludf.DUMMYFUNCTION("""COMPUTED_VALUE"""),"")</f>
        <v/>
      </c>
      <c r="T590" s="721"/>
      <c r="U590" s="721"/>
      <c r="V590" s="711"/>
      <c r="W590" s="721"/>
      <c r="X590" s="721"/>
      <c r="Y590" s="48"/>
      <c r="Z590" s="48"/>
      <c r="AA590" s="48"/>
      <c r="AB590" s="711"/>
      <c r="AC590" s="711"/>
      <c r="AD590" s="711"/>
      <c r="AE590" s="711"/>
      <c r="AF590" s="711"/>
      <c r="AG590" s="711"/>
      <c r="AH590" s="711"/>
    </row>
    <row r="591">
      <c r="A591" s="48"/>
      <c r="B591" s="48"/>
      <c r="C591" s="48"/>
      <c r="D591" s="721"/>
      <c r="E591" s="711"/>
      <c r="F591" s="711"/>
      <c r="G591" s="721"/>
      <c r="H591" s="721"/>
      <c r="I591" s="721"/>
      <c r="J591" s="48"/>
      <c r="K591" s="721"/>
      <c r="L591" s="721"/>
      <c r="M591" s="721"/>
      <c r="N591" s="719"/>
      <c r="O591" s="48"/>
      <c r="P591" s="719"/>
      <c r="Q591" s="48"/>
      <c r="R591" s="48"/>
      <c r="S591" s="711" t="str">
        <f>IFERROR(__xludf.DUMMYFUNCTION("""COMPUTED_VALUE"""),"")</f>
        <v/>
      </c>
      <c r="T591" s="721"/>
      <c r="U591" s="721"/>
      <c r="V591" s="711"/>
      <c r="W591" s="721"/>
      <c r="X591" s="721"/>
      <c r="Y591" s="48"/>
      <c r="Z591" s="48"/>
      <c r="AA591" s="48"/>
      <c r="AB591" s="711"/>
      <c r="AC591" s="711"/>
      <c r="AD591" s="711"/>
      <c r="AE591" s="711"/>
      <c r="AF591" s="711"/>
      <c r="AG591" s="711"/>
      <c r="AH591" s="711"/>
    </row>
    <row r="592">
      <c r="A592" s="48"/>
      <c r="B592" s="48"/>
      <c r="C592" s="48"/>
      <c r="D592" s="721"/>
      <c r="E592" s="711"/>
      <c r="F592" s="711"/>
      <c r="G592" s="721"/>
      <c r="H592" s="721"/>
      <c r="I592" s="721"/>
      <c r="J592" s="48"/>
      <c r="K592" s="721"/>
      <c r="L592" s="721"/>
      <c r="M592" s="721"/>
      <c r="N592" s="719"/>
      <c r="O592" s="48"/>
      <c r="P592" s="719"/>
      <c r="Q592" s="48"/>
      <c r="R592" s="48"/>
      <c r="S592" s="711" t="str">
        <f>IFERROR(__xludf.DUMMYFUNCTION("""COMPUTED_VALUE"""),"")</f>
        <v/>
      </c>
      <c r="T592" s="721"/>
      <c r="U592" s="721"/>
      <c r="V592" s="711"/>
      <c r="W592" s="721"/>
      <c r="X592" s="721"/>
      <c r="Y592" s="48"/>
      <c r="Z592" s="48"/>
      <c r="AA592" s="48"/>
      <c r="AB592" s="711"/>
      <c r="AC592" s="711"/>
      <c r="AD592" s="711"/>
      <c r="AE592" s="711"/>
      <c r="AF592" s="711"/>
      <c r="AG592" s="711"/>
      <c r="AH592" s="711"/>
    </row>
    <row r="593">
      <c r="A593" s="48"/>
      <c r="B593" s="48"/>
      <c r="C593" s="48"/>
      <c r="D593" s="721"/>
      <c r="E593" s="711"/>
      <c r="F593" s="711"/>
      <c r="G593" s="721"/>
      <c r="H593" s="721"/>
      <c r="I593" s="721"/>
      <c r="J593" s="48"/>
      <c r="K593" s="721"/>
      <c r="L593" s="721"/>
      <c r="M593" s="721"/>
      <c r="N593" s="719"/>
      <c r="O593" s="48"/>
      <c r="P593" s="719"/>
      <c r="Q593" s="48"/>
      <c r="R593" s="48"/>
      <c r="S593" s="711" t="str">
        <f>IFERROR(__xludf.DUMMYFUNCTION("""COMPUTED_VALUE"""),"")</f>
        <v/>
      </c>
      <c r="T593" s="721"/>
      <c r="U593" s="721"/>
      <c r="V593" s="711"/>
      <c r="W593" s="721"/>
      <c r="X593" s="721"/>
      <c r="Y593" s="48"/>
      <c r="Z593" s="48"/>
      <c r="AA593" s="48"/>
      <c r="AB593" s="711"/>
      <c r="AC593" s="711"/>
      <c r="AD593" s="711"/>
      <c r="AE593" s="711"/>
      <c r="AF593" s="711"/>
      <c r="AG593" s="711"/>
      <c r="AH593" s="711"/>
    </row>
    <row r="594">
      <c r="A594" s="48"/>
      <c r="B594" s="48"/>
      <c r="C594" s="48"/>
      <c r="D594" s="721"/>
      <c r="E594" s="711"/>
      <c r="F594" s="711"/>
      <c r="G594" s="721"/>
      <c r="H594" s="721"/>
      <c r="I594" s="721"/>
      <c r="J594" s="48"/>
      <c r="K594" s="721"/>
      <c r="L594" s="721"/>
      <c r="M594" s="721"/>
      <c r="N594" s="719"/>
      <c r="O594" s="48"/>
      <c r="P594" s="719"/>
      <c r="Q594" s="48"/>
      <c r="R594" s="48"/>
      <c r="S594" s="711" t="str">
        <f>IFERROR(__xludf.DUMMYFUNCTION("""COMPUTED_VALUE"""),"")</f>
        <v/>
      </c>
      <c r="T594" s="721"/>
      <c r="U594" s="721"/>
      <c r="V594" s="711"/>
      <c r="W594" s="721"/>
      <c r="X594" s="721"/>
      <c r="Y594" s="48"/>
      <c r="Z594" s="48"/>
      <c r="AA594" s="48"/>
      <c r="AB594" s="711"/>
      <c r="AC594" s="711"/>
      <c r="AD594" s="711"/>
      <c r="AE594" s="711"/>
      <c r="AF594" s="711"/>
      <c r="AG594" s="711"/>
      <c r="AH594" s="711"/>
    </row>
    <row r="595">
      <c r="A595" s="48"/>
      <c r="B595" s="48"/>
      <c r="C595" s="48"/>
      <c r="D595" s="721"/>
      <c r="E595" s="711"/>
      <c r="F595" s="711"/>
      <c r="G595" s="721"/>
      <c r="H595" s="721"/>
      <c r="I595" s="721"/>
      <c r="J595" s="48"/>
      <c r="K595" s="721"/>
      <c r="L595" s="721"/>
      <c r="M595" s="721"/>
      <c r="N595" s="719"/>
      <c r="O595" s="48"/>
      <c r="P595" s="719"/>
      <c r="Q595" s="48"/>
      <c r="R595" s="48"/>
      <c r="S595" s="711" t="str">
        <f>IFERROR(__xludf.DUMMYFUNCTION("""COMPUTED_VALUE"""),"")</f>
        <v/>
      </c>
      <c r="T595" s="721"/>
      <c r="U595" s="721"/>
      <c r="V595" s="711"/>
      <c r="W595" s="721"/>
      <c r="X595" s="721"/>
      <c r="Y595" s="48"/>
      <c r="Z595" s="48"/>
      <c r="AA595" s="48"/>
      <c r="AB595" s="711"/>
      <c r="AC595" s="711"/>
      <c r="AD595" s="711"/>
      <c r="AE595" s="711"/>
      <c r="AF595" s="711"/>
      <c r="AG595" s="711"/>
      <c r="AH595" s="711"/>
    </row>
    <row r="596">
      <c r="A596" s="48"/>
      <c r="B596" s="48"/>
      <c r="C596" s="48"/>
      <c r="D596" s="721"/>
      <c r="E596" s="711"/>
      <c r="F596" s="711"/>
      <c r="G596" s="721"/>
      <c r="H596" s="721"/>
      <c r="I596" s="721"/>
      <c r="J596" s="48"/>
      <c r="K596" s="721"/>
      <c r="L596" s="721"/>
      <c r="M596" s="721"/>
      <c r="N596" s="719"/>
      <c r="O596" s="48"/>
      <c r="P596" s="719"/>
      <c r="Q596" s="48"/>
      <c r="R596" s="48"/>
      <c r="S596" s="711" t="str">
        <f>IFERROR(__xludf.DUMMYFUNCTION("""COMPUTED_VALUE"""),"")</f>
        <v/>
      </c>
      <c r="T596" s="721"/>
      <c r="U596" s="721"/>
      <c r="V596" s="711"/>
      <c r="W596" s="721"/>
      <c r="X596" s="721"/>
      <c r="Y596" s="48"/>
      <c r="Z596" s="48"/>
      <c r="AA596" s="48"/>
      <c r="AB596" s="711"/>
      <c r="AC596" s="711"/>
      <c r="AD596" s="711"/>
      <c r="AE596" s="711"/>
      <c r="AF596" s="711"/>
      <c r="AG596" s="711"/>
      <c r="AH596" s="711"/>
    </row>
    <row r="597">
      <c r="A597" s="48"/>
      <c r="B597" s="48"/>
      <c r="C597" s="48"/>
      <c r="D597" s="721"/>
      <c r="E597" s="711"/>
      <c r="F597" s="711"/>
      <c r="G597" s="721"/>
      <c r="H597" s="721"/>
      <c r="I597" s="721"/>
      <c r="J597" s="48"/>
      <c r="K597" s="721"/>
      <c r="L597" s="721"/>
      <c r="M597" s="721"/>
      <c r="N597" s="719"/>
      <c r="O597" s="48"/>
      <c r="P597" s="719"/>
      <c r="Q597" s="48"/>
      <c r="R597" s="48"/>
      <c r="S597" s="711" t="str">
        <f>IFERROR(__xludf.DUMMYFUNCTION("""COMPUTED_VALUE"""),"")</f>
        <v/>
      </c>
      <c r="T597" s="721"/>
      <c r="U597" s="721"/>
      <c r="V597" s="711"/>
      <c r="W597" s="721"/>
      <c r="X597" s="721"/>
      <c r="Y597" s="48"/>
      <c r="Z597" s="48"/>
      <c r="AA597" s="48"/>
      <c r="AB597" s="711"/>
      <c r="AC597" s="711"/>
      <c r="AD597" s="711"/>
      <c r="AE597" s="711"/>
      <c r="AF597" s="711"/>
      <c r="AG597" s="711"/>
      <c r="AH597" s="711"/>
    </row>
    <row r="598">
      <c r="A598" s="48"/>
      <c r="B598" s="48"/>
      <c r="C598" s="48"/>
      <c r="D598" s="721"/>
      <c r="E598" s="711"/>
      <c r="F598" s="711"/>
      <c r="G598" s="721"/>
      <c r="H598" s="721"/>
      <c r="I598" s="721"/>
      <c r="J598" s="48"/>
      <c r="K598" s="721"/>
      <c r="L598" s="721"/>
      <c r="M598" s="721"/>
      <c r="N598" s="719"/>
      <c r="O598" s="48"/>
      <c r="P598" s="719"/>
      <c r="Q598" s="48"/>
      <c r="R598" s="48"/>
      <c r="S598" s="711" t="str">
        <f>IFERROR(__xludf.DUMMYFUNCTION("""COMPUTED_VALUE"""),"")</f>
        <v/>
      </c>
      <c r="T598" s="721"/>
      <c r="U598" s="721"/>
      <c r="V598" s="711"/>
      <c r="W598" s="721"/>
      <c r="X598" s="721"/>
      <c r="Y598" s="48"/>
      <c r="Z598" s="48"/>
      <c r="AA598" s="48"/>
      <c r="AB598" s="711"/>
      <c r="AC598" s="711"/>
      <c r="AD598" s="711"/>
      <c r="AE598" s="711"/>
      <c r="AF598" s="711"/>
      <c r="AG598" s="711"/>
      <c r="AH598" s="711"/>
    </row>
    <row r="599">
      <c r="A599" s="48"/>
      <c r="B599" s="48"/>
      <c r="C599" s="48"/>
      <c r="D599" s="721"/>
      <c r="E599" s="711"/>
      <c r="F599" s="711"/>
      <c r="G599" s="721"/>
      <c r="H599" s="721"/>
      <c r="I599" s="721"/>
      <c r="J599" s="48"/>
      <c r="K599" s="721"/>
      <c r="L599" s="721"/>
      <c r="M599" s="721"/>
      <c r="N599" s="719"/>
      <c r="O599" s="48"/>
      <c r="P599" s="719"/>
      <c r="Q599" s="48"/>
      <c r="R599" s="48"/>
      <c r="S599" s="711" t="str">
        <f>IFERROR(__xludf.DUMMYFUNCTION("""COMPUTED_VALUE"""),"")</f>
        <v/>
      </c>
      <c r="T599" s="721"/>
      <c r="U599" s="721"/>
      <c r="V599" s="711"/>
      <c r="W599" s="721"/>
      <c r="X599" s="721"/>
      <c r="Y599" s="48"/>
      <c r="Z599" s="48"/>
      <c r="AA599" s="48"/>
      <c r="AB599" s="711"/>
      <c r="AC599" s="711"/>
      <c r="AD599" s="711"/>
      <c r="AE599" s="711"/>
      <c r="AF599" s="711"/>
      <c r="AG599" s="711"/>
      <c r="AH599" s="711"/>
    </row>
    <row r="600">
      <c r="A600" s="48"/>
      <c r="B600" s="48"/>
      <c r="C600" s="48"/>
      <c r="D600" s="721"/>
      <c r="E600" s="711"/>
      <c r="F600" s="711"/>
      <c r="G600" s="721"/>
      <c r="H600" s="721"/>
      <c r="I600" s="721"/>
      <c r="J600" s="48"/>
      <c r="K600" s="721"/>
      <c r="L600" s="721"/>
      <c r="M600" s="721"/>
      <c r="N600" s="719"/>
      <c r="O600" s="48"/>
      <c r="P600" s="719"/>
      <c r="Q600" s="48"/>
      <c r="R600" s="48"/>
      <c r="S600" s="711" t="str">
        <f>IFERROR(__xludf.DUMMYFUNCTION("""COMPUTED_VALUE"""),"")</f>
        <v/>
      </c>
      <c r="T600" s="721"/>
      <c r="U600" s="721"/>
      <c r="V600" s="711"/>
      <c r="W600" s="721"/>
      <c r="X600" s="721"/>
      <c r="Y600" s="48"/>
      <c r="Z600" s="48"/>
      <c r="AA600" s="48"/>
      <c r="AB600" s="711"/>
      <c r="AC600" s="711"/>
      <c r="AD600" s="711"/>
      <c r="AE600" s="711"/>
      <c r="AF600" s="711"/>
      <c r="AG600" s="711"/>
      <c r="AH600" s="711"/>
    </row>
    <row r="601">
      <c r="A601" s="48"/>
      <c r="B601" s="48"/>
      <c r="C601" s="48"/>
      <c r="D601" s="721"/>
      <c r="E601" s="711"/>
      <c r="F601" s="711"/>
      <c r="G601" s="721"/>
      <c r="H601" s="721"/>
      <c r="I601" s="721"/>
      <c r="J601" s="48"/>
      <c r="K601" s="721"/>
      <c r="L601" s="721"/>
      <c r="M601" s="721"/>
      <c r="N601" s="719"/>
      <c r="O601" s="48"/>
      <c r="P601" s="719"/>
      <c r="Q601" s="48"/>
      <c r="R601" s="48"/>
      <c r="S601" s="711" t="str">
        <f>IFERROR(__xludf.DUMMYFUNCTION("""COMPUTED_VALUE"""),"")</f>
        <v/>
      </c>
      <c r="T601" s="721"/>
      <c r="U601" s="721"/>
      <c r="V601" s="711"/>
      <c r="W601" s="721"/>
      <c r="X601" s="721"/>
      <c r="Y601" s="48"/>
      <c r="Z601" s="48"/>
      <c r="AA601" s="48"/>
      <c r="AB601" s="711"/>
      <c r="AC601" s="711"/>
      <c r="AD601" s="711"/>
      <c r="AE601" s="711"/>
      <c r="AF601" s="711"/>
      <c r="AG601" s="711"/>
      <c r="AH601" s="711"/>
    </row>
    <row r="602">
      <c r="A602" s="48"/>
      <c r="B602" s="48"/>
      <c r="C602" s="48"/>
      <c r="D602" s="721"/>
      <c r="E602" s="711"/>
      <c r="F602" s="711"/>
      <c r="G602" s="721"/>
      <c r="H602" s="721"/>
      <c r="I602" s="721"/>
      <c r="J602" s="48"/>
      <c r="K602" s="721"/>
      <c r="L602" s="721"/>
      <c r="M602" s="721"/>
      <c r="N602" s="719"/>
      <c r="O602" s="48"/>
      <c r="P602" s="719"/>
      <c r="Q602" s="48"/>
      <c r="R602" s="48"/>
      <c r="S602" s="711" t="str">
        <f>IFERROR(__xludf.DUMMYFUNCTION("""COMPUTED_VALUE"""),"")</f>
        <v/>
      </c>
      <c r="T602" s="721"/>
      <c r="U602" s="721"/>
      <c r="V602" s="711"/>
      <c r="W602" s="721"/>
      <c r="X602" s="721"/>
      <c r="Y602" s="48"/>
      <c r="Z602" s="48"/>
      <c r="AA602" s="48"/>
      <c r="AB602" s="711"/>
      <c r="AC602" s="711"/>
      <c r="AD602" s="711"/>
      <c r="AE602" s="711"/>
      <c r="AF602" s="711"/>
      <c r="AG602" s="711"/>
      <c r="AH602" s="711"/>
    </row>
    <row r="603">
      <c r="A603" s="48"/>
      <c r="B603" s="48"/>
      <c r="C603" s="48"/>
      <c r="D603" s="721"/>
      <c r="E603" s="711"/>
      <c r="F603" s="711"/>
      <c r="G603" s="721"/>
      <c r="H603" s="721"/>
      <c r="I603" s="721"/>
      <c r="J603" s="48"/>
      <c r="K603" s="721"/>
      <c r="L603" s="721"/>
      <c r="M603" s="721"/>
      <c r="N603" s="719"/>
      <c r="O603" s="48"/>
      <c r="P603" s="719"/>
      <c r="Q603" s="48"/>
      <c r="R603" s="48"/>
      <c r="S603" s="711" t="str">
        <f>IFERROR(__xludf.DUMMYFUNCTION("""COMPUTED_VALUE"""),"")</f>
        <v/>
      </c>
      <c r="T603" s="721"/>
      <c r="U603" s="721"/>
      <c r="V603" s="711"/>
      <c r="W603" s="721"/>
      <c r="X603" s="721"/>
      <c r="Y603" s="48"/>
      <c r="Z603" s="48"/>
      <c r="AA603" s="48"/>
      <c r="AB603" s="711"/>
      <c r="AC603" s="711"/>
      <c r="AD603" s="711"/>
      <c r="AE603" s="711"/>
      <c r="AF603" s="711"/>
      <c r="AG603" s="711"/>
      <c r="AH603" s="711"/>
    </row>
    <row r="604">
      <c r="A604" s="48"/>
      <c r="B604" s="48"/>
      <c r="C604" s="48"/>
      <c r="D604" s="721"/>
      <c r="E604" s="711"/>
      <c r="F604" s="711"/>
      <c r="G604" s="721"/>
      <c r="H604" s="721"/>
      <c r="I604" s="721"/>
      <c r="J604" s="48"/>
      <c r="K604" s="721"/>
      <c r="L604" s="721"/>
      <c r="M604" s="721"/>
      <c r="N604" s="719"/>
      <c r="O604" s="48"/>
      <c r="P604" s="719"/>
      <c r="Q604" s="48"/>
      <c r="R604" s="48"/>
      <c r="S604" s="711" t="str">
        <f>IFERROR(__xludf.DUMMYFUNCTION("""COMPUTED_VALUE"""),"")</f>
        <v/>
      </c>
      <c r="T604" s="721"/>
      <c r="U604" s="721"/>
      <c r="V604" s="711"/>
      <c r="W604" s="721"/>
      <c r="X604" s="721"/>
      <c r="Y604" s="48"/>
      <c r="Z604" s="48"/>
      <c r="AA604" s="48"/>
      <c r="AB604" s="711"/>
      <c r="AC604" s="711"/>
      <c r="AD604" s="711"/>
      <c r="AE604" s="711"/>
      <c r="AF604" s="711"/>
      <c r="AG604" s="711"/>
      <c r="AH604" s="711"/>
    </row>
    <row r="605">
      <c r="A605" s="48"/>
      <c r="B605" s="48"/>
      <c r="C605" s="48"/>
      <c r="D605" s="721"/>
      <c r="E605" s="711"/>
      <c r="F605" s="711"/>
      <c r="G605" s="721"/>
      <c r="H605" s="721"/>
      <c r="I605" s="721"/>
      <c r="J605" s="48"/>
      <c r="K605" s="721"/>
      <c r="L605" s="721"/>
      <c r="M605" s="721"/>
      <c r="N605" s="719"/>
      <c r="O605" s="48"/>
      <c r="P605" s="719"/>
      <c r="Q605" s="48"/>
      <c r="R605" s="714" t="str">
        <f>IFERROR(__xludf.DUMMYFUNCTION("""COMPUTED_VALUE"""),"2526STANISCIGIO09.F")</f>
        <v>2526STANISCIGIO09.F</v>
      </c>
      <c r="S605" s="711">
        <f>IFERROR(__xludf.DUMMYFUNCTION("""COMPUTED_VALUE"""),40.0)</f>
        <v>40</v>
      </c>
      <c r="T605" s="722" t="str">
        <f>IFERROR(__xludf.DUMMYFUNCTION("""COMPUTED_VALUE"""),"2526STANISCIGIO09.F")</f>
        <v>2526STANISCIGIO09.F</v>
      </c>
      <c r="U605" s="721"/>
      <c r="V605" s="711"/>
      <c r="W605" s="721"/>
      <c r="X605" s="721"/>
      <c r="Y605" s="48"/>
      <c r="Z605" s="48"/>
      <c r="AA605" s="48"/>
      <c r="AB605" s="711"/>
      <c r="AC605" s="711"/>
      <c r="AD605" s="711"/>
      <c r="AE605" s="711"/>
      <c r="AF605" s="711"/>
      <c r="AG605" s="711"/>
      <c r="AH605" s="711"/>
    </row>
    <row r="606">
      <c r="A606" s="48"/>
      <c r="B606" s="48"/>
      <c r="C606" s="48"/>
      <c r="D606" s="721"/>
      <c r="E606" s="711"/>
      <c r="F606" s="711"/>
      <c r="G606" s="721"/>
      <c r="H606" s="721"/>
      <c r="I606" s="721"/>
      <c r="J606" s="48"/>
      <c r="K606" s="721"/>
      <c r="L606" s="721"/>
      <c r="M606" s="721"/>
      <c r="N606" s="719"/>
      <c r="O606" s="48"/>
      <c r="P606" s="719"/>
      <c r="Q606" s="48"/>
      <c r="R606" s="711" t="str">
        <f>IFERROR(__xludf.DUMMYFUNCTION("""COMPUTED_VALUE"""),"2526MODULOGIO09.Y")</f>
        <v>2526MODULOGIO09.Y</v>
      </c>
      <c r="S606" s="711">
        <f>IFERROR(__xludf.DUMMYFUNCTION("""COMPUTED_VALUE"""),40.0)</f>
        <v>40</v>
      </c>
      <c r="T606" s="721" t="str">
        <f>IFERROR(__xludf.DUMMYFUNCTION("""COMPUTED_VALUE"""),"2526MODULOGIO09.Y")</f>
        <v>2526MODULOGIO09.Y</v>
      </c>
      <c r="U606" s="721"/>
      <c r="V606" s="711"/>
      <c r="W606" s="721"/>
      <c r="X606" s="721"/>
      <c r="Y606" s="48"/>
      <c r="Z606" s="48"/>
      <c r="AA606" s="48"/>
      <c r="AB606" s="711"/>
      <c r="AC606" s="711"/>
      <c r="AD606" s="711"/>
      <c r="AE606" s="711"/>
      <c r="AF606" s="711"/>
      <c r="AG606" s="711"/>
      <c r="AH606" s="711"/>
    </row>
    <row r="607">
      <c r="A607" s="48"/>
      <c r="B607" s="48"/>
      <c r="C607" s="48"/>
      <c r="D607" s="721"/>
      <c r="E607" s="711"/>
      <c r="F607" s="711"/>
      <c r="G607" s="721"/>
      <c r="H607" s="721"/>
      <c r="I607" s="721"/>
      <c r="J607" s="48"/>
      <c r="K607" s="721"/>
      <c r="L607" s="721"/>
      <c r="M607" s="721"/>
      <c r="N607" s="719"/>
      <c r="O607" s="48"/>
      <c r="P607" s="719"/>
      <c r="Q607" s="48"/>
      <c r="R607" s="48"/>
      <c r="S607" s="711" t="str">
        <f>IFERROR(__xludf.DUMMYFUNCTION("""COMPUTED_VALUE"""),"")</f>
        <v/>
      </c>
      <c r="T607" s="721"/>
      <c r="U607" s="721"/>
      <c r="V607" s="711"/>
      <c r="W607" s="721"/>
      <c r="X607" s="721"/>
      <c r="Y607" s="48"/>
      <c r="Z607" s="48"/>
      <c r="AA607" s="48"/>
      <c r="AB607" s="711"/>
      <c r="AC607" s="711"/>
      <c r="AD607" s="711"/>
      <c r="AE607" s="711"/>
      <c r="AF607" s="711"/>
      <c r="AG607" s="711"/>
      <c r="AH607" s="711"/>
    </row>
    <row r="608">
      <c r="A608" s="48"/>
      <c r="B608" s="48"/>
      <c r="C608" s="48"/>
      <c r="D608" s="721"/>
      <c r="E608" s="711"/>
      <c r="F608" s="711"/>
      <c r="G608" s="721"/>
      <c r="H608" s="721"/>
      <c r="I608" s="721"/>
      <c r="J608" s="48"/>
      <c r="K608" s="721"/>
      <c r="L608" s="721"/>
      <c r="M608" s="721"/>
      <c r="N608" s="719"/>
      <c r="O608" s="48"/>
      <c r="P608" s="719"/>
      <c r="Q608" s="48"/>
      <c r="R608" s="48"/>
      <c r="S608" s="711" t="str">
        <f>IFERROR(__xludf.DUMMYFUNCTION("""COMPUTED_VALUE"""),"")</f>
        <v/>
      </c>
      <c r="T608" s="721"/>
      <c r="U608" s="721"/>
      <c r="V608" s="711"/>
      <c r="W608" s="721"/>
      <c r="X608" s="721"/>
      <c r="Y608" s="48"/>
      <c r="Z608" s="48"/>
      <c r="AA608" s="48"/>
      <c r="AB608" s="711"/>
      <c r="AC608" s="711"/>
      <c r="AD608" s="711"/>
      <c r="AE608" s="711"/>
      <c r="AF608" s="711"/>
      <c r="AG608" s="711"/>
      <c r="AH608" s="711"/>
    </row>
    <row r="609">
      <c r="A609" s="48"/>
      <c r="B609" s="48"/>
      <c r="C609" s="48"/>
      <c r="D609" s="721"/>
      <c r="E609" s="711"/>
      <c r="F609" s="711"/>
      <c r="G609" s="721"/>
      <c r="H609" s="721"/>
      <c r="I609" s="721"/>
      <c r="J609" s="48"/>
      <c r="K609" s="721"/>
      <c r="L609" s="721"/>
      <c r="M609" s="721"/>
      <c r="N609" s="719"/>
      <c r="O609" s="48"/>
      <c r="P609" s="719"/>
      <c r="Q609" s="48"/>
      <c r="R609" s="711" t="str">
        <f>IFERROR(__xludf.DUMMYFUNCTION("""COMPUTED_VALUE"""),"2526MODULOGIO09.Y")</f>
        <v>2526MODULOGIO09.Y</v>
      </c>
      <c r="S609" s="711">
        <f>IFERROR(__xludf.DUMMYFUNCTION("""COMPUTED_VALUE"""),40.0)</f>
        <v>40</v>
      </c>
      <c r="T609" s="721" t="str">
        <f>IFERROR(__xludf.DUMMYFUNCTION("""COMPUTED_VALUE"""),"2526MODULOGIO09.Y")</f>
        <v>2526MODULOGIO09.Y</v>
      </c>
      <c r="U609" s="721"/>
      <c r="V609" s="711"/>
      <c r="W609" s="721"/>
      <c r="X609" s="721"/>
      <c r="Y609" s="48"/>
      <c r="Z609" s="48"/>
      <c r="AA609" s="48"/>
      <c r="AB609" s="711"/>
      <c r="AC609" s="711"/>
      <c r="AD609" s="711"/>
      <c r="AE609" s="711"/>
      <c r="AF609" s="711"/>
      <c r="AG609" s="711"/>
      <c r="AH609" s="711"/>
    </row>
    <row r="610">
      <c r="A610" s="48"/>
      <c r="B610" s="48"/>
      <c r="C610" s="48"/>
      <c r="D610" s="721"/>
      <c r="E610" s="711"/>
      <c r="F610" s="711"/>
      <c r="G610" s="721"/>
      <c r="H610" s="721"/>
      <c r="I610" s="721"/>
      <c r="J610" s="48"/>
      <c r="K610" s="721"/>
      <c r="L610" s="721"/>
      <c r="M610" s="721"/>
      <c r="N610" s="719"/>
      <c r="O610" s="48"/>
      <c r="P610" s="719"/>
      <c r="Q610" s="48"/>
      <c r="R610" s="48"/>
      <c r="S610" s="711" t="str">
        <f>IFERROR(__xludf.DUMMYFUNCTION("""COMPUTED_VALUE"""),"")</f>
        <v/>
      </c>
      <c r="T610" s="721"/>
      <c r="U610" s="721"/>
      <c r="V610" s="711"/>
      <c r="W610" s="721"/>
      <c r="X610" s="721"/>
      <c r="Y610" s="48"/>
      <c r="Z610" s="48"/>
      <c r="AA610" s="48"/>
      <c r="AB610" s="711"/>
      <c r="AC610" s="711"/>
      <c r="AD610" s="711"/>
      <c r="AE610" s="711"/>
      <c r="AF610" s="711"/>
      <c r="AG610" s="711"/>
      <c r="AH610" s="711"/>
    </row>
    <row r="611">
      <c r="A611" s="48"/>
      <c r="B611" s="48"/>
      <c r="C611" s="48"/>
      <c r="D611" s="721"/>
      <c r="E611" s="711"/>
      <c r="F611" s="711"/>
      <c r="G611" s="721"/>
      <c r="H611" s="721"/>
      <c r="I611" s="721"/>
      <c r="J611" s="48"/>
      <c r="K611" s="721"/>
      <c r="L611" s="721"/>
      <c r="M611" s="721"/>
      <c r="N611" s="719"/>
      <c r="O611" s="48"/>
      <c r="P611" s="719"/>
      <c r="Q611" s="48"/>
      <c r="R611" s="48"/>
      <c r="S611" s="711" t="str">
        <f>IFERROR(__xludf.DUMMYFUNCTION("""COMPUTED_VALUE"""),"")</f>
        <v/>
      </c>
      <c r="T611" s="721"/>
      <c r="U611" s="721"/>
      <c r="V611" s="711"/>
      <c r="W611" s="721"/>
      <c r="X611" s="721"/>
      <c r="Y611" s="48"/>
      <c r="Z611" s="48"/>
      <c r="AA611" s="48"/>
      <c r="AB611" s="711"/>
      <c r="AC611" s="711"/>
      <c r="AD611" s="711"/>
      <c r="AE611" s="711"/>
      <c r="AF611" s="711"/>
      <c r="AG611" s="711"/>
      <c r="AH611" s="711"/>
    </row>
    <row r="612">
      <c r="A612" s="48"/>
      <c r="B612" s="48"/>
      <c r="C612" s="48"/>
      <c r="D612" s="721"/>
      <c r="E612" s="711"/>
      <c r="F612" s="711"/>
      <c r="G612" s="721"/>
      <c r="H612" s="721"/>
      <c r="I612" s="721"/>
      <c r="J612" s="48"/>
      <c r="K612" s="721"/>
      <c r="L612" s="721"/>
      <c r="M612" s="721"/>
      <c r="N612" s="719"/>
      <c r="O612" s="48"/>
      <c r="P612" s="719"/>
      <c r="Q612" s="48"/>
      <c r="R612" s="711" t="str">
        <f>IFERROR(__xludf.DUMMYFUNCTION("""COMPUTED_VALUE"""),"2526MODULOGIO09.Y")</f>
        <v>2526MODULOGIO09.Y</v>
      </c>
      <c r="S612" s="711">
        <f>IFERROR(__xludf.DUMMYFUNCTION("""COMPUTED_VALUE"""),40.0)</f>
        <v>40</v>
      </c>
      <c r="T612" s="721" t="str">
        <f>IFERROR(__xludf.DUMMYFUNCTION("""COMPUTED_VALUE"""),"2526MODULOGIO09.Y")</f>
        <v>2526MODULOGIO09.Y</v>
      </c>
      <c r="U612" s="721"/>
      <c r="V612" s="711"/>
      <c r="W612" s="721"/>
      <c r="X612" s="721"/>
      <c r="Y612" s="48"/>
      <c r="Z612" s="48"/>
      <c r="AA612" s="48"/>
      <c r="AB612" s="711"/>
      <c r="AC612" s="711"/>
      <c r="AD612" s="711"/>
      <c r="AE612" s="711"/>
      <c r="AF612" s="711"/>
      <c r="AG612" s="711"/>
      <c r="AH612" s="711"/>
    </row>
    <row r="613">
      <c r="A613" s="48"/>
      <c r="B613" s="48"/>
      <c r="C613" s="48"/>
      <c r="D613" s="721"/>
      <c r="E613" s="711"/>
      <c r="F613" s="711"/>
      <c r="G613" s="721"/>
      <c r="H613" s="721"/>
      <c r="I613" s="721"/>
      <c r="J613" s="48"/>
      <c r="K613" s="721"/>
      <c r="L613" s="721"/>
      <c r="M613" s="721"/>
      <c r="N613" s="719"/>
      <c r="O613" s="48"/>
      <c r="P613" s="719"/>
      <c r="Q613" s="48"/>
      <c r="R613" s="711" t="str">
        <f>IFERROR(__xludf.DUMMYFUNCTION("""COMPUTED_VALUE"""),"2526SEABRAGIO09.Y")</f>
        <v>2526SEABRAGIO09.Y</v>
      </c>
      <c r="S613" s="711">
        <f>IFERROR(__xludf.DUMMYFUNCTION("""COMPUTED_VALUE"""),20.0)</f>
        <v>20</v>
      </c>
      <c r="T613" s="721" t="str">
        <f>IFERROR(__xludf.DUMMYFUNCTION("""COMPUTED_VALUE"""),"2526SEABRAGIO09.Y")</f>
        <v>2526SEABRAGIO09.Y</v>
      </c>
      <c r="U613" s="721"/>
      <c r="V613" s="711"/>
      <c r="W613" s="721"/>
      <c r="X613" s="721"/>
      <c r="Y613" s="48"/>
      <c r="Z613" s="48"/>
      <c r="AA613" s="48"/>
      <c r="AB613" s="711"/>
      <c r="AC613" s="711"/>
      <c r="AD613" s="711"/>
      <c r="AE613" s="711"/>
      <c r="AF613" s="711"/>
      <c r="AG613" s="711"/>
      <c r="AH613" s="711"/>
    </row>
    <row r="614">
      <c r="A614" s="48"/>
      <c r="B614" s="48"/>
      <c r="C614" s="48"/>
      <c r="D614" s="721"/>
      <c r="E614" s="711"/>
      <c r="F614" s="711"/>
      <c r="G614" s="721"/>
      <c r="H614" s="721"/>
      <c r="I614" s="721"/>
      <c r="J614" s="48"/>
      <c r="K614" s="721"/>
      <c r="L614" s="721"/>
      <c r="M614" s="721"/>
      <c r="N614" s="719"/>
      <c r="O614" s="48"/>
      <c r="P614" s="719"/>
      <c r="Q614" s="48"/>
      <c r="R614" s="48"/>
      <c r="S614" s="711" t="str">
        <f>IFERROR(__xludf.DUMMYFUNCTION("""COMPUTED_VALUE"""),"")</f>
        <v/>
      </c>
      <c r="T614" s="721"/>
      <c r="U614" s="721"/>
      <c r="V614" s="711"/>
      <c r="W614" s="721"/>
      <c r="X614" s="721"/>
      <c r="Y614" s="48"/>
      <c r="Z614" s="48"/>
      <c r="AA614" s="48"/>
      <c r="AB614" s="711"/>
      <c r="AC614" s="711"/>
      <c r="AD614" s="711"/>
      <c r="AE614" s="711"/>
      <c r="AF614" s="711"/>
      <c r="AG614" s="711"/>
      <c r="AH614" s="711"/>
    </row>
    <row r="615">
      <c r="A615" s="48"/>
      <c r="B615" s="48"/>
      <c r="C615" s="48"/>
      <c r="D615" s="721"/>
      <c r="E615" s="711"/>
      <c r="F615" s="711"/>
      <c r="G615" s="721"/>
      <c r="H615" s="721"/>
      <c r="I615" s="721"/>
      <c r="J615" s="48"/>
      <c r="K615" s="721"/>
      <c r="L615" s="721"/>
      <c r="M615" s="721"/>
      <c r="N615" s="719"/>
      <c r="O615" s="48"/>
      <c r="P615" s="719"/>
      <c r="Q615" s="48"/>
      <c r="R615" s="48"/>
      <c r="S615" s="711" t="str">
        <f>IFERROR(__xludf.DUMMYFUNCTION("""COMPUTED_VALUE"""),"")</f>
        <v/>
      </c>
      <c r="T615" s="721"/>
      <c r="U615" s="721"/>
      <c r="V615" s="711"/>
      <c r="W615" s="721"/>
      <c r="X615" s="721"/>
      <c r="Y615" s="48"/>
      <c r="Z615" s="48"/>
      <c r="AA615" s="48"/>
      <c r="AB615" s="711"/>
      <c r="AC615" s="711"/>
      <c r="AD615" s="711"/>
      <c r="AE615" s="711"/>
      <c r="AF615" s="711"/>
      <c r="AG615" s="711"/>
      <c r="AH615" s="711"/>
    </row>
    <row r="616">
      <c r="A616" s="48"/>
      <c r="B616" s="48"/>
      <c r="C616" s="48"/>
      <c r="D616" s="721"/>
      <c r="E616" s="711"/>
      <c r="F616" s="711"/>
      <c r="G616" s="721"/>
      <c r="H616" s="721"/>
      <c r="I616" s="721"/>
      <c r="J616" s="48"/>
      <c r="K616" s="721"/>
      <c r="L616" s="721"/>
      <c r="M616" s="721"/>
      <c r="N616" s="719"/>
      <c r="O616" s="48"/>
      <c r="P616" s="719"/>
      <c r="Q616" s="48"/>
      <c r="R616" s="48"/>
      <c r="S616" s="711" t="str">
        <f>IFERROR(__xludf.DUMMYFUNCTION("""COMPUTED_VALUE"""),"")</f>
        <v/>
      </c>
      <c r="T616" s="721"/>
      <c r="U616" s="721"/>
      <c r="V616" s="711"/>
      <c r="W616" s="721"/>
      <c r="X616" s="721"/>
      <c r="Y616" s="48"/>
      <c r="Z616" s="48"/>
      <c r="AA616" s="48"/>
      <c r="AB616" s="711"/>
      <c r="AC616" s="711"/>
      <c r="AD616" s="711"/>
      <c r="AE616" s="711"/>
      <c r="AF616" s="711"/>
      <c r="AG616" s="711"/>
      <c r="AH616" s="711"/>
    </row>
    <row r="617">
      <c r="A617" s="48"/>
      <c r="B617" s="48"/>
      <c r="C617" s="48"/>
      <c r="D617" s="721"/>
      <c r="E617" s="711"/>
      <c r="F617" s="711"/>
      <c r="G617" s="721"/>
      <c r="H617" s="721"/>
      <c r="I617" s="721"/>
      <c r="J617" s="48"/>
      <c r="K617" s="721"/>
      <c r="L617" s="721"/>
      <c r="M617" s="721"/>
      <c r="N617" s="719"/>
      <c r="O617" s="48"/>
      <c r="P617" s="719"/>
      <c r="Q617" s="48"/>
      <c r="R617" s="48"/>
      <c r="S617" s="711" t="str">
        <f>IFERROR(__xludf.DUMMYFUNCTION("""COMPUTED_VALUE"""),"")</f>
        <v/>
      </c>
      <c r="T617" s="721"/>
      <c r="U617" s="721"/>
      <c r="V617" s="711"/>
      <c r="W617" s="721"/>
      <c r="X617" s="721"/>
      <c r="Y617" s="48"/>
      <c r="Z617" s="48"/>
      <c r="AA617" s="48"/>
      <c r="AB617" s="711"/>
      <c r="AC617" s="711"/>
      <c r="AD617" s="711"/>
      <c r="AE617" s="711"/>
      <c r="AF617" s="711"/>
      <c r="AG617" s="711"/>
      <c r="AH617" s="711"/>
    </row>
    <row r="618">
      <c r="A618" s="48"/>
      <c r="B618" s="48"/>
      <c r="C618" s="48"/>
      <c r="D618" s="721"/>
      <c r="E618" s="711"/>
      <c r="F618" s="711"/>
      <c r="G618" s="721"/>
      <c r="H618" s="721"/>
      <c r="I618" s="721"/>
      <c r="J618" s="48"/>
      <c r="K618" s="721"/>
      <c r="L618" s="721"/>
      <c r="M618" s="721"/>
      <c r="N618" s="719"/>
      <c r="O618" s="48"/>
      <c r="P618" s="719"/>
      <c r="Q618" s="48"/>
      <c r="R618" s="711" t="str">
        <f>IFERROR(__xludf.DUMMYFUNCTION("""COMPUTED_VALUE"""),"2526MODULOGIO10.Y")</f>
        <v>2526MODULOGIO10.Y</v>
      </c>
      <c r="S618" s="711">
        <f>IFERROR(__xludf.DUMMYFUNCTION("""COMPUTED_VALUE"""),40.0)</f>
        <v>40</v>
      </c>
      <c r="T618" s="721" t="str">
        <f>IFERROR(__xludf.DUMMYFUNCTION("""COMPUTED_VALUE"""),"2526MODULOGIO10.Y")</f>
        <v>2526MODULOGIO10.Y</v>
      </c>
      <c r="U618" s="721"/>
      <c r="V618" s="711"/>
      <c r="W618" s="721"/>
      <c r="X618" s="721"/>
      <c r="Y618" s="48"/>
      <c r="Z618" s="48"/>
      <c r="AA618" s="48"/>
      <c r="AB618" s="711"/>
      <c r="AC618" s="711"/>
      <c r="AD618" s="711"/>
      <c r="AE618" s="711"/>
      <c r="AF618" s="711"/>
      <c r="AG618" s="711"/>
      <c r="AH618" s="711"/>
    </row>
    <row r="619">
      <c r="A619" s="48"/>
      <c r="B619" s="48"/>
      <c r="C619" s="48"/>
      <c r="D619" s="721"/>
      <c r="E619" s="711"/>
      <c r="F619" s="711"/>
      <c r="G619" s="721"/>
      <c r="H619" s="721"/>
      <c r="I619" s="721"/>
      <c r="J619" s="48"/>
      <c r="K619" s="721"/>
      <c r="L619" s="721"/>
      <c r="M619" s="721"/>
      <c r="N619" s="719"/>
      <c r="O619" s="48"/>
      <c r="P619" s="719"/>
      <c r="Q619" s="48"/>
      <c r="R619" s="48"/>
      <c r="S619" s="711" t="str">
        <f>IFERROR(__xludf.DUMMYFUNCTION("""COMPUTED_VALUE"""),"")</f>
        <v/>
      </c>
      <c r="T619" s="721"/>
      <c r="U619" s="721"/>
      <c r="V619" s="711"/>
      <c r="W619" s="721"/>
      <c r="X619" s="721"/>
      <c r="Y619" s="48"/>
      <c r="Z619" s="48"/>
      <c r="AA619" s="48"/>
      <c r="AB619" s="711"/>
      <c r="AC619" s="711"/>
      <c r="AD619" s="711"/>
      <c r="AE619" s="711"/>
      <c r="AF619" s="711"/>
      <c r="AG619" s="711"/>
      <c r="AH619" s="711"/>
    </row>
    <row r="620">
      <c r="A620" s="48"/>
      <c r="B620" s="48"/>
      <c r="C620" s="48"/>
      <c r="D620" s="721"/>
      <c r="E620" s="711"/>
      <c r="F620" s="711"/>
      <c r="G620" s="721"/>
      <c r="H620" s="721"/>
      <c r="I620" s="721"/>
      <c r="J620" s="48"/>
      <c r="K620" s="721"/>
      <c r="L620" s="721"/>
      <c r="M620" s="721"/>
      <c r="N620" s="719"/>
      <c r="O620" s="48"/>
      <c r="P620" s="719"/>
      <c r="Q620" s="48"/>
      <c r="R620" s="48"/>
      <c r="S620" s="711" t="str">
        <f>IFERROR(__xludf.DUMMYFUNCTION("""COMPUTED_VALUE"""),"")</f>
        <v/>
      </c>
      <c r="T620" s="721"/>
      <c r="U620" s="721"/>
      <c r="V620" s="711"/>
      <c r="W620" s="721"/>
      <c r="X620" s="721"/>
      <c r="Y620" s="48"/>
      <c r="Z620" s="48"/>
      <c r="AA620" s="48"/>
      <c r="AB620" s="711"/>
      <c r="AC620" s="711"/>
      <c r="AD620" s="711"/>
      <c r="AE620" s="711"/>
      <c r="AF620" s="711"/>
      <c r="AG620" s="711"/>
      <c r="AH620" s="711"/>
    </row>
    <row r="621">
      <c r="A621" s="48"/>
      <c r="B621" s="48"/>
      <c r="C621" s="48"/>
      <c r="D621" s="721"/>
      <c r="E621" s="711"/>
      <c r="F621" s="711"/>
      <c r="G621" s="721"/>
      <c r="H621" s="721"/>
      <c r="I621" s="721"/>
      <c r="J621" s="48"/>
      <c r="K621" s="721"/>
      <c r="L621" s="721"/>
      <c r="M621" s="721"/>
      <c r="N621" s="719"/>
      <c r="O621" s="48"/>
      <c r="P621" s="719"/>
      <c r="Q621" s="48"/>
      <c r="R621" s="711" t="str">
        <f>IFERROR(__xludf.DUMMYFUNCTION("""COMPUTED_VALUE"""),"2526MODULOGIO10.Y")</f>
        <v>2526MODULOGIO10.Y</v>
      </c>
      <c r="S621" s="711">
        <f>IFERROR(__xludf.DUMMYFUNCTION("""COMPUTED_VALUE"""),40.0)</f>
        <v>40</v>
      </c>
      <c r="T621" s="721" t="str">
        <f>IFERROR(__xludf.DUMMYFUNCTION("""COMPUTED_VALUE"""),"2526MODULOGIO10.Y")</f>
        <v>2526MODULOGIO10.Y</v>
      </c>
      <c r="U621" s="721"/>
      <c r="V621" s="711"/>
      <c r="W621" s="721"/>
      <c r="X621" s="721"/>
      <c r="Y621" s="48"/>
      <c r="Z621" s="48"/>
      <c r="AA621" s="48"/>
      <c r="AB621" s="711"/>
      <c r="AC621" s="711"/>
      <c r="AD621" s="711"/>
      <c r="AE621" s="711"/>
      <c r="AF621" s="711"/>
      <c r="AG621" s="711"/>
      <c r="AH621" s="711"/>
    </row>
    <row r="622">
      <c r="A622" s="48"/>
      <c r="B622" s="48"/>
      <c r="C622" s="48"/>
      <c r="D622" s="721"/>
      <c r="E622" s="711"/>
      <c r="F622" s="711"/>
      <c r="G622" s="721"/>
      <c r="H622" s="721"/>
      <c r="I622" s="721"/>
      <c r="J622" s="48"/>
      <c r="K622" s="721"/>
      <c r="L622" s="721"/>
      <c r="M622" s="721"/>
      <c r="N622" s="719"/>
      <c r="O622" s="48"/>
      <c r="P622" s="719"/>
      <c r="Q622" s="48"/>
      <c r="R622" s="48"/>
      <c r="S622" s="711" t="str">
        <f>IFERROR(__xludf.DUMMYFUNCTION("""COMPUTED_VALUE"""),"")</f>
        <v/>
      </c>
      <c r="T622" s="721"/>
      <c r="U622" s="721"/>
      <c r="V622" s="711"/>
      <c r="W622" s="721"/>
      <c r="X622" s="721"/>
      <c r="Y622" s="48"/>
      <c r="Z622" s="48"/>
      <c r="AA622" s="48"/>
      <c r="AB622" s="711"/>
      <c r="AC622" s="711"/>
      <c r="AD622" s="711"/>
      <c r="AE622" s="711"/>
      <c r="AF622" s="711"/>
      <c r="AG622" s="711"/>
      <c r="AH622" s="711"/>
    </row>
    <row r="623">
      <c r="A623" s="48"/>
      <c r="B623" s="48"/>
      <c r="C623" s="48"/>
      <c r="D623" s="721"/>
      <c r="E623" s="711"/>
      <c r="F623" s="711"/>
      <c r="G623" s="721"/>
      <c r="H623" s="721"/>
      <c r="I623" s="721"/>
      <c r="J623" s="48"/>
      <c r="K623" s="721"/>
      <c r="L623" s="721"/>
      <c r="M623" s="721"/>
      <c r="N623" s="719"/>
      <c r="O623" s="48"/>
      <c r="P623" s="719"/>
      <c r="Q623" s="48"/>
      <c r="R623" s="48"/>
      <c r="S623" s="711" t="str">
        <f>IFERROR(__xludf.DUMMYFUNCTION("""COMPUTED_VALUE"""),"")</f>
        <v/>
      </c>
      <c r="T623" s="721"/>
      <c r="U623" s="721"/>
      <c r="V623" s="711"/>
      <c r="W623" s="721"/>
      <c r="X623" s="721"/>
      <c r="Y623" s="48"/>
      <c r="Z623" s="48"/>
      <c r="AA623" s="48"/>
      <c r="AB623" s="711"/>
      <c r="AC623" s="711"/>
      <c r="AD623" s="711"/>
      <c r="AE623" s="711"/>
      <c r="AF623" s="711"/>
      <c r="AG623" s="711"/>
      <c r="AH623" s="711"/>
    </row>
    <row r="624">
      <c r="A624" s="48"/>
      <c r="B624" s="48"/>
      <c r="C624" s="48"/>
      <c r="D624" s="721"/>
      <c r="E624" s="711"/>
      <c r="F624" s="711"/>
      <c r="G624" s="721"/>
      <c r="H624" s="721"/>
      <c r="I624" s="721"/>
      <c r="J624" s="48"/>
      <c r="K624" s="721"/>
      <c r="L624" s="721"/>
      <c r="M624" s="721"/>
      <c r="N624" s="719"/>
      <c r="O624" s="48"/>
      <c r="P624" s="719"/>
      <c r="Q624" s="48"/>
      <c r="R624" s="711" t="str">
        <f>IFERROR(__xludf.DUMMYFUNCTION("""COMPUTED_VALUE"""),"2526MODULOGIO10.Y")</f>
        <v>2526MODULOGIO10.Y</v>
      </c>
      <c r="S624" s="711">
        <f>IFERROR(__xludf.DUMMYFUNCTION("""COMPUTED_VALUE"""),40.0)</f>
        <v>40</v>
      </c>
      <c r="T624" s="721" t="str">
        <f>IFERROR(__xludf.DUMMYFUNCTION("""COMPUTED_VALUE"""),"2526MODULOGIO10.Y")</f>
        <v>2526MODULOGIO10.Y</v>
      </c>
      <c r="U624" s="721"/>
      <c r="V624" s="711"/>
      <c r="W624" s="721"/>
      <c r="X624" s="721"/>
      <c r="Y624" s="48"/>
      <c r="Z624" s="48"/>
      <c r="AA624" s="48"/>
      <c r="AB624" s="711"/>
      <c r="AC624" s="711"/>
      <c r="AD624" s="711"/>
      <c r="AE624" s="711"/>
      <c r="AF624" s="711"/>
      <c r="AG624" s="711"/>
      <c r="AH624" s="711"/>
    </row>
    <row r="625">
      <c r="A625" s="48"/>
      <c r="B625" s="48"/>
      <c r="C625" s="48"/>
      <c r="D625" s="721"/>
      <c r="E625" s="711"/>
      <c r="F625" s="711"/>
      <c r="G625" s="721"/>
      <c r="H625" s="721"/>
      <c r="I625" s="721"/>
      <c r="J625" s="48"/>
      <c r="K625" s="721"/>
      <c r="L625" s="721"/>
      <c r="M625" s="721"/>
      <c r="N625" s="719"/>
      <c r="O625" s="48"/>
      <c r="P625" s="719"/>
      <c r="Q625" s="48"/>
      <c r="R625" s="711" t="str">
        <f>IFERROR(__xludf.DUMMYFUNCTION("""COMPUTED_VALUE"""),"2526SEABRAGIO10.Y")</f>
        <v>2526SEABRAGIO10.Y</v>
      </c>
      <c r="S625" s="711">
        <f>IFERROR(__xludf.DUMMYFUNCTION("""COMPUTED_VALUE"""),20.0)</f>
        <v>20</v>
      </c>
      <c r="T625" s="721" t="str">
        <f>IFERROR(__xludf.DUMMYFUNCTION("""COMPUTED_VALUE"""),"2526SEABRAGIO10.Y")</f>
        <v>2526SEABRAGIO10.Y</v>
      </c>
      <c r="U625" s="721"/>
      <c r="V625" s="711"/>
      <c r="W625" s="721"/>
      <c r="X625" s="721"/>
      <c r="Y625" s="48"/>
      <c r="Z625" s="48"/>
      <c r="AA625" s="48"/>
      <c r="AB625" s="711"/>
      <c r="AC625" s="711"/>
      <c r="AD625" s="711"/>
      <c r="AE625" s="711"/>
      <c r="AF625" s="711"/>
      <c r="AG625" s="711"/>
      <c r="AH625" s="711"/>
    </row>
    <row r="626">
      <c r="A626" s="48"/>
      <c r="B626" s="48"/>
      <c r="C626" s="48"/>
      <c r="D626" s="721"/>
      <c r="E626" s="711"/>
      <c r="F626" s="711"/>
      <c r="G626" s="721"/>
      <c r="H626" s="721"/>
      <c r="I626" s="721"/>
      <c r="J626" s="48"/>
      <c r="K626" s="721"/>
      <c r="L626" s="721"/>
      <c r="M626" s="721"/>
      <c r="N626" s="719"/>
      <c r="O626" s="48"/>
      <c r="P626" s="719"/>
      <c r="Q626" s="48"/>
      <c r="R626" s="48"/>
      <c r="S626" s="711" t="str">
        <f>IFERROR(__xludf.DUMMYFUNCTION("""COMPUTED_VALUE"""),"")</f>
        <v/>
      </c>
      <c r="T626" s="721"/>
      <c r="U626" s="721"/>
      <c r="V626" s="711"/>
      <c r="W626" s="721"/>
      <c r="X626" s="721"/>
      <c r="Y626" s="48"/>
      <c r="Z626" s="48"/>
      <c r="AA626" s="48"/>
      <c r="AB626" s="711"/>
      <c r="AC626" s="711"/>
      <c r="AD626" s="711"/>
      <c r="AE626" s="711"/>
      <c r="AF626" s="711"/>
      <c r="AG626" s="711"/>
      <c r="AH626" s="711"/>
    </row>
    <row r="627">
      <c r="A627" s="48"/>
      <c r="B627" s="48"/>
      <c r="C627" s="48"/>
      <c r="D627" s="721"/>
      <c r="E627" s="711"/>
      <c r="F627" s="711"/>
      <c r="G627" s="721"/>
      <c r="H627" s="721"/>
      <c r="I627" s="721"/>
      <c r="J627" s="48"/>
      <c r="K627" s="721"/>
      <c r="L627" s="721"/>
      <c r="M627" s="721"/>
      <c r="N627" s="719"/>
      <c r="O627" s="48"/>
      <c r="P627" s="719"/>
      <c r="Q627" s="48"/>
      <c r="R627" s="48"/>
      <c r="S627" s="711" t="str">
        <f>IFERROR(__xludf.DUMMYFUNCTION("""COMPUTED_VALUE"""),"")</f>
        <v/>
      </c>
      <c r="T627" s="721"/>
      <c r="U627" s="721"/>
      <c r="V627" s="711"/>
      <c r="W627" s="721"/>
      <c r="X627" s="721"/>
      <c r="Y627" s="48"/>
      <c r="Z627" s="48"/>
      <c r="AA627" s="48"/>
      <c r="AB627" s="711"/>
      <c r="AC627" s="711"/>
      <c r="AD627" s="711"/>
      <c r="AE627" s="711"/>
      <c r="AF627" s="711"/>
      <c r="AG627" s="711"/>
      <c r="AH627" s="711"/>
    </row>
    <row r="628">
      <c r="A628" s="48"/>
      <c r="B628" s="48"/>
      <c r="C628" s="48"/>
      <c r="D628" s="721"/>
      <c r="E628" s="711"/>
      <c r="F628" s="711"/>
      <c r="G628" s="721"/>
      <c r="H628" s="721"/>
      <c r="I628" s="721"/>
      <c r="J628" s="48"/>
      <c r="K628" s="721"/>
      <c r="L628" s="721"/>
      <c r="M628" s="721"/>
      <c r="N628" s="719"/>
      <c r="O628" s="48"/>
      <c r="P628" s="719"/>
      <c r="Q628" s="48"/>
      <c r="R628" s="48"/>
      <c r="S628" s="711" t="str">
        <f>IFERROR(__xludf.DUMMYFUNCTION("""COMPUTED_VALUE"""),"")</f>
        <v/>
      </c>
      <c r="T628" s="721"/>
      <c r="U628" s="721"/>
      <c r="V628" s="711"/>
      <c r="W628" s="721"/>
      <c r="X628" s="721"/>
      <c r="Y628" s="48"/>
      <c r="Z628" s="48"/>
      <c r="AA628" s="48"/>
      <c r="AB628" s="711"/>
      <c r="AC628" s="711"/>
      <c r="AD628" s="711"/>
      <c r="AE628" s="711"/>
      <c r="AF628" s="711"/>
      <c r="AG628" s="711"/>
      <c r="AH628" s="711"/>
    </row>
    <row r="629">
      <c r="A629" s="48"/>
      <c r="B629" s="48"/>
      <c r="C629" s="48"/>
      <c r="D629" s="721"/>
      <c r="E629" s="711"/>
      <c r="F629" s="711"/>
      <c r="G629" s="721"/>
      <c r="H629" s="721"/>
      <c r="I629" s="721"/>
      <c r="J629" s="48"/>
      <c r="K629" s="721"/>
      <c r="L629" s="721"/>
      <c r="M629" s="721"/>
      <c r="N629" s="719"/>
      <c r="O629" s="48"/>
      <c r="P629" s="719"/>
      <c r="Q629" s="48"/>
      <c r="R629" s="714" t="str">
        <f>IFERROR(__xludf.DUMMYFUNCTION("""COMPUTED_VALUE"""),"2526CRUZGIO11.F")</f>
        <v>2526CRUZGIO11.F</v>
      </c>
      <c r="S629" s="711">
        <f>IFERROR(__xludf.DUMMYFUNCTION("""COMPUTED_VALUE"""),40.0)</f>
        <v>40</v>
      </c>
      <c r="T629" s="722" t="str">
        <f>IFERROR(__xludf.DUMMYFUNCTION("""COMPUTED_VALUE"""),"2526CRUZGIO11.F")</f>
        <v>2526CRUZGIO11.F</v>
      </c>
      <c r="U629" s="721"/>
      <c r="V629" s="711"/>
      <c r="W629" s="721"/>
      <c r="X629" s="721"/>
      <c r="Y629" s="48"/>
      <c r="Z629" s="48"/>
      <c r="AA629" s="48"/>
      <c r="AB629" s="711"/>
      <c r="AC629" s="711"/>
      <c r="AD629" s="711"/>
      <c r="AE629" s="711"/>
      <c r="AF629" s="711"/>
      <c r="AG629" s="711"/>
      <c r="AH629" s="711"/>
    </row>
    <row r="630">
      <c r="A630" s="48"/>
      <c r="B630" s="48"/>
      <c r="C630" s="48"/>
      <c r="D630" s="721"/>
      <c r="E630" s="711"/>
      <c r="F630" s="711"/>
      <c r="G630" s="721"/>
      <c r="H630" s="721"/>
      <c r="I630" s="721"/>
      <c r="J630" s="48"/>
      <c r="K630" s="721"/>
      <c r="L630" s="721"/>
      <c r="M630" s="721"/>
      <c r="N630" s="719"/>
      <c r="O630" s="48"/>
      <c r="P630" s="719"/>
      <c r="Q630" s="48"/>
      <c r="R630" s="711" t="str">
        <f>IFERROR(__xludf.DUMMYFUNCTION("""COMPUTED_VALUE"""),"2526MODULOGIO11.Y")</f>
        <v>2526MODULOGIO11.Y</v>
      </c>
      <c r="S630" s="711">
        <f>IFERROR(__xludf.DUMMYFUNCTION("""COMPUTED_VALUE"""),40.0)</f>
        <v>40</v>
      </c>
      <c r="T630" s="721" t="str">
        <f>IFERROR(__xludf.DUMMYFUNCTION("""COMPUTED_VALUE"""),"2526MODULOGIO11.Y")</f>
        <v>2526MODULOGIO11.Y</v>
      </c>
      <c r="U630" s="721"/>
      <c r="V630" s="711"/>
      <c r="W630" s="721"/>
      <c r="X630" s="721"/>
      <c r="Y630" s="48"/>
      <c r="Z630" s="48"/>
      <c r="AA630" s="48"/>
      <c r="AB630" s="711"/>
      <c r="AC630" s="711"/>
      <c r="AD630" s="711"/>
      <c r="AE630" s="711"/>
      <c r="AF630" s="711"/>
      <c r="AG630" s="711"/>
      <c r="AH630" s="711"/>
    </row>
    <row r="631">
      <c r="A631" s="48"/>
      <c r="B631" s="48"/>
      <c r="C631" s="48"/>
      <c r="D631" s="721"/>
      <c r="E631" s="711"/>
      <c r="F631" s="711"/>
      <c r="G631" s="721"/>
      <c r="H631" s="721"/>
      <c r="I631" s="721"/>
      <c r="J631" s="48"/>
      <c r="K631" s="721"/>
      <c r="L631" s="721"/>
      <c r="M631" s="721"/>
      <c r="N631" s="719"/>
      <c r="O631" s="48"/>
      <c r="P631" s="719"/>
      <c r="Q631" s="48"/>
      <c r="R631" s="48"/>
      <c r="S631" s="711" t="str">
        <f>IFERROR(__xludf.DUMMYFUNCTION("""COMPUTED_VALUE"""),"")</f>
        <v/>
      </c>
      <c r="T631" s="721"/>
      <c r="U631" s="721"/>
      <c r="V631" s="711"/>
      <c r="W631" s="721"/>
      <c r="X631" s="721"/>
      <c r="Y631" s="48"/>
      <c r="Z631" s="48"/>
      <c r="AA631" s="48"/>
      <c r="AB631" s="711"/>
      <c r="AC631" s="711"/>
      <c r="AD631" s="711"/>
      <c r="AE631" s="711"/>
      <c r="AF631" s="711"/>
      <c r="AG631" s="711"/>
      <c r="AH631" s="711"/>
    </row>
    <row r="632">
      <c r="A632" s="48"/>
      <c r="B632" s="48"/>
      <c r="C632" s="48"/>
      <c r="D632" s="721"/>
      <c r="E632" s="711"/>
      <c r="F632" s="711"/>
      <c r="G632" s="721"/>
      <c r="H632" s="721"/>
      <c r="I632" s="721"/>
      <c r="J632" s="48"/>
      <c r="K632" s="721"/>
      <c r="L632" s="721"/>
      <c r="M632" s="721"/>
      <c r="N632" s="719"/>
      <c r="O632" s="48"/>
      <c r="P632" s="719"/>
      <c r="Q632" s="48"/>
      <c r="R632" s="48"/>
      <c r="S632" s="711" t="str">
        <f>IFERROR(__xludf.DUMMYFUNCTION("""COMPUTED_VALUE"""),"")</f>
        <v/>
      </c>
      <c r="T632" s="721"/>
      <c r="U632" s="721"/>
      <c r="V632" s="711"/>
      <c r="W632" s="721"/>
      <c r="X632" s="721"/>
      <c r="Y632" s="48"/>
      <c r="Z632" s="48"/>
      <c r="AA632" s="48"/>
      <c r="AB632" s="711"/>
      <c r="AC632" s="711"/>
      <c r="AD632" s="711"/>
      <c r="AE632" s="711"/>
      <c r="AF632" s="711"/>
      <c r="AG632" s="711"/>
      <c r="AH632" s="711"/>
    </row>
    <row r="633">
      <c r="A633" s="48"/>
      <c r="B633" s="48"/>
      <c r="C633" s="48"/>
      <c r="D633" s="721"/>
      <c r="E633" s="711"/>
      <c r="F633" s="711"/>
      <c r="G633" s="721"/>
      <c r="H633" s="721"/>
      <c r="I633" s="721"/>
      <c r="J633" s="48"/>
      <c r="K633" s="721"/>
      <c r="L633" s="721"/>
      <c r="M633" s="721"/>
      <c r="N633" s="719"/>
      <c r="O633" s="48"/>
      <c r="P633" s="719"/>
      <c r="Q633" s="48"/>
      <c r="R633" s="711" t="str">
        <f>IFERROR(__xludf.DUMMYFUNCTION("""COMPUTED_VALUE"""),"2526MODULOGIO11.Y")</f>
        <v>2526MODULOGIO11.Y</v>
      </c>
      <c r="S633" s="711">
        <f>IFERROR(__xludf.DUMMYFUNCTION("""COMPUTED_VALUE"""),40.0)</f>
        <v>40</v>
      </c>
      <c r="T633" s="721" t="str">
        <f>IFERROR(__xludf.DUMMYFUNCTION("""COMPUTED_VALUE"""),"2526MODULOGIO11.Y")</f>
        <v>2526MODULOGIO11.Y</v>
      </c>
      <c r="U633" s="721"/>
      <c r="V633" s="711"/>
      <c r="W633" s="721"/>
      <c r="X633" s="721"/>
      <c r="Y633" s="48"/>
      <c r="Z633" s="48"/>
      <c r="AA633" s="48"/>
      <c r="AB633" s="711"/>
      <c r="AC633" s="711"/>
      <c r="AD633" s="711"/>
      <c r="AE633" s="711"/>
      <c r="AF633" s="711"/>
      <c r="AG633" s="711"/>
      <c r="AH633" s="711"/>
    </row>
    <row r="634">
      <c r="A634" s="48"/>
      <c r="B634" s="48"/>
      <c r="C634" s="48"/>
      <c r="D634" s="721"/>
      <c r="E634" s="711"/>
      <c r="F634" s="711"/>
      <c r="G634" s="721"/>
      <c r="H634" s="721"/>
      <c r="I634" s="721"/>
      <c r="J634" s="48"/>
      <c r="K634" s="721"/>
      <c r="L634" s="721"/>
      <c r="M634" s="721"/>
      <c r="N634" s="719"/>
      <c r="O634" s="48"/>
      <c r="P634" s="719"/>
      <c r="Q634" s="48"/>
      <c r="R634" s="48"/>
      <c r="S634" s="711" t="str">
        <f>IFERROR(__xludf.DUMMYFUNCTION("""COMPUTED_VALUE"""),"")</f>
        <v/>
      </c>
      <c r="T634" s="721"/>
      <c r="U634" s="721"/>
      <c r="V634" s="711"/>
      <c r="W634" s="721"/>
      <c r="X634" s="721"/>
      <c r="Y634" s="48"/>
      <c r="Z634" s="48"/>
      <c r="AA634" s="48"/>
      <c r="AB634" s="711"/>
      <c r="AC634" s="711"/>
      <c r="AD634" s="711"/>
      <c r="AE634" s="711"/>
      <c r="AF634" s="711"/>
      <c r="AG634" s="711"/>
      <c r="AH634" s="711"/>
    </row>
    <row r="635">
      <c r="A635" s="48"/>
      <c r="B635" s="48"/>
      <c r="C635" s="48"/>
      <c r="D635" s="721"/>
      <c r="E635" s="711"/>
      <c r="F635" s="711"/>
      <c r="G635" s="721"/>
      <c r="H635" s="721"/>
      <c r="I635" s="721"/>
      <c r="J635" s="48"/>
      <c r="K635" s="721"/>
      <c r="L635" s="721"/>
      <c r="M635" s="721"/>
      <c r="N635" s="719"/>
      <c r="O635" s="48"/>
      <c r="P635" s="719"/>
      <c r="Q635" s="48"/>
      <c r="R635" s="48"/>
      <c r="S635" s="711" t="str">
        <f>IFERROR(__xludf.DUMMYFUNCTION("""COMPUTED_VALUE"""),"")</f>
        <v/>
      </c>
      <c r="T635" s="721"/>
      <c r="U635" s="721"/>
      <c r="V635" s="711"/>
      <c r="W635" s="721"/>
      <c r="X635" s="721"/>
      <c r="Y635" s="48"/>
      <c r="Z635" s="48"/>
      <c r="AA635" s="48"/>
      <c r="AB635" s="711"/>
      <c r="AC635" s="711"/>
      <c r="AD635" s="711"/>
      <c r="AE635" s="711"/>
      <c r="AF635" s="711"/>
      <c r="AG635" s="711"/>
      <c r="AH635" s="711"/>
    </row>
    <row r="636">
      <c r="A636" s="48"/>
      <c r="B636" s="48"/>
      <c r="C636" s="48"/>
      <c r="D636" s="721"/>
      <c r="E636" s="711"/>
      <c r="F636" s="711"/>
      <c r="G636" s="721"/>
      <c r="H636" s="721"/>
      <c r="I636" s="721"/>
      <c r="J636" s="48"/>
      <c r="K636" s="721"/>
      <c r="L636" s="721"/>
      <c r="M636" s="721"/>
      <c r="N636" s="719"/>
      <c r="O636" s="48"/>
      <c r="P636" s="719"/>
      <c r="Q636" s="48"/>
      <c r="R636" s="711" t="str">
        <f>IFERROR(__xludf.DUMMYFUNCTION("""COMPUTED_VALUE"""),"2526MODULOGIO11.Y")</f>
        <v>2526MODULOGIO11.Y</v>
      </c>
      <c r="S636" s="711">
        <f>IFERROR(__xludf.DUMMYFUNCTION("""COMPUTED_VALUE"""),40.0)</f>
        <v>40</v>
      </c>
      <c r="T636" s="721" t="str">
        <f>IFERROR(__xludf.DUMMYFUNCTION("""COMPUTED_VALUE"""),"2526MODULOGIO11.Y")</f>
        <v>2526MODULOGIO11.Y</v>
      </c>
      <c r="U636" s="721"/>
      <c r="V636" s="711"/>
      <c r="W636" s="721"/>
      <c r="X636" s="721"/>
      <c r="Y636" s="48"/>
      <c r="Z636" s="48"/>
      <c r="AA636" s="48"/>
      <c r="AB636" s="711"/>
      <c r="AC636" s="711"/>
      <c r="AD636" s="711"/>
      <c r="AE636" s="711"/>
      <c r="AF636" s="711"/>
      <c r="AG636" s="711"/>
      <c r="AH636" s="711"/>
    </row>
    <row r="637">
      <c r="A637" s="48"/>
      <c r="B637" s="48"/>
      <c r="C637" s="48"/>
      <c r="D637" s="721"/>
      <c r="E637" s="711"/>
      <c r="F637" s="711"/>
      <c r="G637" s="721"/>
      <c r="H637" s="721"/>
      <c r="I637" s="721"/>
      <c r="J637" s="48"/>
      <c r="K637" s="721"/>
      <c r="L637" s="721"/>
      <c r="M637" s="721"/>
      <c r="N637" s="719"/>
      <c r="O637" s="48"/>
      <c r="P637" s="719"/>
      <c r="Q637" s="48"/>
      <c r="R637" s="711" t="str">
        <f>IFERROR(__xludf.DUMMYFUNCTION("""COMPUTED_VALUE"""),"2526SEABRAGIO11.Y")</f>
        <v>2526SEABRAGIO11.Y</v>
      </c>
      <c r="S637" s="711">
        <f>IFERROR(__xludf.DUMMYFUNCTION("""COMPUTED_VALUE"""),20.0)</f>
        <v>20</v>
      </c>
      <c r="T637" s="721" t="str">
        <f>IFERROR(__xludf.DUMMYFUNCTION("""COMPUTED_VALUE"""),"2526SEABRAGIO11.Y")</f>
        <v>2526SEABRAGIO11.Y</v>
      </c>
      <c r="U637" s="721"/>
      <c r="V637" s="711"/>
      <c r="W637" s="721"/>
      <c r="X637" s="721"/>
      <c r="Y637" s="48"/>
      <c r="Z637" s="48"/>
      <c r="AA637" s="48"/>
      <c r="AB637" s="711"/>
      <c r="AC637" s="711"/>
      <c r="AD637" s="711"/>
      <c r="AE637" s="711"/>
      <c r="AF637" s="711"/>
      <c r="AG637" s="711"/>
      <c r="AH637" s="711"/>
    </row>
    <row r="638">
      <c r="A638" s="48"/>
      <c r="B638" s="48"/>
      <c r="C638" s="48"/>
      <c r="D638" s="721"/>
      <c r="E638" s="711"/>
      <c r="F638" s="711"/>
      <c r="G638" s="721"/>
      <c r="H638" s="721"/>
      <c r="I638" s="721"/>
      <c r="J638" s="48"/>
      <c r="K638" s="721"/>
      <c r="L638" s="721"/>
      <c r="M638" s="721"/>
      <c r="N638" s="719"/>
      <c r="O638" s="48"/>
      <c r="P638" s="719"/>
      <c r="Q638" s="48"/>
      <c r="R638" s="48"/>
      <c r="S638" s="711" t="str">
        <f>IFERROR(__xludf.DUMMYFUNCTION("""COMPUTED_VALUE"""),"")</f>
        <v/>
      </c>
      <c r="T638" s="721"/>
      <c r="U638" s="721"/>
      <c r="V638" s="711"/>
      <c r="W638" s="721"/>
      <c r="X638" s="721"/>
      <c r="Y638" s="48"/>
      <c r="Z638" s="48"/>
      <c r="AA638" s="48"/>
      <c r="AB638" s="711"/>
      <c r="AC638" s="711"/>
      <c r="AD638" s="711"/>
      <c r="AE638" s="711"/>
      <c r="AF638" s="711"/>
      <c r="AG638" s="711"/>
      <c r="AH638" s="711"/>
    </row>
    <row r="639">
      <c r="A639" s="48"/>
      <c r="B639" s="48"/>
      <c r="C639" s="48"/>
      <c r="D639" s="721"/>
      <c r="E639" s="711"/>
      <c r="F639" s="711"/>
      <c r="G639" s="721"/>
      <c r="H639" s="721"/>
      <c r="I639" s="721"/>
      <c r="J639" s="48"/>
      <c r="K639" s="721"/>
      <c r="L639" s="721"/>
      <c r="M639" s="721"/>
      <c r="N639" s="719"/>
      <c r="O639" s="48"/>
      <c r="P639" s="719"/>
      <c r="Q639" s="48"/>
      <c r="R639" s="48"/>
      <c r="S639" s="711" t="str">
        <f>IFERROR(__xludf.DUMMYFUNCTION("""COMPUTED_VALUE"""),"")</f>
        <v/>
      </c>
      <c r="T639" s="721"/>
      <c r="U639" s="721"/>
      <c r="V639" s="711"/>
      <c r="W639" s="721"/>
      <c r="X639" s="721"/>
      <c r="Y639" s="48"/>
      <c r="Z639" s="48"/>
      <c r="AA639" s="48"/>
      <c r="AB639" s="711"/>
      <c r="AC639" s="711"/>
      <c r="AD639" s="711"/>
      <c r="AE639" s="711"/>
      <c r="AF639" s="711"/>
      <c r="AG639" s="711"/>
      <c r="AH639" s="711"/>
    </row>
    <row r="640">
      <c r="A640" s="48"/>
      <c r="B640" s="48"/>
      <c r="C640" s="48"/>
      <c r="D640" s="721"/>
      <c r="E640" s="711"/>
      <c r="F640" s="711"/>
      <c r="G640" s="721"/>
      <c r="H640" s="721"/>
      <c r="I640" s="721"/>
      <c r="J640" s="48"/>
      <c r="K640" s="721"/>
      <c r="L640" s="721"/>
      <c r="M640" s="721"/>
      <c r="N640" s="719"/>
      <c r="O640" s="48"/>
      <c r="P640" s="719"/>
      <c r="Q640" s="48"/>
      <c r="R640" s="48"/>
      <c r="S640" s="711" t="str">
        <f>IFERROR(__xludf.DUMMYFUNCTION("""COMPUTED_VALUE"""),"")</f>
        <v/>
      </c>
      <c r="T640" s="721"/>
      <c r="U640" s="721"/>
      <c r="V640" s="711"/>
      <c r="W640" s="721"/>
      <c r="X640" s="721"/>
      <c r="Y640" s="48"/>
      <c r="Z640" s="48"/>
      <c r="AA640" s="48"/>
      <c r="AB640" s="711"/>
      <c r="AC640" s="711"/>
      <c r="AD640" s="711"/>
      <c r="AE640" s="711"/>
      <c r="AF640" s="711"/>
      <c r="AG640" s="711"/>
      <c r="AH640" s="711"/>
    </row>
    <row r="641">
      <c r="A641" s="48"/>
      <c r="B641" s="48"/>
      <c r="C641" s="48"/>
      <c r="D641" s="721"/>
      <c r="E641" s="711"/>
      <c r="F641" s="711"/>
      <c r="G641" s="721"/>
      <c r="H641" s="721"/>
      <c r="I641" s="721"/>
      <c r="J641" s="48"/>
      <c r="K641" s="721"/>
      <c r="L641" s="721"/>
      <c r="M641" s="721"/>
      <c r="N641" s="719"/>
      <c r="O641" s="48"/>
      <c r="P641" s="719"/>
      <c r="Q641" s="48"/>
      <c r="R641" s="714" t="str">
        <f>IFERROR(__xludf.DUMMYFUNCTION("""COMPUTED_VALUE"""),"2526CRUZGIO12.F")</f>
        <v>2526CRUZGIO12.F</v>
      </c>
      <c r="S641" s="711">
        <f>IFERROR(__xludf.DUMMYFUNCTION("""COMPUTED_VALUE"""),40.0)</f>
        <v>40</v>
      </c>
      <c r="T641" s="722" t="str">
        <f>IFERROR(__xludf.DUMMYFUNCTION("""COMPUTED_VALUE"""),"2526CRUZGIO12.F")</f>
        <v>2526CRUZGIO12.F</v>
      </c>
      <c r="U641" s="721"/>
      <c r="V641" s="711"/>
      <c r="W641" s="721"/>
      <c r="X641" s="721"/>
      <c r="Y641" s="48"/>
      <c r="Z641" s="48"/>
      <c r="AA641" s="48"/>
      <c r="AB641" s="711"/>
      <c r="AC641" s="711"/>
      <c r="AD641" s="711"/>
      <c r="AE641" s="711"/>
      <c r="AF641" s="711"/>
      <c r="AG641" s="711"/>
      <c r="AH641" s="711"/>
    </row>
    <row r="642">
      <c r="A642" s="48"/>
      <c r="B642" s="48"/>
      <c r="C642" s="48"/>
      <c r="D642" s="721"/>
      <c r="E642" s="711"/>
      <c r="F642" s="711"/>
      <c r="G642" s="721"/>
      <c r="H642" s="721"/>
      <c r="I642" s="721"/>
      <c r="J642" s="48"/>
      <c r="K642" s="721"/>
      <c r="L642" s="721"/>
      <c r="M642" s="721"/>
      <c r="N642" s="719"/>
      <c r="O642" s="48"/>
      <c r="P642" s="719"/>
      <c r="Q642" s="48"/>
      <c r="R642" s="711" t="str">
        <f>IFERROR(__xludf.DUMMYFUNCTION("""COMPUTED_VALUE"""),"2526MODULOGIO12.Y")</f>
        <v>2526MODULOGIO12.Y</v>
      </c>
      <c r="S642" s="711">
        <f>IFERROR(__xludf.DUMMYFUNCTION("""COMPUTED_VALUE"""),40.0)</f>
        <v>40</v>
      </c>
      <c r="T642" s="721" t="str">
        <f>IFERROR(__xludf.DUMMYFUNCTION("""COMPUTED_VALUE"""),"2526MODULOGIO12.Y")</f>
        <v>2526MODULOGIO12.Y</v>
      </c>
      <c r="U642" s="721"/>
      <c r="V642" s="711"/>
      <c r="W642" s="721"/>
      <c r="X642" s="721"/>
      <c r="Y642" s="48"/>
      <c r="Z642" s="48"/>
      <c r="AA642" s="48"/>
      <c r="AB642" s="711"/>
      <c r="AC642" s="711"/>
      <c r="AD642" s="711"/>
      <c r="AE642" s="711"/>
      <c r="AF642" s="711"/>
      <c r="AG642" s="711"/>
      <c r="AH642" s="711"/>
    </row>
    <row r="643">
      <c r="A643" s="48"/>
      <c r="B643" s="48"/>
      <c r="C643" s="48"/>
      <c r="D643" s="721"/>
      <c r="E643" s="711"/>
      <c r="F643" s="711"/>
      <c r="G643" s="721"/>
      <c r="H643" s="721"/>
      <c r="I643" s="721"/>
      <c r="J643" s="48"/>
      <c r="K643" s="721"/>
      <c r="L643" s="721"/>
      <c r="M643" s="721"/>
      <c r="N643" s="719"/>
      <c r="O643" s="48"/>
      <c r="P643" s="719"/>
      <c r="Q643" s="48"/>
      <c r="R643" s="48"/>
      <c r="S643" s="711" t="str">
        <f>IFERROR(__xludf.DUMMYFUNCTION("""COMPUTED_VALUE"""),"")</f>
        <v/>
      </c>
      <c r="T643" s="721"/>
      <c r="U643" s="721"/>
      <c r="V643" s="711"/>
      <c r="W643" s="721"/>
      <c r="X643" s="721"/>
      <c r="Y643" s="48"/>
      <c r="Z643" s="48"/>
      <c r="AA643" s="48"/>
      <c r="AB643" s="711"/>
      <c r="AC643" s="711"/>
      <c r="AD643" s="711"/>
      <c r="AE643" s="711"/>
      <c r="AF643" s="711"/>
      <c r="AG643" s="711"/>
      <c r="AH643" s="711"/>
    </row>
    <row r="644">
      <c r="A644" s="48"/>
      <c r="B644" s="48"/>
      <c r="C644" s="48"/>
      <c r="D644" s="721"/>
      <c r="E644" s="711"/>
      <c r="F644" s="711"/>
      <c r="G644" s="721"/>
      <c r="H644" s="721"/>
      <c r="I644" s="721"/>
      <c r="J644" s="48"/>
      <c r="K644" s="721"/>
      <c r="L644" s="721"/>
      <c r="M644" s="721"/>
      <c r="N644" s="719"/>
      <c r="O644" s="48"/>
      <c r="P644" s="719"/>
      <c r="Q644" s="48"/>
      <c r="R644" s="48"/>
      <c r="S644" s="711" t="str">
        <f>IFERROR(__xludf.DUMMYFUNCTION("""COMPUTED_VALUE"""),"")</f>
        <v/>
      </c>
      <c r="T644" s="721"/>
      <c r="U644" s="721"/>
      <c r="V644" s="711"/>
      <c r="W644" s="721"/>
      <c r="X644" s="721"/>
      <c r="Y644" s="48"/>
      <c r="Z644" s="48"/>
      <c r="AA644" s="48"/>
      <c r="AB644" s="711"/>
      <c r="AC644" s="711"/>
      <c r="AD644" s="711"/>
      <c r="AE644" s="711"/>
      <c r="AF644" s="711"/>
      <c r="AG644" s="711"/>
      <c r="AH644" s="711"/>
    </row>
    <row r="645">
      <c r="A645" s="48"/>
      <c r="B645" s="48"/>
      <c r="C645" s="48"/>
      <c r="D645" s="721"/>
      <c r="E645" s="711"/>
      <c r="F645" s="711"/>
      <c r="G645" s="721"/>
      <c r="H645" s="721"/>
      <c r="I645" s="721"/>
      <c r="J645" s="48"/>
      <c r="K645" s="721"/>
      <c r="L645" s="721"/>
      <c r="M645" s="721"/>
      <c r="N645" s="719"/>
      <c r="O645" s="48"/>
      <c r="P645" s="719"/>
      <c r="Q645" s="48"/>
      <c r="R645" s="711" t="str">
        <f>IFERROR(__xludf.DUMMYFUNCTION("""COMPUTED_VALUE"""),"2526MODULOGIO12.Y")</f>
        <v>2526MODULOGIO12.Y</v>
      </c>
      <c r="S645" s="711">
        <f>IFERROR(__xludf.DUMMYFUNCTION("""COMPUTED_VALUE"""),40.0)</f>
        <v>40</v>
      </c>
      <c r="T645" s="721" t="str">
        <f>IFERROR(__xludf.DUMMYFUNCTION("""COMPUTED_VALUE"""),"2526MODULOGIO12.Y")</f>
        <v>2526MODULOGIO12.Y</v>
      </c>
      <c r="U645" s="721"/>
      <c r="V645" s="711"/>
      <c r="W645" s="721"/>
      <c r="X645" s="721"/>
      <c r="Y645" s="48"/>
      <c r="Z645" s="48"/>
      <c r="AA645" s="48"/>
      <c r="AB645" s="711"/>
      <c r="AC645" s="711"/>
      <c r="AD645" s="711"/>
      <c r="AE645" s="711"/>
      <c r="AF645" s="711"/>
      <c r="AG645" s="711"/>
      <c r="AH645" s="711"/>
    </row>
    <row r="646">
      <c r="A646" s="48"/>
      <c r="B646" s="48"/>
      <c r="C646" s="48"/>
      <c r="D646" s="721"/>
      <c r="E646" s="711"/>
      <c r="F646" s="711"/>
      <c r="G646" s="721"/>
      <c r="H646" s="721"/>
      <c r="I646" s="721"/>
      <c r="J646" s="48"/>
      <c r="K646" s="721"/>
      <c r="L646" s="721"/>
      <c r="M646" s="721"/>
      <c r="N646" s="719"/>
      <c r="O646" s="48"/>
      <c r="P646" s="719"/>
      <c r="Q646" s="48"/>
      <c r="R646" s="711" t="str">
        <f>IFERROR(__xludf.DUMMYFUNCTION("""COMPUTED_VALUE"""),"2526FILLYGIO12.Y")</f>
        <v>2526FILLYGIO12.Y</v>
      </c>
      <c r="S646" s="711">
        <f>IFERROR(__xludf.DUMMYFUNCTION("""COMPUTED_VALUE"""),3.0)</f>
        <v>3</v>
      </c>
      <c r="T646" s="721" t="str">
        <f>IFERROR(__xludf.DUMMYFUNCTION("""COMPUTED_VALUE"""),"2526FILLYGIO12.Y")</f>
        <v>2526FILLYGIO12.Y</v>
      </c>
      <c r="U646" s="721"/>
      <c r="V646" s="711"/>
      <c r="W646" s="721"/>
      <c r="X646" s="721"/>
      <c r="Y646" s="48"/>
      <c r="Z646" s="48"/>
      <c r="AA646" s="48"/>
      <c r="AB646" s="711"/>
      <c r="AC646" s="711"/>
      <c r="AD646" s="711"/>
      <c r="AE646" s="711"/>
      <c r="AF646" s="711"/>
      <c r="AG646" s="711"/>
      <c r="AH646" s="711"/>
    </row>
    <row r="647">
      <c r="A647" s="48"/>
      <c r="B647" s="48"/>
      <c r="C647" s="48"/>
      <c r="D647" s="721"/>
      <c r="E647" s="711"/>
      <c r="F647" s="711"/>
      <c r="G647" s="721"/>
      <c r="H647" s="721"/>
      <c r="I647" s="721"/>
      <c r="J647" s="48"/>
      <c r="K647" s="721"/>
      <c r="L647" s="721"/>
      <c r="M647" s="721"/>
      <c r="N647" s="719"/>
      <c r="O647" s="48"/>
      <c r="P647" s="719"/>
      <c r="Q647" s="48"/>
      <c r="R647" s="48"/>
      <c r="S647" s="711" t="str">
        <f>IFERROR(__xludf.DUMMYFUNCTION("""COMPUTED_VALUE"""),"")</f>
        <v/>
      </c>
      <c r="T647" s="721"/>
      <c r="U647" s="721"/>
      <c r="V647" s="711"/>
      <c r="W647" s="721"/>
      <c r="X647" s="721"/>
      <c r="Y647" s="48"/>
      <c r="Z647" s="48"/>
      <c r="AA647" s="48"/>
      <c r="AB647" s="711"/>
      <c r="AC647" s="711"/>
      <c r="AD647" s="711"/>
      <c r="AE647" s="711"/>
      <c r="AF647" s="711"/>
      <c r="AG647" s="711"/>
      <c r="AH647" s="711"/>
    </row>
    <row r="648">
      <c r="A648" s="48"/>
      <c r="B648" s="48"/>
      <c r="C648" s="48"/>
      <c r="D648" s="721"/>
      <c r="E648" s="711"/>
      <c r="F648" s="711"/>
      <c r="G648" s="721"/>
      <c r="H648" s="721"/>
      <c r="I648" s="721"/>
      <c r="J648" s="48"/>
      <c r="K648" s="721"/>
      <c r="L648" s="721"/>
      <c r="M648" s="721"/>
      <c r="N648" s="719"/>
      <c r="O648" s="48"/>
      <c r="P648" s="719"/>
      <c r="Q648" s="48"/>
      <c r="R648" s="711" t="str">
        <f>IFERROR(__xludf.DUMMYFUNCTION("""COMPUTED_VALUE"""),"2526MODULOGIO12.Y")</f>
        <v>2526MODULOGIO12.Y</v>
      </c>
      <c r="S648" s="711">
        <f>IFERROR(__xludf.DUMMYFUNCTION("""COMPUTED_VALUE"""),40.0)</f>
        <v>40</v>
      </c>
      <c r="T648" s="721" t="str">
        <f>IFERROR(__xludf.DUMMYFUNCTION("""COMPUTED_VALUE"""),"2526MODULOGIO12.Y")</f>
        <v>2526MODULOGIO12.Y</v>
      </c>
      <c r="U648" s="721"/>
      <c r="V648" s="711"/>
      <c r="W648" s="721"/>
      <c r="X648" s="721"/>
      <c r="Y648" s="48"/>
      <c r="Z648" s="48"/>
      <c r="AA648" s="48"/>
      <c r="AB648" s="711"/>
      <c r="AC648" s="711"/>
      <c r="AD648" s="711"/>
      <c r="AE648" s="711"/>
      <c r="AF648" s="711"/>
      <c r="AG648" s="711"/>
      <c r="AH648" s="711"/>
    </row>
    <row r="649">
      <c r="A649" s="48"/>
      <c r="B649" s="48"/>
      <c r="C649" s="48"/>
      <c r="D649" s="721"/>
      <c r="E649" s="711"/>
      <c r="F649" s="711"/>
      <c r="G649" s="721"/>
      <c r="H649" s="721"/>
      <c r="I649" s="721"/>
      <c r="J649" s="48"/>
      <c r="K649" s="721"/>
      <c r="L649" s="721"/>
      <c r="M649" s="721"/>
      <c r="N649" s="719"/>
      <c r="O649" s="48"/>
      <c r="P649" s="719"/>
      <c r="Q649" s="48"/>
      <c r="R649" s="711" t="str">
        <f>IFERROR(__xludf.DUMMYFUNCTION("""COMPUTED_VALUE"""),"2526SEABRAGIO12.Y")</f>
        <v>2526SEABRAGIO12.Y</v>
      </c>
      <c r="S649" s="711">
        <f>IFERROR(__xludf.DUMMYFUNCTION("""COMPUTED_VALUE"""),20.0)</f>
        <v>20</v>
      </c>
      <c r="T649" s="721" t="str">
        <f>IFERROR(__xludf.DUMMYFUNCTION("""COMPUTED_VALUE"""),"2526SEABRAGIO12.Y")</f>
        <v>2526SEABRAGIO12.Y</v>
      </c>
      <c r="U649" s="721"/>
      <c r="V649" s="711"/>
      <c r="W649" s="721"/>
      <c r="X649" s="721"/>
      <c r="Y649" s="48"/>
      <c r="Z649" s="48"/>
      <c r="AA649" s="48"/>
      <c r="AB649" s="711"/>
      <c r="AC649" s="711"/>
      <c r="AD649" s="711"/>
      <c r="AE649" s="711"/>
      <c r="AF649" s="711"/>
      <c r="AG649" s="711"/>
      <c r="AH649" s="711"/>
    </row>
    <row r="650">
      <c r="A650" s="48"/>
      <c r="B650" s="48"/>
      <c r="C650" s="48"/>
      <c r="D650" s="721"/>
      <c r="E650" s="711"/>
      <c r="F650" s="711"/>
      <c r="G650" s="721"/>
      <c r="H650" s="721"/>
      <c r="I650" s="721"/>
      <c r="J650" s="48"/>
      <c r="K650" s="721"/>
      <c r="L650" s="721"/>
      <c r="M650" s="721"/>
      <c r="N650" s="719"/>
      <c r="O650" s="48"/>
      <c r="P650" s="719"/>
      <c r="Q650" s="48"/>
      <c r="R650" s="48"/>
      <c r="S650" s="711" t="str">
        <f>IFERROR(__xludf.DUMMYFUNCTION("""COMPUTED_VALUE"""),"")</f>
        <v/>
      </c>
      <c r="T650" s="721"/>
      <c r="U650" s="721"/>
      <c r="V650" s="711"/>
      <c r="W650" s="721"/>
      <c r="X650" s="721"/>
      <c r="Y650" s="48"/>
      <c r="Z650" s="48"/>
      <c r="AA650" s="48"/>
      <c r="AB650" s="711"/>
      <c r="AC650" s="711"/>
      <c r="AD650" s="711"/>
      <c r="AE650" s="711"/>
      <c r="AF650" s="711"/>
      <c r="AG650" s="711"/>
      <c r="AH650" s="711"/>
    </row>
    <row r="651">
      <c r="A651" s="48"/>
      <c r="B651" s="48"/>
      <c r="C651" s="48"/>
      <c r="D651" s="721"/>
      <c r="E651" s="711"/>
      <c r="F651" s="711"/>
      <c r="G651" s="721"/>
      <c r="H651" s="721"/>
      <c r="I651" s="721"/>
      <c r="J651" s="48"/>
      <c r="K651" s="721"/>
      <c r="L651" s="721"/>
      <c r="M651" s="721"/>
      <c r="N651" s="719"/>
      <c r="O651" s="48"/>
      <c r="P651" s="719"/>
      <c r="Q651" s="48"/>
      <c r="R651" s="48"/>
      <c r="S651" s="711" t="str">
        <f>IFERROR(__xludf.DUMMYFUNCTION("""COMPUTED_VALUE"""),"")</f>
        <v/>
      </c>
      <c r="T651" s="721"/>
      <c r="U651" s="721"/>
      <c r="V651" s="711"/>
      <c r="W651" s="721"/>
      <c r="X651" s="721"/>
      <c r="Y651" s="48"/>
      <c r="Z651" s="48"/>
      <c r="AA651" s="48"/>
      <c r="AB651" s="711"/>
      <c r="AC651" s="711"/>
      <c r="AD651" s="711"/>
      <c r="AE651" s="711"/>
      <c r="AF651" s="711"/>
      <c r="AG651" s="711"/>
      <c r="AH651" s="711"/>
    </row>
    <row r="652">
      <c r="A652" s="48"/>
      <c r="B652" s="48"/>
      <c r="C652" s="48"/>
      <c r="D652" s="721"/>
      <c r="E652" s="711"/>
      <c r="F652" s="711"/>
      <c r="G652" s="721"/>
      <c r="H652" s="721"/>
      <c r="I652" s="721"/>
      <c r="J652" s="48"/>
      <c r="K652" s="721"/>
      <c r="L652" s="721"/>
      <c r="M652" s="721"/>
      <c r="N652" s="719"/>
      <c r="O652" s="48"/>
      <c r="P652" s="719"/>
      <c r="Q652" s="48"/>
      <c r="R652" s="48"/>
      <c r="S652" s="711" t="str">
        <f>IFERROR(__xludf.DUMMYFUNCTION("""COMPUTED_VALUE"""),"")</f>
        <v/>
      </c>
      <c r="T652" s="721"/>
      <c r="U652" s="721"/>
      <c r="V652" s="711"/>
      <c r="W652" s="721"/>
      <c r="X652" s="721"/>
      <c r="Y652" s="48"/>
      <c r="Z652" s="48"/>
      <c r="AA652" s="48"/>
      <c r="AB652" s="711"/>
      <c r="AC652" s="711"/>
      <c r="AD652" s="711"/>
      <c r="AE652" s="711"/>
      <c r="AF652" s="711"/>
      <c r="AG652" s="711"/>
      <c r="AH652" s="711"/>
    </row>
    <row r="653">
      <c r="A653" s="48"/>
      <c r="B653" s="48"/>
      <c r="C653" s="48"/>
      <c r="D653" s="721"/>
      <c r="E653" s="711"/>
      <c r="F653" s="711"/>
      <c r="G653" s="721"/>
      <c r="H653" s="721"/>
      <c r="I653" s="721"/>
      <c r="J653" s="48"/>
      <c r="K653" s="721"/>
      <c r="L653" s="721"/>
      <c r="M653" s="721"/>
      <c r="N653" s="719"/>
      <c r="O653" s="48"/>
      <c r="P653" s="719"/>
      <c r="Q653" s="48"/>
      <c r="R653" s="714" t="str">
        <f>IFERROR(__xludf.DUMMYFUNCTION("""COMPUTED_VALUE"""),"2526CRUZGIO13.F")</f>
        <v>2526CRUZGIO13.F</v>
      </c>
      <c r="S653" s="711">
        <f>IFERROR(__xludf.DUMMYFUNCTION("""COMPUTED_VALUE"""),40.0)</f>
        <v>40</v>
      </c>
      <c r="T653" s="722" t="str">
        <f>IFERROR(__xludf.DUMMYFUNCTION("""COMPUTED_VALUE"""),"2526CRUZGIO13.F")</f>
        <v>2526CRUZGIO13.F</v>
      </c>
      <c r="U653" s="721"/>
      <c r="V653" s="711"/>
      <c r="W653" s="721"/>
      <c r="X653" s="721"/>
      <c r="Y653" s="48"/>
      <c r="Z653" s="48"/>
      <c r="AA653" s="48"/>
      <c r="AB653" s="711"/>
      <c r="AC653" s="711"/>
      <c r="AD653" s="711"/>
      <c r="AE653" s="711"/>
      <c r="AF653" s="711"/>
      <c r="AG653" s="711"/>
      <c r="AH653" s="711"/>
    </row>
    <row r="654">
      <c r="A654" s="48"/>
      <c r="B654" s="48"/>
      <c r="C654" s="48"/>
      <c r="D654" s="721"/>
      <c r="E654" s="711"/>
      <c r="F654" s="711"/>
      <c r="G654" s="721"/>
      <c r="H654" s="721"/>
      <c r="I654" s="721"/>
      <c r="J654" s="48"/>
      <c r="K654" s="721"/>
      <c r="L654" s="721"/>
      <c r="M654" s="721"/>
      <c r="N654" s="719"/>
      <c r="O654" s="48"/>
      <c r="P654" s="719"/>
      <c r="Q654" s="48"/>
      <c r="R654" s="711" t="str">
        <f>IFERROR(__xludf.DUMMYFUNCTION("""COMPUTED_VALUE"""),"2526MODULOGIO13.Y")</f>
        <v>2526MODULOGIO13.Y</v>
      </c>
      <c r="S654" s="711">
        <f>IFERROR(__xludf.DUMMYFUNCTION("""COMPUTED_VALUE"""),40.0)</f>
        <v>40</v>
      </c>
      <c r="T654" s="721" t="str">
        <f>IFERROR(__xludf.DUMMYFUNCTION("""COMPUTED_VALUE"""),"2526MODULOGIO13.Y")</f>
        <v>2526MODULOGIO13.Y</v>
      </c>
      <c r="U654" s="721"/>
      <c r="V654" s="711"/>
      <c r="W654" s="721"/>
      <c r="X654" s="721"/>
      <c r="Y654" s="48"/>
      <c r="Z654" s="48"/>
      <c r="AA654" s="48"/>
      <c r="AB654" s="711"/>
      <c r="AC654" s="711"/>
      <c r="AD654" s="711"/>
      <c r="AE654" s="711"/>
      <c r="AF654" s="711"/>
      <c r="AG654" s="711"/>
      <c r="AH654" s="711"/>
    </row>
    <row r="655">
      <c r="A655" s="48"/>
      <c r="B655" s="48"/>
      <c r="C655" s="48"/>
      <c r="D655" s="721"/>
      <c r="E655" s="711"/>
      <c r="F655" s="711"/>
      <c r="G655" s="721"/>
      <c r="H655" s="721"/>
      <c r="I655" s="721"/>
      <c r="J655" s="48"/>
      <c r="K655" s="721"/>
      <c r="L655" s="721"/>
      <c r="M655" s="721"/>
      <c r="N655" s="719"/>
      <c r="O655" s="48"/>
      <c r="P655" s="719"/>
      <c r="Q655" s="48"/>
      <c r="R655" s="714" t="str">
        <f>IFERROR(__xludf.DUMMYFUNCTION("""COMPUTED_VALUE"""),"2526STANISCIGIO13.F")</f>
        <v>2526STANISCIGIO13.F</v>
      </c>
      <c r="S655" s="711">
        <f>IFERROR(__xludf.DUMMYFUNCTION("""COMPUTED_VALUE"""),15.0)</f>
        <v>15</v>
      </c>
      <c r="T655" s="722" t="str">
        <f>IFERROR(__xludf.DUMMYFUNCTION("""COMPUTED_VALUE"""),"2526STANISCIGIO13.F")</f>
        <v>2526STANISCIGIO13.F</v>
      </c>
      <c r="U655" s="721"/>
      <c r="V655" s="711"/>
      <c r="W655" s="721"/>
      <c r="X655" s="721"/>
      <c r="Y655" s="48"/>
      <c r="Z655" s="48"/>
      <c r="AA655" s="48"/>
      <c r="AB655" s="711"/>
      <c r="AC655" s="711"/>
      <c r="AD655" s="711"/>
      <c r="AE655" s="711"/>
      <c r="AF655" s="711"/>
      <c r="AG655" s="711"/>
      <c r="AH655" s="711"/>
    </row>
    <row r="656">
      <c r="A656" s="48"/>
      <c r="B656" s="48"/>
      <c r="C656" s="48"/>
      <c r="D656" s="721"/>
      <c r="E656" s="711"/>
      <c r="F656" s="711"/>
      <c r="G656" s="721"/>
      <c r="H656" s="721"/>
      <c r="I656" s="721"/>
      <c r="J656" s="48"/>
      <c r="K656" s="721"/>
      <c r="L656" s="721"/>
      <c r="M656" s="721"/>
      <c r="N656" s="719"/>
      <c r="O656" s="48"/>
      <c r="P656" s="719"/>
      <c r="Q656" s="48"/>
      <c r="R656" s="48"/>
      <c r="S656" s="711" t="str">
        <f>IFERROR(__xludf.DUMMYFUNCTION("""COMPUTED_VALUE"""),"")</f>
        <v/>
      </c>
      <c r="T656" s="721"/>
      <c r="U656" s="721"/>
      <c r="V656" s="711"/>
      <c r="W656" s="721"/>
      <c r="X656" s="721"/>
      <c r="Y656" s="48"/>
      <c r="Z656" s="48"/>
      <c r="AA656" s="48"/>
      <c r="AB656" s="711"/>
      <c r="AC656" s="711"/>
      <c r="AD656" s="711"/>
      <c r="AE656" s="711"/>
      <c r="AF656" s="711"/>
      <c r="AG656" s="711"/>
      <c r="AH656" s="711"/>
    </row>
    <row r="657">
      <c r="A657" s="48"/>
      <c r="B657" s="48"/>
      <c r="C657" s="48"/>
      <c r="D657" s="721"/>
      <c r="E657" s="711"/>
      <c r="F657" s="711"/>
      <c r="G657" s="721"/>
      <c r="H657" s="721"/>
      <c r="I657" s="721"/>
      <c r="J657" s="48"/>
      <c r="K657" s="721"/>
      <c r="L657" s="721"/>
      <c r="M657" s="721"/>
      <c r="N657" s="719"/>
      <c r="O657" s="48"/>
      <c r="P657" s="719"/>
      <c r="Q657" s="48"/>
      <c r="R657" s="714" t="str">
        <f>IFERROR(__xludf.DUMMYFUNCTION("""COMPUTED_VALUE"""),"2526KUQIGIO13.F")</f>
        <v>2526KUQIGIO13.F</v>
      </c>
      <c r="S657" s="711">
        <f>IFERROR(__xludf.DUMMYFUNCTION("""COMPUTED_VALUE"""),30.0)</f>
        <v>30</v>
      </c>
      <c r="T657" s="722" t="str">
        <f>IFERROR(__xludf.DUMMYFUNCTION("""COMPUTED_VALUE"""),"2526KUQIGIO13.F")</f>
        <v>2526KUQIGIO13.F</v>
      </c>
      <c r="U657" s="721"/>
      <c r="V657" s="711"/>
      <c r="W657" s="721"/>
      <c r="X657" s="721"/>
      <c r="Y657" s="48"/>
      <c r="Z657" s="48"/>
      <c r="AA657" s="48"/>
      <c r="AB657" s="711"/>
      <c r="AC657" s="711"/>
      <c r="AD657" s="711"/>
      <c r="AE657" s="711"/>
      <c r="AF657" s="711"/>
      <c r="AG657" s="711"/>
      <c r="AH657" s="711"/>
    </row>
    <row r="658">
      <c r="A658" s="48"/>
      <c r="B658" s="48"/>
      <c r="C658" s="48"/>
      <c r="D658" s="721"/>
      <c r="E658" s="711"/>
      <c r="F658" s="711"/>
      <c r="G658" s="721"/>
      <c r="H658" s="721"/>
      <c r="I658" s="721"/>
      <c r="J658" s="48"/>
      <c r="K658" s="721"/>
      <c r="L658" s="721"/>
      <c r="M658" s="721"/>
      <c r="N658" s="719"/>
      <c r="O658" s="48"/>
      <c r="P658" s="719"/>
      <c r="Q658" s="48"/>
      <c r="R658" s="711" t="str">
        <f>IFERROR(__xludf.DUMMYFUNCTION("""COMPUTED_VALUE"""),"2526FILLYGIO13.Y")</f>
        <v>2526FILLYGIO13.Y</v>
      </c>
      <c r="S658" s="711">
        <f>IFERROR(__xludf.DUMMYFUNCTION("""COMPUTED_VALUE"""),3.0)</f>
        <v>3</v>
      </c>
      <c r="T658" s="721" t="str">
        <f>IFERROR(__xludf.DUMMYFUNCTION("""COMPUTED_VALUE"""),"2526FILLYGIO13.Y")</f>
        <v>2526FILLYGIO13.Y</v>
      </c>
      <c r="U658" s="721"/>
      <c r="V658" s="711"/>
      <c r="W658" s="721"/>
      <c r="X658" s="721"/>
      <c r="Y658" s="48"/>
      <c r="Z658" s="48"/>
      <c r="AA658" s="48"/>
      <c r="AB658" s="711"/>
      <c r="AC658" s="711"/>
      <c r="AD658" s="711"/>
      <c r="AE658" s="711"/>
      <c r="AF658" s="711"/>
      <c r="AG658" s="711"/>
      <c r="AH658" s="711"/>
    </row>
    <row r="659">
      <c r="A659" s="48"/>
      <c r="B659" s="48"/>
      <c r="C659" s="48"/>
      <c r="D659" s="721"/>
      <c r="E659" s="711"/>
      <c r="F659" s="711"/>
      <c r="G659" s="721"/>
      <c r="H659" s="721"/>
      <c r="I659" s="721"/>
      <c r="J659" s="48"/>
      <c r="K659" s="721"/>
      <c r="L659" s="721"/>
      <c r="M659" s="721"/>
      <c r="N659" s="719"/>
      <c r="O659" s="48"/>
      <c r="P659" s="719"/>
      <c r="Q659" s="48"/>
      <c r="R659" s="48"/>
      <c r="S659" s="711" t="str">
        <f>IFERROR(__xludf.DUMMYFUNCTION("""COMPUTED_VALUE"""),"")</f>
        <v/>
      </c>
      <c r="T659" s="721"/>
      <c r="U659" s="721"/>
      <c r="V659" s="711"/>
      <c r="W659" s="721"/>
      <c r="X659" s="721"/>
      <c r="Y659" s="48"/>
      <c r="Z659" s="48"/>
      <c r="AA659" s="48"/>
      <c r="AB659" s="711"/>
      <c r="AC659" s="711"/>
      <c r="AD659" s="711"/>
      <c r="AE659" s="711"/>
      <c r="AF659" s="711"/>
      <c r="AG659" s="711"/>
      <c r="AH659" s="711"/>
    </row>
    <row r="660">
      <c r="A660" s="48"/>
      <c r="B660" s="48"/>
      <c r="C660" s="48"/>
      <c r="D660" s="721"/>
      <c r="E660" s="711"/>
      <c r="F660" s="711"/>
      <c r="G660" s="721"/>
      <c r="H660" s="721"/>
      <c r="I660" s="721"/>
      <c r="J660" s="48"/>
      <c r="K660" s="721"/>
      <c r="L660" s="721"/>
      <c r="M660" s="721"/>
      <c r="N660" s="719"/>
      <c r="O660" s="48"/>
      <c r="P660" s="719"/>
      <c r="Q660" s="48"/>
      <c r="R660" s="711" t="str">
        <f>IFERROR(__xludf.DUMMYFUNCTION("""COMPUTED_VALUE"""),"2526MODULOGIO13.Y")</f>
        <v>2526MODULOGIO13.Y</v>
      </c>
      <c r="S660" s="711">
        <f>IFERROR(__xludf.DUMMYFUNCTION("""COMPUTED_VALUE"""),40.0)</f>
        <v>40</v>
      </c>
      <c r="T660" s="721" t="str">
        <f>IFERROR(__xludf.DUMMYFUNCTION("""COMPUTED_VALUE"""),"2526MODULOGIO13.Y")</f>
        <v>2526MODULOGIO13.Y</v>
      </c>
      <c r="U660" s="721"/>
      <c r="V660" s="711"/>
      <c r="W660" s="721"/>
      <c r="X660" s="721"/>
      <c r="Y660" s="48"/>
      <c r="Z660" s="48"/>
      <c r="AA660" s="48"/>
      <c r="AB660" s="711"/>
      <c r="AC660" s="711"/>
      <c r="AD660" s="711"/>
      <c r="AE660" s="711"/>
      <c r="AF660" s="711"/>
      <c r="AG660" s="711"/>
      <c r="AH660" s="711"/>
    </row>
    <row r="661">
      <c r="A661" s="48"/>
      <c r="B661" s="48"/>
      <c r="C661" s="48"/>
      <c r="D661" s="721"/>
      <c r="E661" s="711"/>
      <c r="F661" s="711"/>
      <c r="G661" s="721"/>
      <c r="H661" s="721"/>
      <c r="I661" s="721"/>
      <c r="J661" s="48"/>
      <c r="K661" s="721"/>
      <c r="L661" s="721"/>
      <c r="M661" s="721"/>
      <c r="N661" s="719"/>
      <c r="O661" s="48"/>
      <c r="P661" s="719"/>
      <c r="Q661" s="48"/>
      <c r="R661" s="711" t="str">
        <f>IFERROR(__xludf.DUMMYFUNCTION("""COMPUTED_VALUE"""),"2526SEABRAGIO13.Y")</f>
        <v>2526SEABRAGIO13.Y</v>
      </c>
      <c r="S661" s="711">
        <f>IFERROR(__xludf.DUMMYFUNCTION("""COMPUTED_VALUE"""),20.0)</f>
        <v>20</v>
      </c>
      <c r="T661" s="721" t="str">
        <f>IFERROR(__xludf.DUMMYFUNCTION("""COMPUTED_VALUE"""),"2526SEABRAGIO13.Y")</f>
        <v>2526SEABRAGIO13.Y</v>
      </c>
      <c r="U661" s="721"/>
      <c r="V661" s="711"/>
      <c r="W661" s="721"/>
      <c r="X661" s="721"/>
      <c r="Y661" s="48"/>
      <c r="Z661" s="48"/>
      <c r="AA661" s="48"/>
      <c r="AB661" s="711"/>
      <c r="AC661" s="711"/>
      <c r="AD661" s="711"/>
      <c r="AE661" s="711"/>
      <c r="AF661" s="711"/>
      <c r="AG661" s="711"/>
      <c r="AH661" s="711"/>
    </row>
    <row r="662">
      <c r="A662" s="48"/>
      <c r="B662" s="48"/>
      <c r="C662" s="48"/>
      <c r="D662" s="721"/>
      <c r="E662" s="711"/>
      <c r="F662" s="711"/>
      <c r="G662" s="721"/>
      <c r="H662" s="721"/>
      <c r="I662" s="721"/>
      <c r="J662" s="48"/>
      <c r="K662" s="721"/>
      <c r="L662" s="721"/>
      <c r="M662" s="721"/>
      <c r="N662" s="719"/>
      <c r="O662" s="48"/>
      <c r="P662" s="719"/>
      <c r="Q662" s="48"/>
      <c r="R662" s="48"/>
      <c r="S662" s="711" t="str">
        <f>IFERROR(__xludf.DUMMYFUNCTION("""COMPUTED_VALUE"""),"")</f>
        <v/>
      </c>
      <c r="T662" s="721"/>
      <c r="U662" s="721"/>
      <c r="V662" s="711"/>
      <c r="W662" s="721"/>
      <c r="X662" s="721"/>
      <c r="Y662" s="48"/>
      <c r="Z662" s="48"/>
      <c r="AA662" s="48"/>
      <c r="AB662" s="711"/>
      <c r="AC662" s="711"/>
      <c r="AD662" s="711"/>
      <c r="AE662" s="711"/>
      <c r="AF662" s="711"/>
      <c r="AG662" s="711"/>
      <c r="AH662" s="711"/>
    </row>
    <row r="663">
      <c r="A663" s="48"/>
      <c r="B663" s="48"/>
      <c r="C663" s="48"/>
      <c r="D663" s="721"/>
      <c r="E663" s="711"/>
      <c r="F663" s="711"/>
      <c r="G663" s="721"/>
      <c r="H663" s="721"/>
      <c r="I663" s="721"/>
      <c r="J663" s="48"/>
      <c r="K663" s="721"/>
      <c r="L663" s="721"/>
      <c r="M663" s="721"/>
      <c r="N663" s="719"/>
      <c r="O663" s="48"/>
      <c r="P663" s="719"/>
      <c r="Q663" s="48"/>
      <c r="R663" s="48"/>
      <c r="S663" s="711" t="str">
        <f>IFERROR(__xludf.DUMMYFUNCTION("""COMPUTED_VALUE"""),"")</f>
        <v/>
      </c>
      <c r="T663" s="721"/>
      <c r="U663" s="721"/>
      <c r="V663" s="711"/>
      <c r="W663" s="721"/>
      <c r="X663" s="721"/>
      <c r="Y663" s="48"/>
      <c r="Z663" s="48"/>
      <c r="AA663" s="48"/>
      <c r="AB663" s="711"/>
      <c r="AC663" s="711"/>
      <c r="AD663" s="711"/>
      <c r="AE663" s="711"/>
      <c r="AF663" s="711"/>
      <c r="AG663" s="711"/>
      <c r="AH663" s="711"/>
    </row>
    <row r="664">
      <c r="A664" s="48"/>
      <c r="B664" s="48"/>
      <c r="C664" s="48"/>
      <c r="D664" s="721"/>
      <c r="E664" s="711"/>
      <c r="F664" s="711"/>
      <c r="G664" s="721"/>
      <c r="H664" s="721"/>
      <c r="I664" s="721"/>
      <c r="J664" s="48"/>
      <c r="K664" s="721"/>
      <c r="L664" s="721"/>
      <c r="M664" s="721"/>
      <c r="N664" s="719"/>
      <c r="O664" s="48"/>
      <c r="P664" s="719"/>
      <c r="Q664" s="48"/>
      <c r="R664" s="48"/>
      <c r="S664" s="711" t="str">
        <f>IFERROR(__xludf.DUMMYFUNCTION("""COMPUTED_VALUE"""),"")</f>
        <v/>
      </c>
      <c r="T664" s="721"/>
      <c r="U664" s="721"/>
      <c r="V664" s="711"/>
      <c r="W664" s="721"/>
      <c r="X664" s="721"/>
      <c r="Y664" s="48"/>
      <c r="Z664" s="48"/>
      <c r="AA664" s="48"/>
      <c r="AB664" s="711"/>
      <c r="AC664" s="711"/>
      <c r="AD664" s="711"/>
      <c r="AE664" s="711"/>
      <c r="AF664" s="711"/>
      <c r="AG664" s="711"/>
      <c r="AH664" s="711"/>
    </row>
    <row r="665">
      <c r="A665" s="48"/>
      <c r="B665" s="48"/>
      <c r="C665" s="48"/>
      <c r="D665" s="721"/>
      <c r="E665" s="711"/>
      <c r="F665" s="711"/>
      <c r="G665" s="721"/>
      <c r="H665" s="721"/>
      <c r="I665" s="721"/>
      <c r="J665" s="48"/>
      <c r="K665" s="721"/>
      <c r="L665" s="721"/>
      <c r="M665" s="721"/>
      <c r="N665" s="719"/>
      <c r="O665" s="48"/>
      <c r="P665" s="719"/>
      <c r="Q665" s="48"/>
      <c r="R665" s="711" t="str">
        <f>IFERROR(__xludf.DUMMYFUNCTION("""COMPUTED_VALUE"""),"2526MAMACITAGIO14.Y")</f>
        <v>2526MAMACITAGIO14.Y</v>
      </c>
      <c r="S665" s="711">
        <f>IFERROR(__xludf.DUMMYFUNCTION("""COMPUTED_VALUE"""),20.0)</f>
        <v>20</v>
      </c>
      <c r="T665" s="721" t="str">
        <f>IFERROR(__xludf.DUMMYFUNCTION("""COMPUTED_VALUE"""),"2526MAMACITAGIO14.Y")</f>
        <v>2526MAMACITAGIO14.Y</v>
      </c>
      <c r="U665" s="721"/>
      <c r="V665" s="711"/>
      <c r="W665" s="721"/>
      <c r="X665" s="721"/>
      <c r="Y665" s="48"/>
      <c r="Z665" s="48"/>
      <c r="AA665" s="48"/>
      <c r="AB665" s="711"/>
      <c r="AC665" s="711"/>
      <c r="AD665" s="711"/>
      <c r="AE665" s="711"/>
      <c r="AF665" s="711"/>
      <c r="AG665" s="711"/>
      <c r="AH665" s="711"/>
    </row>
    <row r="666">
      <c r="A666" s="48"/>
      <c r="B666" s="48"/>
      <c r="C666" s="48"/>
      <c r="D666" s="721"/>
      <c r="E666" s="711"/>
      <c r="F666" s="711"/>
      <c r="G666" s="721"/>
      <c r="H666" s="721"/>
      <c r="I666" s="721"/>
      <c r="J666" s="48"/>
      <c r="K666" s="721"/>
      <c r="L666" s="721"/>
      <c r="M666" s="721"/>
      <c r="N666" s="719"/>
      <c r="O666" s="48"/>
      <c r="P666" s="719"/>
      <c r="Q666" s="48"/>
      <c r="R666" s="48"/>
      <c r="S666" s="711" t="str">
        <f>IFERROR(__xludf.DUMMYFUNCTION("""COMPUTED_VALUE"""),"")</f>
        <v/>
      </c>
      <c r="T666" s="721"/>
      <c r="U666" s="721"/>
      <c r="V666" s="711"/>
      <c r="W666" s="721"/>
      <c r="X666" s="721"/>
      <c r="Y666" s="48"/>
      <c r="Z666" s="48"/>
      <c r="AA666" s="48"/>
      <c r="AB666" s="711"/>
      <c r="AC666" s="711"/>
      <c r="AD666" s="711"/>
      <c r="AE666" s="711"/>
      <c r="AF666" s="711"/>
      <c r="AG666" s="711"/>
      <c r="AH666" s="711"/>
    </row>
    <row r="667">
      <c r="A667" s="48"/>
      <c r="B667" s="48"/>
      <c r="C667" s="48"/>
      <c r="D667" s="721"/>
      <c r="E667" s="711"/>
      <c r="F667" s="711"/>
      <c r="G667" s="721"/>
      <c r="H667" s="721"/>
      <c r="I667" s="721"/>
      <c r="J667" s="48"/>
      <c r="K667" s="721"/>
      <c r="L667" s="721"/>
      <c r="M667" s="721"/>
      <c r="N667" s="719"/>
      <c r="O667" s="48"/>
      <c r="P667" s="719"/>
      <c r="Q667" s="48"/>
      <c r="R667" s="48"/>
      <c r="S667" s="711" t="str">
        <f>IFERROR(__xludf.DUMMYFUNCTION("""COMPUTED_VALUE"""),"")</f>
        <v/>
      </c>
      <c r="T667" s="721"/>
      <c r="U667" s="721"/>
      <c r="V667" s="711"/>
      <c r="W667" s="721"/>
      <c r="X667" s="721"/>
      <c r="Y667" s="48"/>
      <c r="Z667" s="48"/>
      <c r="AA667" s="48"/>
      <c r="AB667" s="711"/>
      <c r="AC667" s="711"/>
      <c r="AD667" s="711"/>
      <c r="AE667" s="711"/>
      <c r="AF667" s="711"/>
      <c r="AG667" s="711"/>
      <c r="AH667" s="711"/>
    </row>
    <row r="668">
      <c r="A668" s="48"/>
      <c r="B668" s="48"/>
      <c r="C668" s="48"/>
      <c r="D668" s="721"/>
      <c r="E668" s="711"/>
      <c r="F668" s="711"/>
      <c r="G668" s="721"/>
      <c r="H668" s="721"/>
      <c r="I668" s="721"/>
      <c r="J668" s="48"/>
      <c r="K668" s="721"/>
      <c r="L668" s="721"/>
      <c r="M668" s="721"/>
      <c r="N668" s="719"/>
      <c r="O668" s="48"/>
      <c r="P668" s="719"/>
      <c r="Q668" s="48"/>
      <c r="R668" s="48"/>
      <c r="S668" s="711" t="str">
        <f>IFERROR(__xludf.DUMMYFUNCTION("""COMPUTED_VALUE"""),"")</f>
        <v/>
      </c>
      <c r="T668" s="721"/>
      <c r="U668" s="721"/>
      <c r="V668" s="711"/>
      <c r="W668" s="721"/>
      <c r="X668" s="721"/>
      <c r="Y668" s="48"/>
      <c r="Z668" s="48"/>
      <c r="AA668" s="48"/>
      <c r="AB668" s="711"/>
      <c r="AC668" s="711"/>
      <c r="AD668" s="711"/>
      <c r="AE668" s="711"/>
      <c r="AF668" s="711"/>
      <c r="AG668" s="711"/>
      <c r="AH668" s="711"/>
    </row>
    <row r="669">
      <c r="A669" s="48"/>
      <c r="B669" s="48"/>
      <c r="C669" s="48"/>
      <c r="D669" s="721"/>
      <c r="E669" s="711"/>
      <c r="F669" s="711"/>
      <c r="G669" s="721"/>
      <c r="H669" s="721"/>
      <c r="I669" s="721"/>
      <c r="J669" s="48"/>
      <c r="K669" s="721"/>
      <c r="L669" s="721"/>
      <c r="M669" s="721"/>
      <c r="N669" s="719"/>
      <c r="O669" s="48"/>
      <c r="P669" s="719"/>
      <c r="Q669" s="48"/>
      <c r="R669" s="711" t="str">
        <f>IFERROR(__xludf.DUMMYFUNCTION("""COMPUTED_VALUE"""),"2526MODULOGIO14.Y")</f>
        <v>2526MODULOGIO14.Y</v>
      </c>
      <c r="S669" s="711">
        <f>IFERROR(__xludf.DUMMYFUNCTION("""COMPUTED_VALUE"""),40.0)</f>
        <v>40</v>
      </c>
      <c r="T669" s="721" t="str">
        <f>IFERROR(__xludf.DUMMYFUNCTION("""COMPUTED_VALUE"""),"2526MODULOGIO14.Y")</f>
        <v>2526MODULOGIO14.Y</v>
      </c>
      <c r="U669" s="721"/>
      <c r="V669" s="711"/>
      <c r="W669" s="721"/>
      <c r="X669" s="721"/>
      <c r="Y669" s="48"/>
      <c r="Z669" s="48"/>
      <c r="AA669" s="48"/>
      <c r="AB669" s="711"/>
      <c r="AC669" s="711"/>
      <c r="AD669" s="711"/>
      <c r="AE669" s="711"/>
      <c r="AF669" s="711"/>
      <c r="AG669" s="711"/>
      <c r="AH669" s="711"/>
    </row>
    <row r="670">
      <c r="A670" s="48"/>
      <c r="B670" s="48"/>
      <c r="C670" s="48"/>
      <c r="D670" s="721"/>
      <c r="E670" s="711"/>
      <c r="F670" s="711"/>
      <c r="G670" s="721"/>
      <c r="H670" s="721"/>
      <c r="I670" s="721"/>
      <c r="J670" s="48"/>
      <c r="K670" s="721"/>
      <c r="L670" s="721"/>
      <c r="M670" s="721"/>
      <c r="N670" s="719"/>
      <c r="O670" s="48"/>
      <c r="P670" s="719"/>
      <c r="Q670" s="48"/>
      <c r="R670" s="48"/>
      <c r="S670" s="711" t="str">
        <f>IFERROR(__xludf.DUMMYFUNCTION("""COMPUTED_VALUE"""),"")</f>
        <v/>
      </c>
      <c r="T670" s="721"/>
      <c r="U670" s="721"/>
      <c r="V670" s="711"/>
      <c r="W670" s="721"/>
      <c r="X670" s="721"/>
      <c r="Y670" s="48"/>
      <c r="Z670" s="48"/>
      <c r="AA670" s="48"/>
      <c r="AB670" s="711"/>
      <c r="AC670" s="711"/>
      <c r="AD670" s="711"/>
      <c r="AE670" s="711"/>
      <c r="AF670" s="711"/>
      <c r="AG670" s="711"/>
      <c r="AH670" s="711"/>
    </row>
    <row r="671">
      <c r="A671" s="48"/>
      <c r="B671" s="48"/>
      <c r="C671" s="48"/>
      <c r="D671" s="721"/>
      <c r="E671" s="711"/>
      <c r="F671" s="711"/>
      <c r="G671" s="721"/>
      <c r="H671" s="721"/>
      <c r="I671" s="721"/>
      <c r="J671" s="48"/>
      <c r="K671" s="721"/>
      <c r="L671" s="721"/>
      <c r="M671" s="721"/>
      <c r="N671" s="719"/>
      <c r="O671" s="48"/>
      <c r="P671" s="719"/>
      <c r="Q671" s="48"/>
      <c r="R671" s="48"/>
      <c r="S671" s="711" t="str">
        <f>IFERROR(__xludf.DUMMYFUNCTION("""COMPUTED_VALUE"""),"")</f>
        <v/>
      </c>
      <c r="T671" s="721"/>
      <c r="U671" s="721"/>
      <c r="V671" s="711"/>
      <c r="W671" s="721"/>
      <c r="X671" s="721"/>
      <c r="Y671" s="48"/>
      <c r="Z671" s="48"/>
      <c r="AA671" s="48"/>
      <c r="AB671" s="711"/>
      <c r="AC671" s="711"/>
      <c r="AD671" s="711"/>
      <c r="AE671" s="711"/>
      <c r="AF671" s="711"/>
      <c r="AG671" s="711"/>
      <c r="AH671" s="711"/>
    </row>
    <row r="672">
      <c r="A672" s="48"/>
      <c r="B672" s="48"/>
      <c r="C672" s="48"/>
      <c r="D672" s="721"/>
      <c r="E672" s="711"/>
      <c r="F672" s="711"/>
      <c r="G672" s="721"/>
      <c r="H672" s="721"/>
      <c r="I672" s="721"/>
      <c r="J672" s="48"/>
      <c r="K672" s="721"/>
      <c r="L672" s="721"/>
      <c r="M672" s="721"/>
      <c r="N672" s="719"/>
      <c r="O672" s="48"/>
      <c r="P672" s="719"/>
      <c r="Q672" s="48"/>
      <c r="R672" s="48"/>
      <c r="S672" s="711" t="str">
        <f>IFERROR(__xludf.DUMMYFUNCTION("""COMPUTED_VALUE"""),"")</f>
        <v/>
      </c>
      <c r="T672" s="721"/>
      <c r="U672" s="721"/>
      <c r="V672" s="711"/>
      <c r="W672" s="721"/>
      <c r="X672" s="721"/>
      <c r="Y672" s="48"/>
      <c r="Z672" s="48"/>
      <c r="AA672" s="48"/>
      <c r="AB672" s="711"/>
      <c r="AC672" s="711"/>
      <c r="AD672" s="711"/>
      <c r="AE672" s="711"/>
      <c r="AF672" s="711"/>
      <c r="AG672" s="711"/>
      <c r="AH672" s="711"/>
    </row>
    <row r="673">
      <c r="A673" s="48"/>
      <c r="B673" s="48"/>
      <c r="C673" s="48"/>
      <c r="D673" s="721"/>
      <c r="E673" s="711"/>
      <c r="F673" s="711"/>
      <c r="G673" s="721"/>
      <c r="H673" s="721"/>
      <c r="I673" s="721"/>
      <c r="J673" s="48"/>
      <c r="K673" s="721"/>
      <c r="L673" s="721"/>
      <c r="M673" s="721"/>
      <c r="N673" s="719"/>
      <c r="O673" s="48"/>
      <c r="P673" s="719"/>
      <c r="Q673" s="48"/>
      <c r="R673" s="711" t="str">
        <f>IFERROR(__xludf.DUMMYFUNCTION("""COMPUTED_VALUE"""),"2526SEABRAGIO14.Y")</f>
        <v>2526SEABRAGIO14.Y</v>
      </c>
      <c r="S673" s="711">
        <f>IFERROR(__xludf.DUMMYFUNCTION("""COMPUTED_VALUE"""),20.0)</f>
        <v>20</v>
      </c>
      <c r="T673" s="721" t="str">
        <f>IFERROR(__xludf.DUMMYFUNCTION("""COMPUTED_VALUE"""),"2526SEABRAGIO14.Y")</f>
        <v>2526SEABRAGIO14.Y</v>
      </c>
      <c r="U673" s="721"/>
      <c r="V673" s="711"/>
      <c r="W673" s="721"/>
      <c r="X673" s="721"/>
      <c r="Y673" s="48"/>
      <c r="Z673" s="48"/>
      <c r="AA673" s="48"/>
      <c r="AB673" s="711"/>
      <c r="AC673" s="711"/>
      <c r="AD673" s="711"/>
      <c r="AE673" s="711"/>
      <c r="AF673" s="711"/>
      <c r="AG673" s="711"/>
      <c r="AH673" s="711"/>
    </row>
    <row r="674">
      <c r="A674" s="48"/>
      <c r="B674" s="48"/>
      <c r="C674" s="48"/>
      <c r="D674" s="721"/>
      <c r="E674" s="711"/>
      <c r="F674" s="711"/>
      <c r="G674" s="721"/>
      <c r="H674" s="721"/>
      <c r="I674" s="721"/>
      <c r="J674" s="48"/>
      <c r="K674" s="721"/>
      <c r="L674" s="721"/>
      <c r="M674" s="721"/>
      <c r="N674" s="719"/>
      <c r="O674" s="48"/>
      <c r="P674" s="719"/>
      <c r="Q674" s="48"/>
      <c r="R674" s="48"/>
      <c r="S674" s="711" t="str">
        <f>IFERROR(__xludf.DUMMYFUNCTION("""COMPUTED_VALUE"""),"")</f>
        <v/>
      </c>
      <c r="T674" s="721"/>
      <c r="U674" s="721"/>
      <c r="V674" s="711"/>
      <c r="W674" s="721"/>
      <c r="X674" s="721"/>
      <c r="Y674" s="48"/>
      <c r="Z674" s="48"/>
      <c r="AA674" s="48"/>
      <c r="AB674" s="711"/>
      <c r="AC674" s="711"/>
      <c r="AD674" s="711"/>
      <c r="AE674" s="711"/>
      <c r="AF674" s="711"/>
      <c r="AG674" s="711"/>
      <c r="AH674" s="711"/>
    </row>
    <row r="675">
      <c r="A675" s="48"/>
      <c r="B675" s="48"/>
      <c r="C675" s="48"/>
      <c r="D675" s="721"/>
      <c r="E675" s="711"/>
      <c r="F675" s="711"/>
      <c r="G675" s="721"/>
      <c r="H675" s="721"/>
      <c r="I675" s="721"/>
      <c r="J675" s="48"/>
      <c r="K675" s="721"/>
      <c r="L675" s="721"/>
      <c r="M675" s="721"/>
      <c r="N675" s="719"/>
      <c r="O675" s="48"/>
      <c r="P675" s="719"/>
      <c r="Q675" s="48"/>
      <c r="R675" s="48"/>
      <c r="S675" s="711" t="str">
        <f>IFERROR(__xludf.DUMMYFUNCTION("""COMPUTED_VALUE"""),"")</f>
        <v/>
      </c>
      <c r="T675" s="721"/>
      <c r="U675" s="721"/>
      <c r="V675" s="711"/>
      <c r="W675" s="721"/>
      <c r="X675" s="721"/>
      <c r="Y675" s="48"/>
      <c r="Z675" s="48"/>
      <c r="AA675" s="48"/>
      <c r="AB675" s="711"/>
      <c r="AC675" s="711"/>
      <c r="AD675" s="711"/>
      <c r="AE675" s="711"/>
      <c r="AF675" s="711"/>
      <c r="AG675" s="711"/>
      <c r="AH675" s="711"/>
    </row>
    <row r="676">
      <c r="A676" s="48"/>
      <c r="B676" s="48"/>
      <c r="C676" s="48"/>
      <c r="D676" s="721"/>
      <c r="E676" s="711"/>
      <c r="F676" s="711"/>
      <c r="G676" s="721"/>
      <c r="H676" s="721"/>
      <c r="I676" s="721"/>
      <c r="J676" s="48"/>
      <c r="K676" s="721"/>
      <c r="L676" s="721"/>
      <c r="M676" s="721"/>
      <c r="N676" s="719"/>
      <c r="O676" s="48"/>
      <c r="P676" s="719"/>
      <c r="Q676" s="48"/>
      <c r="R676" s="48"/>
      <c r="S676" s="711" t="str">
        <f>IFERROR(__xludf.DUMMYFUNCTION("""COMPUTED_VALUE"""),"")</f>
        <v/>
      </c>
      <c r="T676" s="721"/>
      <c r="U676" s="721"/>
      <c r="V676" s="711"/>
      <c r="W676" s="721"/>
      <c r="X676" s="721"/>
      <c r="Y676" s="48"/>
      <c r="Z676" s="48"/>
      <c r="AA676" s="48"/>
      <c r="AB676" s="711"/>
      <c r="AC676" s="711"/>
      <c r="AD676" s="711"/>
      <c r="AE676" s="711"/>
      <c r="AF676" s="711"/>
      <c r="AG676" s="711"/>
      <c r="AH676" s="711"/>
    </row>
    <row r="677">
      <c r="A677" s="48"/>
      <c r="B677" s="48"/>
      <c r="C677" s="48"/>
      <c r="D677" s="721"/>
      <c r="E677" s="711"/>
      <c r="F677" s="711"/>
      <c r="G677" s="721"/>
      <c r="H677" s="721"/>
      <c r="I677" s="721"/>
      <c r="J677" s="48"/>
      <c r="K677" s="721"/>
      <c r="L677" s="721"/>
      <c r="M677" s="721"/>
      <c r="N677" s="719"/>
      <c r="O677" s="48"/>
      <c r="P677" s="719"/>
      <c r="Q677" s="48"/>
      <c r="R677" s="711" t="str">
        <f>IFERROR(__xludf.DUMMYFUNCTION("""COMPUTED_VALUE"""),"2526MAMACITAGIO15.Y")</f>
        <v>2526MAMACITAGIO15.Y</v>
      </c>
      <c r="S677" s="711">
        <f>IFERROR(__xludf.DUMMYFUNCTION("""COMPUTED_VALUE"""),20.0)</f>
        <v>20</v>
      </c>
      <c r="T677" s="721" t="str">
        <f>IFERROR(__xludf.DUMMYFUNCTION("""COMPUTED_VALUE"""),"2526MAMACITAGIO15.Y")</f>
        <v>2526MAMACITAGIO15.Y</v>
      </c>
      <c r="U677" s="721"/>
      <c r="V677" s="711"/>
      <c r="W677" s="721"/>
      <c r="X677" s="721"/>
      <c r="Y677" s="48"/>
      <c r="Z677" s="48"/>
      <c r="AA677" s="48"/>
      <c r="AB677" s="711"/>
      <c r="AC677" s="711"/>
      <c r="AD677" s="711"/>
      <c r="AE677" s="711"/>
      <c r="AF677" s="711"/>
      <c r="AG677" s="711"/>
      <c r="AH677" s="711"/>
    </row>
    <row r="678">
      <c r="A678" s="48"/>
      <c r="B678" s="48"/>
      <c r="C678" s="48"/>
      <c r="D678" s="721"/>
      <c r="E678" s="711"/>
      <c r="F678" s="711"/>
      <c r="G678" s="721"/>
      <c r="H678" s="721"/>
      <c r="I678" s="721"/>
      <c r="J678" s="48"/>
      <c r="K678" s="721"/>
      <c r="L678" s="721"/>
      <c r="M678" s="721"/>
      <c r="N678" s="719"/>
      <c r="O678" s="48"/>
      <c r="P678" s="719"/>
      <c r="Q678" s="48"/>
      <c r="R678" s="48"/>
      <c r="S678" s="711" t="str">
        <f>IFERROR(__xludf.DUMMYFUNCTION("""COMPUTED_VALUE"""),"")</f>
        <v/>
      </c>
      <c r="T678" s="721"/>
      <c r="U678" s="721"/>
      <c r="V678" s="711"/>
      <c r="W678" s="721"/>
      <c r="X678" s="721"/>
      <c r="Y678" s="48"/>
      <c r="Z678" s="48"/>
      <c r="AA678" s="48"/>
      <c r="AB678" s="711"/>
      <c r="AC678" s="711"/>
      <c r="AD678" s="711"/>
      <c r="AE678" s="711"/>
      <c r="AF678" s="711"/>
      <c r="AG678" s="711"/>
      <c r="AH678" s="711"/>
    </row>
    <row r="679">
      <c r="A679" s="48"/>
      <c r="B679" s="48"/>
      <c r="C679" s="48"/>
      <c r="D679" s="721"/>
      <c r="E679" s="711"/>
      <c r="F679" s="711"/>
      <c r="G679" s="721"/>
      <c r="H679" s="721"/>
      <c r="I679" s="721"/>
      <c r="J679" s="48"/>
      <c r="K679" s="721"/>
      <c r="L679" s="721"/>
      <c r="M679" s="721"/>
      <c r="N679" s="719"/>
      <c r="O679" s="48"/>
      <c r="P679" s="719"/>
      <c r="Q679" s="48"/>
      <c r="R679" s="48"/>
      <c r="S679" s="711" t="str">
        <f>IFERROR(__xludf.DUMMYFUNCTION("""COMPUTED_VALUE"""),"")</f>
        <v/>
      </c>
      <c r="T679" s="721"/>
      <c r="U679" s="721"/>
      <c r="V679" s="711"/>
      <c r="W679" s="721"/>
      <c r="X679" s="721"/>
      <c r="Y679" s="48"/>
      <c r="Z679" s="48"/>
      <c r="AA679" s="48"/>
      <c r="AB679" s="711"/>
      <c r="AC679" s="711"/>
      <c r="AD679" s="711"/>
      <c r="AE679" s="711"/>
      <c r="AF679" s="711"/>
      <c r="AG679" s="711"/>
      <c r="AH679" s="711"/>
    </row>
    <row r="680">
      <c r="A680" s="48"/>
      <c r="B680" s="48"/>
      <c r="C680" s="48"/>
      <c r="D680" s="721"/>
      <c r="E680" s="711"/>
      <c r="F680" s="711"/>
      <c r="G680" s="721"/>
      <c r="H680" s="721"/>
      <c r="I680" s="721"/>
      <c r="J680" s="48"/>
      <c r="K680" s="721"/>
      <c r="L680" s="721"/>
      <c r="M680" s="721"/>
      <c r="N680" s="719"/>
      <c r="O680" s="48"/>
      <c r="P680" s="719"/>
      <c r="Q680" s="48"/>
      <c r="R680" s="48"/>
      <c r="S680" s="711" t="str">
        <f>IFERROR(__xludf.DUMMYFUNCTION("""COMPUTED_VALUE"""),"")</f>
        <v/>
      </c>
      <c r="T680" s="721"/>
      <c r="U680" s="721"/>
      <c r="V680" s="711"/>
      <c r="W680" s="721"/>
      <c r="X680" s="721"/>
      <c r="Y680" s="48"/>
      <c r="Z680" s="48"/>
      <c r="AA680" s="48"/>
      <c r="AB680" s="711"/>
      <c r="AC680" s="711"/>
      <c r="AD680" s="711"/>
      <c r="AE680" s="711"/>
      <c r="AF680" s="711"/>
      <c r="AG680" s="711"/>
      <c r="AH680" s="711"/>
    </row>
    <row r="681">
      <c r="A681" s="48"/>
      <c r="B681" s="48"/>
      <c r="C681" s="48"/>
      <c r="D681" s="721"/>
      <c r="E681" s="711"/>
      <c r="F681" s="711"/>
      <c r="G681" s="721"/>
      <c r="H681" s="721"/>
      <c r="I681" s="721"/>
      <c r="J681" s="48"/>
      <c r="K681" s="721"/>
      <c r="L681" s="721"/>
      <c r="M681" s="721"/>
      <c r="N681" s="719"/>
      <c r="O681" s="48"/>
      <c r="P681" s="719"/>
      <c r="Q681" s="48"/>
      <c r="R681" s="711" t="str">
        <f>IFERROR(__xludf.DUMMYFUNCTION("""COMPUTED_VALUE"""),"2526MODULOGIO15.Y")</f>
        <v>2526MODULOGIO15.Y</v>
      </c>
      <c r="S681" s="711">
        <f>IFERROR(__xludf.DUMMYFUNCTION("""COMPUTED_VALUE"""),40.0)</f>
        <v>40</v>
      </c>
      <c r="T681" s="721" t="str">
        <f>IFERROR(__xludf.DUMMYFUNCTION("""COMPUTED_VALUE"""),"2526MODULOGIO15.Y")</f>
        <v>2526MODULOGIO15.Y</v>
      </c>
      <c r="U681" s="721"/>
      <c r="V681" s="711"/>
      <c r="W681" s="721"/>
      <c r="X681" s="721"/>
      <c r="Y681" s="48"/>
      <c r="Z681" s="48"/>
      <c r="AA681" s="48"/>
      <c r="AB681" s="711"/>
      <c r="AC681" s="711"/>
      <c r="AD681" s="711"/>
      <c r="AE681" s="711"/>
      <c r="AF681" s="711"/>
      <c r="AG681" s="711"/>
      <c r="AH681" s="711"/>
    </row>
    <row r="682">
      <c r="A682" s="48"/>
      <c r="B682" s="48"/>
      <c r="C682" s="48"/>
      <c r="D682" s="721"/>
      <c r="E682" s="711"/>
      <c r="F682" s="711"/>
      <c r="G682" s="721"/>
      <c r="H682" s="721"/>
      <c r="I682" s="721"/>
      <c r="J682" s="48"/>
      <c r="K682" s="721"/>
      <c r="L682" s="721"/>
      <c r="M682" s="721"/>
      <c r="N682" s="719"/>
      <c r="O682" s="48"/>
      <c r="P682" s="719"/>
      <c r="Q682" s="48"/>
      <c r="R682" s="48"/>
      <c r="S682" s="711" t="str">
        <f>IFERROR(__xludf.DUMMYFUNCTION("""COMPUTED_VALUE"""),"")</f>
        <v/>
      </c>
      <c r="T682" s="721"/>
      <c r="U682" s="721"/>
      <c r="V682" s="711"/>
      <c r="W682" s="721"/>
      <c r="X682" s="721"/>
      <c r="Y682" s="48"/>
      <c r="Z682" s="48"/>
      <c r="AA682" s="48"/>
      <c r="AB682" s="711"/>
      <c r="AC682" s="711"/>
      <c r="AD682" s="711"/>
      <c r="AE682" s="711"/>
      <c r="AF682" s="711"/>
      <c r="AG682" s="711"/>
      <c r="AH682" s="711"/>
    </row>
    <row r="683">
      <c r="A683" s="48"/>
      <c r="B683" s="48"/>
      <c r="C683" s="48"/>
      <c r="D683" s="721"/>
      <c r="E683" s="711"/>
      <c r="F683" s="711"/>
      <c r="G683" s="721"/>
      <c r="H683" s="721"/>
      <c r="I683" s="721"/>
      <c r="J683" s="48"/>
      <c r="K683" s="721"/>
      <c r="L683" s="721"/>
      <c r="M683" s="721"/>
      <c r="N683" s="719"/>
      <c r="O683" s="48"/>
      <c r="P683" s="719"/>
      <c r="Q683" s="48"/>
      <c r="R683" s="48"/>
      <c r="S683" s="711" t="str">
        <f>IFERROR(__xludf.DUMMYFUNCTION("""COMPUTED_VALUE"""),"")</f>
        <v/>
      </c>
      <c r="T683" s="721"/>
      <c r="U683" s="721"/>
      <c r="V683" s="711"/>
      <c r="W683" s="721"/>
      <c r="X683" s="721"/>
      <c r="Y683" s="48"/>
      <c r="Z683" s="48"/>
      <c r="AA683" s="48"/>
      <c r="AB683" s="711"/>
      <c r="AC683" s="711"/>
      <c r="AD683" s="711"/>
      <c r="AE683" s="711"/>
      <c r="AF683" s="711"/>
      <c r="AG683" s="711"/>
      <c r="AH683" s="711"/>
    </row>
    <row r="684">
      <c r="A684" s="48"/>
      <c r="B684" s="48"/>
      <c r="C684" s="48"/>
      <c r="D684" s="721"/>
      <c r="E684" s="711"/>
      <c r="F684" s="711"/>
      <c r="G684" s="721"/>
      <c r="H684" s="721"/>
      <c r="I684" s="721"/>
      <c r="J684" s="48"/>
      <c r="K684" s="721"/>
      <c r="L684" s="721"/>
      <c r="M684" s="721"/>
      <c r="N684" s="719"/>
      <c r="O684" s="48"/>
      <c r="P684" s="719"/>
      <c r="Q684" s="48"/>
      <c r="R684" s="48"/>
      <c r="S684" s="711" t="str">
        <f>IFERROR(__xludf.DUMMYFUNCTION("""COMPUTED_VALUE"""),"")</f>
        <v/>
      </c>
      <c r="T684" s="721"/>
      <c r="U684" s="721"/>
      <c r="V684" s="711"/>
      <c r="W684" s="721"/>
      <c r="X684" s="721"/>
      <c r="Y684" s="48"/>
      <c r="Z684" s="48"/>
      <c r="AA684" s="48"/>
      <c r="AB684" s="711"/>
      <c r="AC684" s="711"/>
      <c r="AD684" s="711"/>
      <c r="AE684" s="711"/>
      <c r="AF684" s="711"/>
      <c r="AG684" s="711"/>
      <c r="AH684" s="711"/>
    </row>
    <row r="685">
      <c r="A685" s="48"/>
      <c r="B685" s="48"/>
      <c r="C685" s="48"/>
      <c r="D685" s="721"/>
      <c r="E685" s="711"/>
      <c r="F685" s="711"/>
      <c r="G685" s="721"/>
      <c r="H685" s="721"/>
      <c r="I685" s="721"/>
      <c r="J685" s="48"/>
      <c r="K685" s="721"/>
      <c r="L685" s="721"/>
      <c r="M685" s="721"/>
      <c r="N685" s="719"/>
      <c r="O685" s="48"/>
      <c r="P685" s="719"/>
      <c r="Q685" s="48"/>
      <c r="R685" s="711" t="str">
        <f>IFERROR(__xludf.DUMMYFUNCTION("""COMPUTED_VALUE"""),"2526SEABRAGIO15.Y")</f>
        <v>2526SEABRAGIO15.Y</v>
      </c>
      <c r="S685" s="711">
        <f>IFERROR(__xludf.DUMMYFUNCTION("""COMPUTED_VALUE"""),20.0)</f>
        <v>20</v>
      </c>
      <c r="T685" s="721" t="str">
        <f>IFERROR(__xludf.DUMMYFUNCTION("""COMPUTED_VALUE"""),"2526SEABRAGIO15.Y")</f>
        <v>2526SEABRAGIO15.Y</v>
      </c>
      <c r="U685" s="721"/>
      <c r="V685" s="711"/>
      <c r="W685" s="721"/>
      <c r="X685" s="721"/>
      <c r="Y685" s="48"/>
      <c r="Z685" s="48"/>
      <c r="AA685" s="48"/>
      <c r="AB685" s="711"/>
      <c r="AC685" s="711"/>
      <c r="AD685" s="711"/>
      <c r="AE685" s="711"/>
      <c r="AF685" s="711"/>
      <c r="AG685" s="711"/>
      <c r="AH685" s="711"/>
    </row>
    <row r="686">
      <c r="A686" s="48"/>
      <c r="B686" s="48"/>
      <c r="C686" s="48"/>
      <c r="D686" s="721"/>
      <c r="E686" s="711"/>
      <c r="F686" s="711"/>
      <c r="G686" s="721"/>
      <c r="H686" s="721"/>
      <c r="I686" s="721"/>
      <c r="J686" s="48"/>
      <c r="K686" s="721"/>
      <c r="L686" s="721"/>
      <c r="M686" s="721"/>
      <c r="N686" s="719"/>
      <c r="O686" s="48"/>
      <c r="P686" s="719"/>
      <c r="Q686" s="48"/>
      <c r="R686" s="48"/>
      <c r="S686" s="711" t="str">
        <f>IFERROR(__xludf.DUMMYFUNCTION("""COMPUTED_VALUE"""),"")</f>
        <v/>
      </c>
      <c r="T686" s="721"/>
      <c r="U686" s="721"/>
      <c r="V686" s="711"/>
      <c r="W686" s="721"/>
      <c r="X686" s="721"/>
      <c r="Y686" s="48"/>
      <c r="Z686" s="48"/>
      <c r="AA686" s="48"/>
      <c r="AB686" s="711"/>
      <c r="AC686" s="711"/>
      <c r="AD686" s="711"/>
      <c r="AE686" s="711"/>
      <c r="AF686" s="711"/>
      <c r="AG686" s="711"/>
      <c r="AH686" s="711"/>
    </row>
    <row r="687">
      <c r="A687" s="48"/>
      <c r="B687" s="48"/>
      <c r="C687" s="48"/>
      <c r="D687" s="721"/>
      <c r="E687" s="711"/>
      <c r="F687" s="711"/>
      <c r="G687" s="721"/>
      <c r="H687" s="721"/>
      <c r="I687" s="721"/>
      <c r="J687" s="48"/>
      <c r="K687" s="721"/>
      <c r="L687" s="721"/>
      <c r="M687" s="721"/>
      <c r="N687" s="719"/>
      <c r="O687" s="48"/>
      <c r="P687" s="719"/>
      <c r="Q687" s="48"/>
      <c r="R687" s="48"/>
      <c r="S687" s="711" t="str">
        <f>IFERROR(__xludf.DUMMYFUNCTION("""COMPUTED_VALUE"""),"")</f>
        <v/>
      </c>
      <c r="T687" s="721"/>
      <c r="U687" s="721"/>
      <c r="V687" s="711"/>
      <c r="W687" s="721"/>
      <c r="X687" s="721"/>
      <c r="Y687" s="48"/>
      <c r="Z687" s="48"/>
      <c r="AA687" s="48"/>
      <c r="AB687" s="711"/>
      <c r="AC687" s="711"/>
      <c r="AD687" s="711"/>
      <c r="AE687" s="711"/>
      <c r="AF687" s="711"/>
      <c r="AG687" s="711"/>
      <c r="AH687" s="711"/>
    </row>
    <row r="688">
      <c r="A688" s="48"/>
      <c r="B688" s="48"/>
      <c r="C688" s="48"/>
      <c r="D688" s="721"/>
      <c r="E688" s="711"/>
      <c r="F688" s="711"/>
      <c r="G688" s="721"/>
      <c r="H688" s="721"/>
      <c r="I688" s="721"/>
      <c r="J688" s="48"/>
      <c r="K688" s="721"/>
      <c r="L688" s="721"/>
      <c r="M688" s="721"/>
      <c r="N688" s="719"/>
      <c r="O688" s="48"/>
      <c r="P688" s="719"/>
      <c r="Q688" s="48"/>
      <c r="R688" s="48"/>
      <c r="S688" s="711" t="str">
        <f>IFERROR(__xludf.DUMMYFUNCTION("""COMPUTED_VALUE"""),"")</f>
        <v/>
      </c>
      <c r="T688" s="721"/>
      <c r="U688" s="721"/>
      <c r="V688" s="711"/>
      <c r="W688" s="721"/>
      <c r="X688" s="721"/>
      <c r="Y688" s="48"/>
      <c r="Z688" s="48"/>
      <c r="AA688" s="48"/>
      <c r="AB688" s="711"/>
      <c r="AC688" s="711"/>
      <c r="AD688" s="711"/>
      <c r="AE688" s="711"/>
      <c r="AF688" s="711"/>
      <c r="AG688" s="711"/>
      <c r="AH688" s="711"/>
    </row>
    <row r="689">
      <c r="A689" s="48"/>
      <c r="B689" s="48"/>
      <c r="C689" s="48"/>
      <c r="D689" s="721"/>
      <c r="E689" s="711"/>
      <c r="F689" s="711"/>
      <c r="G689" s="721"/>
      <c r="H689" s="721"/>
      <c r="I689" s="721"/>
      <c r="J689" s="48"/>
      <c r="K689" s="721"/>
      <c r="L689" s="721"/>
      <c r="M689" s="721"/>
      <c r="N689" s="719"/>
      <c r="O689" s="48"/>
      <c r="P689" s="719"/>
      <c r="Q689" s="48"/>
      <c r="R689" s="711" t="str">
        <f>IFERROR(__xludf.DUMMYFUNCTION("""COMPUTED_VALUE"""),"2526MAMACITAGIO16.Y")</f>
        <v>2526MAMACITAGIO16.Y</v>
      </c>
      <c r="S689" s="711">
        <f>IFERROR(__xludf.DUMMYFUNCTION("""COMPUTED_VALUE"""),20.0)</f>
        <v>20</v>
      </c>
      <c r="T689" s="721" t="str">
        <f>IFERROR(__xludf.DUMMYFUNCTION("""COMPUTED_VALUE"""),"2526MAMACITAGIO16.Y")</f>
        <v>2526MAMACITAGIO16.Y</v>
      </c>
      <c r="U689" s="721"/>
      <c r="V689" s="711"/>
      <c r="W689" s="721"/>
      <c r="X689" s="721"/>
      <c r="Y689" s="48"/>
      <c r="Z689" s="48"/>
      <c r="AA689" s="48"/>
      <c r="AB689" s="711"/>
      <c r="AC689" s="711"/>
      <c r="AD689" s="711"/>
      <c r="AE689" s="711"/>
      <c r="AF689" s="711"/>
      <c r="AG689" s="711"/>
      <c r="AH689" s="711"/>
    </row>
    <row r="690">
      <c r="A690" s="48"/>
      <c r="B690" s="48"/>
      <c r="C690" s="48"/>
      <c r="D690" s="721"/>
      <c r="E690" s="711"/>
      <c r="F690" s="711"/>
      <c r="G690" s="721"/>
      <c r="H690" s="721"/>
      <c r="I690" s="721"/>
      <c r="J690" s="48"/>
      <c r="K690" s="721"/>
      <c r="L690" s="721"/>
      <c r="M690" s="721"/>
      <c r="N690" s="719"/>
      <c r="O690" s="48"/>
      <c r="P690" s="719"/>
      <c r="Q690" s="48"/>
      <c r="R690" s="48"/>
      <c r="S690" s="711" t="str">
        <f>IFERROR(__xludf.DUMMYFUNCTION("""COMPUTED_VALUE"""),"")</f>
        <v/>
      </c>
      <c r="T690" s="721"/>
      <c r="U690" s="721"/>
      <c r="V690" s="711"/>
      <c r="W690" s="721"/>
      <c r="X690" s="721"/>
      <c r="Y690" s="48"/>
      <c r="Z690" s="48"/>
      <c r="AA690" s="48"/>
      <c r="AB690" s="711"/>
      <c r="AC690" s="711"/>
      <c r="AD690" s="711"/>
      <c r="AE690" s="711"/>
      <c r="AF690" s="711"/>
      <c r="AG690" s="711"/>
      <c r="AH690" s="711"/>
    </row>
    <row r="691">
      <c r="A691" s="48"/>
      <c r="B691" s="48"/>
      <c r="C691" s="48"/>
      <c r="D691" s="721"/>
      <c r="E691" s="711"/>
      <c r="F691" s="711"/>
      <c r="G691" s="721"/>
      <c r="H691" s="721"/>
      <c r="I691" s="721"/>
      <c r="J691" s="48"/>
      <c r="K691" s="721"/>
      <c r="L691" s="721"/>
      <c r="M691" s="721"/>
      <c r="N691" s="719"/>
      <c r="O691" s="48"/>
      <c r="P691" s="719"/>
      <c r="Q691" s="48"/>
      <c r="R691" s="48"/>
      <c r="S691" s="711" t="str">
        <f>IFERROR(__xludf.DUMMYFUNCTION("""COMPUTED_VALUE"""),"")</f>
        <v/>
      </c>
      <c r="T691" s="721"/>
      <c r="U691" s="721"/>
      <c r="V691" s="711"/>
      <c r="W691" s="721"/>
      <c r="X691" s="721"/>
      <c r="Y691" s="48"/>
      <c r="Z691" s="48"/>
      <c r="AA691" s="48"/>
      <c r="AB691" s="711"/>
      <c r="AC691" s="711"/>
      <c r="AD691" s="711"/>
      <c r="AE691" s="711"/>
      <c r="AF691" s="711"/>
      <c r="AG691" s="711"/>
      <c r="AH691" s="711"/>
    </row>
    <row r="692">
      <c r="A692" s="48"/>
      <c r="B692" s="48"/>
      <c r="C692" s="48"/>
      <c r="D692" s="721"/>
      <c r="E692" s="711"/>
      <c r="F692" s="711"/>
      <c r="G692" s="721"/>
      <c r="H692" s="721"/>
      <c r="I692" s="721"/>
      <c r="J692" s="48"/>
      <c r="K692" s="721"/>
      <c r="L692" s="721"/>
      <c r="M692" s="721"/>
      <c r="N692" s="719"/>
      <c r="O692" s="48"/>
      <c r="P692" s="719"/>
      <c r="Q692" s="48"/>
      <c r="R692" s="711" t="str">
        <f>IFERROR(__xludf.DUMMYFUNCTION("""COMPUTED_VALUE"""),"2526SEABRAGIO16.Y")</f>
        <v>2526SEABRAGIO16.Y</v>
      </c>
      <c r="S692" s="711">
        <f>IFERROR(__xludf.DUMMYFUNCTION("""COMPUTED_VALUE"""),0.0)</f>
        <v>0</v>
      </c>
      <c r="T692" s="721" t="str">
        <f>IFERROR(__xludf.DUMMYFUNCTION("""COMPUTED_VALUE"""),"2526SEABRAGIO16.Y")</f>
        <v>2526SEABRAGIO16.Y</v>
      </c>
      <c r="U692" s="721"/>
      <c r="V692" s="711"/>
      <c r="W692" s="721"/>
      <c r="X692" s="721"/>
      <c r="Y692" s="48"/>
      <c r="Z692" s="48"/>
      <c r="AA692" s="48"/>
      <c r="AB692" s="711"/>
      <c r="AC692" s="711"/>
      <c r="AD692" s="711"/>
      <c r="AE692" s="711"/>
      <c r="AF692" s="711"/>
      <c r="AG692" s="711"/>
      <c r="AH692" s="711"/>
    </row>
    <row r="693">
      <c r="A693" s="48"/>
      <c r="B693" s="48"/>
      <c r="C693" s="48"/>
      <c r="D693" s="721"/>
      <c r="E693" s="711"/>
      <c r="F693" s="711"/>
      <c r="G693" s="721"/>
      <c r="H693" s="721"/>
      <c r="I693" s="721"/>
      <c r="J693" s="48"/>
      <c r="K693" s="721"/>
      <c r="L693" s="721"/>
      <c r="M693" s="721"/>
      <c r="N693" s="719"/>
      <c r="O693" s="48"/>
      <c r="P693" s="719"/>
      <c r="Q693" s="48"/>
      <c r="R693" s="48"/>
      <c r="S693" s="711" t="str">
        <f>IFERROR(__xludf.DUMMYFUNCTION("""COMPUTED_VALUE"""),"")</f>
        <v/>
      </c>
      <c r="T693" s="721"/>
      <c r="U693" s="721"/>
      <c r="V693" s="711"/>
      <c r="W693" s="721"/>
      <c r="X693" s="721"/>
      <c r="Y693" s="48"/>
      <c r="Z693" s="48"/>
      <c r="AA693" s="48"/>
      <c r="AB693" s="711"/>
      <c r="AC693" s="711"/>
      <c r="AD693" s="711"/>
      <c r="AE693" s="711"/>
      <c r="AF693" s="711"/>
      <c r="AG693" s="711"/>
      <c r="AH693" s="711"/>
    </row>
    <row r="694">
      <c r="A694" s="48"/>
      <c r="B694" s="48"/>
      <c r="C694" s="48"/>
      <c r="D694" s="721"/>
      <c r="E694" s="711"/>
      <c r="F694" s="711"/>
      <c r="G694" s="721"/>
      <c r="H694" s="721"/>
      <c r="I694" s="721"/>
      <c r="J694" s="48"/>
      <c r="K694" s="721"/>
      <c r="L694" s="721"/>
      <c r="M694" s="721"/>
      <c r="N694" s="719"/>
      <c r="O694" s="48"/>
      <c r="P694" s="719"/>
      <c r="Q694" s="48"/>
      <c r="R694" s="48"/>
      <c r="S694" s="711" t="str">
        <f>IFERROR(__xludf.DUMMYFUNCTION("""COMPUTED_VALUE"""),"")</f>
        <v/>
      </c>
      <c r="T694" s="721"/>
      <c r="U694" s="721"/>
      <c r="V694" s="711"/>
      <c r="W694" s="721"/>
      <c r="X694" s="721"/>
      <c r="Y694" s="48"/>
      <c r="Z694" s="48"/>
      <c r="AA694" s="48"/>
      <c r="AB694" s="711"/>
      <c r="AC694" s="711"/>
      <c r="AD694" s="711"/>
      <c r="AE694" s="711"/>
      <c r="AF694" s="711"/>
      <c r="AG694" s="711"/>
      <c r="AH694" s="711"/>
    </row>
    <row r="695">
      <c r="A695" s="48"/>
      <c r="B695" s="48"/>
      <c r="C695" s="48"/>
      <c r="D695" s="721"/>
      <c r="E695" s="711"/>
      <c r="F695" s="711"/>
      <c r="G695" s="721"/>
      <c r="H695" s="721"/>
      <c r="I695" s="721"/>
      <c r="J695" s="48"/>
      <c r="K695" s="721"/>
      <c r="L695" s="721"/>
      <c r="M695" s="721"/>
      <c r="N695" s="719"/>
      <c r="O695" s="48"/>
      <c r="P695" s="719"/>
      <c r="Q695" s="48"/>
      <c r="R695" s="48"/>
      <c r="S695" s="711" t="str">
        <f>IFERROR(__xludf.DUMMYFUNCTION("""COMPUTED_VALUE"""),"")</f>
        <v/>
      </c>
      <c r="T695" s="721"/>
      <c r="U695" s="721"/>
      <c r="V695" s="711"/>
      <c r="W695" s="721"/>
      <c r="X695" s="721"/>
      <c r="Y695" s="48"/>
      <c r="Z695" s="48"/>
      <c r="AA695" s="48"/>
      <c r="AB695" s="711"/>
      <c r="AC695" s="711"/>
      <c r="AD695" s="711"/>
      <c r="AE695" s="711"/>
      <c r="AF695" s="711"/>
      <c r="AG695" s="711"/>
      <c r="AH695" s="711"/>
    </row>
    <row r="696">
      <c r="A696" s="48"/>
      <c r="B696" s="48"/>
      <c r="C696" s="48"/>
      <c r="D696" s="721"/>
      <c r="E696" s="711"/>
      <c r="F696" s="711"/>
      <c r="G696" s="721"/>
      <c r="H696" s="721"/>
      <c r="I696" s="721"/>
      <c r="J696" s="48"/>
      <c r="K696" s="721"/>
      <c r="L696" s="721"/>
      <c r="M696" s="721"/>
      <c r="N696" s="719"/>
      <c r="O696" s="48"/>
      <c r="P696" s="719"/>
      <c r="Q696" s="48"/>
      <c r="R696" s="48"/>
      <c r="S696" s="711" t="str">
        <f>IFERROR(__xludf.DUMMYFUNCTION("""COMPUTED_VALUE"""),"")</f>
        <v/>
      </c>
      <c r="T696" s="721"/>
      <c r="U696" s="721"/>
      <c r="V696" s="711"/>
      <c r="W696" s="721"/>
      <c r="X696" s="721"/>
      <c r="Y696" s="48"/>
      <c r="Z696" s="48"/>
      <c r="AA696" s="48"/>
      <c r="AB696" s="711"/>
      <c r="AC696" s="711"/>
      <c r="AD696" s="711"/>
      <c r="AE696" s="711"/>
      <c r="AF696" s="711"/>
      <c r="AG696" s="711"/>
      <c r="AH696" s="711"/>
    </row>
    <row r="697">
      <c r="A697" s="48"/>
      <c r="B697" s="48"/>
      <c r="C697" s="48"/>
      <c r="D697" s="721"/>
      <c r="E697" s="711"/>
      <c r="F697" s="711"/>
      <c r="G697" s="721"/>
      <c r="H697" s="721"/>
      <c r="I697" s="721"/>
      <c r="J697" s="48"/>
      <c r="K697" s="721"/>
      <c r="L697" s="721"/>
      <c r="M697" s="721"/>
      <c r="N697" s="719"/>
      <c r="O697" s="48"/>
      <c r="P697" s="719"/>
      <c r="Q697" s="48"/>
      <c r="R697" s="714" t="str">
        <f>IFERROR(__xludf.DUMMYFUNCTION("""COMPUTED_VALUE"""),"2526DICARLOGIO16.B")</f>
        <v>2526DICARLOGIO16.B</v>
      </c>
      <c r="S697" s="711">
        <f>IFERROR(__xludf.DUMMYFUNCTION("""COMPUTED_VALUE"""),15.0)</f>
        <v>15</v>
      </c>
      <c r="T697" s="722" t="str">
        <f>IFERROR(__xludf.DUMMYFUNCTION("""COMPUTED_VALUE"""),"2526DICARLOGIO16.B")</f>
        <v>2526DICARLOGIO16.B</v>
      </c>
      <c r="U697" s="721"/>
      <c r="V697" s="711"/>
      <c r="W697" s="721"/>
      <c r="X697" s="721"/>
      <c r="Y697" s="48"/>
      <c r="Z697" s="48"/>
      <c r="AA697" s="48"/>
      <c r="AB697" s="711"/>
      <c r="AC697" s="711"/>
      <c r="AD697" s="711"/>
      <c r="AE697" s="711"/>
      <c r="AF697" s="711"/>
      <c r="AG697" s="711"/>
      <c r="AH697" s="711"/>
    </row>
    <row r="698">
      <c r="A698" s="48"/>
      <c r="B698" s="48"/>
      <c r="C698" s="48"/>
      <c r="D698" s="721"/>
      <c r="E698" s="711"/>
      <c r="F698" s="711"/>
      <c r="G698" s="721"/>
      <c r="H698" s="721"/>
      <c r="I698" s="721"/>
      <c r="J698" s="48"/>
      <c r="K698" s="721"/>
      <c r="L698" s="721"/>
      <c r="M698" s="721"/>
      <c r="N698" s="719"/>
      <c r="O698" s="48"/>
      <c r="P698" s="719"/>
      <c r="Q698" s="48"/>
      <c r="R698" s="48"/>
      <c r="S698" s="711" t="str">
        <f>IFERROR(__xludf.DUMMYFUNCTION("""COMPUTED_VALUE"""),"")</f>
        <v/>
      </c>
      <c r="T698" s="721"/>
      <c r="U698" s="721"/>
      <c r="V698" s="711"/>
      <c r="W698" s="721"/>
      <c r="X698" s="721"/>
      <c r="Y698" s="48"/>
      <c r="Z698" s="48"/>
      <c r="AA698" s="48"/>
      <c r="AB698" s="711"/>
      <c r="AC698" s="711"/>
      <c r="AD698" s="711"/>
      <c r="AE698" s="711"/>
      <c r="AF698" s="711"/>
      <c r="AG698" s="711"/>
      <c r="AH698" s="711"/>
    </row>
    <row r="699">
      <c r="A699" s="48"/>
      <c r="B699" s="48"/>
      <c r="C699" s="48"/>
      <c r="D699" s="721"/>
      <c r="E699" s="711"/>
      <c r="F699" s="711"/>
      <c r="G699" s="721"/>
      <c r="H699" s="721"/>
      <c r="I699" s="721"/>
      <c r="J699" s="48"/>
      <c r="K699" s="721"/>
      <c r="L699" s="721"/>
      <c r="M699" s="721"/>
      <c r="N699" s="719"/>
      <c r="O699" s="48"/>
      <c r="P699" s="719"/>
      <c r="Q699" s="48"/>
      <c r="R699" s="48"/>
      <c r="S699" s="711" t="str">
        <f>IFERROR(__xludf.DUMMYFUNCTION("""COMPUTED_VALUE"""),"")</f>
        <v/>
      </c>
      <c r="T699" s="721"/>
      <c r="U699" s="721"/>
      <c r="V699" s="711"/>
      <c r="W699" s="721"/>
      <c r="X699" s="721"/>
      <c r="Y699" s="48"/>
      <c r="Z699" s="48"/>
      <c r="AA699" s="48"/>
      <c r="AB699" s="711"/>
      <c r="AC699" s="711"/>
      <c r="AD699" s="711"/>
      <c r="AE699" s="711"/>
      <c r="AF699" s="711"/>
      <c r="AG699" s="711"/>
      <c r="AH699" s="711"/>
    </row>
    <row r="700">
      <c r="A700" s="48"/>
      <c r="B700" s="48"/>
      <c r="C700" s="48"/>
      <c r="D700" s="721"/>
      <c r="E700" s="711"/>
      <c r="F700" s="711"/>
      <c r="G700" s="721"/>
      <c r="H700" s="721"/>
      <c r="I700" s="721"/>
      <c r="J700" s="48"/>
      <c r="K700" s="721"/>
      <c r="L700" s="721"/>
      <c r="M700" s="721"/>
      <c r="N700" s="719"/>
      <c r="O700" s="48"/>
      <c r="P700" s="719"/>
      <c r="Q700" s="48"/>
      <c r="R700" s="48"/>
      <c r="S700" s="711" t="str">
        <f>IFERROR(__xludf.DUMMYFUNCTION("""COMPUTED_VALUE"""),"")</f>
        <v/>
      </c>
      <c r="T700" s="721"/>
      <c r="U700" s="721"/>
      <c r="V700" s="711"/>
      <c r="W700" s="721"/>
      <c r="X700" s="721"/>
      <c r="Y700" s="48"/>
      <c r="Z700" s="48"/>
      <c r="AA700" s="48"/>
      <c r="AB700" s="711"/>
      <c r="AC700" s="711"/>
      <c r="AD700" s="711"/>
      <c r="AE700" s="711"/>
      <c r="AF700" s="711"/>
      <c r="AG700" s="711"/>
      <c r="AH700" s="711"/>
    </row>
    <row r="701">
      <c r="A701" s="48"/>
      <c r="B701" s="48"/>
      <c r="C701" s="48"/>
      <c r="D701" s="721"/>
      <c r="E701" s="711"/>
      <c r="F701" s="711"/>
      <c r="G701" s="721"/>
      <c r="H701" s="721"/>
      <c r="I701" s="721"/>
      <c r="J701" s="48"/>
      <c r="K701" s="721"/>
      <c r="L701" s="721"/>
      <c r="M701" s="721"/>
      <c r="N701" s="719"/>
      <c r="O701" s="48"/>
      <c r="P701" s="719"/>
      <c r="Q701" s="48"/>
      <c r="R701" s="48"/>
      <c r="S701" s="711" t="str">
        <f>IFERROR(__xludf.DUMMYFUNCTION("""COMPUTED_VALUE"""),"")</f>
        <v/>
      </c>
      <c r="T701" s="721"/>
      <c r="U701" s="721"/>
      <c r="V701" s="711"/>
      <c r="W701" s="721"/>
      <c r="X701" s="721"/>
      <c r="Y701" s="48"/>
      <c r="Z701" s="48"/>
      <c r="AA701" s="48"/>
      <c r="AB701" s="711"/>
      <c r="AC701" s="711"/>
      <c r="AD701" s="711"/>
      <c r="AE701" s="711"/>
      <c r="AF701" s="711"/>
      <c r="AG701" s="711"/>
      <c r="AH701" s="711"/>
    </row>
    <row r="702">
      <c r="A702" s="48"/>
      <c r="B702" s="48"/>
      <c r="C702" s="48"/>
      <c r="D702" s="721"/>
      <c r="E702" s="711"/>
      <c r="F702" s="711"/>
      <c r="G702" s="721"/>
      <c r="H702" s="721"/>
      <c r="I702" s="721"/>
      <c r="J702" s="48"/>
      <c r="K702" s="721"/>
      <c r="L702" s="721"/>
      <c r="M702" s="721"/>
      <c r="N702" s="719"/>
      <c r="O702" s="48"/>
      <c r="P702" s="719"/>
      <c r="Q702" s="48"/>
      <c r="R702" s="714" t="str">
        <f>IFERROR(__xludf.DUMMYFUNCTION("""COMPUTED_VALUE"""),"2526MARINOGIO17.B")</f>
        <v>2526MARINOGIO17.B</v>
      </c>
      <c r="S702" s="711">
        <f>IFERROR(__xludf.DUMMYFUNCTION("""COMPUTED_VALUE"""),11.0)</f>
        <v>11</v>
      </c>
      <c r="T702" s="722" t="str">
        <f>IFERROR(__xludf.DUMMYFUNCTION("""COMPUTED_VALUE"""),"2526MARINOGIO17.B")</f>
        <v>2526MARINOGIO17.B</v>
      </c>
      <c r="U702" s="721"/>
      <c r="V702" s="711"/>
      <c r="W702" s="721"/>
      <c r="X702" s="721"/>
      <c r="Y702" s="48"/>
      <c r="Z702" s="48"/>
      <c r="AA702" s="48"/>
      <c r="AB702" s="711"/>
      <c r="AC702" s="711"/>
      <c r="AD702" s="711"/>
      <c r="AE702" s="711"/>
      <c r="AF702" s="711"/>
      <c r="AG702" s="711"/>
      <c r="AH702" s="711"/>
    </row>
    <row r="703">
      <c r="A703" s="48"/>
      <c r="B703" s="48"/>
      <c r="C703" s="48"/>
      <c r="D703" s="721"/>
      <c r="E703" s="711"/>
      <c r="F703" s="711"/>
      <c r="G703" s="721"/>
      <c r="H703" s="721"/>
      <c r="I703" s="721"/>
      <c r="J703" s="48"/>
      <c r="K703" s="721"/>
      <c r="L703" s="721"/>
      <c r="M703" s="721"/>
      <c r="N703" s="719"/>
      <c r="O703" s="48"/>
      <c r="P703" s="719"/>
      <c r="Q703" s="48"/>
      <c r="R703" s="714" t="str">
        <f>IFERROR(__xludf.DUMMYFUNCTION("""COMPUTED_VALUE"""),"2526GARIANOGIO17.B")</f>
        <v>2526GARIANOGIO17.B</v>
      </c>
      <c r="S703" s="711">
        <f>IFERROR(__xludf.DUMMYFUNCTION("""COMPUTED_VALUE"""),15.0)</f>
        <v>15</v>
      </c>
      <c r="T703" s="722" t="str">
        <f>IFERROR(__xludf.DUMMYFUNCTION("""COMPUTED_VALUE"""),"2526GARIANOGIO17.B")</f>
        <v>2526GARIANOGIO17.B</v>
      </c>
      <c r="U703" s="721"/>
      <c r="V703" s="711"/>
      <c r="W703" s="721"/>
      <c r="X703" s="721"/>
      <c r="Y703" s="48"/>
      <c r="Z703" s="48"/>
      <c r="AA703" s="48"/>
      <c r="AB703" s="711"/>
      <c r="AC703" s="711"/>
      <c r="AD703" s="711"/>
      <c r="AE703" s="711"/>
      <c r="AF703" s="711"/>
      <c r="AG703" s="711"/>
      <c r="AH703" s="711"/>
    </row>
    <row r="704">
      <c r="A704" s="48"/>
      <c r="B704" s="48"/>
      <c r="C704" s="48"/>
      <c r="D704" s="721"/>
      <c r="E704" s="711"/>
      <c r="F704" s="711"/>
      <c r="G704" s="721"/>
      <c r="H704" s="721"/>
      <c r="I704" s="721"/>
      <c r="J704" s="48"/>
      <c r="K704" s="721"/>
      <c r="L704" s="721"/>
      <c r="M704" s="721"/>
      <c r="N704" s="719"/>
      <c r="O704" s="48"/>
      <c r="P704" s="719"/>
      <c r="Q704" s="48"/>
      <c r="R704" s="48"/>
      <c r="S704" s="711" t="str">
        <f>IFERROR(__xludf.DUMMYFUNCTION("""COMPUTED_VALUE"""),"")</f>
        <v/>
      </c>
      <c r="T704" s="721"/>
      <c r="U704" s="721"/>
      <c r="V704" s="711"/>
      <c r="W704" s="721"/>
      <c r="X704" s="721"/>
      <c r="Y704" s="48"/>
      <c r="Z704" s="48"/>
      <c r="AA704" s="48"/>
      <c r="AB704" s="711"/>
      <c r="AC704" s="711"/>
      <c r="AD704" s="711"/>
      <c r="AE704" s="711"/>
      <c r="AF704" s="711"/>
      <c r="AG704" s="711"/>
      <c r="AH704" s="711"/>
    </row>
    <row r="705">
      <c r="A705" s="48"/>
      <c r="B705" s="48"/>
      <c r="C705" s="48"/>
      <c r="D705" s="721"/>
      <c r="E705" s="711"/>
      <c r="F705" s="711"/>
      <c r="G705" s="721"/>
      <c r="H705" s="721"/>
      <c r="I705" s="721"/>
      <c r="J705" s="48"/>
      <c r="K705" s="721"/>
      <c r="L705" s="721"/>
      <c r="M705" s="721"/>
      <c r="N705" s="719"/>
      <c r="O705" s="48"/>
      <c r="P705" s="719"/>
      <c r="Q705" s="48"/>
      <c r="R705" s="714" t="str">
        <f>IFERROR(__xludf.DUMMYFUNCTION("""COMPUTED_VALUE"""),"2526CRUZGIO17.F")</f>
        <v>2526CRUZGIO17.F</v>
      </c>
      <c r="S705" s="711">
        <f>IFERROR(__xludf.DUMMYFUNCTION("""COMPUTED_VALUE"""),30.0)</f>
        <v>30</v>
      </c>
      <c r="T705" s="722" t="str">
        <f>IFERROR(__xludf.DUMMYFUNCTION("""COMPUTED_VALUE"""),"2526CRUZGIO17.F")</f>
        <v>2526CRUZGIO17.F</v>
      </c>
      <c r="U705" s="721"/>
      <c r="V705" s="711"/>
      <c r="W705" s="721"/>
      <c r="X705" s="721"/>
      <c r="Y705" s="48"/>
      <c r="Z705" s="48"/>
      <c r="AA705" s="48"/>
      <c r="AB705" s="711"/>
      <c r="AC705" s="711"/>
      <c r="AD705" s="711"/>
      <c r="AE705" s="711"/>
      <c r="AF705" s="711"/>
      <c r="AG705" s="711"/>
      <c r="AH705" s="711"/>
    </row>
    <row r="706">
      <c r="A706" s="48"/>
      <c r="B706" s="48"/>
      <c r="C706" s="48"/>
      <c r="D706" s="721"/>
      <c r="E706" s="711"/>
      <c r="F706" s="711"/>
      <c r="G706" s="721"/>
      <c r="H706" s="721"/>
      <c r="I706" s="721"/>
      <c r="J706" s="48"/>
      <c r="K706" s="721"/>
      <c r="L706" s="721"/>
      <c r="M706" s="721"/>
      <c r="N706" s="719"/>
      <c r="O706" s="48"/>
      <c r="P706" s="719"/>
      <c r="Q706" s="48"/>
      <c r="R706" s="48"/>
      <c r="S706" s="711" t="str">
        <f>IFERROR(__xludf.DUMMYFUNCTION("""COMPUTED_VALUE"""),"")</f>
        <v/>
      </c>
      <c r="T706" s="721"/>
      <c r="U706" s="721"/>
      <c r="V706" s="711"/>
      <c r="W706" s="721"/>
      <c r="X706" s="721"/>
      <c r="Y706" s="48"/>
      <c r="Z706" s="48"/>
      <c r="AA706" s="48"/>
      <c r="AB706" s="711"/>
      <c r="AC706" s="711"/>
      <c r="AD706" s="711"/>
      <c r="AE706" s="711"/>
      <c r="AF706" s="711"/>
      <c r="AG706" s="711"/>
      <c r="AH706" s="711"/>
    </row>
    <row r="707">
      <c r="A707" s="48"/>
      <c r="B707" s="48"/>
      <c r="C707" s="48"/>
      <c r="D707" s="721"/>
      <c r="E707" s="711"/>
      <c r="F707" s="711"/>
      <c r="G707" s="721"/>
      <c r="H707" s="721"/>
      <c r="I707" s="721"/>
      <c r="J707" s="48"/>
      <c r="K707" s="721"/>
      <c r="L707" s="721"/>
      <c r="M707" s="721"/>
      <c r="N707" s="719"/>
      <c r="O707" s="48"/>
      <c r="P707" s="719"/>
      <c r="Q707" s="48"/>
      <c r="R707" s="714" t="str">
        <f>IFERROR(__xludf.DUMMYFUNCTION("""COMPUTED_VALUE"""),"2526ROBERTIGIO17.B")</f>
        <v>2526ROBERTIGIO17.B</v>
      </c>
      <c r="S707" s="711">
        <f>IFERROR(__xludf.DUMMYFUNCTION("""COMPUTED_VALUE"""),11.0)</f>
        <v>11</v>
      </c>
      <c r="T707" s="722" t="str">
        <f>IFERROR(__xludf.DUMMYFUNCTION("""COMPUTED_VALUE"""),"2526ROBERTIGIO17.B")</f>
        <v>2526ROBERTIGIO17.B</v>
      </c>
      <c r="U707" s="721"/>
      <c r="V707" s="711"/>
      <c r="W707" s="721"/>
      <c r="X707" s="721"/>
      <c r="Y707" s="48"/>
      <c r="Z707" s="48"/>
      <c r="AA707" s="48"/>
      <c r="AB707" s="711"/>
      <c r="AC707" s="711"/>
      <c r="AD707" s="711"/>
      <c r="AE707" s="711"/>
      <c r="AF707" s="711"/>
      <c r="AG707" s="711"/>
      <c r="AH707" s="711"/>
    </row>
    <row r="708">
      <c r="A708" s="48"/>
      <c r="B708" s="48"/>
      <c r="C708" s="48"/>
      <c r="D708" s="721"/>
      <c r="E708" s="711"/>
      <c r="F708" s="711"/>
      <c r="G708" s="721"/>
      <c r="H708" s="721"/>
      <c r="I708" s="721"/>
      <c r="J708" s="48"/>
      <c r="K708" s="721"/>
      <c r="L708" s="721"/>
      <c r="M708" s="721"/>
      <c r="N708" s="719"/>
      <c r="O708" s="48"/>
      <c r="P708" s="719"/>
      <c r="Q708" s="48"/>
      <c r="R708" s="714" t="str">
        <f>IFERROR(__xludf.DUMMYFUNCTION("""COMPUTED_VALUE"""),"2526MIRAMGIO17.B")</f>
        <v>2526MIRAMGIO17.B</v>
      </c>
      <c r="S708" s="711">
        <f>IFERROR(__xludf.DUMMYFUNCTION("""COMPUTED_VALUE"""),30.0)</f>
        <v>30</v>
      </c>
      <c r="T708" s="722" t="str">
        <f>IFERROR(__xludf.DUMMYFUNCTION("""COMPUTED_VALUE"""),"2526MIRAMGIO17.B")</f>
        <v>2526MIRAMGIO17.B</v>
      </c>
      <c r="U708" s="721"/>
      <c r="V708" s="711"/>
      <c r="W708" s="721"/>
      <c r="X708" s="721"/>
      <c r="Y708" s="48"/>
      <c r="Z708" s="48"/>
      <c r="AA708" s="48"/>
      <c r="AB708" s="711"/>
      <c r="AC708" s="711"/>
      <c r="AD708" s="711"/>
      <c r="AE708" s="711"/>
      <c r="AF708" s="711"/>
      <c r="AG708" s="711"/>
      <c r="AH708" s="711"/>
    </row>
    <row r="709">
      <c r="A709" s="48"/>
      <c r="B709" s="48"/>
      <c r="C709" s="48"/>
      <c r="D709" s="721"/>
      <c r="E709" s="711"/>
      <c r="F709" s="711"/>
      <c r="G709" s="721"/>
      <c r="H709" s="721"/>
      <c r="I709" s="721"/>
      <c r="J709" s="48"/>
      <c r="K709" s="721"/>
      <c r="L709" s="721"/>
      <c r="M709" s="721"/>
      <c r="N709" s="719"/>
      <c r="O709" s="48"/>
      <c r="P709" s="719"/>
      <c r="Q709" s="48"/>
      <c r="R709" s="714" t="str">
        <f>IFERROR(__xludf.DUMMYFUNCTION("""COMPUTED_VALUE"""),"2526DICARLOGIO17.B")</f>
        <v>2526DICARLOGIO17.B</v>
      </c>
      <c r="S709" s="711">
        <f>IFERROR(__xludf.DUMMYFUNCTION("""COMPUTED_VALUE"""),18.0)</f>
        <v>18</v>
      </c>
      <c r="T709" s="722" t="str">
        <f>IFERROR(__xludf.DUMMYFUNCTION("""COMPUTED_VALUE"""),"2526DICARLOGIO17.B")</f>
        <v>2526DICARLOGIO17.B</v>
      </c>
      <c r="U709" s="721"/>
      <c r="V709" s="711"/>
      <c r="W709" s="721"/>
      <c r="X709" s="721"/>
      <c r="Y709" s="48"/>
      <c r="Z709" s="48"/>
      <c r="AA709" s="48"/>
      <c r="AB709" s="711"/>
      <c r="AC709" s="711"/>
      <c r="AD709" s="711"/>
      <c r="AE709" s="711"/>
      <c r="AF709" s="711"/>
      <c r="AG709" s="711"/>
      <c r="AH709" s="711"/>
    </row>
    <row r="710">
      <c r="A710" s="48"/>
      <c r="B710" s="48"/>
      <c r="C710" s="48"/>
      <c r="D710" s="721"/>
      <c r="E710" s="711"/>
      <c r="F710" s="711"/>
      <c r="G710" s="721"/>
      <c r="H710" s="721"/>
      <c r="I710" s="721"/>
      <c r="J710" s="48"/>
      <c r="K710" s="721"/>
      <c r="L710" s="721"/>
      <c r="M710" s="721"/>
      <c r="N710" s="719"/>
      <c r="O710" s="48"/>
      <c r="P710" s="719"/>
      <c r="Q710" s="48"/>
      <c r="R710" s="714" t="str">
        <f>IFERROR(__xludf.DUMMYFUNCTION("""COMPUTED_VALUE"""),"2526SETTIGIO18.F")</f>
        <v>2526SETTIGIO18.F</v>
      </c>
      <c r="S710" s="711">
        <f>IFERROR(__xludf.DUMMYFUNCTION("""COMPUTED_VALUE"""),15.0)</f>
        <v>15</v>
      </c>
      <c r="T710" s="722" t="str">
        <f>IFERROR(__xludf.DUMMYFUNCTION("""COMPUTED_VALUE"""),"2526SETTIGIO18.F")</f>
        <v>2526SETTIGIO18.F</v>
      </c>
      <c r="U710" s="721"/>
      <c r="V710" s="711"/>
      <c r="W710" s="721"/>
      <c r="X710" s="721"/>
      <c r="Y710" s="48"/>
      <c r="Z710" s="48"/>
      <c r="AA710" s="48"/>
      <c r="AB710" s="711"/>
      <c r="AC710" s="711"/>
      <c r="AD710" s="711"/>
      <c r="AE710" s="711"/>
      <c r="AF710" s="711"/>
      <c r="AG710" s="711"/>
      <c r="AH710" s="711"/>
    </row>
    <row r="711">
      <c r="A711" s="48"/>
      <c r="B711" s="48"/>
      <c r="C711" s="48"/>
      <c r="D711" s="721"/>
      <c r="E711" s="711"/>
      <c r="F711" s="711"/>
      <c r="G711" s="721"/>
      <c r="H711" s="721"/>
      <c r="I711" s="721"/>
      <c r="J711" s="48"/>
      <c r="K711" s="721"/>
      <c r="L711" s="721"/>
      <c r="M711" s="721"/>
      <c r="N711" s="719"/>
      <c r="O711" s="48"/>
      <c r="P711" s="719"/>
      <c r="Q711" s="48"/>
      <c r="R711" s="714" t="str">
        <f>IFERROR(__xludf.DUMMYFUNCTION("""COMPUTED_VALUE"""),"2526ALMEIDAGIO18.F")</f>
        <v>2526ALMEIDAGIO18.F</v>
      </c>
      <c r="S711" s="711">
        <f>IFERROR(__xludf.DUMMYFUNCTION("""COMPUTED_VALUE"""),15.0)</f>
        <v>15</v>
      </c>
      <c r="T711" s="722" t="str">
        <f>IFERROR(__xludf.DUMMYFUNCTION("""COMPUTED_VALUE"""),"2526ALMEIDAGIO18.F")</f>
        <v>2526ALMEIDAGIO18.F</v>
      </c>
      <c r="U711" s="721"/>
      <c r="V711" s="711"/>
      <c r="W711" s="721"/>
      <c r="X711" s="721"/>
      <c r="Y711" s="48"/>
      <c r="Z711" s="48"/>
      <c r="AA711" s="48"/>
      <c r="AB711" s="711"/>
      <c r="AC711" s="711"/>
      <c r="AD711" s="711"/>
      <c r="AE711" s="711"/>
      <c r="AF711" s="711"/>
      <c r="AG711" s="711"/>
      <c r="AH711" s="711"/>
    </row>
    <row r="712">
      <c r="A712" s="48"/>
      <c r="B712" s="48"/>
      <c r="C712" s="48"/>
      <c r="D712" s="721"/>
      <c r="E712" s="711"/>
      <c r="F712" s="711"/>
      <c r="G712" s="721"/>
      <c r="H712" s="721"/>
      <c r="I712" s="721"/>
      <c r="J712" s="48"/>
      <c r="K712" s="721"/>
      <c r="L712" s="721"/>
      <c r="M712" s="721"/>
      <c r="N712" s="719"/>
      <c r="O712" s="48"/>
      <c r="P712" s="719"/>
      <c r="Q712" s="48"/>
      <c r="R712" s="48"/>
      <c r="S712" s="711" t="str">
        <f>IFERROR(__xludf.DUMMYFUNCTION("""COMPUTED_VALUE"""),"")</f>
        <v/>
      </c>
      <c r="T712" s="721"/>
      <c r="U712" s="721"/>
      <c r="V712" s="711"/>
      <c r="W712" s="721"/>
      <c r="X712" s="721"/>
      <c r="Y712" s="48"/>
      <c r="Z712" s="48"/>
      <c r="AA712" s="48"/>
      <c r="AB712" s="711"/>
      <c r="AC712" s="711"/>
      <c r="AD712" s="711"/>
      <c r="AE712" s="711"/>
      <c r="AF712" s="711"/>
      <c r="AG712" s="711"/>
      <c r="AH712" s="711"/>
    </row>
    <row r="713">
      <c r="A713" s="48"/>
      <c r="B713" s="48"/>
      <c r="C713" s="48"/>
      <c r="D713" s="721"/>
      <c r="E713" s="711"/>
      <c r="F713" s="711"/>
      <c r="G713" s="721"/>
      <c r="H713" s="721"/>
      <c r="I713" s="721"/>
      <c r="J713" s="48"/>
      <c r="K713" s="721"/>
      <c r="L713" s="721"/>
      <c r="M713" s="721"/>
      <c r="N713" s="719"/>
      <c r="O713" s="48"/>
      <c r="P713" s="719"/>
      <c r="Q713" s="48"/>
      <c r="R713" s="714" t="str">
        <f>IFERROR(__xludf.DUMMYFUNCTION("""COMPUTED_VALUE"""),"2526ANAHITAGIO18.D")</f>
        <v>2526ANAHITAGIO18.D</v>
      </c>
      <c r="S713" s="711">
        <f>IFERROR(__xludf.DUMMYFUNCTION("""COMPUTED_VALUE"""),30.0)</f>
        <v>30</v>
      </c>
      <c r="T713" s="722" t="str">
        <f>IFERROR(__xludf.DUMMYFUNCTION("""COMPUTED_VALUE"""),"2526ANAHITAGIO18.D")</f>
        <v>2526ANAHITAGIO18.D</v>
      </c>
      <c r="U713" s="721"/>
      <c r="V713" s="711"/>
      <c r="W713" s="721"/>
      <c r="X713" s="721"/>
      <c r="Y713" s="48"/>
      <c r="Z713" s="48"/>
      <c r="AA713" s="48"/>
      <c r="AB713" s="711"/>
      <c r="AC713" s="711"/>
      <c r="AD713" s="711"/>
      <c r="AE713" s="711"/>
      <c r="AF713" s="711"/>
      <c r="AG713" s="711"/>
      <c r="AH713" s="711"/>
    </row>
    <row r="714">
      <c r="A714" s="48"/>
      <c r="B714" s="48"/>
      <c r="C714" s="48"/>
      <c r="D714" s="721"/>
      <c r="E714" s="711"/>
      <c r="F714" s="711"/>
      <c r="G714" s="721"/>
      <c r="H714" s="721"/>
      <c r="I714" s="721"/>
      <c r="J714" s="48"/>
      <c r="K714" s="721"/>
      <c r="L714" s="721"/>
      <c r="M714" s="721"/>
      <c r="N714" s="719"/>
      <c r="O714" s="48"/>
      <c r="P714" s="719"/>
      <c r="Q714" s="48"/>
      <c r="R714" s="714" t="str">
        <f>IFERROR(__xludf.DUMMYFUNCTION("""COMPUTED_VALUE"""),"2526MARINOGIO18.B")</f>
        <v>2526MARINOGIO18.B</v>
      </c>
      <c r="S714" s="711">
        <f>IFERROR(__xludf.DUMMYFUNCTION("""COMPUTED_VALUE"""),11.0)</f>
        <v>11</v>
      </c>
      <c r="T714" s="722" t="str">
        <f>IFERROR(__xludf.DUMMYFUNCTION("""COMPUTED_VALUE"""),"2526MARINOGIO18.B")</f>
        <v>2526MARINOGIO18.B</v>
      </c>
      <c r="U714" s="721"/>
      <c r="V714" s="711"/>
      <c r="W714" s="721"/>
      <c r="X714" s="721"/>
      <c r="Y714" s="48"/>
      <c r="Z714" s="48"/>
      <c r="AA714" s="48"/>
      <c r="AB714" s="711"/>
      <c r="AC714" s="711"/>
      <c r="AD714" s="711"/>
      <c r="AE714" s="711"/>
      <c r="AF714" s="711"/>
      <c r="AG714" s="711"/>
      <c r="AH714" s="711"/>
    </row>
    <row r="715">
      <c r="A715" s="48"/>
      <c r="B715" s="48"/>
      <c r="C715" s="48"/>
      <c r="D715" s="721"/>
      <c r="E715" s="711"/>
      <c r="F715" s="711"/>
      <c r="G715" s="721"/>
      <c r="H715" s="721"/>
      <c r="I715" s="721"/>
      <c r="J715" s="48"/>
      <c r="K715" s="721"/>
      <c r="L715" s="721"/>
      <c r="M715" s="721"/>
      <c r="N715" s="719"/>
      <c r="O715" s="48"/>
      <c r="P715" s="719"/>
      <c r="Q715" s="48"/>
      <c r="R715" s="714" t="str">
        <f>IFERROR(__xludf.DUMMYFUNCTION("""COMPUTED_VALUE"""),"2526GARIANOGIO18.D")</f>
        <v>2526GARIANOGIO18.D</v>
      </c>
      <c r="S715" s="711">
        <f>IFERROR(__xludf.DUMMYFUNCTION("""COMPUTED_VALUE"""),24.0)</f>
        <v>24</v>
      </c>
      <c r="T715" s="722" t="str">
        <f>IFERROR(__xludf.DUMMYFUNCTION("""COMPUTED_VALUE"""),"2526GARIANOGIO18.D")</f>
        <v>2526GARIANOGIO18.D</v>
      </c>
      <c r="U715" s="721"/>
      <c r="V715" s="711"/>
      <c r="W715" s="721"/>
      <c r="X715" s="721"/>
      <c r="Y715" s="48"/>
      <c r="Z715" s="48"/>
      <c r="AA715" s="48"/>
      <c r="AB715" s="711"/>
      <c r="AC715" s="711"/>
      <c r="AD715" s="711"/>
      <c r="AE715" s="711"/>
      <c r="AF715" s="711"/>
      <c r="AG715" s="711"/>
      <c r="AH715" s="711"/>
    </row>
    <row r="716">
      <c r="A716" s="48"/>
      <c r="B716" s="48"/>
      <c r="C716" s="48"/>
      <c r="D716" s="721"/>
      <c r="E716" s="711"/>
      <c r="F716" s="711"/>
      <c r="G716" s="721"/>
      <c r="H716" s="721"/>
      <c r="I716" s="721"/>
      <c r="J716" s="48"/>
      <c r="K716" s="721"/>
      <c r="L716" s="721"/>
      <c r="M716" s="721"/>
      <c r="N716" s="719"/>
      <c r="O716" s="48"/>
      <c r="P716" s="719"/>
      <c r="Q716" s="48"/>
      <c r="R716" s="714" t="str">
        <f>IFERROR(__xludf.DUMMYFUNCTION("""COMPUTED_VALUE"""),"2526FRANZINIGIO18.F")</f>
        <v>2526FRANZINIGIO18.F</v>
      </c>
      <c r="S716" s="711">
        <f>IFERROR(__xludf.DUMMYFUNCTION("""COMPUTED_VALUE"""),26.0)</f>
        <v>26</v>
      </c>
      <c r="T716" s="722" t="str">
        <f>IFERROR(__xludf.DUMMYFUNCTION("""COMPUTED_VALUE"""),"2526FRANZINIGIO18.F")</f>
        <v>2526FRANZINIGIO18.F</v>
      </c>
      <c r="U716" s="721"/>
      <c r="V716" s="711"/>
      <c r="W716" s="721"/>
      <c r="X716" s="721"/>
      <c r="Y716" s="48"/>
      <c r="Z716" s="48"/>
      <c r="AA716" s="48"/>
      <c r="AB716" s="711"/>
      <c r="AC716" s="711"/>
      <c r="AD716" s="711"/>
      <c r="AE716" s="711"/>
      <c r="AF716" s="711"/>
      <c r="AG716" s="711"/>
      <c r="AH716" s="711"/>
    </row>
    <row r="717">
      <c r="A717" s="48"/>
      <c r="B717" s="48"/>
      <c r="C717" s="48"/>
      <c r="D717" s="721"/>
      <c r="E717" s="711"/>
      <c r="F717" s="711"/>
      <c r="G717" s="721"/>
      <c r="H717" s="721"/>
      <c r="I717" s="721"/>
      <c r="J717" s="48"/>
      <c r="K717" s="721"/>
      <c r="L717" s="721"/>
      <c r="M717" s="721"/>
      <c r="N717" s="719"/>
      <c r="O717" s="48"/>
      <c r="P717" s="719"/>
      <c r="Q717" s="48"/>
      <c r="R717" s="714" t="str">
        <f>IFERROR(__xludf.DUMMYFUNCTION("""COMPUTED_VALUE"""),"2526CRUZGIO18.F")</f>
        <v>2526CRUZGIO18.F</v>
      </c>
      <c r="S717" s="711">
        <f>IFERROR(__xludf.DUMMYFUNCTION("""COMPUTED_VALUE"""),40.0)</f>
        <v>40</v>
      </c>
      <c r="T717" s="722" t="str">
        <f>IFERROR(__xludf.DUMMYFUNCTION("""COMPUTED_VALUE"""),"2526CRUZGIO18.F")</f>
        <v>2526CRUZGIO18.F</v>
      </c>
      <c r="U717" s="721"/>
      <c r="V717" s="711"/>
      <c r="W717" s="721"/>
      <c r="X717" s="721"/>
      <c r="Y717" s="48"/>
      <c r="Z717" s="48"/>
      <c r="AA717" s="48"/>
      <c r="AB717" s="711"/>
      <c r="AC717" s="711"/>
      <c r="AD717" s="711"/>
      <c r="AE717" s="711"/>
      <c r="AF717" s="711"/>
      <c r="AG717" s="711"/>
      <c r="AH717" s="711"/>
    </row>
    <row r="718">
      <c r="A718" s="48"/>
      <c r="B718" s="48"/>
      <c r="C718" s="48"/>
      <c r="D718" s="721"/>
      <c r="E718" s="711"/>
      <c r="F718" s="711"/>
      <c r="G718" s="721"/>
      <c r="H718" s="721"/>
      <c r="I718" s="721"/>
      <c r="J718" s="48"/>
      <c r="K718" s="721"/>
      <c r="L718" s="721"/>
      <c r="M718" s="721"/>
      <c r="N718" s="719"/>
      <c r="O718" s="48"/>
      <c r="P718" s="719"/>
      <c r="Q718" s="48"/>
      <c r="R718" s="714" t="str">
        <f>IFERROR(__xludf.DUMMYFUNCTION("""COMPUTED_VALUE"""),"2526CONTIGIO18.A")</f>
        <v>2526CONTIGIO18.A</v>
      </c>
      <c r="S718" s="711">
        <f>IFERROR(__xludf.DUMMYFUNCTION("""COMPUTED_VALUE"""),6.0)</f>
        <v>6</v>
      </c>
      <c r="T718" s="722" t="str">
        <f>IFERROR(__xludf.DUMMYFUNCTION("""COMPUTED_VALUE"""),"2526CONTIGIO18.A")</f>
        <v>2526CONTIGIO18.A</v>
      </c>
      <c r="U718" s="721"/>
      <c r="V718" s="711"/>
      <c r="W718" s="721"/>
      <c r="X718" s="721"/>
      <c r="Y718" s="48"/>
      <c r="Z718" s="48"/>
      <c r="AA718" s="48"/>
      <c r="AB718" s="711"/>
      <c r="AC718" s="711"/>
      <c r="AD718" s="711"/>
      <c r="AE718" s="711"/>
      <c r="AF718" s="711"/>
      <c r="AG718" s="711"/>
      <c r="AH718" s="711"/>
    </row>
    <row r="719">
      <c r="A719" s="48"/>
      <c r="B719" s="48"/>
      <c r="C719" s="48"/>
      <c r="D719" s="721"/>
      <c r="E719" s="711"/>
      <c r="F719" s="711"/>
      <c r="G719" s="721"/>
      <c r="H719" s="721"/>
      <c r="I719" s="721"/>
      <c r="J719" s="48"/>
      <c r="K719" s="721"/>
      <c r="L719" s="721"/>
      <c r="M719" s="721"/>
      <c r="N719" s="719"/>
      <c r="O719" s="48"/>
      <c r="P719" s="719"/>
      <c r="Q719" s="48"/>
      <c r="R719" s="714" t="str">
        <f>IFERROR(__xludf.DUMMYFUNCTION("""COMPUTED_VALUE"""),"2526ROBERTIGIO18.B")</f>
        <v>2526ROBERTIGIO18.B</v>
      </c>
      <c r="S719" s="711">
        <f>IFERROR(__xludf.DUMMYFUNCTION("""COMPUTED_VALUE"""),11.0)</f>
        <v>11</v>
      </c>
      <c r="T719" s="722" t="str">
        <f>IFERROR(__xludf.DUMMYFUNCTION("""COMPUTED_VALUE"""),"2526ROBERTIGIO18.B")</f>
        <v>2526ROBERTIGIO18.B</v>
      </c>
      <c r="U719" s="721"/>
      <c r="V719" s="711"/>
      <c r="W719" s="721"/>
      <c r="X719" s="721"/>
      <c r="Y719" s="48"/>
      <c r="Z719" s="48"/>
      <c r="AA719" s="48"/>
      <c r="AB719" s="711"/>
      <c r="AC719" s="711"/>
      <c r="AD719" s="711"/>
      <c r="AE719" s="711"/>
      <c r="AF719" s="711"/>
      <c r="AG719" s="711"/>
      <c r="AH719" s="711"/>
    </row>
    <row r="720">
      <c r="A720" s="48"/>
      <c r="B720" s="48"/>
      <c r="C720" s="48"/>
      <c r="D720" s="721"/>
      <c r="E720" s="711"/>
      <c r="F720" s="711"/>
      <c r="G720" s="721"/>
      <c r="H720" s="721"/>
      <c r="I720" s="721"/>
      <c r="J720" s="48"/>
      <c r="K720" s="721"/>
      <c r="L720" s="721"/>
      <c r="M720" s="721"/>
      <c r="N720" s="719"/>
      <c r="O720" s="48"/>
      <c r="P720" s="719"/>
      <c r="Q720" s="48"/>
      <c r="R720" s="714" t="str">
        <f>IFERROR(__xludf.DUMMYFUNCTION("""COMPUTED_VALUE"""),"2526MIRAMGIO18.D")</f>
        <v>2526MIRAMGIO18.D</v>
      </c>
      <c r="S720" s="711">
        <f>IFERROR(__xludf.DUMMYFUNCTION("""COMPUTED_VALUE"""),30.0)</f>
        <v>30</v>
      </c>
      <c r="T720" s="722" t="str">
        <f>IFERROR(__xludf.DUMMYFUNCTION("""COMPUTED_VALUE"""),"2526MIRAMGIO18.D")</f>
        <v>2526MIRAMGIO18.D</v>
      </c>
      <c r="U720" s="721"/>
      <c r="V720" s="711"/>
      <c r="W720" s="721"/>
      <c r="X720" s="721"/>
      <c r="Y720" s="48"/>
      <c r="Z720" s="48"/>
      <c r="AA720" s="48"/>
      <c r="AB720" s="711"/>
      <c r="AC720" s="711"/>
      <c r="AD720" s="711"/>
      <c r="AE720" s="711"/>
      <c r="AF720" s="711"/>
      <c r="AG720" s="711"/>
      <c r="AH720" s="711"/>
    </row>
    <row r="721">
      <c r="A721" s="48"/>
      <c r="B721" s="48"/>
      <c r="C721" s="48"/>
      <c r="D721" s="721"/>
      <c r="E721" s="711"/>
      <c r="F721" s="711"/>
      <c r="G721" s="721"/>
      <c r="H721" s="721"/>
      <c r="I721" s="721"/>
      <c r="J721" s="48"/>
      <c r="K721" s="721"/>
      <c r="L721" s="721"/>
      <c r="M721" s="721"/>
      <c r="N721" s="719"/>
      <c r="O721" s="48"/>
      <c r="P721" s="719"/>
      <c r="Q721" s="48"/>
      <c r="R721" s="714" t="str">
        <f>IFERROR(__xludf.DUMMYFUNCTION("""COMPUTED_VALUE"""),"2526DICARLOGIO18.B")</f>
        <v>2526DICARLOGIO18.B</v>
      </c>
      <c r="S721" s="711">
        <f>IFERROR(__xludf.DUMMYFUNCTION("""COMPUTED_VALUE"""),18.0)</f>
        <v>18</v>
      </c>
      <c r="T721" s="722" t="str">
        <f>IFERROR(__xludf.DUMMYFUNCTION("""COMPUTED_VALUE"""),"2526DICARLOGIO18.B")</f>
        <v>2526DICARLOGIO18.B</v>
      </c>
      <c r="U721" s="721"/>
      <c r="V721" s="711"/>
      <c r="W721" s="721"/>
      <c r="X721" s="721"/>
      <c r="Y721" s="48"/>
      <c r="Z721" s="48"/>
      <c r="AA721" s="48"/>
      <c r="AB721" s="711"/>
      <c r="AC721" s="711"/>
      <c r="AD721" s="711"/>
      <c r="AE721" s="711"/>
      <c r="AF721" s="711"/>
      <c r="AG721" s="711"/>
      <c r="AH721" s="711"/>
    </row>
    <row r="722">
      <c r="A722" s="48"/>
      <c r="B722" s="48"/>
      <c r="C722" s="48"/>
      <c r="D722" s="721"/>
      <c r="E722" s="711"/>
      <c r="F722" s="711"/>
      <c r="G722" s="721"/>
      <c r="H722" s="721"/>
      <c r="I722" s="721"/>
      <c r="J722" s="48"/>
      <c r="K722" s="721"/>
      <c r="L722" s="721"/>
      <c r="M722" s="721"/>
      <c r="N722" s="719"/>
      <c r="O722" s="48"/>
      <c r="P722" s="719"/>
      <c r="Q722" s="48"/>
      <c r="R722" s="714" t="str">
        <f>IFERROR(__xludf.DUMMYFUNCTION("""COMPUTED_VALUE"""),"2526BELLAYGIO19.F")</f>
        <v>2526BELLAYGIO19.F</v>
      </c>
      <c r="S722" s="711">
        <f>IFERROR(__xludf.DUMMYFUNCTION("""COMPUTED_VALUE"""),15.0)</f>
        <v>15</v>
      </c>
      <c r="T722" s="722" t="str">
        <f>IFERROR(__xludf.DUMMYFUNCTION("""COMPUTED_VALUE"""),"2526BELLAYGIO19.F")</f>
        <v>2526BELLAYGIO19.F</v>
      </c>
      <c r="U722" s="721"/>
      <c r="V722" s="711"/>
      <c r="W722" s="721"/>
      <c r="X722" s="721"/>
      <c r="Y722" s="48"/>
      <c r="Z722" s="48"/>
      <c r="AA722" s="48"/>
      <c r="AB722" s="711"/>
      <c r="AC722" s="711"/>
      <c r="AD722" s="711"/>
      <c r="AE722" s="711"/>
      <c r="AF722" s="711"/>
      <c r="AG722" s="711"/>
      <c r="AH722" s="711"/>
    </row>
    <row r="723">
      <c r="A723" s="48"/>
      <c r="B723" s="48"/>
      <c r="C723" s="48"/>
      <c r="D723" s="721"/>
      <c r="E723" s="711"/>
      <c r="F723" s="711"/>
      <c r="G723" s="721"/>
      <c r="H723" s="721"/>
      <c r="I723" s="721"/>
      <c r="J723" s="48"/>
      <c r="K723" s="721"/>
      <c r="L723" s="721"/>
      <c r="M723" s="721"/>
      <c r="N723" s="719"/>
      <c r="O723" s="48"/>
      <c r="P723" s="719"/>
      <c r="Q723" s="48"/>
      <c r="R723" s="714" t="str">
        <f>IFERROR(__xludf.DUMMYFUNCTION("""COMPUTED_VALUE"""),"2526ALMEIDAGIO19.F")</f>
        <v>2526ALMEIDAGIO19.F</v>
      </c>
      <c r="S723" s="711">
        <f>IFERROR(__xludf.DUMMYFUNCTION("""COMPUTED_VALUE"""),15.0)</f>
        <v>15</v>
      </c>
      <c r="T723" s="722" t="str">
        <f>IFERROR(__xludf.DUMMYFUNCTION("""COMPUTED_VALUE"""),"2526ALMEIDAGIO19.F")</f>
        <v>2526ALMEIDAGIO19.F</v>
      </c>
      <c r="U723" s="721"/>
      <c r="V723" s="711"/>
      <c r="W723" s="721"/>
      <c r="X723" s="721"/>
      <c r="Y723" s="48"/>
      <c r="Z723" s="48"/>
      <c r="AA723" s="48"/>
      <c r="AB723" s="711"/>
      <c r="AC723" s="711"/>
      <c r="AD723" s="711"/>
      <c r="AE723" s="711"/>
      <c r="AF723" s="711"/>
      <c r="AG723" s="711"/>
      <c r="AH723" s="711"/>
    </row>
    <row r="724">
      <c r="A724" s="48"/>
      <c r="B724" s="48"/>
      <c r="C724" s="48"/>
      <c r="D724" s="721"/>
      <c r="E724" s="711"/>
      <c r="F724" s="711"/>
      <c r="G724" s="721"/>
      <c r="H724" s="721"/>
      <c r="I724" s="721"/>
      <c r="J724" s="48"/>
      <c r="K724" s="721"/>
      <c r="L724" s="721"/>
      <c r="M724" s="721"/>
      <c r="N724" s="719"/>
      <c r="O724" s="48"/>
      <c r="P724" s="719"/>
      <c r="Q724" s="48"/>
      <c r="R724" s="48"/>
      <c r="S724" s="711" t="str">
        <f>IFERROR(__xludf.DUMMYFUNCTION("""COMPUTED_VALUE"""),"")</f>
        <v/>
      </c>
      <c r="T724" s="721"/>
      <c r="U724" s="721"/>
      <c r="V724" s="711"/>
      <c r="W724" s="721"/>
      <c r="X724" s="721"/>
      <c r="Y724" s="48"/>
      <c r="Z724" s="48"/>
      <c r="AA724" s="48"/>
      <c r="AB724" s="711"/>
      <c r="AC724" s="711"/>
      <c r="AD724" s="711"/>
      <c r="AE724" s="711"/>
      <c r="AF724" s="711"/>
      <c r="AG724" s="711"/>
      <c r="AH724" s="711"/>
    </row>
    <row r="725">
      <c r="A725" s="48"/>
      <c r="B725" s="48"/>
      <c r="C725" s="48"/>
      <c r="D725" s="721"/>
      <c r="E725" s="711"/>
      <c r="F725" s="711"/>
      <c r="G725" s="721"/>
      <c r="H725" s="721"/>
      <c r="I725" s="721"/>
      <c r="J725" s="48"/>
      <c r="K725" s="721"/>
      <c r="L725" s="721"/>
      <c r="M725" s="721"/>
      <c r="N725" s="719"/>
      <c r="O725" s="48"/>
      <c r="P725" s="719"/>
      <c r="Q725" s="48"/>
      <c r="R725" s="714" t="str">
        <f>IFERROR(__xludf.DUMMYFUNCTION("""COMPUTED_VALUE"""),"2526GARIANOGIO19.D")</f>
        <v>2526GARIANOGIO19.D</v>
      </c>
      <c r="S725" s="711">
        <f>IFERROR(__xludf.DUMMYFUNCTION("""COMPUTED_VALUE"""),30.0)</f>
        <v>30</v>
      </c>
      <c r="T725" s="722" t="str">
        <f>IFERROR(__xludf.DUMMYFUNCTION("""COMPUTED_VALUE"""),"2526GARIANOGIO19.D")</f>
        <v>2526GARIANOGIO19.D</v>
      </c>
      <c r="U725" s="721"/>
      <c r="V725" s="711"/>
      <c r="W725" s="721"/>
      <c r="X725" s="721"/>
      <c r="Y725" s="48"/>
      <c r="Z725" s="48"/>
      <c r="AA725" s="48"/>
      <c r="AB725" s="711"/>
      <c r="AC725" s="711"/>
      <c r="AD725" s="711"/>
      <c r="AE725" s="711"/>
      <c r="AF725" s="711"/>
      <c r="AG725" s="711"/>
      <c r="AH725" s="711"/>
    </row>
    <row r="726">
      <c r="A726" s="48"/>
      <c r="B726" s="48"/>
      <c r="C726" s="48"/>
      <c r="D726" s="721"/>
      <c r="E726" s="711"/>
      <c r="F726" s="711"/>
      <c r="G726" s="721"/>
      <c r="H726" s="721"/>
      <c r="I726" s="721"/>
      <c r="J726" s="48"/>
      <c r="K726" s="721"/>
      <c r="L726" s="721"/>
      <c r="M726" s="721"/>
      <c r="N726" s="719"/>
      <c r="O726" s="48"/>
      <c r="P726" s="719"/>
      <c r="Q726" s="48"/>
      <c r="R726" s="714" t="str">
        <f>IFERROR(__xludf.DUMMYFUNCTION("""COMPUTED_VALUE"""),"2526PUGGIONIGIO19.A")</f>
        <v>2526PUGGIONIGIO19.A</v>
      </c>
      <c r="S726" s="711">
        <f>IFERROR(__xludf.DUMMYFUNCTION("""COMPUTED_VALUE"""),11.0)</f>
        <v>11</v>
      </c>
      <c r="T726" s="722" t="str">
        <f>IFERROR(__xludf.DUMMYFUNCTION("""COMPUTED_VALUE"""),"2526PUGGIONIGIO19.A")</f>
        <v>2526PUGGIONIGIO19.A</v>
      </c>
      <c r="U726" s="721"/>
      <c r="V726" s="711"/>
      <c r="W726" s="721"/>
      <c r="X726" s="721"/>
      <c r="Y726" s="48"/>
      <c r="Z726" s="48"/>
      <c r="AA726" s="48"/>
      <c r="AB726" s="711"/>
      <c r="AC726" s="711"/>
      <c r="AD726" s="711"/>
      <c r="AE726" s="711"/>
      <c r="AF726" s="711"/>
      <c r="AG726" s="711"/>
      <c r="AH726" s="711"/>
    </row>
    <row r="727">
      <c r="A727" s="48"/>
      <c r="B727" s="48"/>
      <c r="C727" s="48"/>
      <c r="D727" s="721"/>
      <c r="E727" s="711"/>
      <c r="F727" s="711"/>
      <c r="G727" s="721"/>
      <c r="H727" s="721"/>
      <c r="I727" s="721"/>
      <c r="J727" s="48"/>
      <c r="K727" s="721"/>
      <c r="L727" s="721"/>
      <c r="M727" s="721"/>
      <c r="N727" s="719"/>
      <c r="O727" s="48"/>
      <c r="P727" s="719"/>
      <c r="Q727" s="48"/>
      <c r="R727" s="714" t="str">
        <f>IFERROR(__xludf.DUMMYFUNCTION("""COMPUTED_VALUE"""),"2526CUGGEGIO19.C")</f>
        <v>2526CUGGEGIO19.C</v>
      </c>
      <c r="S727" s="711">
        <f>IFERROR(__xludf.DUMMYFUNCTION("""COMPUTED_VALUE"""),30.0)</f>
        <v>30</v>
      </c>
      <c r="T727" s="722" t="str">
        <f>IFERROR(__xludf.DUMMYFUNCTION("""COMPUTED_VALUE"""),"2526CUGGEGIO19.C")</f>
        <v>2526CUGGEGIO19.C</v>
      </c>
      <c r="U727" s="721"/>
      <c r="V727" s="711"/>
      <c r="W727" s="721"/>
      <c r="X727" s="721"/>
      <c r="Y727" s="48"/>
      <c r="Z727" s="48"/>
      <c r="AA727" s="48"/>
      <c r="AB727" s="711"/>
      <c r="AC727" s="711"/>
      <c r="AD727" s="711"/>
      <c r="AE727" s="711"/>
      <c r="AF727" s="711"/>
      <c r="AG727" s="711"/>
      <c r="AH727" s="711"/>
    </row>
    <row r="728">
      <c r="A728" s="48"/>
      <c r="B728" s="48"/>
      <c r="C728" s="48"/>
      <c r="D728" s="721"/>
      <c r="E728" s="711"/>
      <c r="F728" s="711"/>
      <c r="G728" s="721"/>
      <c r="H728" s="721"/>
      <c r="I728" s="721"/>
      <c r="J728" s="48"/>
      <c r="K728" s="721"/>
      <c r="L728" s="721"/>
      <c r="M728" s="721"/>
      <c r="N728" s="719"/>
      <c r="O728" s="48"/>
      <c r="P728" s="719"/>
      <c r="Q728" s="48"/>
      <c r="R728" s="714" t="str">
        <f>IFERROR(__xludf.DUMMYFUNCTION("""COMPUTED_VALUE"""),"2526ANAHITAGIO19.D")</f>
        <v>2526ANAHITAGIO19.D</v>
      </c>
      <c r="S728" s="711">
        <f>IFERROR(__xludf.DUMMYFUNCTION("""COMPUTED_VALUE"""),24.0)</f>
        <v>24</v>
      </c>
      <c r="T728" s="722" t="str">
        <f>IFERROR(__xludf.DUMMYFUNCTION("""COMPUTED_VALUE"""),"2526ANAHITAGIO19.D")</f>
        <v>2526ANAHITAGIO19.D</v>
      </c>
      <c r="U728" s="721"/>
      <c r="V728" s="711"/>
      <c r="W728" s="721"/>
      <c r="X728" s="721"/>
      <c r="Y728" s="48"/>
      <c r="Z728" s="48"/>
      <c r="AA728" s="48"/>
      <c r="AB728" s="711"/>
      <c r="AC728" s="711"/>
      <c r="AD728" s="711"/>
      <c r="AE728" s="711"/>
      <c r="AF728" s="711"/>
      <c r="AG728" s="711"/>
      <c r="AH728" s="711"/>
    </row>
    <row r="729">
      <c r="A729" s="48"/>
      <c r="B729" s="48"/>
      <c r="C729" s="48"/>
      <c r="D729" s="721"/>
      <c r="E729" s="711"/>
      <c r="F729" s="711"/>
      <c r="G729" s="721"/>
      <c r="H729" s="721"/>
      <c r="I729" s="721"/>
      <c r="J729" s="48"/>
      <c r="K729" s="721"/>
      <c r="L729" s="721"/>
      <c r="M729" s="721"/>
      <c r="N729" s="719"/>
      <c r="O729" s="48"/>
      <c r="P729" s="719"/>
      <c r="Q729" s="48"/>
      <c r="R729" s="714" t="str">
        <f>IFERROR(__xludf.DUMMYFUNCTION("""COMPUTED_VALUE"""),"2526NEMBRIGIO19.C")</f>
        <v>2526NEMBRIGIO19.C</v>
      </c>
      <c r="S729" s="711">
        <f>IFERROR(__xludf.DUMMYFUNCTION("""COMPUTED_VALUE"""),50.0)</f>
        <v>50</v>
      </c>
      <c r="T729" s="722" t="str">
        <f>IFERROR(__xludf.DUMMYFUNCTION("""COMPUTED_VALUE"""),"2526NEMBRIGIO19.C")</f>
        <v>2526NEMBRIGIO19.C</v>
      </c>
      <c r="U729" s="721"/>
      <c r="V729" s="711"/>
      <c r="W729" s="721"/>
      <c r="X729" s="721"/>
      <c r="Y729" s="48"/>
      <c r="Z729" s="48"/>
      <c r="AA729" s="48"/>
      <c r="AB729" s="711"/>
      <c r="AC729" s="711"/>
      <c r="AD729" s="711"/>
      <c r="AE729" s="711"/>
      <c r="AF729" s="711"/>
      <c r="AG729" s="711"/>
      <c r="AH729" s="711"/>
    </row>
    <row r="730">
      <c r="A730" s="48"/>
      <c r="B730" s="48"/>
      <c r="C730" s="48"/>
      <c r="D730" s="721"/>
      <c r="E730" s="711"/>
      <c r="F730" s="711"/>
      <c r="G730" s="721"/>
      <c r="H730" s="721"/>
      <c r="I730" s="721"/>
      <c r="J730" s="48"/>
      <c r="K730" s="721"/>
      <c r="L730" s="721"/>
      <c r="M730" s="721"/>
      <c r="N730" s="719"/>
      <c r="O730" s="48"/>
      <c r="P730" s="719"/>
      <c r="Q730" s="48"/>
      <c r="R730" s="714" t="str">
        <f>IFERROR(__xludf.DUMMYFUNCTION("""COMPUTED_VALUE"""),"2526CONTIGIO19.A")</f>
        <v>2526CONTIGIO19.A</v>
      </c>
      <c r="S730" s="711">
        <f>IFERROR(__xludf.DUMMYFUNCTION("""COMPUTED_VALUE"""),6.0)</f>
        <v>6</v>
      </c>
      <c r="T730" s="722" t="str">
        <f>IFERROR(__xludf.DUMMYFUNCTION("""COMPUTED_VALUE"""),"2526CONTIGIO19.A")</f>
        <v>2526CONTIGIO19.A</v>
      </c>
      <c r="U730" s="721"/>
      <c r="V730" s="711"/>
      <c r="W730" s="721"/>
      <c r="X730" s="721"/>
      <c r="Y730" s="48"/>
      <c r="Z730" s="48"/>
      <c r="AA730" s="48"/>
      <c r="AB730" s="711"/>
      <c r="AC730" s="711"/>
      <c r="AD730" s="711"/>
      <c r="AE730" s="711"/>
      <c r="AF730" s="711"/>
      <c r="AG730" s="711"/>
      <c r="AH730" s="711"/>
    </row>
    <row r="731">
      <c r="A731" s="48"/>
      <c r="B731" s="48"/>
      <c r="C731" s="48"/>
      <c r="D731" s="721"/>
      <c r="E731" s="711"/>
      <c r="F731" s="711"/>
      <c r="G731" s="721"/>
      <c r="H731" s="721"/>
      <c r="I731" s="721"/>
      <c r="J731" s="48"/>
      <c r="K731" s="721"/>
      <c r="L731" s="721"/>
      <c r="M731" s="721"/>
      <c r="N731" s="719"/>
      <c r="O731" s="48"/>
      <c r="P731" s="719"/>
      <c r="Q731" s="48"/>
      <c r="R731" s="714" t="str">
        <f>IFERROR(__xludf.DUMMYFUNCTION("""COMPUTED_VALUE"""),"2526CRUZGIO19.F")</f>
        <v>2526CRUZGIO19.F</v>
      </c>
      <c r="S731" s="711">
        <f>IFERROR(__xludf.DUMMYFUNCTION("""COMPUTED_VALUE"""),30.0)</f>
        <v>30</v>
      </c>
      <c r="T731" s="722" t="str">
        <f>IFERROR(__xludf.DUMMYFUNCTION("""COMPUTED_VALUE"""),"2526CRUZGIO19.F")</f>
        <v>2526CRUZGIO19.F</v>
      </c>
      <c r="U731" s="721"/>
      <c r="V731" s="711"/>
      <c r="W731" s="721"/>
      <c r="X731" s="721"/>
      <c r="Y731" s="48"/>
      <c r="Z731" s="48"/>
      <c r="AA731" s="48"/>
      <c r="AB731" s="711"/>
      <c r="AC731" s="711"/>
      <c r="AD731" s="711"/>
      <c r="AE731" s="711"/>
      <c r="AF731" s="711"/>
      <c r="AG731" s="711"/>
      <c r="AH731" s="711"/>
    </row>
    <row r="732">
      <c r="A732" s="48"/>
      <c r="B732" s="48"/>
      <c r="C732" s="48"/>
      <c r="D732" s="721"/>
      <c r="E732" s="711"/>
      <c r="F732" s="711"/>
      <c r="G732" s="721"/>
      <c r="H732" s="721"/>
      <c r="I732" s="721"/>
      <c r="J732" s="48"/>
      <c r="K732" s="721"/>
      <c r="L732" s="721"/>
      <c r="M732" s="721"/>
      <c r="N732" s="719"/>
      <c r="O732" s="48"/>
      <c r="P732" s="719"/>
      <c r="Q732" s="48"/>
      <c r="R732" s="714" t="str">
        <f>IFERROR(__xludf.DUMMYFUNCTION("""COMPUTED_VALUE"""),"2526MIRAMGIO19.D")</f>
        <v>2526MIRAMGIO19.D</v>
      </c>
      <c r="S732" s="711">
        <f>IFERROR(__xludf.DUMMYFUNCTION("""COMPUTED_VALUE"""),30.0)</f>
        <v>30</v>
      </c>
      <c r="T732" s="722" t="str">
        <f>IFERROR(__xludf.DUMMYFUNCTION("""COMPUTED_VALUE"""),"2526MIRAMGIO19.D")</f>
        <v>2526MIRAMGIO19.D</v>
      </c>
      <c r="U732" s="721"/>
      <c r="V732" s="711"/>
      <c r="W732" s="721"/>
      <c r="X732" s="721"/>
      <c r="Y732" s="48"/>
      <c r="Z732" s="48"/>
      <c r="AA732" s="48"/>
      <c r="AB732" s="711"/>
      <c r="AC732" s="711"/>
      <c r="AD732" s="711"/>
      <c r="AE732" s="711"/>
      <c r="AF732" s="711"/>
      <c r="AG732" s="711"/>
      <c r="AH732" s="711"/>
    </row>
    <row r="733">
      <c r="A733" s="48"/>
      <c r="B733" s="48"/>
      <c r="C733" s="48"/>
      <c r="D733" s="721"/>
      <c r="E733" s="711"/>
      <c r="F733" s="711"/>
      <c r="G733" s="721"/>
      <c r="H733" s="721"/>
      <c r="I733" s="721"/>
      <c r="J733" s="48"/>
      <c r="K733" s="721"/>
      <c r="L733" s="721"/>
      <c r="M733" s="721"/>
      <c r="N733" s="719"/>
      <c r="O733" s="48"/>
      <c r="P733" s="719"/>
      <c r="Q733" s="48"/>
      <c r="R733" s="714" t="str">
        <f>IFERROR(__xludf.DUMMYFUNCTION("""COMPUTED_VALUE"""),"2526DICARLOGIO19.D")</f>
        <v>2526DICARLOGIO19.D</v>
      </c>
      <c r="S733" s="711">
        <f>IFERROR(__xludf.DUMMYFUNCTION("""COMPUTED_VALUE"""),15.0)</f>
        <v>15</v>
      </c>
      <c r="T733" s="722" t="str">
        <f>IFERROR(__xludf.DUMMYFUNCTION("""COMPUTED_VALUE"""),"2526DICARLOGIO19.D")</f>
        <v>2526DICARLOGIO19.D</v>
      </c>
      <c r="U733" s="721"/>
      <c r="V733" s="711"/>
      <c r="W733" s="721"/>
      <c r="X733" s="721"/>
      <c r="Y733" s="48"/>
      <c r="Z733" s="48"/>
      <c r="AA733" s="48"/>
      <c r="AB733" s="711"/>
      <c r="AC733" s="711"/>
      <c r="AD733" s="711"/>
      <c r="AE733" s="711"/>
      <c r="AF733" s="711"/>
      <c r="AG733" s="711"/>
      <c r="AH733" s="711"/>
    </row>
    <row r="734">
      <c r="A734" s="48"/>
      <c r="B734" s="48"/>
      <c r="C734" s="48"/>
      <c r="D734" s="721"/>
      <c r="E734" s="711"/>
      <c r="F734" s="711"/>
      <c r="G734" s="721"/>
      <c r="H734" s="721"/>
      <c r="I734" s="721"/>
      <c r="J734" s="48"/>
      <c r="K734" s="721"/>
      <c r="L734" s="721"/>
      <c r="M734" s="721"/>
      <c r="N734" s="719"/>
      <c r="O734" s="48"/>
      <c r="P734" s="719"/>
      <c r="Q734" s="48"/>
      <c r="R734" s="714" t="str">
        <f>IFERROR(__xludf.DUMMYFUNCTION("""COMPUTED_VALUE"""),"2526BELLAYGIO20.F")</f>
        <v>2526BELLAYGIO20.F</v>
      </c>
      <c r="S734" s="711">
        <f>IFERROR(__xludf.DUMMYFUNCTION("""COMPUTED_VALUE"""),15.0)</f>
        <v>15</v>
      </c>
      <c r="T734" s="722" t="str">
        <f>IFERROR(__xludf.DUMMYFUNCTION("""COMPUTED_VALUE"""),"2526BELLAYGIO20.F")</f>
        <v>2526BELLAYGIO20.F</v>
      </c>
      <c r="U734" s="721"/>
      <c r="V734" s="711"/>
      <c r="W734" s="721"/>
      <c r="X734" s="721"/>
      <c r="Y734" s="48"/>
      <c r="Z734" s="48"/>
      <c r="AA734" s="48"/>
      <c r="AB734" s="711"/>
      <c r="AC734" s="711"/>
      <c r="AD734" s="711"/>
      <c r="AE734" s="711"/>
      <c r="AF734" s="711"/>
      <c r="AG734" s="711"/>
      <c r="AH734" s="711"/>
    </row>
    <row r="735">
      <c r="A735" s="48"/>
      <c r="B735" s="48"/>
      <c r="C735" s="48"/>
      <c r="D735" s="721"/>
      <c r="E735" s="711"/>
      <c r="F735" s="711"/>
      <c r="G735" s="721"/>
      <c r="H735" s="721"/>
      <c r="I735" s="721"/>
      <c r="J735" s="48"/>
      <c r="K735" s="721"/>
      <c r="L735" s="721"/>
      <c r="M735" s="721"/>
      <c r="N735" s="719"/>
      <c r="O735" s="48"/>
      <c r="P735" s="719"/>
      <c r="Q735" s="48"/>
      <c r="R735" s="48"/>
      <c r="S735" s="711" t="str">
        <f>IFERROR(__xludf.DUMMYFUNCTION("""COMPUTED_VALUE"""),"")</f>
        <v/>
      </c>
      <c r="T735" s="721"/>
      <c r="U735" s="721"/>
      <c r="V735" s="711"/>
      <c r="W735" s="721"/>
      <c r="X735" s="721"/>
      <c r="Y735" s="48"/>
      <c r="Z735" s="48"/>
      <c r="AA735" s="48"/>
      <c r="AB735" s="711"/>
      <c r="AC735" s="711"/>
      <c r="AD735" s="711"/>
      <c r="AE735" s="711"/>
      <c r="AF735" s="711"/>
      <c r="AG735" s="711"/>
      <c r="AH735" s="711"/>
    </row>
    <row r="736">
      <c r="A736" s="48"/>
      <c r="B736" s="48"/>
      <c r="C736" s="48"/>
      <c r="D736" s="721"/>
      <c r="E736" s="711"/>
      <c r="F736" s="711"/>
      <c r="G736" s="721"/>
      <c r="H736" s="721"/>
      <c r="I736" s="721"/>
      <c r="J736" s="48"/>
      <c r="K736" s="721"/>
      <c r="L736" s="721"/>
      <c r="M736" s="721"/>
      <c r="N736" s="719"/>
      <c r="O736" s="48"/>
      <c r="P736" s="719"/>
      <c r="Q736" s="48"/>
      <c r="R736" s="48"/>
      <c r="S736" s="711" t="str">
        <f>IFERROR(__xludf.DUMMYFUNCTION("""COMPUTED_VALUE"""),"")</f>
        <v/>
      </c>
      <c r="T736" s="721"/>
      <c r="U736" s="721"/>
      <c r="V736" s="711"/>
      <c r="W736" s="721"/>
      <c r="X736" s="721"/>
      <c r="Y736" s="48"/>
      <c r="Z736" s="48"/>
      <c r="AA736" s="48"/>
      <c r="AB736" s="711"/>
      <c r="AC736" s="711"/>
      <c r="AD736" s="711"/>
      <c r="AE736" s="711"/>
      <c r="AF736" s="711"/>
      <c r="AG736" s="711"/>
      <c r="AH736" s="711"/>
    </row>
    <row r="737">
      <c r="A737" s="48"/>
      <c r="B737" s="48"/>
      <c r="C737" s="48"/>
      <c r="D737" s="721"/>
      <c r="E737" s="711"/>
      <c r="F737" s="711"/>
      <c r="G737" s="721"/>
      <c r="H737" s="721"/>
      <c r="I737" s="721"/>
      <c r="J737" s="48"/>
      <c r="K737" s="721"/>
      <c r="L737" s="721"/>
      <c r="M737" s="721"/>
      <c r="N737" s="719"/>
      <c r="O737" s="48"/>
      <c r="P737" s="719"/>
      <c r="Q737" s="48"/>
      <c r="R737" s="714" t="str">
        <f>IFERROR(__xludf.DUMMYFUNCTION("""COMPUTED_VALUE"""),"2526LUISETTOGIO20.C")</f>
        <v>2526LUISETTOGIO20.C</v>
      </c>
      <c r="S737" s="711">
        <f>IFERROR(__xludf.DUMMYFUNCTION("""COMPUTED_VALUE"""),40.0)</f>
        <v>40</v>
      </c>
      <c r="T737" s="722" t="str">
        <f>IFERROR(__xludf.DUMMYFUNCTION("""COMPUTED_VALUE"""),"2526LUISETTOGIO20.C")</f>
        <v>2526LUISETTOGIO20.C</v>
      </c>
      <c r="U737" s="721"/>
      <c r="V737" s="711"/>
      <c r="W737" s="721"/>
      <c r="X737" s="721"/>
      <c r="Y737" s="48"/>
      <c r="Z737" s="48"/>
      <c r="AA737" s="48"/>
      <c r="AB737" s="711"/>
      <c r="AC737" s="711"/>
      <c r="AD737" s="711"/>
      <c r="AE737" s="711"/>
      <c r="AF737" s="711"/>
      <c r="AG737" s="711"/>
      <c r="AH737" s="711"/>
    </row>
    <row r="738">
      <c r="A738" s="48"/>
      <c r="B738" s="48"/>
      <c r="C738" s="48"/>
      <c r="D738" s="721"/>
      <c r="E738" s="711"/>
      <c r="F738" s="711"/>
      <c r="G738" s="721"/>
      <c r="H738" s="721"/>
      <c r="I738" s="721"/>
      <c r="J738" s="48"/>
      <c r="K738" s="721"/>
      <c r="L738" s="721"/>
      <c r="M738" s="721"/>
      <c r="N738" s="719"/>
      <c r="O738" s="48"/>
      <c r="P738" s="719"/>
      <c r="Q738" s="48"/>
      <c r="R738" s="714" t="str">
        <f>IFERROR(__xludf.DUMMYFUNCTION("""COMPUTED_VALUE"""),"2526PUGGIONIGIO20.A")</f>
        <v>2526PUGGIONIGIO20.A</v>
      </c>
      <c r="S738" s="711">
        <f>IFERROR(__xludf.DUMMYFUNCTION("""COMPUTED_VALUE"""),11.0)</f>
        <v>11</v>
      </c>
      <c r="T738" s="722" t="str">
        <f>IFERROR(__xludf.DUMMYFUNCTION("""COMPUTED_VALUE"""),"2526PUGGIONIGIO20.A")</f>
        <v>2526PUGGIONIGIO20.A</v>
      </c>
      <c r="U738" s="721"/>
      <c r="V738" s="711"/>
      <c r="W738" s="721"/>
      <c r="X738" s="721"/>
      <c r="Y738" s="48"/>
      <c r="Z738" s="48"/>
      <c r="AA738" s="48"/>
      <c r="AB738" s="711"/>
      <c r="AC738" s="711"/>
      <c r="AD738" s="711"/>
      <c r="AE738" s="711"/>
      <c r="AF738" s="711"/>
      <c r="AG738" s="711"/>
      <c r="AH738" s="711"/>
    </row>
    <row r="739">
      <c r="A739" s="48"/>
      <c r="B739" s="48"/>
      <c r="C739" s="48"/>
      <c r="D739" s="721"/>
      <c r="E739" s="711"/>
      <c r="F739" s="711"/>
      <c r="G739" s="721"/>
      <c r="H739" s="721"/>
      <c r="I739" s="721"/>
      <c r="J739" s="48"/>
      <c r="K739" s="721"/>
      <c r="L739" s="721"/>
      <c r="M739" s="721"/>
      <c r="N739" s="719"/>
      <c r="O739" s="48"/>
      <c r="P739" s="719"/>
      <c r="Q739" s="48"/>
      <c r="R739" s="714" t="str">
        <f>IFERROR(__xludf.DUMMYFUNCTION("""COMPUTED_VALUE"""),"2526CUGGEGIO20.C")</f>
        <v>2526CUGGEGIO20.C</v>
      </c>
      <c r="S739" s="711">
        <f>IFERROR(__xludf.DUMMYFUNCTION("""COMPUTED_VALUE"""),24.0)</f>
        <v>24</v>
      </c>
      <c r="T739" s="722" t="str">
        <f>IFERROR(__xludf.DUMMYFUNCTION("""COMPUTED_VALUE"""),"2526CUGGEGIO20.C")</f>
        <v>2526CUGGEGIO20.C</v>
      </c>
      <c r="U739" s="721"/>
      <c r="V739" s="711"/>
      <c r="W739" s="721"/>
      <c r="X739" s="721"/>
      <c r="Y739" s="48"/>
      <c r="Z739" s="48"/>
      <c r="AA739" s="48"/>
      <c r="AB739" s="711"/>
      <c r="AC739" s="711"/>
      <c r="AD739" s="711"/>
      <c r="AE739" s="711"/>
      <c r="AF739" s="711"/>
      <c r="AG739" s="711"/>
      <c r="AH739" s="711"/>
    </row>
    <row r="740">
      <c r="A740" s="48"/>
      <c r="B740" s="48"/>
      <c r="C740" s="48"/>
      <c r="D740" s="721"/>
      <c r="E740" s="711"/>
      <c r="F740" s="711"/>
      <c r="G740" s="721"/>
      <c r="H740" s="721"/>
      <c r="I740" s="721"/>
      <c r="J740" s="48"/>
      <c r="K740" s="721"/>
      <c r="L740" s="721"/>
      <c r="M740" s="721"/>
      <c r="N740" s="719"/>
      <c r="O740" s="48"/>
      <c r="P740" s="719"/>
      <c r="Q740" s="48"/>
      <c r="R740" s="714" t="str">
        <f>IFERROR(__xludf.DUMMYFUNCTION("""COMPUTED_VALUE"""),"2526MELEGIO20.C")</f>
        <v>2526MELEGIO20.C</v>
      </c>
      <c r="S740" s="711">
        <f>IFERROR(__xludf.DUMMYFUNCTION("""COMPUTED_VALUE"""),30.0)</f>
        <v>30</v>
      </c>
      <c r="T740" s="722" t="str">
        <f>IFERROR(__xludf.DUMMYFUNCTION("""COMPUTED_VALUE"""),"2526MELEGIO20.C")</f>
        <v>2526MELEGIO20.C</v>
      </c>
      <c r="U740" s="721"/>
      <c r="V740" s="711"/>
      <c r="W740" s="721"/>
      <c r="X740" s="721"/>
      <c r="Y740" s="48"/>
      <c r="Z740" s="48"/>
      <c r="AA740" s="48"/>
      <c r="AB740" s="711"/>
      <c r="AC740" s="711"/>
      <c r="AD740" s="711"/>
      <c r="AE740" s="711"/>
      <c r="AF740" s="711"/>
      <c r="AG740" s="711"/>
      <c r="AH740" s="711"/>
    </row>
    <row r="741">
      <c r="A741" s="48"/>
      <c r="B741" s="48"/>
      <c r="C741" s="48"/>
      <c r="D741" s="721"/>
      <c r="E741" s="711"/>
      <c r="F741" s="711"/>
      <c r="G741" s="721"/>
      <c r="H741" s="721"/>
      <c r="I741" s="721"/>
      <c r="J741" s="48"/>
      <c r="K741" s="721"/>
      <c r="L741" s="721"/>
      <c r="M741" s="721"/>
      <c r="N741" s="719"/>
      <c r="O741" s="48"/>
      <c r="P741" s="719"/>
      <c r="Q741" s="48"/>
      <c r="R741" s="714" t="str">
        <f>IFERROR(__xludf.DUMMYFUNCTION("""COMPUTED_VALUE"""),"2526NEMBRIGIO20.C")</f>
        <v>2526NEMBRIGIO20.C</v>
      </c>
      <c r="S741" s="711">
        <f>IFERROR(__xludf.DUMMYFUNCTION("""COMPUTED_VALUE"""),50.0)</f>
        <v>50</v>
      </c>
      <c r="T741" s="722" t="str">
        <f>IFERROR(__xludf.DUMMYFUNCTION("""COMPUTED_VALUE"""),"2526NEMBRIGIO20.C")</f>
        <v>2526NEMBRIGIO20.C</v>
      </c>
      <c r="U741" s="721"/>
      <c r="V741" s="711"/>
      <c r="W741" s="721"/>
      <c r="X741" s="721"/>
      <c r="Y741" s="48"/>
      <c r="Z741" s="48"/>
      <c r="AA741" s="48"/>
      <c r="AB741" s="711"/>
      <c r="AC741" s="711"/>
      <c r="AD741" s="711"/>
      <c r="AE741" s="711"/>
      <c r="AF741" s="711"/>
      <c r="AG741" s="711"/>
      <c r="AH741" s="711"/>
    </row>
    <row r="742">
      <c r="A742" s="48"/>
      <c r="B742" s="48"/>
      <c r="C742" s="48"/>
      <c r="D742" s="721"/>
      <c r="E742" s="711"/>
      <c r="F742" s="711"/>
      <c r="G742" s="721"/>
      <c r="H742" s="721"/>
      <c r="I742" s="721"/>
      <c r="J742" s="48"/>
      <c r="K742" s="721"/>
      <c r="L742" s="721"/>
      <c r="M742" s="721"/>
      <c r="N742" s="719"/>
      <c r="O742" s="48"/>
      <c r="P742" s="719"/>
      <c r="Q742" s="48"/>
      <c r="R742" s="714" t="str">
        <f>IFERROR(__xludf.DUMMYFUNCTION("""COMPUTED_VALUE"""),"2526CONTIGIO20.A")</f>
        <v>2526CONTIGIO20.A</v>
      </c>
      <c r="S742" s="711">
        <f>IFERROR(__xludf.DUMMYFUNCTION("""COMPUTED_VALUE"""),6.0)</f>
        <v>6</v>
      </c>
      <c r="T742" s="722" t="str">
        <f>IFERROR(__xludf.DUMMYFUNCTION("""COMPUTED_VALUE"""),"2526CONTIGIO20.A")</f>
        <v>2526CONTIGIO20.A</v>
      </c>
      <c r="U742" s="721"/>
      <c r="V742" s="711"/>
      <c r="W742" s="721"/>
      <c r="X742" s="721"/>
      <c r="Y742" s="48"/>
      <c r="Z742" s="48"/>
      <c r="AA742" s="48"/>
      <c r="AB742" s="711"/>
      <c r="AC742" s="711"/>
      <c r="AD742" s="711"/>
      <c r="AE742" s="711"/>
      <c r="AF742" s="711"/>
      <c r="AG742" s="711"/>
      <c r="AH742" s="711"/>
    </row>
    <row r="743">
      <c r="A743" s="48"/>
      <c r="B743" s="48"/>
      <c r="C743" s="48"/>
      <c r="D743" s="721"/>
      <c r="E743" s="711"/>
      <c r="F743" s="711"/>
      <c r="G743" s="721"/>
      <c r="H743" s="721"/>
      <c r="I743" s="721"/>
      <c r="J743" s="48"/>
      <c r="K743" s="721"/>
      <c r="L743" s="721"/>
      <c r="M743" s="721"/>
      <c r="N743" s="719"/>
      <c r="O743" s="48"/>
      <c r="P743" s="719"/>
      <c r="Q743" s="48"/>
      <c r="R743" s="714" t="str">
        <f>IFERROR(__xludf.DUMMYFUNCTION("""COMPUTED_VALUE"""),"2526LOMBARDIGIO20.C")</f>
        <v>2526LOMBARDIGIO20.C</v>
      </c>
      <c r="S743" s="711">
        <f>IFERROR(__xludf.DUMMYFUNCTION("""COMPUTED_VALUE"""),24.0)</f>
        <v>24</v>
      </c>
      <c r="T743" s="722" t="str">
        <f>IFERROR(__xludf.DUMMYFUNCTION("""COMPUTED_VALUE"""),"2526LOMBARDIGIO20.C")</f>
        <v>2526LOMBARDIGIO20.C</v>
      </c>
      <c r="U743" s="721"/>
      <c r="V743" s="711"/>
      <c r="W743" s="721"/>
      <c r="X743" s="721"/>
      <c r="Y743" s="48"/>
      <c r="Z743" s="48"/>
      <c r="AA743" s="48"/>
      <c r="AB743" s="711"/>
      <c r="AC743" s="711"/>
      <c r="AD743" s="711"/>
      <c r="AE743" s="711"/>
      <c r="AF743" s="711"/>
      <c r="AG743" s="711"/>
      <c r="AH743" s="711"/>
    </row>
    <row r="744">
      <c r="A744" s="48"/>
      <c r="B744" s="48"/>
      <c r="C744" s="48"/>
      <c r="D744" s="721"/>
      <c r="E744" s="711"/>
      <c r="F744" s="711"/>
      <c r="G744" s="721"/>
      <c r="H744" s="721"/>
      <c r="I744" s="721"/>
      <c r="J744" s="48"/>
      <c r="K744" s="721"/>
      <c r="L744" s="721"/>
      <c r="M744" s="721"/>
      <c r="N744" s="719"/>
      <c r="O744" s="48"/>
      <c r="P744" s="719"/>
      <c r="Q744" s="48"/>
      <c r="R744" s="714" t="str">
        <f>IFERROR(__xludf.DUMMYFUNCTION("""COMPUTED_VALUE"""),"2526CRUZGIO20.D")</f>
        <v>2526CRUZGIO20.D</v>
      </c>
      <c r="S744" s="711">
        <f>IFERROR(__xludf.DUMMYFUNCTION("""COMPUTED_VALUE"""),30.0)</f>
        <v>30</v>
      </c>
      <c r="T744" s="722" t="str">
        <f>IFERROR(__xludf.DUMMYFUNCTION("""COMPUTED_VALUE"""),"2526CRUZGIO20.D")</f>
        <v>2526CRUZGIO20.D</v>
      </c>
      <c r="U744" s="721"/>
      <c r="V744" s="711"/>
      <c r="W744" s="721"/>
      <c r="X744" s="721"/>
      <c r="Y744" s="48"/>
      <c r="Z744" s="48"/>
      <c r="AA744" s="48"/>
      <c r="AB744" s="711"/>
      <c r="AC744" s="711"/>
      <c r="AD744" s="711"/>
      <c r="AE744" s="711"/>
      <c r="AF744" s="711"/>
      <c r="AG744" s="711"/>
      <c r="AH744" s="711"/>
    </row>
    <row r="745">
      <c r="A745" s="48"/>
      <c r="B745" s="48"/>
      <c r="C745" s="48"/>
      <c r="D745" s="721"/>
      <c r="E745" s="711"/>
      <c r="F745" s="711"/>
      <c r="G745" s="721"/>
      <c r="H745" s="721"/>
      <c r="I745" s="721"/>
      <c r="J745" s="48"/>
      <c r="K745" s="721"/>
      <c r="L745" s="721"/>
      <c r="M745" s="721"/>
      <c r="N745" s="719"/>
      <c r="O745" s="48"/>
      <c r="P745" s="719"/>
      <c r="Q745" s="48"/>
      <c r="R745" s="714" t="str">
        <f>IFERROR(__xludf.DUMMYFUNCTION("""COMPUTED_VALUE"""),"2526SARACCHIGIO20.C")</f>
        <v>2526SARACCHIGIO20.C</v>
      </c>
      <c r="S745" s="711">
        <f>IFERROR(__xludf.DUMMYFUNCTION("""COMPUTED_VALUE"""),30.0)</f>
        <v>30</v>
      </c>
      <c r="T745" s="722" t="str">
        <f>IFERROR(__xludf.DUMMYFUNCTION("""COMPUTED_VALUE"""),"2526SARACCHIGIO20.C")</f>
        <v>2526SARACCHIGIO20.C</v>
      </c>
      <c r="U745" s="721"/>
      <c r="V745" s="711"/>
      <c r="W745" s="721"/>
      <c r="X745" s="721"/>
      <c r="Y745" s="48"/>
      <c r="Z745" s="48"/>
      <c r="AA745" s="48"/>
      <c r="AB745" s="711"/>
      <c r="AC745" s="711"/>
      <c r="AD745" s="711"/>
      <c r="AE745" s="711"/>
      <c r="AF745" s="711"/>
      <c r="AG745" s="711"/>
      <c r="AH745" s="711"/>
    </row>
    <row r="746">
      <c r="A746" s="48"/>
      <c r="B746" s="48"/>
      <c r="C746" s="48"/>
      <c r="D746" s="721"/>
      <c r="E746" s="711"/>
      <c r="F746" s="711"/>
      <c r="G746" s="721"/>
      <c r="H746" s="721"/>
      <c r="I746" s="721"/>
      <c r="J746" s="48"/>
      <c r="K746" s="721"/>
      <c r="L746" s="721"/>
      <c r="M746" s="721"/>
      <c r="N746" s="719"/>
      <c r="O746" s="48"/>
      <c r="P746" s="719"/>
      <c r="Q746" s="48"/>
      <c r="R746" s="48"/>
      <c r="S746" s="711" t="str">
        <f>IFERROR(__xludf.DUMMYFUNCTION("""COMPUTED_VALUE"""),"")</f>
        <v/>
      </c>
      <c r="T746" s="721"/>
      <c r="U746" s="721"/>
      <c r="V746" s="711"/>
      <c r="W746" s="721"/>
      <c r="X746" s="721"/>
      <c r="Y746" s="48"/>
      <c r="Z746" s="48"/>
      <c r="AA746" s="48"/>
      <c r="AB746" s="711"/>
      <c r="AC746" s="711"/>
      <c r="AD746" s="711"/>
      <c r="AE746" s="711"/>
      <c r="AF746" s="711"/>
      <c r="AG746" s="711"/>
      <c r="AH746" s="711"/>
    </row>
    <row r="747">
      <c r="A747" s="48"/>
      <c r="B747" s="48"/>
      <c r="C747" s="48"/>
      <c r="D747" s="721"/>
      <c r="E747" s="711"/>
      <c r="F747" s="711"/>
      <c r="G747" s="721"/>
      <c r="H747" s="721"/>
      <c r="I747" s="721"/>
      <c r="J747" s="48"/>
      <c r="K747" s="721"/>
      <c r="L747" s="721"/>
      <c r="M747" s="721"/>
      <c r="N747" s="719"/>
      <c r="O747" s="48"/>
      <c r="P747" s="719"/>
      <c r="Q747" s="48"/>
      <c r="R747" s="48"/>
      <c r="S747" s="711" t="str">
        <f>IFERROR(__xludf.DUMMYFUNCTION("""COMPUTED_VALUE"""),"")</f>
        <v/>
      </c>
      <c r="T747" s="721"/>
      <c r="U747" s="721"/>
      <c r="V747" s="711"/>
      <c r="W747" s="721"/>
      <c r="X747" s="721"/>
      <c r="Y747" s="48"/>
      <c r="Z747" s="48"/>
      <c r="AA747" s="48"/>
      <c r="AB747" s="711"/>
      <c r="AC747" s="711"/>
      <c r="AD747" s="711"/>
      <c r="AE747" s="711"/>
      <c r="AF747" s="711"/>
      <c r="AG747" s="711"/>
      <c r="AH747" s="711"/>
    </row>
    <row r="748">
      <c r="A748" s="48"/>
      <c r="B748" s="48"/>
      <c r="C748" s="48"/>
      <c r="D748" s="721"/>
      <c r="E748" s="711"/>
      <c r="F748" s="711"/>
      <c r="G748" s="721"/>
      <c r="H748" s="721"/>
      <c r="I748" s="721"/>
      <c r="J748" s="48"/>
      <c r="K748" s="721"/>
      <c r="L748" s="721"/>
      <c r="M748" s="721"/>
      <c r="N748" s="719"/>
      <c r="O748" s="48"/>
      <c r="P748" s="719"/>
      <c r="Q748" s="48"/>
      <c r="R748" s="48"/>
      <c r="S748" s="711" t="str">
        <f>IFERROR(__xludf.DUMMYFUNCTION("""COMPUTED_VALUE"""),"")</f>
        <v/>
      </c>
      <c r="T748" s="721"/>
      <c r="U748" s="721"/>
      <c r="V748" s="711"/>
      <c r="W748" s="721"/>
      <c r="X748" s="721"/>
      <c r="Y748" s="48"/>
      <c r="Z748" s="48"/>
      <c r="AA748" s="48"/>
      <c r="AB748" s="711"/>
      <c r="AC748" s="711"/>
      <c r="AD748" s="711"/>
      <c r="AE748" s="711"/>
      <c r="AF748" s="711"/>
      <c r="AG748" s="711"/>
      <c r="AH748" s="711"/>
    </row>
    <row r="749">
      <c r="A749" s="48"/>
      <c r="B749" s="48"/>
      <c r="C749" s="48"/>
      <c r="D749" s="721"/>
      <c r="E749" s="711"/>
      <c r="F749" s="711"/>
      <c r="G749" s="721"/>
      <c r="H749" s="721"/>
      <c r="I749" s="721"/>
      <c r="J749" s="48"/>
      <c r="K749" s="721"/>
      <c r="L749" s="721"/>
      <c r="M749" s="721"/>
      <c r="N749" s="719"/>
      <c r="O749" s="48"/>
      <c r="P749" s="719"/>
      <c r="Q749" s="48"/>
      <c r="R749" s="714" t="str">
        <f>IFERROR(__xludf.DUMMYFUNCTION("""COMPUTED_VALUE"""),"2526LUISETTOGIO21.C")</f>
        <v>2526LUISETTOGIO21.C</v>
      </c>
      <c r="S749" s="711">
        <f>IFERROR(__xludf.DUMMYFUNCTION("""COMPUTED_VALUE"""),40.0)</f>
        <v>40</v>
      </c>
      <c r="T749" s="722" t="str">
        <f>IFERROR(__xludf.DUMMYFUNCTION("""COMPUTED_VALUE"""),"2526LUISETTOGIO21.C")</f>
        <v>2526LUISETTOGIO21.C</v>
      </c>
      <c r="U749" s="721"/>
      <c r="V749" s="711"/>
      <c r="W749" s="721"/>
      <c r="X749" s="721"/>
      <c r="Y749" s="48"/>
      <c r="Z749" s="48"/>
      <c r="AA749" s="48"/>
      <c r="AB749" s="711"/>
      <c r="AC749" s="711"/>
      <c r="AD749" s="711"/>
      <c r="AE749" s="711"/>
      <c r="AF749" s="711"/>
      <c r="AG749" s="711"/>
      <c r="AH749" s="711"/>
    </row>
    <row r="750">
      <c r="A750" s="48"/>
      <c r="B750" s="48"/>
      <c r="C750" s="48"/>
      <c r="D750" s="721"/>
      <c r="E750" s="711"/>
      <c r="F750" s="711"/>
      <c r="G750" s="721"/>
      <c r="H750" s="721"/>
      <c r="I750" s="721"/>
      <c r="J750" s="48"/>
      <c r="K750" s="721"/>
      <c r="L750" s="721"/>
      <c r="M750" s="721"/>
      <c r="N750" s="719"/>
      <c r="O750" s="48"/>
      <c r="P750" s="719"/>
      <c r="Q750" s="48"/>
      <c r="R750" s="714" t="str">
        <f>IFERROR(__xludf.DUMMYFUNCTION("""COMPUTED_VALUE"""),"2526PUGGIONIGIO21.A")</f>
        <v>2526PUGGIONIGIO21.A</v>
      </c>
      <c r="S750" s="711">
        <f>IFERROR(__xludf.DUMMYFUNCTION("""COMPUTED_VALUE"""),11.0)</f>
        <v>11</v>
      </c>
      <c r="T750" s="722" t="str">
        <f>IFERROR(__xludf.DUMMYFUNCTION("""COMPUTED_VALUE"""),"2526PUGGIONIGIO21.A")</f>
        <v>2526PUGGIONIGIO21.A</v>
      </c>
      <c r="U750" s="721"/>
      <c r="V750" s="711"/>
      <c r="W750" s="721"/>
      <c r="X750" s="721"/>
      <c r="Y750" s="48"/>
      <c r="Z750" s="48"/>
      <c r="AA750" s="48"/>
      <c r="AB750" s="711"/>
      <c r="AC750" s="711"/>
      <c r="AD750" s="711"/>
      <c r="AE750" s="711"/>
      <c r="AF750" s="711"/>
      <c r="AG750" s="711"/>
      <c r="AH750" s="711"/>
    </row>
    <row r="751">
      <c r="A751" s="48"/>
      <c r="B751" s="48"/>
      <c r="C751" s="48"/>
      <c r="D751" s="721"/>
      <c r="E751" s="711"/>
      <c r="F751" s="711"/>
      <c r="G751" s="721"/>
      <c r="H751" s="721"/>
      <c r="I751" s="721"/>
      <c r="J751" s="48"/>
      <c r="K751" s="721"/>
      <c r="L751" s="721"/>
      <c r="M751" s="721"/>
      <c r="N751" s="719"/>
      <c r="O751" s="48"/>
      <c r="P751" s="719"/>
      <c r="Q751" s="48"/>
      <c r="R751" s="714" t="str">
        <f>IFERROR(__xludf.DUMMYFUNCTION("""COMPUTED_VALUE"""),"2526CUGGEGIO21.C")</f>
        <v>2526CUGGEGIO21.C</v>
      </c>
      <c r="S751" s="711">
        <f>IFERROR(__xludf.DUMMYFUNCTION("""COMPUTED_VALUE"""),30.0)</f>
        <v>30</v>
      </c>
      <c r="T751" s="722" t="str">
        <f>IFERROR(__xludf.DUMMYFUNCTION("""COMPUTED_VALUE"""),"2526CUGGEGIO21.C")</f>
        <v>2526CUGGEGIO21.C</v>
      </c>
      <c r="U751" s="721"/>
      <c r="V751" s="711"/>
      <c r="W751" s="721"/>
      <c r="X751" s="721"/>
      <c r="Y751" s="48"/>
      <c r="Z751" s="48"/>
      <c r="AA751" s="48"/>
      <c r="AB751" s="711"/>
      <c r="AC751" s="711"/>
      <c r="AD751" s="711"/>
      <c r="AE751" s="711"/>
      <c r="AF751" s="711"/>
      <c r="AG751" s="711"/>
      <c r="AH751" s="711"/>
    </row>
    <row r="752">
      <c r="A752" s="48"/>
      <c r="B752" s="48"/>
      <c r="C752" s="48"/>
      <c r="D752" s="721"/>
      <c r="E752" s="711"/>
      <c r="F752" s="711"/>
      <c r="G752" s="721"/>
      <c r="H752" s="721"/>
      <c r="I752" s="721"/>
      <c r="J752" s="48"/>
      <c r="K752" s="721"/>
      <c r="L752" s="721"/>
      <c r="M752" s="721"/>
      <c r="N752" s="719"/>
      <c r="O752" s="48"/>
      <c r="P752" s="719"/>
      <c r="Q752" s="48"/>
      <c r="R752" s="714" t="str">
        <f>IFERROR(__xludf.DUMMYFUNCTION("""COMPUTED_VALUE"""),"2526MELEGIO21.C")</f>
        <v>2526MELEGIO21.C</v>
      </c>
      <c r="S752" s="711">
        <f>IFERROR(__xludf.DUMMYFUNCTION("""COMPUTED_VALUE"""),26.0)</f>
        <v>26</v>
      </c>
      <c r="T752" s="722" t="str">
        <f>IFERROR(__xludf.DUMMYFUNCTION("""COMPUTED_VALUE"""),"2526MELEGIO21.C")</f>
        <v>2526MELEGIO21.C</v>
      </c>
      <c r="U752" s="721"/>
      <c r="V752" s="711"/>
      <c r="W752" s="721"/>
      <c r="X752" s="721"/>
      <c r="Y752" s="48"/>
      <c r="Z752" s="48"/>
      <c r="AA752" s="48"/>
      <c r="AB752" s="711"/>
      <c r="AC752" s="711"/>
      <c r="AD752" s="711"/>
      <c r="AE752" s="711"/>
      <c r="AF752" s="711"/>
      <c r="AG752" s="711"/>
      <c r="AH752" s="711"/>
    </row>
    <row r="753">
      <c r="A753" s="48"/>
      <c r="B753" s="48"/>
      <c r="C753" s="48"/>
      <c r="D753" s="721"/>
      <c r="E753" s="711"/>
      <c r="F753" s="711"/>
      <c r="G753" s="721"/>
      <c r="H753" s="721"/>
      <c r="I753" s="721"/>
      <c r="J753" s="48"/>
      <c r="K753" s="721"/>
      <c r="L753" s="721"/>
      <c r="M753" s="721"/>
      <c r="N753" s="719"/>
      <c r="O753" s="48"/>
      <c r="P753" s="719"/>
      <c r="Q753" s="48"/>
      <c r="R753" s="714" t="str">
        <f>IFERROR(__xludf.DUMMYFUNCTION("""COMPUTED_VALUE"""),"2526NEMBRIGIO21.C")</f>
        <v>2526NEMBRIGIO21.C</v>
      </c>
      <c r="S753" s="711">
        <f>IFERROR(__xludf.DUMMYFUNCTION("""COMPUTED_VALUE"""),50.0)</f>
        <v>50</v>
      </c>
      <c r="T753" s="722" t="str">
        <f>IFERROR(__xludf.DUMMYFUNCTION("""COMPUTED_VALUE"""),"2526NEMBRIGIO21.C")</f>
        <v>2526NEMBRIGIO21.C</v>
      </c>
      <c r="U753" s="721"/>
      <c r="V753" s="711"/>
      <c r="W753" s="721"/>
      <c r="X753" s="721"/>
      <c r="Y753" s="48"/>
      <c r="Z753" s="48"/>
      <c r="AA753" s="48"/>
      <c r="AB753" s="711"/>
      <c r="AC753" s="711"/>
      <c r="AD753" s="711"/>
      <c r="AE753" s="711"/>
      <c r="AF753" s="711"/>
      <c r="AG753" s="711"/>
      <c r="AH753" s="711"/>
    </row>
    <row r="754">
      <c r="A754" s="48"/>
      <c r="B754" s="48"/>
      <c r="C754" s="48"/>
      <c r="D754" s="721"/>
      <c r="E754" s="711"/>
      <c r="F754" s="711"/>
      <c r="G754" s="721"/>
      <c r="H754" s="721"/>
      <c r="I754" s="721"/>
      <c r="J754" s="48"/>
      <c r="K754" s="721"/>
      <c r="L754" s="721"/>
      <c r="M754" s="721"/>
      <c r="N754" s="719"/>
      <c r="O754" s="48"/>
      <c r="P754" s="719"/>
      <c r="Q754" s="48"/>
      <c r="R754" s="714" t="str">
        <f>IFERROR(__xludf.DUMMYFUNCTION("""COMPUTED_VALUE"""),"2526CONTIGIO21.A")</f>
        <v>2526CONTIGIO21.A</v>
      </c>
      <c r="S754" s="711">
        <f>IFERROR(__xludf.DUMMYFUNCTION("""COMPUTED_VALUE"""),6.0)</f>
        <v>6</v>
      </c>
      <c r="T754" s="722" t="str">
        <f>IFERROR(__xludf.DUMMYFUNCTION("""COMPUTED_VALUE"""),"2526CONTIGIO21.A")</f>
        <v>2526CONTIGIO21.A</v>
      </c>
      <c r="U754" s="721"/>
      <c r="V754" s="711"/>
      <c r="W754" s="721"/>
      <c r="X754" s="721"/>
      <c r="Y754" s="48"/>
      <c r="Z754" s="48"/>
      <c r="AA754" s="48"/>
      <c r="AB754" s="711"/>
      <c r="AC754" s="711"/>
      <c r="AD754" s="711"/>
      <c r="AE754" s="711"/>
      <c r="AF754" s="711"/>
      <c r="AG754" s="711"/>
      <c r="AH754" s="711"/>
    </row>
    <row r="755">
      <c r="A755" s="48"/>
      <c r="B755" s="48"/>
      <c r="C755" s="48"/>
      <c r="D755" s="721"/>
      <c r="E755" s="711"/>
      <c r="F755" s="711"/>
      <c r="G755" s="721"/>
      <c r="H755" s="721"/>
      <c r="I755" s="721"/>
      <c r="J755" s="48"/>
      <c r="K755" s="721"/>
      <c r="L755" s="721"/>
      <c r="M755" s="721"/>
      <c r="N755" s="719"/>
      <c r="O755" s="48"/>
      <c r="P755" s="719"/>
      <c r="Q755" s="48"/>
      <c r="R755" s="714" t="str">
        <f>IFERROR(__xludf.DUMMYFUNCTION("""COMPUTED_VALUE"""),"2526LOMBARDIGIO21.C")</f>
        <v>2526LOMBARDIGIO21.C</v>
      </c>
      <c r="S755" s="711">
        <f>IFERROR(__xludf.DUMMYFUNCTION("""COMPUTED_VALUE"""),24.0)</f>
        <v>24</v>
      </c>
      <c r="T755" s="722" t="str">
        <f>IFERROR(__xludf.DUMMYFUNCTION("""COMPUTED_VALUE"""),"2526LOMBARDIGIO21.C")</f>
        <v>2526LOMBARDIGIO21.C</v>
      </c>
      <c r="U755" s="721"/>
      <c r="V755" s="711"/>
      <c r="W755" s="721"/>
      <c r="X755" s="721"/>
      <c r="Y755" s="48"/>
      <c r="Z755" s="48"/>
      <c r="AA755" s="48"/>
      <c r="AB755" s="711"/>
      <c r="AC755" s="711"/>
      <c r="AD755" s="711"/>
      <c r="AE755" s="711"/>
      <c r="AF755" s="711"/>
      <c r="AG755" s="711"/>
      <c r="AH755" s="711"/>
    </row>
    <row r="756">
      <c r="A756" s="48"/>
      <c r="B756" s="48"/>
      <c r="C756" s="48"/>
      <c r="D756" s="721"/>
      <c r="E756" s="711"/>
      <c r="F756" s="711"/>
      <c r="G756" s="721"/>
      <c r="H756" s="721"/>
      <c r="I756" s="721"/>
      <c r="J756" s="48"/>
      <c r="K756" s="721"/>
      <c r="L756" s="721"/>
      <c r="M756" s="721"/>
      <c r="N756" s="719"/>
      <c r="O756" s="48"/>
      <c r="P756" s="719"/>
      <c r="Q756" s="48"/>
      <c r="R756" s="714" t="str">
        <f>IFERROR(__xludf.DUMMYFUNCTION("""COMPUTED_VALUE"""),"2526SETTIGIO21.C")</f>
        <v>2526SETTIGIO21.C</v>
      </c>
      <c r="S756" s="711">
        <f>IFERROR(__xludf.DUMMYFUNCTION("""COMPUTED_VALUE"""),30.0)</f>
        <v>30</v>
      </c>
      <c r="T756" s="722" t="str">
        <f>IFERROR(__xludf.DUMMYFUNCTION("""COMPUTED_VALUE"""),"2526SETTIGIO21.C")</f>
        <v>2526SETTIGIO21.C</v>
      </c>
      <c r="U756" s="721"/>
      <c r="V756" s="711"/>
      <c r="W756" s="721"/>
      <c r="X756" s="721"/>
      <c r="Y756" s="48"/>
      <c r="Z756" s="48"/>
      <c r="AA756" s="48"/>
      <c r="AB756" s="711"/>
      <c r="AC756" s="711"/>
      <c r="AD756" s="711"/>
      <c r="AE756" s="711"/>
      <c r="AF756" s="711"/>
      <c r="AG756" s="711"/>
      <c r="AH756" s="711"/>
    </row>
    <row r="757">
      <c r="A757" s="48"/>
      <c r="B757" s="48"/>
      <c r="C757" s="48"/>
      <c r="D757" s="721"/>
      <c r="E757" s="711"/>
      <c r="F757" s="711"/>
      <c r="G757" s="721"/>
      <c r="H757" s="721"/>
      <c r="I757" s="721"/>
      <c r="J757" s="48"/>
      <c r="K757" s="721"/>
      <c r="L757" s="721"/>
      <c r="M757" s="721"/>
      <c r="N757" s="719"/>
      <c r="O757" s="48"/>
      <c r="P757" s="719"/>
      <c r="Q757" s="48"/>
      <c r="R757" s="714" t="str">
        <f>IFERROR(__xludf.DUMMYFUNCTION("""COMPUTED_VALUE"""),"2526SARACCHIGIO21.C")</f>
        <v>2526SARACCHIGIO21.C</v>
      </c>
      <c r="S757" s="711">
        <f>IFERROR(__xludf.DUMMYFUNCTION("""COMPUTED_VALUE"""),30.0)</f>
        <v>30</v>
      </c>
      <c r="T757" s="722" t="str">
        <f>IFERROR(__xludf.DUMMYFUNCTION("""COMPUTED_VALUE"""),"2526SARACCHIGIO21.C")</f>
        <v>2526SARACCHIGIO21.C</v>
      </c>
      <c r="U757" s="721"/>
      <c r="V757" s="711"/>
      <c r="W757" s="721"/>
      <c r="X757" s="721"/>
      <c r="Y757" s="48"/>
      <c r="Z757" s="48"/>
      <c r="AA757" s="48"/>
      <c r="AB757" s="711"/>
      <c r="AC757" s="711"/>
      <c r="AD757" s="711"/>
      <c r="AE757" s="711"/>
      <c r="AF757" s="711"/>
      <c r="AG757" s="711"/>
      <c r="AH757" s="711"/>
    </row>
    <row r="758">
      <c r="A758" s="48"/>
      <c r="B758" s="48"/>
      <c r="C758" s="48"/>
      <c r="D758" s="721"/>
      <c r="E758" s="711"/>
      <c r="F758" s="711"/>
      <c r="G758" s="721"/>
      <c r="H758" s="721"/>
      <c r="I758" s="721"/>
      <c r="J758" s="48"/>
      <c r="K758" s="721"/>
      <c r="L758" s="721"/>
      <c r="M758" s="721"/>
      <c r="N758" s="719"/>
      <c r="O758" s="48"/>
      <c r="P758" s="719"/>
      <c r="Q758" s="48"/>
      <c r="R758" s="48"/>
      <c r="S758" s="711" t="str">
        <f>IFERROR(__xludf.DUMMYFUNCTION("""COMPUTED_VALUE"""),"")</f>
        <v/>
      </c>
      <c r="T758" s="721"/>
      <c r="U758" s="721"/>
      <c r="V758" s="711"/>
      <c r="W758" s="721"/>
      <c r="X758" s="721"/>
      <c r="Y758" s="48"/>
      <c r="Z758" s="48"/>
      <c r="AA758" s="48"/>
      <c r="AB758" s="711"/>
      <c r="AC758" s="711"/>
      <c r="AD758" s="711"/>
      <c r="AE758" s="711"/>
      <c r="AF758" s="711"/>
      <c r="AG758" s="711"/>
      <c r="AH758" s="711"/>
    </row>
    <row r="759">
      <c r="A759" s="48"/>
      <c r="B759" s="48"/>
      <c r="C759" s="48"/>
      <c r="D759" s="721"/>
      <c r="E759" s="711"/>
      <c r="F759" s="711"/>
      <c r="G759" s="721"/>
      <c r="H759" s="721"/>
      <c r="I759" s="721"/>
      <c r="J759" s="48"/>
      <c r="K759" s="721"/>
      <c r="L759" s="721"/>
      <c r="M759" s="721"/>
      <c r="N759" s="719"/>
      <c r="O759" s="48"/>
      <c r="P759" s="719"/>
      <c r="Q759" s="48"/>
      <c r="R759" s="48"/>
      <c r="S759" s="711" t="str">
        <f>IFERROR(__xludf.DUMMYFUNCTION("""COMPUTED_VALUE"""),"")</f>
        <v/>
      </c>
      <c r="T759" s="721"/>
      <c r="U759" s="721"/>
      <c r="V759" s="711"/>
      <c r="W759" s="721"/>
      <c r="X759" s="721"/>
      <c r="Y759" s="48"/>
      <c r="Z759" s="48"/>
      <c r="AA759" s="48"/>
      <c r="AB759" s="711"/>
      <c r="AC759" s="711"/>
      <c r="AD759" s="711"/>
      <c r="AE759" s="711"/>
      <c r="AF759" s="711"/>
      <c r="AG759" s="711"/>
      <c r="AH759" s="711"/>
    </row>
    <row r="760">
      <c r="A760" s="48"/>
      <c r="B760" s="48"/>
      <c r="C760" s="48"/>
      <c r="D760" s="721"/>
      <c r="E760" s="711"/>
      <c r="F760" s="711"/>
      <c r="G760" s="721"/>
      <c r="H760" s="721"/>
      <c r="I760" s="721"/>
      <c r="J760" s="48"/>
      <c r="K760" s="721"/>
      <c r="L760" s="721"/>
      <c r="M760" s="721"/>
      <c r="N760" s="719"/>
      <c r="O760" s="48"/>
      <c r="P760" s="719"/>
      <c r="Q760" s="48"/>
      <c r="R760" s="48"/>
      <c r="S760" s="711" t="str">
        <f>IFERROR(__xludf.DUMMYFUNCTION("""COMPUTED_VALUE"""),"")</f>
        <v/>
      </c>
      <c r="T760" s="721"/>
      <c r="U760" s="721"/>
      <c r="V760" s="711"/>
      <c r="W760" s="721"/>
      <c r="X760" s="721"/>
      <c r="Y760" s="48"/>
      <c r="Z760" s="48"/>
      <c r="AA760" s="48"/>
      <c r="AB760" s="711"/>
      <c r="AC760" s="711"/>
      <c r="AD760" s="711"/>
      <c r="AE760" s="711"/>
      <c r="AF760" s="711"/>
      <c r="AG760" s="711"/>
      <c r="AH760" s="711"/>
    </row>
    <row r="761">
      <c r="A761" s="48"/>
      <c r="B761" s="48"/>
      <c r="C761" s="48"/>
      <c r="D761" s="721"/>
      <c r="E761" s="711"/>
      <c r="F761" s="711"/>
      <c r="G761" s="721"/>
      <c r="H761" s="721"/>
      <c r="I761" s="721"/>
      <c r="J761" s="48"/>
      <c r="K761" s="721"/>
      <c r="L761" s="721"/>
      <c r="M761" s="721"/>
      <c r="N761" s="719"/>
      <c r="O761" s="48"/>
      <c r="P761" s="719"/>
      <c r="Q761" s="48"/>
      <c r="R761" s="48"/>
      <c r="S761" s="711" t="str">
        <f>IFERROR(__xludf.DUMMYFUNCTION("""COMPUTED_VALUE"""),"")</f>
        <v/>
      </c>
      <c r="T761" s="721"/>
      <c r="U761" s="721"/>
      <c r="V761" s="711"/>
      <c r="W761" s="721"/>
      <c r="X761" s="721"/>
      <c r="Y761" s="48"/>
      <c r="Z761" s="48"/>
      <c r="AA761" s="48"/>
      <c r="AB761" s="711"/>
      <c r="AC761" s="711"/>
      <c r="AD761" s="711"/>
      <c r="AE761" s="711"/>
      <c r="AF761" s="711"/>
      <c r="AG761" s="711"/>
      <c r="AH761" s="711"/>
    </row>
    <row r="762">
      <c r="A762" s="48"/>
      <c r="B762" s="48"/>
      <c r="C762" s="48"/>
      <c r="D762" s="721"/>
      <c r="E762" s="711"/>
      <c r="F762" s="711"/>
      <c r="G762" s="721"/>
      <c r="H762" s="721"/>
      <c r="I762" s="721"/>
      <c r="J762" s="48"/>
      <c r="K762" s="721"/>
      <c r="L762" s="721"/>
      <c r="M762" s="721"/>
      <c r="N762" s="719"/>
      <c r="O762" s="48"/>
      <c r="P762" s="719"/>
      <c r="Q762" s="48"/>
      <c r="R762" s="48"/>
      <c r="S762" s="711" t="str">
        <f>IFERROR(__xludf.DUMMYFUNCTION("""COMPUTED_VALUE"""),"")</f>
        <v/>
      </c>
      <c r="T762" s="721"/>
      <c r="U762" s="721"/>
      <c r="V762" s="711"/>
      <c r="W762" s="721"/>
      <c r="X762" s="721"/>
      <c r="Y762" s="48"/>
      <c r="Z762" s="48"/>
      <c r="AA762" s="48"/>
      <c r="AB762" s="711"/>
      <c r="AC762" s="711"/>
      <c r="AD762" s="711"/>
      <c r="AE762" s="711"/>
      <c r="AF762" s="711"/>
      <c r="AG762" s="711"/>
      <c r="AH762" s="711"/>
    </row>
    <row r="763">
      <c r="A763" s="48"/>
      <c r="B763" s="48"/>
      <c r="C763" s="48"/>
      <c r="D763" s="721"/>
      <c r="E763" s="711"/>
      <c r="F763" s="711"/>
      <c r="G763" s="721"/>
      <c r="H763" s="721"/>
      <c r="I763" s="721"/>
      <c r="J763" s="48"/>
      <c r="K763" s="721"/>
      <c r="L763" s="721"/>
      <c r="M763" s="721"/>
      <c r="N763" s="719"/>
      <c r="O763" s="48"/>
      <c r="P763" s="719"/>
      <c r="Q763" s="48"/>
      <c r="R763" s="48"/>
      <c r="S763" s="711" t="str">
        <f>IFERROR(__xludf.DUMMYFUNCTION("""COMPUTED_VALUE"""),"")</f>
        <v/>
      </c>
      <c r="T763" s="721"/>
      <c r="U763" s="721"/>
      <c r="V763" s="711"/>
      <c r="W763" s="721"/>
      <c r="X763" s="721"/>
      <c r="Y763" s="48"/>
      <c r="Z763" s="48"/>
      <c r="AA763" s="48"/>
      <c r="AB763" s="711"/>
      <c r="AC763" s="711"/>
      <c r="AD763" s="711"/>
      <c r="AE763" s="711"/>
      <c r="AF763" s="711"/>
      <c r="AG763" s="711"/>
      <c r="AH763" s="711"/>
    </row>
    <row r="764">
      <c r="A764" s="48"/>
      <c r="B764" s="48"/>
      <c r="C764" s="48"/>
      <c r="D764" s="721"/>
      <c r="E764" s="711"/>
      <c r="F764" s="711"/>
      <c r="G764" s="721"/>
      <c r="H764" s="721"/>
      <c r="I764" s="721"/>
      <c r="J764" s="48"/>
      <c r="K764" s="721"/>
      <c r="L764" s="721"/>
      <c r="M764" s="721"/>
      <c r="N764" s="719"/>
      <c r="O764" s="48"/>
      <c r="P764" s="719"/>
      <c r="Q764" s="48"/>
      <c r="R764" s="48"/>
      <c r="S764" s="711" t="str">
        <f>IFERROR(__xludf.DUMMYFUNCTION("""COMPUTED_VALUE"""),"")</f>
        <v/>
      </c>
      <c r="T764" s="721"/>
      <c r="U764" s="721"/>
      <c r="V764" s="711"/>
      <c r="W764" s="721"/>
      <c r="X764" s="721"/>
      <c r="Y764" s="48"/>
      <c r="Z764" s="48"/>
      <c r="AA764" s="48"/>
      <c r="AB764" s="711"/>
      <c r="AC764" s="711"/>
      <c r="AD764" s="711"/>
      <c r="AE764" s="711"/>
      <c r="AF764" s="711"/>
      <c r="AG764" s="711"/>
      <c r="AH764" s="711"/>
    </row>
    <row r="765">
      <c r="A765" s="48"/>
      <c r="B765" s="48"/>
      <c r="C765" s="48"/>
      <c r="D765" s="721"/>
      <c r="E765" s="711"/>
      <c r="F765" s="711"/>
      <c r="G765" s="721"/>
      <c r="H765" s="721"/>
      <c r="I765" s="721"/>
      <c r="J765" s="48"/>
      <c r="K765" s="721"/>
      <c r="L765" s="721"/>
      <c r="M765" s="721"/>
      <c r="N765" s="719"/>
      <c r="O765" s="48"/>
      <c r="P765" s="719"/>
      <c r="Q765" s="48"/>
      <c r="R765" s="48"/>
      <c r="S765" s="711" t="str">
        <f>IFERROR(__xludf.DUMMYFUNCTION("""COMPUTED_VALUE"""),"")</f>
        <v/>
      </c>
      <c r="T765" s="721"/>
      <c r="U765" s="721"/>
      <c r="V765" s="711"/>
      <c r="W765" s="721"/>
      <c r="X765" s="721"/>
      <c r="Y765" s="48"/>
      <c r="Z765" s="48"/>
      <c r="AA765" s="48"/>
      <c r="AB765" s="711"/>
      <c r="AC765" s="711"/>
      <c r="AD765" s="711"/>
      <c r="AE765" s="711"/>
      <c r="AF765" s="711"/>
      <c r="AG765" s="711"/>
      <c r="AH765" s="711"/>
    </row>
    <row r="766">
      <c r="A766" s="48"/>
      <c r="B766" s="48"/>
      <c r="C766" s="48"/>
      <c r="D766" s="721"/>
      <c r="E766" s="711"/>
      <c r="F766" s="711"/>
      <c r="G766" s="721"/>
      <c r="H766" s="721"/>
      <c r="I766" s="721"/>
      <c r="J766" s="48"/>
      <c r="K766" s="721"/>
      <c r="L766" s="721"/>
      <c r="M766" s="721"/>
      <c r="N766" s="719"/>
      <c r="O766" s="48"/>
      <c r="P766" s="719"/>
      <c r="Q766" s="48"/>
      <c r="R766" s="48"/>
      <c r="S766" s="711" t="str">
        <f>IFERROR(__xludf.DUMMYFUNCTION("""COMPUTED_VALUE"""),"")</f>
        <v/>
      </c>
      <c r="T766" s="721"/>
      <c r="U766" s="721"/>
      <c r="V766" s="711"/>
      <c r="W766" s="721"/>
      <c r="X766" s="721"/>
      <c r="Y766" s="48"/>
      <c r="Z766" s="48"/>
      <c r="AA766" s="48"/>
      <c r="AB766" s="711"/>
      <c r="AC766" s="711"/>
      <c r="AD766" s="711"/>
      <c r="AE766" s="711"/>
      <c r="AF766" s="711"/>
      <c r="AG766" s="711"/>
      <c r="AH766" s="711"/>
    </row>
    <row r="767">
      <c r="A767" s="48"/>
      <c r="B767" s="48"/>
      <c r="C767" s="48"/>
      <c r="D767" s="721"/>
      <c r="E767" s="711"/>
      <c r="F767" s="711"/>
      <c r="G767" s="721"/>
      <c r="H767" s="721"/>
      <c r="I767" s="721"/>
      <c r="J767" s="48"/>
      <c r="K767" s="721"/>
      <c r="L767" s="721"/>
      <c r="M767" s="721"/>
      <c r="N767" s="719"/>
      <c r="O767" s="48"/>
      <c r="P767" s="719"/>
      <c r="Q767" s="48"/>
      <c r="R767" s="48"/>
      <c r="S767" s="711" t="str">
        <f>IFERROR(__xludf.DUMMYFUNCTION("""COMPUTED_VALUE"""),"")</f>
        <v/>
      </c>
      <c r="T767" s="721"/>
      <c r="U767" s="721"/>
      <c r="V767" s="711"/>
      <c r="W767" s="721"/>
      <c r="X767" s="721"/>
      <c r="Y767" s="48"/>
      <c r="Z767" s="48"/>
      <c r="AA767" s="48"/>
      <c r="AB767" s="711"/>
      <c r="AC767" s="711"/>
      <c r="AD767" s="711"/>
      <c r="AE767" s="711"/>
      <c r="AF767" s="711"/>
      <c r="AG767" s="711"/>
      <c r="AH767" s="711"/>
    </row>
    <row r="768">
      <c r="A768" s="48"/>
      <c r="B768" s="48"/>
      <c r="C768" s="48"/>
      <c r="D768" s="721"/>
      <c r="E768" s="711"/>
      <c r="F768" s="711"/>
      <c r="G768" s="721"/>
      <c r="H768" s="721"/>
      <c r="I768" s="721"/>
      <c r="J768" s="48"/>
      <c r="K768" s="721"/>
      <c r="L768" s="721"/>
      <c r="M768" s="721"/>
      <c r="N768" s="719"/>
      <c r="O768" s="48"/>
      <c r="P768" s="719"/>
      <c r="Q768" s="48"/>
      <c r="R768" s="48"/>
      <c r="S768" s="711" t="str">
        <f>IFERROR(__xludf.DUMMYFUNCTION("""COMPUTED_VALUE"""),"")</f>
        <v/>
      </c>
      <c r="T768" s="721"/>
      <c r="U768" s="721"/>
      <c r="V768" s="711"/>
      <c r="W768" s="721"/>
      <c r="X768" s="721"/>
      <c r="Y768" s="48"/>
      <c r="Z768" s="48"/>
      <c r="AA768" s="48"/>
      <c r="AB768" s="711"/>
      <c r="AC768" s="711"/>
      <c r="AD768" s="711"/>
      <c r="AE768" s="711"/>
      <c r="AF768" s="711"/>
      <c r="AG768" s="711"/>
      <c r="AH768" s="711"/>
    </row>
    <row r="769">
      <c r="A769" s="48"/>
      <c r="B769" s="48"/>
      <c r="C769" s="48"/>
      <c r="D769" s="721"/>
      <c r="E769" s="711"/>
      <c r="F769" s="711"/>
      <c r="G769" s="721"/>
      <c r="H769" s="721"/>
      <c r="I769" s="721"/>
      <c r="J769" s="48"/>
      <c r="K769" s="721"/>
      <c r="L769" s="721"/>
      <c r="M769" s="721"/>
      <c r="N769" s="719"/>
      <c r="O769" s="48"/>
      <c r="P769" s="719"/>
      <c r="Q769" s="48"/>
      <c r="R769" s="48"/>
      <c r="S769" s="711" t="str">
        <f>IFERROR(__xludf.DUMMYFUNCTION("""COMPUTED_VALUE"""),"")</f>
        <v/>
      </c>
      <c r="T769" s="721"/>
      <c r="U769" s="721"/>
      <c r="V769" s="711"/>
      <c r="W769" s="721"/>
      <c r="X769" s="721"/>
      <c r="Y769" s="48"/>
      <c r="Z769" s="48"/>
      <c r="AA769" s="48"/>
      <c r="AB769" s="711"/>
      <c r="AC769" s="711"/>
      <c r="AD769" s="711"/>
      <c r="AE769" s="711"/>
      <c r="AF769" s="711"/>
      <c r="AG769" s="711"/>
      <c r="AH769" s="711"/>
    </row>
    <row r="770">
      <c r="A770" s="48"/>
      <c r="B770" s="48"/>
      <c r="C770" s="48"/>
      <c r="D770" s="721"/>
      <c r="E770" s="711"/>
      <c r="F770" s="711"/>
      <c r="G770" s="721"/>
      <c r="H770" s="721"/>
      <c r="I770" s="721"/>
      <c r="J770" s="48"/>
      <c r="K770" s="721"/>
      <c r="L770" s="721"/>
      <c r="M770" s="721"/>
      <c r="N770" s="719"/>
      <c r="O770" s="48"/>
      <c r="P770" s="719"/>
      <c r="Q770" s="48"/>
      <c r="R770" s="48"/>
      <c r="S770" s="711" t="str">
        <f>IFERROR(__xludf.DUMMYFUNCTION("""COMPUTED_VALUE"""),"")</f>
        <v/>
      </c>
      <c r="T770" s="721"/>
      <c r="U770" s="721"/>
      <c r="V770" s="711"/>
      <c r="W770" s="721"/>
      <c r="X770" s="721"/>
      <c r="Y770" s="48"/>
      <c r="Z770" s="48"/>
      <c r="AA770" s="48"/>
      <c r="AB770" s="711"/>
      <c r="AC770" s="711"/>
      <c r="AD770" s="711"/>
      <c r="AE770" s="711"/>
      <c r="AF770" s="711"/>
      <c r="AG770" s="711"/>
      <c r="AH770" s="711"/>
    </row>
    <row r="771">
      <c r="A771" s="48"/>
      <c r="B771" s="48"/>
      <c r="C771" s="48"/>
      <c r="D771" s="721"/>
      <c r="E771" s="711"/>
      <c r="F771" s="711"/>
      <c r="G771" s="721"/>
      <c r="H771" s="721"/>
      <c r="I771" s="721"/>
      <c r="J771" s="48"/>
      <c r="K771" s="721"/>
      <c r="L771" s="721"/>
      <c r="M771" s="721"/>
      <c r="N771" s="719"/>
      <c r="O771" s="48"/>
      <c r="P771" s="719"/>
      <c r="Q771" s="48"/>
      <c r="R771" s="48"/>
      <c r="S771" s="711" t="str">
        <f>IFERROR(__xludf.DUMMYFUNCTION("""COMPUTED_VALUE"""),"")</f>
        <v/>
      </c>
      <c r="T771" s="721"/>
      <c r="U771" s="721"/>
      <c r="V771" s="711"/>
      <c r="W771" s="721"/>
      <c r="X771" s="721"/>
      <c r="Y771" s="48"/>
      <c r="Z771" s="48"/>
      <c r="AA771" s="48"/>
      <c r="AB771" s="711"/>
      <c r="AC771" s="711"/>
      <c r="AD771" s="711"/>
      <c r="AE771" s="711"/>
      <c r="AF771" s="711"/>
      <c r="AG771" s="711"/>
      <c r="AH771" s="711"/>
    </row>
    <row r="772">
      <c r="A772" s="48"/>
      <c r="B772" s="48"/>
      <c r="C772" s="48"/>
      <c r="D772" s="721"/>
      <c r="E772" s="711"/>
      <c r="F772" s="711"/>
      <c r="G772" s="721"/>
      <c r="H772" s="721"/>
      <c r="I772" s="721"/>
      <c r="J772" s="48"/>
      <c r="K772" s="721"/>
      <c r="L772" s="721"/>
      <c r="M772" s="721"/>
      <c r="N772" s="719"/>
      <c r="O772" s="48"/>
      <c r="P772" s="719"/>
      <c r="Q772" s="48"/>
      <c r="R772" s="48"/>
      <c r="S772" s="711" t="str">
        <f>IFERROR(__xludf.DUMMYFUNCTION("""COMPUTED_VALUE"""),"")</f>
        <v/>
      </c>
      <c r="T772" s="721"/>
      <c r="U772" s="721"/>
      <c r="V772" s="711"/>
      <c r="W772" s="721"/>
      <c r="X772" s="721"/>
      <c r="Y772" s="48"/>
      <c r="Z772" s="48"/>
      <c r="AA772" s="48"/>
      <c r="AB772" s="711"/>
      <c r="AC772" s="711"/>
      <c r="AD772" s="711"/>
      <c r="AE772" s="711"/>
      <c r="AF772" s="711"/>
      <c r="AG772" s="711"/>
      <c r="AH772" s="711"/>
    </row>
    <row r="773">
      <c r="A773" s="48"/>
      <c r="B773" s="48"/>
      <c r="C773" s="48"/>
      <c r="D773" s="721"/>
      <c r="E773" s="711"/>
      <c r="F773" s="711"/>
      <c r="G773" s="721"/>
      <c r="H773" s="721"/>
      <c r="I773" s="721"/>
      <c r="J773" s="48"/>
      <c r="K773" s="721"/>
      <c r="L773" s="721"/>
      <c r="M773" s="721"/>
      <c r="N773" s="719"/>
      <c r="O773" s="48"/>
      <c r="P773" s="719"/>
      <c r="Q773" s="48"/>
      <c r="R773" s="48"/>
      <c r="S773" s="711" t="str">
        <f>IFERROR(__xludf.DUMMYFUNCTION("""COMPUTED_VALUE"""),"")</f>
        <v/>
      </c>
      <c r="T773" s="721"/>
      <c r="U773" s="721"/>
      <c r="V773" s="711"/>
      <c r="W773" s="721"/>
      <c r="X773" s="721"/>
      <c r="Y773" s="48"/>
      <c r="Z773" s="48"/>
      <c r="AA773" s="48"/>
      <c r="AB773" s="711"/>
      <c r="AC773" s="711"/>
      <c r="AD773" s="711"/>
      <c r="AE773" s="711"/>
      <c r="AF773" s="711"/>
      <c r="AG773" s="711"/>
      <c r="AH773" s="711"/>
    </row>
    <row r="774">
      <c r="A774" s="48"/>
      <c r="B774" s="48"/>
      <c r="C774" s="48"/>
      <c r="D774" s="721"/>
      <c r="E774" s="711"/>
      <c r="F774" s="711"/>
      <c r="G774" s="721"/>
      <c r="H774" s="721"/>
      <c r="I774" s="721"/>
      <c r="J774" s="48"/>
      <c r="K774" s="721"/>
      <c r="L774" s="721"/>
      <c r="M774" s="721"/>
      <c r="N774" s="719"/>
      <c r="O774" s="48"/>
      <c r="P774" s="719"/>
      <c r="Q774" s="48"/>
      <c r="R774" s="48"/>
      <c r="S774" s="711" t="str">
        <f>IFERROR(__xludf.DUMMYFUNCTION("""COMPUTED_VALUE"""),"")</f>
        <v/>
      </c>
      <c r="T774" s="721"/>
      <c r="U774" s="721"/>
      <c r="V774" s="711"/>
      <c r="W774" s="721"/>
      <c r="X774" s="721"/>
      <c r="Y774" s="48"/>
      <c r="Z774" s="48"/>
      <c r="AA774" s="48"/>
      <c r="AB774" s="711"/>
      <c r="AC774" s="711"/>
      <c r="AD774" s="711"/>
      <c r="AE774" s="711"/>
      <c r="AF774" s="711"/>
      <c r="AG774" s="711"/>
      <c r="AH774" s="711"/>
    </row>
    <row r="775">
      <c r="A775" s="48"/>
      <c r="B775" s="48"/>
      <c r="C775" s="48"/>
      <c r="D775" s="721"/>
      <c r="E775" s="711"/>
      <c r="F775" s="711"/>
      <c r="G775" s="721"/>
      <c r="H775" s="721"/>
      <c r="I775" s="721"/>
      <c r="J775" s="48"/>
      <c r="K775" s="721"/>
      <c r="L775" s="721"/>
      <c r="M775" s="721"/>
      <c r="N775" s="719"/>
      <c r="O775" s="48"/>
      <c r="P775" s="719"/>
      <c r="Q775" s="48"/>
      <c r="R775" s="48"/>
      <c r="S775" s="711" t="str">
        <f>IFERROR(__xludf.DUMMYFUNCTION("""COMPUTED_VALUE"""),"")</f>
        <v/>
      </c>
      <c r="T775" s="721"/>
      <c r="U775" s="721"/>
      <c r="V775" s="711"/>
      <c r="W775" s="721"/>
      <c r="X775" s="721"/>
      <c r="Y775" s="48"/>
      <c r="Z775" s="48"/>
      <c r="AA775" s="48"/>
      <c r="AB775" s="711"/>
      <c r="AC775" s="711"/>
      <c r="AD775" s="711"/>
      <c r="AE775" s="711"/>
      <c r="AF775" s="711"/>
      <c r="AG775" s="711"/>
      <c r="AH775" s="711"/>
    </row>
    <row r="776">
      <c r="A776" s="48"/>
      <c r="B776" s="48"/>
      <c r="C776" s="48"/>
      <c r="D776" s="721"/>
      <c r="E776" s="711"/>
      <c r="F776" s="711"/>
      <c r="G776" s="721"/>
      <c r="H776" s="721"/>
      <c r="I776" s="721"/>
      <c r="J776" s="48"/>
      <c r="K776" s="721"/>
      <c r="L776" s="721"/>
      <c r="M776" s="721"/>
      <c r="N776" s="719"/>
      <c r="O776" s="48"/>
      <c r="P776" s="719"/>
      <c r="Q776" s="48"/>
      <c r="R776" s="48"/>
      <c r="S776" s="711" t="str">
        <f>IFERROR(__xludf.DUMMYFUNCTION("""COMPUTED_VALUE"""),"")</f>
        <v/>
      </c>
      <c r="T776" s="721"/>
      <c r="U776" s="721"/>
      <c r="V776" s="711"/>
      <c r="W776" s="721"/>
      <c r="X776" s="721"/>
      <c r="Y776" s="48"/>
      <c r="Z776" s="48"/>
      <c r="AA776" s="48"/>
      <c r="AB776" s="711"/>
      <c r="AC776" s="711"/>
      <c r="AD776" s="711"/>
      <c r="AE776" s="711"/>
      <c r="AF776" s="711"/>
      <c r="AG776" s="711"/>
      <c r="AH776" s="711"/>
    </row>
    <row r="777">
      <c r="A777" s="48"/>
      <c r="B777" s="48"/>
      <c r="C777" s="48"/>
      <c r="D777" s="721"/>
      <c r="E777" s="711"/>
      <c r="F777" s="711"/>
      <c r="G777" s="721"/>
      <c r="H777" s="721"/>
      <c r="I777" s="721"/>
      <c r="J777" s="48"/>
      <c r="K777" s="721"/>
      <c r="L777" s="721"/>
      <c r="M777" s="721"/>
      <c r="N777" s="719"/>
      <c r="O777" s="48"/>
      <c r="P777" s="719"/>
      <c r="Q777" s="48"/>
      <c r="R777" s="48"/>
      <c r="S777" s="711" t="str">
        <f>IFERROR(__xludf.DUMMYFUNCTION("""COMPUTED_VALUE"""),"")</f>
        <v/>
      </c>
      <c r="T777" s="721"/>
      <c r="U777" s="721"/>
      <c r="V777" s="711"/>
      <c r="W777" s="721"/>
      <c r="X777" s="721"/>
      <c r="Y777" s="48"/>
      <c r="Z777" s="48"/>
      <c r="AA777" s="48"/>
      <c r="AB777" s="711"/>
      <c r="AC777" s="711"/>
      <c r="AD777" s="711"/>
      <c r="AE777" s="711"/>
      <c r="AF777" s="711"/>
      <c r="AG777" s="711"/>
      <c r="AH777" s="711"/>
    </row>
    <row r="778">
      <c r="A778" s="48"/>
      <c r="B778" s="48"/>
      <c r="C778" s="48"/>
      <c r="D778" s="721"/>
      <c r="E778" s="711"/>
      <c r="F778" s="711"/>
      <c r="G778" s="721"/>
      <c r="H778" s="721"/>
      <c r="I778" s="721"/>
      <c r="J778" s="48"/>
      <c r="K778" s="721"/>
      <c r="L778" s="721"/>
      <c r="M778" s="721"/>
      <c r="N778" s="719"/>
      <c r="O778" s="48"/>
      <c r="P778" s="719"/>
      <c r="Q778" s="48"/>
      <c r="R778" s="48"/>
      <c r="S778" s="711" t="str">
        <f>IFERROR(__xludf.DUMMYFUNCTION("""COMPUTED_VALUE"""),"")</f>
        <v/>
      </c>
      <c r="T778" s="721"/>
      <c r="U778" s="721"/>
      <c r="V778" s="711"/>
      <c r="W778" s="721"/>
      <c r="X778" s="721"/>
      <c r="Y778" s="48"/>
      <c r="Z778" s="48"/>
      <c r="AA778" s="48"/>
      <c r="AB778" s="711"/>
      <c r="AC778" s="711"/>
      <c r="AD778" s="711"/>
      <c r="AE778" s="711"/>
      <c r="AF778" s="711"/>
      <c r="AG778" s="711"/>
      <c r="AH778" s="711"/>
    </row>
    <row r="779">
      <c r="A779" s="48"/>
      <c r="B779" s="48"/>
      <c r="C779" s="48"/>
      <c r="D779" s="721"/>
      <c r="E779" s="711"/>
      <c r="F779" s="711"/>
      <c r="G779" s="721"/>
      <c r="H779" s="721"/>
      <c r="I779" s="721"/>
      <c r="J779" s="48"/>
      <c r="K779" s="721"/>
      <c r="L779" s="721"/>
      <c r="M779" s="721"/>
      <c r="N779" s="719"/>
      <c r="O779" s="48"/>
      <c r="P779" s="719"/>
      <c r="Q779" s="48"/>
      <c r="R779" s="48"/>
      <c r="S779" s="711" t="str">
        <f>IFERROR(__xludf.DUMMYFUNCTION("""COMPUTED_VALUE"""),"")</f>
        <v/>
      </c>
      <c r="T779" s="721"/>
      <c r="U779" s="721"/>
      <c r="V779" s="711"/>
      <c r="W779" s="721"/>
      <c r="X779" s="721"/>
      <c r="Y779" s="48"/>
      <c r="Z779" s="48"/>
      <c r="AA779" s="48"/>
      <c r="AB779" s="711"/>
      <c r="AC779" s="711"/>
      <c r="AD779" s="711"/>
      <c r="AE779" s="711"/>
      <c r="AF779" s="711"/>
      <c r="AG779" s="711"/>
      <c r="AH779" s="711"/>
    </row>
    <row r="780">
      <c r="A780" s="48"/>
      <c r="B780" s="48"/>
      <c r="C780" s="48"/>
      <c r="D780" s="721"/>
      <c r="E780" s="711"/>
      <c r="F780" s="711"/>
      <c r="G780" s="721"/>
      <c r="H780" s="721"/>
      <c r="I780" s="721"/>
      <c r="J780" s="48"/>
      <c r="K780" s="721"/>
      <c r="L780" s="721"/>
      <c r="M780" s="721"/>
      <c r="N780" s="719"/>
      <c r="O780" s="48"/>
      <c r="P780" s="719"/>
      <c r="Q780" s="48"/>
      <c r="R780" s="48"/>
      <c r="S780" s="711" t="str">
        <f>IFERROR(__xludf.DUMMYFUNCTION("""COMPUTED_VALUE"""),"")</f>
        <v/>
      </c>
      <c r="T780" s="721"/>
      <c r="U780" s="721"/>
      <c r="V780" s="711"/>
      <c r="W780" s="721"/>
      <c r="X780" s="721"/>
      <c r="Y780" s="48"/>
      <c r="Z780" s="48"/>
      <c r="AA780" s="48"/>
      <c r="AB780" s="711"/>
      <c r="AC780" s="711"/>
      <c r="AD780" s="711"/>
      <c r="AE780" s="711"/>
      <c r="AF780" s="711"/>
      <c r="AG780" s="711"/>
      <c r="AH780" s="711"/>
    </row>
    <row r="781">
      <c r="A781" s="48"/>
      <c r="B781" s="48"/>
      <c r="C781" s="48"/>
      <c r="D781" s="721"/>
      <c r="E781" s="711"/>
      <c r="F781" s="711"/>
      <c r="G781" s="721"/>
      <c r="H781" s="721"/>
      <c r="I781" s="721"/>
      <c r="J781" s="48"/>
      <c r="K781" s="721"/>
      <c r="L781" s="721"/>
      <c r="M781" s="721"/>
      <c r="N781" s="719"/>
      <c r="O781" s="48"/>
      <c r="P781" s="719"/>
      <c r="Q781" s="48"/>
      <c r="R781" s="48"/>
      <c r="S781" s="711" t="str">
        <f>IFERROR(__xludf.DUMMYFUNCTION("""COMPUTED_VALUE"""),"")</f>
        <v/>
      </c>
      <c r="T781" s="721"/>
      <c r="U781" s="721"/>
      <c r="V781" s="711"/>
      <c r="W781" s="721"/>
      <c r="X781" s="721"/>
      <c r="Y781" s="48"/>
      <c r="Z781" s="48"/>
      <c r="AA781" s="48"/>
      <c r="AB781" s="711"/>
      <c r="AC781" s="711"/>
      <c r="AD781" s="711"/>
      <c r="AE781" s="711"/>
      <c r="AF781" s="711"/>
      <c r="AG781" s="711"/>
      <c r="AH781" s="711"/>
    </row>
    <row r="782">
      <c r="A782" s="48"/>
      <c r="B782" s="48"/>
      <c r="C782" s="48"/>
      <c r="D782" s="721"/>
      <c r="E782" s="711"/>
      <c r="F782" s="711"/>
      <c r="G782" s="721"/>
      <c r="H782" s="721"/>
      <c r="I782" s="721"/>
      <c r="J782" s="48"/>
      <c r="K782" s="721"/>
      <c r="L782" s="721"/>
      <c r="M782" s="721"/>
      <c r="N782" s="719"/>
      <c r="O782" s="48"/>
      <c r="P782" s="719"/>
      <c r="Q782" s="48"/>
      <c r="R782" s="48"/>
      <c r="S782" s="711" t="str">
        <f>IFERROR(__xludf.DUMMYFUNCTION("""COMPUTED_VALUE"""),"")</f>
        <v/>
      </c>
      <c r="T782" s="721"/>
      <c r="U782" s="721"/>
      <c r="V782" s="711"/>
      <c r="W782" s="721"/>
      <c r="X782" s="721"/>
      <c r="Y782" s="48"/>
      <c r="Z782" s="48"/>
      <c r="AA782" s="48"/>
      <c r="AB782" s="711"/>
      <c r="AC782" s="711"/>
      <c r="AD782" s="711"/>
      <c r="AE782" s="711"/>
      <c r="AF782" s="711"/>
      <c r="AG782" s="711"/>
      <c r="AH782" s="711"/>
    </row>
    <row r="783">
      <c r="A783" s="48"/>
      <c r="B783" s="48"/>
      <c r="C783" s="48"/>
      <c r="D783" s="721"/>
      <c r="E783" s="711"/>
      <c r="F783" s="711"/>
      <c r="G783" s="721"/>
      <c r="H783" s="721"/>
      <c r="I783" s="721"/>
      <c r="J783" s="48"/>
      <c r="K783" s="721"/>
      <c r="L783" s="721"/>
      <c r="M783" s="721"/>
      <c r="N783" s="719"/>
      <c r="O783" s="48"/>
      <c r="P783" s="719"/>
      <c r="Q783" s="48"/>
      <c r="R783" s="48"/>
      <c r="S783" s="711" t="str">
        <f>IFERROR(__xludf.DUMMYFUNCTION("""COMPUTED_VALUE"""),"")</f>
        <v/>
      </c>
      <c r="T783" s="721"/>
      <c r="U783" s="721"/>
      <c r="V783" s="711"/>
      <c r="W783" s="721"/>
      <c r="X783" s="721"/>
      <c r="Y783" s="48"/>
      <c r="Z783" s="48"/>
      <c r="AA783" s="48"/>
      <c r="AB783" s="711"/>
      <c r="AC783" s="711"/>
      <c r="AD783" s="711"/>
      <c r="AE783" s="711"/>
      <c r="AF783" s="711"/>
      <c r="AG783" s="711"/>
      <c r="AH783" s="711"/>
    </row>
    <row r="784">
      <c r="A784" s="48"/>
      <c r="B784" s="48"/>
      <c r="C784" s="48"/>
      <c r="D784" s="721"/>
      <c r="E784" s="711"/>
      <c r="F784" s="711"/>
      <c r="G784" s="721"/>
      <c r="H784" s="721"/>
      <c r="I784" s="721"/>
      <c r="J784" s="48"/>
      <c r="K784" s="721"/>
      <c r="L784" s="721"/>
      <c r="M784" s="721"/>
      <c r="N784" s="719"/>
      <c r="O784" s="48"/>
      <c r="P784" s="719"/>
      <c r="Q784" s="48"/>
      <c r="R784" s="48"/>
      <c r="S784" s="711" t="str">
        <f>IFERROR(__xludf.DUMMYFUNCTION("""COMPUTED_VALUE"""),"")</f>
        <v/>
      </c>
      <c r="T784" s="721"/>
      <c r="U784" s="721"/>
      <c r="V784" s="711"/>
      <c r="W784" s="721"/>
      <c r="X784" s="721"/>
      <c r="Y784" s="48"/>
      <c r="Z784" s="48"/>
      <c r="AA784" s="48"/>
      <c r="AB784" s="711"/>
      <c r="AC784" s="711"/>
      <c r="AD784" s="711"/>
      <c r="AE784" s="711"/>
      <c r="AF784" s="711"/>
      <c r="AG784" s="711"/>
      <c r="AH784" s="711"/>
    </row>
    <row r="785">
      <c r="A785" s="48"/>
      <c r="B785" s="48"/>
      <c r="C785" s="48"/>
      <c r="D785" s="721"/>
      <c r="E785" s="711"/>
      <c r="F785" s="711"/>
      <c r="G785" s="721"/>
      <c r="H785" s="721"/>
      <c r="I785" s="721"/>
      <c r="J785" s="48"/>
      <c r="K785" s="721"/>
      <c r="L785" s="721"/>
      <c r="M785" s="721"/>
      <c r="N785" s="719"/>
      <c r="O785" s="48"/>
      <c r="P785" s="719"/>
      <c r="Q785" s="48"/>
      <c r="R785" s="48"/>
      <c r="S785" s="711" t="str">
        <f>IFERROR(__xludf.DUMMYFUNCTION("""COMPUTED_VALUE"""),"")</f>
        <v/>
      </c>
      <c r="T785" s="721"/>
      <c r="U785" s="721"/>
      <c r="V785" s="711"/>
      <c r="W785" s="721"/>
      <c r="X785" s="721"/>
      <c r="Y785" s="48"/>
      <c r="Z785" s="48"/>
      <c r="AA785" s="48"/>
      <c r="AB785" s="711"/>
      <c r="AC785" s="711"/>
      <c r="AD785" s="711"/>
      <c r="AE785" s="711"/>
      <c r="AF785" s="711"/>
      <c r="AG785" s="711"/>
      <c r="AH785" s="711"/>
    </row>
    <row r="786">
      <c r="A786" s="48"/>
      <c r="B786" s="48"/>
      <c r="C786" s="48"/>
      <c r="D786" s="721"/>
      <c r="E786" s="711"/>
      <c r="F786" s="711"/>
      <c r="G786" s="721"/>
      <c r="H786" s="721"/>
      <c r="I786" s="721"/>
      <c r="J786" s="48"/>
      <c r="K786" s="721"/>
      <c r="L786" s="721"/>
      <c r="M786" s="721"/>
      <c r="N786" s="719"/>
      <c r="O786" s="48"/>
      <c r="P786" s="719"/>
      <c r="Q786" s="48"/>
      <c r="R786" s="48"/>
      <c r="S786" s="711" t="str">
        <f>IFERROR(__xludf.DUMMYFUNCTION("""COMPUTED_VALUE"""),"")</f>
        <v/>
      </c>
      <c r="T786" s="721"/>
      <c r="U786" s="721"/>
      <c r="V786" s="711"/>
      <c r="W786" s="721"/>
      <c r="X786" s="721"/>
      <c r="Y786" s="48"/>
      <c r="Z786" s="48"/>
      <c r="AA786" s="48"/>
      <c r="AB786" s="711"/>
      <c r="AC786" s="711"/>
      <c r="AD786" s="711"/>
      <c r="AE786" s="711"/>
      <c r="AF786" s="711"/>
      <c r="AG786" s="711"/>
      <c r="AH786" s="711"/>
    </row>
    <row r="787">
      <c r="A787" s="48"/>
      <c r="B787" s="48"/>
      <c r="C787" s="48"/>
      <c r="D787" s="721"/>
      <c r="E787" s="711"/>
      <c r="F787" s="711"/>
      <c r="G787" s="721"/>
      <c r="H787" s="721"/>
      <c r="I787" s="721"/>
      <c r="J787" s="48"/>
      <c r="K787" s="721"/>
      <c r="L787" s="721"/>
      <c r="M787" s="721"/>
      <c r="N787" s="719"/>
      <c r="O787" s="48"/>
      <c r="P787" s="719"/>
      <c r="Q787" s="48"/>
      <c r="R787" s="48"/>
      <c r="S787" s="711" t="str">
        <f>IFERROR(__xludf.DUMMYFUNCTION("""COMPUTED_VALUE"""),"")</f>
        <v/>
      </c>
      <c r="T787" s="721"/>
      <c r="U787" s="721"/>
      <c r="V787" s="711"/>
      <c r="W787" s="721"/>
      <c r="X787" s="721"/>
      <c r="Y787" s="48"/>
      <c r="Z787" s="48"/>
      <c r="AA787" s="48"/>
      <c r="AB787" s="711"/>
      <c r="AC787" s="711"/>
      <c r="AD787" s="711"/>
      <c r="AE787" s="711"/>
      <c r="AF787" s="711"/>
      <c r="AG787" s="711"/>
      <c r="AH787" s="711"/>
    </row>
    <row r="788">
      <c r="A788" s="48"/>
      <c r="B788" s="48"/>
      <c r="C788" s="48"/>
      <c r="D788" s="721"/>
      <c r="E788" s="711"/>
      <c r="F788" s="711"/>
      <c r="G788" s="721"/>
      <c r="H788" s="721"/>
      <c r="I788" s="721"/>
      <c r="J788" s="48"/>
      <c r="K788" s="721"/>
      <c r="L788" s="721"/>
      <c r="M788" s="721"/>
      <c r="N788" s="719"/>
      <c r="O788" s="48"/>
      <c r="P788" s="719"/>
      <c r="Q788" s="48"/>
      <c r="R788" s="48"/>
      <c r="S788" s="711" t="str">
        <f>IFERROR(__xludf.DUMMYFUNCTION("""COMPUTED_VALUE"""),"")</f>
        <v/>
      </c>
      <c r="T788" s="721"/>
      <c r="U788" s="721"/>
      <c r="V788" s="711"/>
      <c r="W788" s="721"/>
      <c r="X788" s="721"/>
      <c r="Y788" s="48"/>
      <c r="Z788" s="48"/>
      <c r="AA788" s="48"/>
      <c r="AB788" s="711"/>
      <c r="AC788" s="711"/>
      <c r="AD788" s="711"/>
      <c r="AE788" s="711"/>
      <c r="AF788" s="711"/>
      <c r="AG788" s="711"/>
      <c r="AH788" s="711"/>
    </row>
    <row r="789">
      <c r="A789" s="48"/>
      <c r="B789" s="48"/>
      <c r="C789" s="48"/>
      <c r="D789" s="721"/>
      <c r="E789" s="711"/>
      <c r="F789" s="711"/>
      <c r="G789" s="721"/>
      <c r="H789" s="721"/>
      <c r="I789" s="721"/>
      <c r="J789" s="48"/>
      <c r="K789" s="721"/>
      <c r="L789" s="721"/>
      <c r="M789" s="721"/>
      <c r="N789" s="719"/>
      <c r="O789" s="48"/>
      <c r="P789" s="719"/>
      <c r="Q789" s="48"/>
      <c r="R789" s="48"/>
      <c r="S789" s="711" t="str">
        <f>IFERROR(__xludf.DUMMYFUNCTION("""COMPUTED_VALUE"""),"")</f>
        <v/>
      </c>
      <c r="T789" s="721"/>
      <c r="U789" s="721"/>
      <c r="V789" s="711"/>
      <c r="W789" s="721"/>
      <c r="X789" s="721"/>
      <c r="Y789" s="48"/>
      <c r="Z789" s="48"/>
      <c r="AA789" s="48"/>
      <c r="AB789" s="711"/>
      <c r="AC789" s="711"/>
      <c r="AD789" s="711"/>
      <c r="AE789" s="711"/>
      <c r="AF789" s="711"/>
      <c r="AG789" s="711"/>
      <c r="AH789" s="711"/>
    </row>
    <row r="790">
      <c r="A790" s="48"/>
      <c r="B790" s="48"/>
      <c r="C790" s="48"/>
      <c r="D790" s="721"/>
      <c r="E790" s="711"/>
      <c r="F790" s="711"/>
      <c r="G790" s="721"/>
      <c r="H790" s="721"/>
      <c r="I790" s="721"/>
      <c r="J790" s="48"/>
      <c r="K790" s="721"/>
      <c r="L790" s="721"/>
      <c r="M790" s="721"/>
      <c r="N790" s="719"/>
      <c r="O790" s="48"/>
      <c r="P790" s="719"/>
      <c r="Q790" s="48"/>
      <c r="R790" s="48"/>
      <c r="S790" s="711" t="str">
        <f>IFERROR(__xludf.DUMMYFUNCTION("""COMPUTED_VALUE"""),"")</f>
        <v/>
      </c>
      <c r="T790" s="721"/>
      <c r="U790" s="721"/>
      <c r="V790" s="711"/>
      <c r="W790" s="721"/>
      <c r="X790" s="721"/>
      <c r="Y790" s="48"/>
      <c r="Z790" s="48"/>
      <c r="AA790" s="48"/>
      <c r="AB790" s="711"/>
      <c r="AC790" s="711"/>
      <c r="AD790" s="711"/>
      <c r="AE790" s="711"/>
      <c r="AF790" s="711"/>
      <c r="AG790" s="711"/>
      <c r="AH790" s="711"/>
    </row>
    <row r="791">
      <c r="A791" s="48"/>
      <c r="B791" s="48"/>
      <c r="C791" s="48"/>
      <c r="D791" s="721"/>
      <c r="E791" s="711"/>
      <c r="F791" s="711"/>
      <c r="G791" s="721"/>
      <c r="H791" s="721"/>
      <c r="I791" s="721"/>
      <c r="J791" s="48"/>
      <c r="K791" s="721"/>
      <c r="L791" s="721"/>
      <c r="M791" s="721"/>
      <c r="N791" s="719"/>
      <c r="O791" s="48"/>
      <c r="P791" s="719"/>
      <c r="Q791" s="48"/>
      <c r="R791" s="48"/>
      <c r="S791" s="711" t="str">
        <f>IFERROR(__xludf.DUMMYFUNCTION("""COMPUTED_VALUE"""),"")</f>
        <v/>
      </c>
      <c r="T791" s="721"/>
      <c r="U791" s="721"/>
      <c r="V791" s="711"/>
      <c r="W791" s="721"/>
      <c r="X791" s="721"/>
      <c r="Y791" s="48"/>
      <c r="Z791" s="48"/>
      <c r="AA791" s="48"/>
      <c r="AB791" s="711"/>
      <c r="AC791" s="711"/>
      <c r="AD791" s="711"/>
      <c r="AE791" s="711"/>
      <c r="AF791" s="711"/>
      <c r="AG791" s="711"/>
      <c r="AH791" s="711"/>
    </row>
    <row r="792">
      <c r="A792" s="48"/>
      <c r="B792" s="48"/>
      <c r="C792" s="48"/>
      <c r="D792" s="721"/>
      <c r="E792" s="711"/>
      <c r="F792" s="711"/>
      <c r="G792" s="721"/>
      <c r="H792" s="721"/>
      <c r="I792" s="721"/>
      <c r="J792" s="48"/>
      <c r="K792" s="721"/>
      <c r="L792" s="721"/>
      <c r="M792" s="721"/>
      <c r="N792" s="719"/>
      <c r="O792" s="48"/>
      <c r="P792" s="719"/>
      <c r="Q792" s="48"/>
      <c r="R792" s="48"/>
      <c r="S792" s="711" t="str">
        <f>IFERROR(__xludf.DUMMYFUNCTION("""COMPUTED_VALUE"""),"")</f>
        <v/>
      </c>
      <c r="T792" s="721"/>
      <c r="U792" s="721"/>
      <c r="V792" s="711"/>
      <c r="W792" s="721"/>
      <c r="X792" s="721"/>
      <c r="Y792" s="48"/>
      <c r="Z792" s="48"/>
      <c r="AA792" s="48"/>
      <c r="AB792" s="711"/>
      <c r="AC792" s="711"/>
      <c r="AD792" s="711"/>
      <c r="AE792" s="711"/>
      <c r="AF792" s="711"/>
      <c r="AG792" s="711"/>
      <c r="AH792" s="711"/>
    </row>
    <row r="793">
      <c r="A793" s="48"/>
      <c r="B793" s="48"/>
      <c r="C793" s="48"/>
      <c r="D793" s="721"/>
      <c r="E793" s="711"/>
      <c r="F793" s="711"/>
      <c r="G793" s="721"/>
      <c r="H793" s="721"/>
      <c r="I793" s="721"/>
      <c r="J793" s="48"/>
      <c r="K793" s="721"/>
      <c r="L793" s="721"/>
      <c r="M793" s="721"/>
      <c r="N793" s="719"/>
      <c r="O793" s="48"/>
      <c r="P793" s="719"/>
      <c r="Q793" s="48"/>
      <c r="R793" s="48"/>
      <c r="S793" s="711" t="str">
        <f>IFERROR(__xludf.DUMMYFUNCTION("""COMPUTED_VALUE"""),"")</f>
        <v/>
      </c>
      <c r="T793" s="721"/>
      <c r="U793" s="721"/>
      <c r="V793" s="711"/>
      <c r="W793" s="721"/>
      <c r="X793" s="721"/>
      <c r="Y793" s="48"/>
      <c r="Z793" s="48"/>
      <c r="AA793" s="48"/>
      <c r="AB793" s="711"/>
      <c r="AC793" s="711"/>
      <c r="AD793" s="711"/>
      <c r="AE793" s="711"/>
      <c r="AF793" s="711"/>
      <c r="AG793" s="711"/>
      <c r="AH793" s="711"/>
    </row>
    <row r="794">
      <c r="A794" s="48"/>
      <c r="B794" s="48"/>
      <c r="C794" s="48"/>
      <c r="D794" s="721"/>
      <c r="E794" s="711"/>
      <c r="F794" s="711"/>
      <c r="G794" s="721"/>
      <c r="H794" s="721"/>
      <c r="I794" s="721"/>
      <c r="J794" s="48"/>
      <c r="K794" s="721"/>
      <c r="L794" s="721"/>
      <c r="M794" s="721"/>
      <c r="N794" s="719"/>
      <c r="O794" s="48"/>
      <c r="P794" s="719"/>
      <c r="Q794" s="48"/>
      <c r="R794" s="48"/>
      <c r="S794" s="711" t="str">
        <f>IFERROR(__xludf.DUMMYFUNCTION("""COMPUTED_VALUE"""),"")</f>
        <v/>
      </c>
      <c r="T794" s="721"/>
      <c r="U794" s="721"/>
      <c r="V794" s="711"/>
      <c r="W794" s="721"/>
      <c r="X794" s="721"/>
      <c r="Y794" s="48"/>
      <c r="Z794" s="48"/>
      <c r="AA794" s="48"/>
      <c r="AB794" s="711"/>
      <c r="AC794" s="711"/>
      <c r="AD794" s="711"/>
      <c r="AE794" s="711"/>
      <c r="AF794" s="711"/>
      <c r="AG794" s="711"/>
      <c r="AH794" s="711"/>
    </row>
    <row r="795">
      <c r="A795" s="48"/>
      <c r="B795" s="48"/>
      <c r="C795" s="48"/>
      <c r="D795" s="721"/>
      <c r="E795" s="711"/>
      <c r="F795" s="711"/>
      <c r="G795" s="721"/>
      <c r="H795" s="721"/>
      <c r="I795" s="721"/>
      <c r="J795" s="48"/>
      <c r="K795" s="721"/>
      <c r="L795" s="721"/>
      <c r="M795" s="721"/>
      <c r="N795" s="719"/>
      <c r="O795" s="48"/>
      <c r="P795" s="719"/>
      <c r="Q795" s="48"/>
      <c r="R795" s="48"/>
      <c r="S795" s="711" t="str">
        <f>IFERROR(__xludf.DUMMYFUNCTION("""COMPUTED_VALUE"""),"")</f>
        <v/>
      </c>
      <c r="T795" s="721"/>
      <c r="U795" s="721"/>
      <c r="V795" s="711"/>
      <c r="W795" s="721"/>
      <c r="X795" s="721"/>
      <c r="Y795" s="48"/>
      <c r="Z795" s="48"/>
      <c r="AA795" s="48"/>
      <c r="AB795" s="711"/>
      <c r="AC795" s="711"/>
      <c r="AD795" s="711"/>
      <c r="AE795" s="711"/>
      <c r="AF795" s="711"/>
      <c r="AG795" s="711"/>
      <c r="AH795" s="711"/>
    </row>
    <row r="796">
      <c r="A796" s="48"/>
      <c r="B796" s="48"/>
      <c r="C796" s="48"/>
      <c r="D796" s="721"/>
      <c r="E796" s="711"/>
      <c r="F796" s="711"/>
      <c r="G796" s="721"/>
      <c r="H796" s="721"/>
      <c r="I796" s="721"/>
      <c r="J796" s="48"/>
      <c r="K796" s="721"/>
      <c r="L796" s="721"/>
      <c r="M796" s="721"/>
      <c r="N796" s="719"/>
      <c r="O796" s="48"/>
      <c r="P796" s="719"/>
      <c r="Q796" s="48"/>
      <c r="R796" s="48"/>
      <c r="S796" s="711" t="str">
        <f>IFERROR(__xludf.DUMMYFUNCTION("""COMPUTED_VALUE"""),"")</f>
        <v/>
      </c>
      <c r="T796" s="721"/>
      <c r="U796" s="721"/>
      <c r="V796" s="711"/>
      <c r="W796" s="721"/>
      <c r="X796" s="721"/>
      <c r="Y796" s="48"/>
      <c r="Z796" s="48"/>
      <c r="AA796" s="48"/>
      <c r="AB796" s="711"/>
      <c r="AC796" s="711"/>
      <c r="AD796" s="711"/>
      <c r="AE796" s="711"/>
      <c r="AF796" s="711"/>
      <c r="AG796" s="711"/>
      <c r="AH796" s="711"/>
    </row>
    <row r="797">
      <c r="A797" s="48"/>
      <c r="B797" s="48"/>
      <c r="C797" s="48"/>
      <c r="D797" s="721"/>
      <c r="E797" s="711"/>
      <c r="F797" s="711"/>
      <c r="G797" s="721"/>
      <c r="H797" s="721"/>
      <c r="I797" s="721"/>
      <c r="J797" s="48"/>
      <c r="K797" s="721"/>
      <c r="L797" s="721"/>
      <c r="M797" s="721"/>
      <c r="N797" s="719"/>
      <c r="O797" s="48"/>
      <c r="P797" s="719"/>
      <c r="Q797" s="48"/>
      <c r="R797" s="48"/>
      <c r="S797" s="711" t="str">
        <f>IFERROR(__xludf.DUMMYFUNCTION("""COMPUTED_VALUE"""),"")</f>
        <v/>
      </c>
      <c r="T797" s="721"/>
      <c r="U797" s="721"/>
      <c r="V797" s="711"/>
      <c r="W797" s="721"/>
      <c r="X797" s="721"/>
      <c r="Y797" s="48"/>
      <c r="Z797" s="48"/>
      <c r="AA797" s="48"/>
      <c r="AB797" s="711"/>
      <c r="AC797" s="711"/>
      <c r="AD797" s="711"/>
      <c r="AE797" s="711"/>
      <c r="AF797" s="711"/>
      <c r="AG797" s="711"/>
      <c r="AH797" s="711"/>
    </row>
    <row r="798">
      <c r="A798" s="48"/>
      <c r="B798" s="48"/>
      <c r="C798" s="48"/>
      <c r="D798" s="721"/>
      <c r="E798" s="711"/>
      <c r="F798" s="711"/>
      <c r="G798" s="721"/>
      <c r="H798" s="721"/>
      <c r="I798" s="721"/>
      <c r="J798" s="48"/>
      <c r="K798" s="721"/>
      <c r="L798" s="721"/>
      <c r="M798" s="721"/>
      <c r="N798" s="719"/>
      <c r="O798" s="48"/>
      <c r="P798" s="719"/>
      <c r="Q798" s="48"/>
      <c r="R798" s="48"/>
      <c r="S798" s="711" t="str">
        <f>IFERROR(__xludf.DUMMYFUNCTION("""COMPUTED_VALUE"""),"")</f>
        <v/>
      </c>
      <c r="T798" s="721"/>
      <c r="U798" s="721"/>
      <c r="V798" s="711"/>
      <c r="W798" s="721"/>
      <c r="X798" s="721"/>
      <c r="Y798" s="48"/>
      <c r="Z798" s="48"/>
      <c r="AA798" s="48"/>
      <c r="AB798" s="711"/>
      <c r="AC798" s="711"/>
      <c r="AD798" s="711"/>
      <c r="AE798" s="711"/>
      <c r="AF798" s="711"/>
      <c r="AG798" s="711"/>
      <c r="AH798" s="711"/>
    </row>
    <row r="799">
      <c r="A799" s="48"/>
      <c r="B799" s="48"/>
      <c r="C799" s="48"/>
      <c r="D799" s="721"/>
      <c r="E799" s="711"/>
      <c r="F799" s="711"/>
      <c r="G799" s="721"/>
      <c r="H799" s="721"/>
      <c r="I799" s="721"/>
      <c r="J799" s="48"/>
      <c r="K799" s="721"/>
      <c r="L799" s="721"/>
      <c r="M799" s="721"/>
      <c r="N799" s="719"/>
      <c r="O799" s="48"/>
      <c r="P799" s="719"/>
      <c r="Q799" s="48"/>
      <c r="R799" s="48"/>
      <c r="S799" s="711" t="str">
        <f>IFERROR(__xludf.DUMMYFUNCTION("""COMPUTED_VALUE"""),"")</f>
        <v/>
      </c>
      <c r="T799" s="721"/>
      <c r="U799" s="721"/>
      <c r="V799" s="711"/>
      <c r="W799" s="721"/>
      <c r="X799" s="721"/>
      <c r="Y799" s="48"/>
      <c r="Z799" s="48"/>
      <c r="AA799" s="48"/>
      <c r="AB799" s="711"/>
      <c r="AC799" s="711"/>
      <c r="AD799" s="711"/>
      <c r="AE799" s="711"/>
      <c r="AF799" s="711"/>
      <c r="AG799" s="711"/>
      <c r="AH799" s="711"/>
    </row>
    <row r="800">
      <c r="A800" s="48"/>
      <c r="B800" s="48"/>
      <c r="C800" s="48"/>
      <c r="D800" s="721"/>
      <c r="E800" s="711"/>
      <c r="F800" s="711"/>
      <c r="G800" s="721"/>
      <c r="H800" s="721"/>
      <c r="I800" s="721"/>
      <c r="J800" s="48"/>
      <c r="K800" s="721"/>
      <c r="L800" s="721"/>
      <c r="M800" s="721"/>
      <c r="N800" s="719"/>
      <c r="O800" s="48"/>
      <c r="P800" s="719"/>
      <c r="Q800" s="48"/>
      <c r="R800" s="48"/>
      <c r="S800" s="711" t="str">
        <f>IFERROR(__xludf.DUMMYFUNCTION("""COMPUTED_VALUE"""),"")</f>
        <v/>
      </c>
      <c r="T800" s="721"/>
      <c r="U800" s="721"/>
      <c r="V800" s="711"/>
      <c r="W800" s="721"/>
      <c r="X800" s="721"/>
      <c r="Y800" s="48"/>
      <c r="Z800" s="48"/>
      <c r="AA800" s="48"/>
      <c r="AB800" s="711"/>
      <c r="AC800" s="711"/>
      <c r="AD800" s="711"/>
      <c r="AE800" s="711"/>
      <c r="AF800" s="711"/>
      <c r="AG800" s="711"/>
      <c r="AH800" s="711"/>
    </row>
    <row r="801">
      <c r="A801" s="48"/>
      <c r="B801" s="48"/>
      <c r="C801" s="48"/>
      <c r="D801" s="721"/>
      <c r="E801" s="711"/>
      <c r="F801" s="711"/>
      <c r="G801" s="721"/>
      <c r="H801" s="721"/>
      <c r="I801" s="721"/>
      <c r="J801" s="48"/>
      <c r="K801" s="721"/>
      <c r="L801" s="721"/>
      <c r="M801" s="721"/>
      <c r="N801" s="719"/>
      <c r="O801" s="48"/>
      <c r="P801" s="719"/>
      <c r="Q801" s="48"/>
      <c r="R801" s="48"/>
      <c r="S801" s="711" t="str">
        <f>IFERROR(__xludf.DUMMYFUNCTION("""COMPUTED_VALUE"""),"")</f>
        <v/>
      </c>
      <c r="T801" s="721"/>
      <c r="U801" s="721"/>
      <c r="V801" s="711"/>
      <c r="W801" s="721"/>
      <c r="X801" s="721"/>
      <c r="Y801" s="48"/>
      <c r="Z801" s="48"/>
      <c r="AA801" s="48"/>
      <c r="AB801" s="711"/>
      <c r="AC801" s="711"/>
      <c r="AD801" s="711"/>
      <c r="AE801" s="711"/>
      <c r="AF801" s="711"/>
      <c r="AG801" s="711"/>
      <c r="AH801" s="711"/>
    </row>
    <row r="802">
      <c r="A802" s="48"/>
      <c r="B802" s="48"/>
      <c r="C802" s="48"/>
      <c r="D802" s="721"/>
      <c r="E802" s="711"/>
      <c r="F802" s="711"/>
      <c r="G802" s="721"/>
      <c r="H802" s="721"/>
      <c r="I802" s="721"/>
      <c r="J802" s="48"/>
      <c r="K802" s="721"/>
      <c r="L802" s="721"/>
      <c r="M802" s="721"/>
      <c r="N802" s="719"/>
      <c r="O802" s="48"/>
      <c r="P802" s="719"/>
      <c r="Q802" s="48"/>
      <c r="R802" s="48"/>
      <c r="S802" s="711" t="str">
        <f>IFERROR(__xludf.DUMMYFUNCTION("""COMPUTED_VALUE"""),"")</f>
        <v/>
      </c>
      <c r="T802" s="721"/>
      <c r="U802" s="721"/>
      <c r="V802" s="711"/>
      <c r="W802" s="721"/>
      <c r="X802" s="721"/>
      <c r="Y802" s="48"/>
      <c r="Z802" s="48"/>
      <c r="AA802" s="48"/>
      <c r="AB802" s="711"/>
      <c r="AC802" s="711"/>
      <c r="AD802" s="711"/>
      <c r="AE802" s="711"/>
      <c r="AF802" s="711"/>
      <c r="AG802" s="711"/>
      <c r="AH802" s="711"/>
    </row>
    <row r="803">
      <c r="A803" s="48"/>
      <c r="B803" s="48"/>
      <c r="C803" s="48"/>
      <c r="D803" s="721"/>
      <c r="E803" s="711"/>
      <c r="F803" s="711"/>
      <c r="G803" s="721"/>
      <c r="H803" s="721"/>
      <c r="I803" s="721"/>
      <c r="J803" s="48"/>
      <c r="K803" s="721"/>
      <c r="L803" s="721"/>
      <c r="M803" s="721"/>
      <c r="N803" s="719"/>
      <c r="O803" s="48"/>
      <c r="P803" s="719"/>
      <c r="Q803" s="48"/>
      <c r="R803" s="48"/>
      <c r="S803" s="711" t="str">
        <f>IFERROR(__xludf.DUMMYFUNCTION("""COMPUTED_VALUE"""),"")</f>
        <v/>
      </c>
      <c r="T803" s="721"/>
      <c r="U803" s="721"/>
      <c r="V803" s="711"/>
      <c r="W803" s="721"/>
      <c r="X803" s="721"/>
      <c r="Y803" s="48"/>
      <c r="Z803" s="48"/>
      <c r="AA803" s="48"/>
      <c r="AB803" s="711"/>
      <c r="AC803" s="711"/>
      <c r="AD803" s="711"/>
      <c r="AE803" s="711"/>
      <c r="AF803" s="711"/>
      <c r="AG803" s="711"/>
      <c r="AH803" s="711"/>
    </row>
    <row r="804">
      <c r="A804" s="48"/>
      <c r="B804" s="48"/>
      <c r="C804" s="48"/>
      <c r="D804" s="721"/>
      <c r="E804" s="711"/>
      <c r="F804" s="711"/>
      <c r="G804" s="721"/>
      <c r="H804" s="721"/>
      <c r="I804" s="721"/>
      <c r="J804" s="48"/>
      <c r="K804" s="721"/>
      <c r="L804" s="721"/>
      <c r="M804" s="721"/>
      <c r="N804" s="719"/>
      <c r="O804" s="48"/>
      <c r="P804" s="719"/>
      <c r="Q804" s="48"/>
      <c r="R804" s="711" t="str">
        <f>IFERROR(__xludf.DUMMYFUNCTION("""COMPUTED_VALUE"""),"2526MODULOVEN09.Y")</f>
        <v>2526MODULOVEN09.Y</v>
      </c>
      <c r="S804" s="711">
        <f>IFERROR(__xludf.DUMMYFUNCTION("""COMPUTED_VALUE"""),40.0)</f>
        <v>40</v>
      </c>
      <c r="T804" s="721" t="str">
        <f>IFERROR(__xludf.DUMMYFUNCTION("""COMPUTED_VALUE"""),"2526MODULOVEN09.Y")</f>
        <v>2526MODULOVEN09.Y</v>
      </c>
      <c r="U804" s="721"/>
      <c r="V804" s="711"/>
      <c r="W804" s="721"/>
      <c r="X804" s="721"/>
      <c r="Y804" s="48"/>
      <c r="Z804" s="48"/>
      <c r="AA804" s="48"/>
      <c r="AB804" s="711"/>
      <c r="AC804" s="711"/>
      <c r="AD804" s="711"/>
      <c r="AE804" s="711"/>
      <c r="AF804" s="711"/>
      <c r="AG804" s="711"/>
      <c r="AH804" s="711"/>
    </row>
    <row r="805">
      <c r="A805" s="48"/>
      <c r="B805" s="48"/>
      <c r="C805" s="48"/>
      <c r="D805" s="721"/>
      <c r="E805" s="711"/>
      <c r="F805" s="711"/>
      <c r="G805" s="721"/>
      <c r="H805" s="721"/>
      <c r="I805" s="721"/>
      <c r="J805" s="48"/>
      <c r="K805" s="721"/>
      <c r="L805" s="721"/>
      <c r="M805" s="721"/>
      <c r="N805" s="719"/>
      <c r="O805" s="48"/>
      <c r="P805" s="719"/>
      <c r="Q805" s="48"/>
      <c r="R805" s="711" t="str">
        <f>IFERROR(__xludf.DUMMYFUNCTION("""COMPUTED_VALUE"""),"2526SEABRAVEN09.Y")</f>
        <v>2526SEABRAVEN09.Y</v>
      </c>
      <c r="S805" s="711">
        <f>IFERROR(__xludf.DUMMYFUNCTION("""COMPUTED_VALUE"""),20.0)</f>
        <v>20</v>
      </c>
      <c r="T805" s="721" t="str">
        <f>IFERROR(__xludf.DUMMYFUNCTION("""COMPUTED_VALUE"""),"2526SEABRAVEN09.Y")</f>
        <v>2526SEABRAVEN09.Y</v>
      </c>
      <c r="U805" s="721"/>
      <c r="V805" s="711"/>
      <c r="W805" s="721"/>
      <c r="X805" s="721"/>
      <c r="Y805" s="48"/>
      <c r="Z805" s="48"/>
      <c r="AA805" s="48"/>
      <c r="AB805" s="711"/>
      <c r="AC805" s="711"/>
      <c r="AD805" s="711"/>
      <c r="AE805" s="711"/>
      <c r="AF805" s="711"/>
      <c r="AG805" s="711"/>
      <c r="AH805" s="711"/>
    </row>
    <row r="806">
      <c r="A806" s="48"/>
      <c r="B806" s="48"/>
      <c r="C806" s="48"/>
      <c r="D806" s="721"/>
      <c r="E806" s="711"/>
      <c r="F806" s="711"/>
      <c r="G806" s="721"/>
      <c r="H806" s="721"/>
      <c r="I806" s="721"/>
      <c r="J806" s="48"/>
      <c r="K806" s="721"/>
      <c r="L806" s="721"/>
      <c r="M806" s="721"/>
      <c r="N806" s="719"/>
      <c r="O806" s="48"/>
      <c r="P806" s="719"/>
      <c r="Q806" s="48"/>
      <c r="R806" s="48"/>
      <c r="S806" s="711" t="str">
        <f>IFERROR(__xludf.DUMMYFUNCTION("""COMPUTED_VALUE"""),"")</f>
        <v/>
      </c>
      <c r="T806" s="721"/>
      <c r="U806" s="721"/>
      <c r="V806" s="711"/>
      <c r="W806" s="721"/>
      <c r="X806" s="721"/>
      <c r="Y806" s="48"/>
      <c r="Z806" s="48"/>
      <c r="AA806" s="48"/>
      <c r="AB806" s="711"/>
      <c r="AC806" s="711"/>
      <c r="AD806" s="711"/>
      <c r="AE806" s="711"/>
      <c r="AF806" s="711"/>
      <c r="AG806" s="711"/>
      <c r="AH806" s="711"/>
    </row>
    <row r="807">
      <c r="A807" s="48"/>
      <c r="B807" s="48"/>
      <c r="C807" s="48"/>
      <c r="D807" s="721"/>
      <c r="E807" s="711"/>
      <c r="F807" s="711"/>
      <c r="G807" s="721"/>
      <c r="H807" s="721"/>
      <c r="I807" s="721"/>
      <c r="J807" s="48"/>
      <c r="K807" s="721"/>
      <c r="L807" s="721"/>
      <c r="M807" s="721"/>
      <c r="N807" s="719"/>
      <c r="O807" s="48"/>
      <c r="P807" s="719"/>
      <c r="Q807" s="48"/>
      <c r="R807" s="48"/>
      <c r="S807" s="711" t="str">
        <f>IFERROR(__xludf.DUMMYFUNCTION("""COMPUTED_VALUE"""),"")</f>
        <v/>
      </c>
      <c r="T807" s="721"/>
      <c r="U807" s="721"/>
      <c r="V807" s="711"/>
      <c r="W807" s="721"/>
      <c r="X807" s="721"/>
      <c r="Y807" s="48"/>
      <c r="Z807" s="48"/>
      <c r="AA807" s="48"/>
      <c r="AB807" s="711"/>
      <c r="AC807" s="711"/>
      <c r="AD807" s="711"/>
      <c r="AE807" s="711"/>
      <c r="AF807" s="711"/>
      <c r="AG807" s="711"/>
      <c r="AH807" s="711"/>
    </row>
    <row r="808">
      <c r="A808" s="48"/>
      <c r="B808" s="48"/>
      <c r="C808" s="48"/>
      <c r="D808" s="721"/>
      <c r="E808" s="711"/>
      <c r="F808" s="711"/>
      <c r="G808" s="721"/>
      <c r="H808" s="721"/>
      <c r="I808" s="721"/>
      <c r="J808" s="48"/>
      <c r="K808" s="721"/>
      <c r="L808" s="721"/>
      <c r="M808" s="721"/>
      <c r="N808" s="719"/>
      <c r="O808" s="48"/>
      <c r="P808" s="719"/>
      <c r="Q808" s="48"/>
      <c r="R808" s="48"/>
      <c r="S808" s="711" t="str">
        <f>IFERROR(__xludf.DUMMYFUNCTION("""COMPUTED_VALUE"""),"")</f>
        <v/>
      </c>
      <c r="T808" s="721"/>
      <c r="U808" s="721"/>
      <c r="V808" s="711"/>
      <c r="W808" s="721"/>
      <c r="X808" s="721"/>
      <c r="Y808" s="48"/>
      <c r="Z808" s="48"/>
      <c r="AA808" s="48"/>
      <c r="AB808" s="711"/>
      <c r="AC808" s="711"/>
      <c r="AD808" s="711"/>
      <c r="AE808" s="711"/>
      <c r="AF808" s="711"/>
      <c r="AG808" s="711"/>
      <c r="AH808" s="711"/>
    </row>
    <row r="809">
      <c r="A809" s="48"/>
      <c r="B809" s="48"/>
      <c r="C809" s="48"/>
      <c r="D809" s="721"/>
      <c r="E809" s="711"/>
      <c r="F809" s="711"/>
      <c r="G809" s="721"/>
      <c r="H809" s="721"/>
      <c r="I809" s="721"/>
      <c r="J809" s="48"/>
      <c r="K809" s="721"/>
      <c r="L809" s="721"/>
      <c r="M809" s="721"/>
      <c r="N809" s="719"/>
      <c r="O809" s="48"/>
      <c r="P809" s="719"/>
      <c r="Q809" s="48"/>
      <c r="R809" s="714" t="str">
        <f>IFERROR(__xludf.DUMMYFUNCTION("""COMPUTED_VALUE"""),"2526CRUZVEN10.F")</f>
        <v>2526CRUZVEN10.F</v>
      </c>
      <c r="S809" s="711">
        <f>IFERROR(__xludf.DUMMYFUNCTION("""COMPUTED_VALUE"""),40.0)</f>
        <v>40</v>
      </c>
      <c r="T809" s="722" t="str">
        <f>IFERROR(__xludf.DUMMYFUNCTION("""COMPUTED_VALUE"""),"2526CRUZVEN10.F")</f>
        <v>2526CRUZVEN10.F</v>
      </c>
      <c r="U809" s="721"/>
      <c r="V809" s="711"/>
      <c r="W809" s="721"/>
      <c r="X809" s="721"/>
      <c r="Y809" s="48"/>
      <c r="Z809" s="48"/>
      <c r="AA809" s="48"/>
      <c r="AB809" s="711"/>
      <c r="AC809" s="711"/>
      <c r="AD809" s="711"/>
      <c r="AE809" s="711"/>
      <c r="AF809" s="711"/>
      <c r="AG809" s="711"/>
      <c r="AH809" s="711"/>
    </row>
    <row r="810">
      <c r="A810" s="48"/>
      <c r="B810" s="48"/>
      <c r="C810" s="48"/>
      <c r="D810" s="721"/>
      <c r="E810" s="711"/>
      <c r="F810" s="711"/>
      <c r="G810" s="721"/>
      <c r="H810" s="721"/>
      <c r="I810" s="721"/>
      <c r="J810" s="48"/>
      <c r="K810" s="721"/>
      <c r="L810" s="721"/>
      <c r="M810" s="721"/>
      <c r="N810" s="719"/>
      <c r="O810" s="48"/>
      <c r="P810" s="719"/>
      <c r="Q810" s="48"/>
      <c r="R810" s="48"/>
      <c r="S810" s="711" t="str">
        <f>IFERROR(__xludf.DUMMYFUNCTION("""COMPUTED_VALUE"""),"")</f>
        <v/>
      </c>
      <c r="T810" s="721"/>
      <c r="U810" s="721"/>
      <c r="V810" s="711"/>
      <c r="W810" s="721"/>
      <c r="X810" s="721"/>
      <c r="Y810" s="48"/>
      <c r="Z810" s="48"/>
      <c r="AA810" s="48"/>
      <c r="AB810" s="711"/>
      <c r="AC810" s="711"/>
      <c r="AD810" s="711"/>
      <c r="AE810" s="711"/>
      <c r="AF810" s="711"/>
      <c r="AG810" s="711"/>
      <c r="AH810" s="711"/>
    </row>
    <row r="811">
      <c r="A811" s="48"/>
      <c r="B811" s="48"/>
      <c r="C811" s="48"/>
      <c r="D811" s="721"/>
      <c r="E811" s="711"/>
      <c r="F811" s="711"/>
      <c r="G811" s="721"/>
      <c r="H811" s="721"/>
      <c r="I811" s="721"/>
      <c r="J811" s="48"/>
      <c r="K811" s="721"/>
      <c r="L811" s="721"/>
      <c r="M811" s="721"/>
      <c r="N811" s="719"/>
      <c r="O811" s="48"/>
      <c r="P811" s="719"/>
      <c r="Q811" s="48"/>
      <c r="R811" s="48"/>
      <c r="S811" s="711" t="str">
        <f>IFERROR(__xludf.DUMMYFUNCTION("""COMPUTED_VALUE"""),"")</f>
        <v/>
      </c>
      <c r="T811" s="721"/>
      <c r="U811" s="721"/>
      <c r="V811" s="711"/>
      <c r="W811" s="721"/>
      <c r="X811" s="721"/>
      <c r="Y811" s="48"/>
      <c r="Z811" s="48"/>
      <c r="AA811" s="48"/>
      <c r="AB811" s="711"/>
      <c r="AC811" s="711"/>
      <c r="AD811" s="711"/>
      <c r="AE811" s="711"/>
      <c r="AF811" s="711"/>
      <c r="AG811" s="711"/>
      <c r="AH811" s="711"/>
    </row>
    <row r="812">
      <c r="A812" s="48"/>
      <c r="B812" s="48"/>
      <c r="C812" s="48"/>
      <c r="D812" s="721"/>
      <c r="E812" s="711"/>
      <c r="F812" s="711"/>
      <c r="G812" s="721"/>
      <c r="H812" s="721"/>
      <c r="I812" s="721"/>
      <c r="J812" s="48"/>
      <c r="K812" s="721"/>
      <c r="L812" s="721"/>
      <c r="M812" s="721"/>
      <c r="N812" s="719"/>
      <c r="O812" s="48"/>
      <c r="P812" s="719"/>
      <c r="Q812" s="48"/>
      <c r="R812" s="48"/>
      <c r="S812" s="711" t="str">
        <f>IFERROR(__xludf.DUMMYFUNCTION("""COMPUTED_VALUE"""),"")</f>
        <v/>
      </c>
      <c r="T812" s="721"/>
      <c r="U812" s="721"/>
      <c r="V812" s="711"/>
      <c r="W812" s="721"/>
      <c r="X812" s="721"/>
      <c r="Y812" s="48"/>
      <c r="Z812" s="48"/>
      <c r="AA812" s="48"/>
      <c r="AB812" s="711"/>
      <c r="AC812" s="711"/>
      <c r="AD812" s="711"/>
      <c r="AE812" s="711"/>
      <c r="AF812" s="711"/>
      <c r="AG812" s="711"/>
      <c r="AH812" s="711"/>
    </row>
    <row r="813">
      <c r="A813" s="48"/>
      <c r="B813" s="48"/>
      <c r="C813" s="48"/>
      <c r="D813" s="721"/>
      <c r="E813" s="711"/>
      <c r="F813" s="711"/>
      <c r="G813" s="721"/>
      <c r="H813" s="721"/>
      <c r="I813" s="721"/>
      <c r="J813" s="48"/>
      <c r="K813" s="721"/>
      <c r="L813" s="721"/>
      <c r="M813" s="721"/>
      <c r="N813" s="719"/>
      <c r="O813" s="48"/>
      <c r="P813" s="719"/>
      <c r="Q813" s="48"/>
      <c r="R813" s="48"/>
      <c r="S813" s="711" t="str">
        <f>IFERROR(__xludf.DUMMYFUNCTION("""COMPUTED_VALUE"""),"")</f>
        <v/>
      </c>
      <c r="T813" s="721"/>
      <c r="U813" s="721"/>
      <c r="V813" s="711"/>
      <c r="W813" s="721"/>
      <c r="X813" s="721"/>
      <c r="Y813" s="48"/>
      <c r="Z813" s="48"/>
      <c r="AA813" s="48"/>
      <c r="AB813" s="711"/>
      <c r="AC813" s="711"/>
      <c r="AD813" s="711"/>
      <c r="AE813" s="711"/>
      <c r="AF813" s="711"/>
      <c r="AG813" s="711"/>
      <c r="AH813" s="711"/>
    </row>
    <row r="814">
      <c r="A814" s="48"/>
      <c r="B814" s="48"/>
      <c r="C814" s="48"/>
      <c r="D814" s="721"/>
      <c r="E814" s="711"/>
      <c r="F814" s="711"/>
      <c r="G814" s="721"/>
      <c r="H814" s="721"/>
      <c r="I814" s="721"/>
      <c r="J814" s="48"/>
      <c r="K814" s="721"/>
      <c r="L814" s="721"/>
      <c r="M814" s="721"/>
      <c r="N814" s="719"/>
      <c r="O814" s="48"/>
      <c r="P814" s="719"/>
      <c r="Q814" s="48"/>
      <c r="R814" s="48"/>
      <c r="S814" s="711" t="str">
        <f>IFERROR(__xludf.DUMMYFUNCTION("""COMPUTED_VALUE"""),"")</f>
        <v/>
      </c>
      <c r="T814" s="721"/>
      <c r="U814" s="721"/>
      <c r="V814" s="711"/>
      <c r="W814" s="721"/>
      <c r="X814" s="721"/>
      <c r="Y814" s="48"/>
      <c r="Z814" s="48"/>
      <c r="AA814" s="48"/>
      <c r="AB814" s="711"/>
      <c r="AC814" s="711"/>
      <c r="AD814" s="711"/>
      <c r="AE814" s="711"/>
      <c r="AF814" s="711"/>
      <c r="AG814" s="711"/>
      <c r="AH814" s="711"/>
    </row>
    <row r="815">
      <c r="A815" s="48"/>
      <c r="B815" s="48"/>
      <c r="C815" s="48"/>
      <c r="D815" s="721"/>
      <c r="E815" s="711"/>
      <c r="F815" s="711"/>
      <c r="G815" s="721"/>
      <c r="H815" s="721"/>
      <c r="I815" s="721"/>
      <c r="J815" s="48"/>
      <c r="K815" s="721"/>
      <c r="L815" s="721"/>
      <c r="M815" s="721"/>
      <c r="N815" s="719"/>
      <c r="O815" s="48"/>
      <c r="P815" s="719"/>
      <c r="Q815" s="48"/>
      <c r="R815" s="48"/>
      <c r="S815" s="711" t="str">
        <f>IFERROR(__xludf.DUMMYFUNCTION("""COMPUTED_VALUE"""),"")</f>
        <v/>
      </c>
      <c r="T815" s="721"/>
      <c r="U815" s="721"/>
      <c r="V815" s="711"/>
      <c r="W815" s="721"/>
      <c r="X815" s="721"/>
      <c r="Y815" s="48"/>
      <c r="Z815" s="48"/>
      <c r="AA815" s="48"/>
      <c r="AB815" s="711"/>
      <c r="AC815" s="711"/>
      <c r="AD815" s="711"/>
      <c r="AE815" s="711"/>
      <c r="AF815" s="711"/>
      <c r="AG815" s="711"/>
      <c r="AH815" s="711"/>
    </row>
    <row r="816">
      <c r="A816" s="48"/>
      <c r="B816" s="48"/>
      <c r="C816" s="48"/>
      <c r="D816" s="721"/>
      <c r="E816" s="711"/>
      <c r="F816" s="711"/>
      <c r="G816" s="721"/>
      <c r="H816" s="721"/>
      <c r="I816" s="721"/>
      <c r="J816" s="48"/>
      <c r="K816" s="721"/>
      <c r="L816" s="721"/>
      <c r="M816" s="721"/>
      <c r="N816" s="719"/>
      <c r="O816" s="48"/>
      <c r="P816" s="719"/>
      <c r="Q816" s="48"/>
      <c r="R816" s="711" t="str">
        <f>IFERROR(__xludf.DUMMYFUNCTION("""COMPUTED_VALUE"""),"2526MODULOVEN10.Y")</f>
        <v>2526MODULOVEN10.Y</v>
      </c>
      <c r="S816" s="711">
        <f>IFERROR(__xludf.DUMMYFUNCTION("""COMPUTED_VALUE"""),40.0)</f>
        <v>40</v>
      </c>
      <c r="T816" s="721" t="str">
        <f>IFERROR(__xludf.DUMMYFUNCTION("""COMPUTED_VALUE"""),"2526MODULOVEN10.Y")</f>
        <v>2526MODULOVEN10.Y</v>
      </c>
      <c r="U816" s="721"/>
      <c r="V816" s="711"/>
      <c r="W816" s="721"/>
      <c r="X816" s="721"/>
      <c r="Y816" s="48"/>
      <c r="Z816" s="48"/>
      <c r="AA816" s="48"/>
      <c r="AB816" s="711"/>
      <c r="AC816" s="711"/>
      <c r="AD816" s="711"/>
      <c r="AE816" s="711"/>
      <c r="AF816" s="711"/>
      <c r="AG816" s="711"/>
      <c r="AH816" s="711"/>
    </row>
    <row r="817">
      <c r="A817" s="48"/>
      <c r="B817" s="48"/>
      <c r="C817" s="48"/>
      <c r="D817" s="721"/>
      <c r="E817" s="711"/>
      <c r="F817" s="711"/>
      <c r="G817" s="721"/>
      <c r="H817" s="721"/>
      <c r="I817" s="721"/>
      <c r="J817" s="48"/>
      <c r="K817" s="721"/>
      <c r="L817" s="721"/>
      <c r="M817" s="721"/>
      <c r="N817" s="719"/>
      <c r="O817" s="48"/>
      <c r="P817" s="719"/>
      <c r="Q817" s="48"/>
      <c r="R817" s="711" t="str">
        <f>IFERROR(__xludf.DUMMYFUNCTION("""COMPUTED_VALUE"""),"2526SEABRAVEN10.Y")</f>
        <v>2526SEABRAVEN10.Y</v>
      </c>
      <c r="S817" s="711">
        <f>IFERROR(__xludf.DUMMYFUNCTION("""COMPUTED_VALUE"""),20.0)</f>
        <v>20</v>
      </c>
      <c r="T817" s="721" t="str">
        <f>IFERROR(__xludf.DUMMYFUNCTION("""COMPUTED_VALUE"""),"2526SEABRAVEN10.Y")</f>
        <v>2526SEABRAVEN10.Y</v>
      </c>
      <c r="U817" s="721"/>
      <c r="V817" s="711"/>
      <c r="W817" s="721"/>
      <c r="X817" s="721"/>
      <c r="Y817" s="48"/>
      <c r="Z817" s="48"/>
      <c r="AA817" s="48"/>
      <c r="AB817" s="711"/>
      <c r="AC817" s="711"/>
      <c r="AD817" s="711"/>
      <c r="AE817" s="711"/>
      <c r="AF817" s="711"/>
      <c r="AG817" s="711"/>
      <c r="AH817" s="711"/>
    </row>
    <row r="818">
      <c r="A818" s="48"/>
      <c r="B818" s="48"/>
      <c r="C818" s="48"/>
      <c r="D818" s="721"/>
      <c r="E818" s="711"/>
      <c r="F818" s="711"/>
      <c r="G818" s="721"/>
      <c r="H818" s="721"/>
      <c r="I818" s="721"/>
      <c r="J818" s="48"/>
      <c r="K818" s="721"/>
      <c r="L818" s="721"/>
      <c r="M818" s="721"/>
      <c r="N818" s="719"/>
      <c r="O818" s="48"/>
      <c r="P818" s="719"/>
      <c r="Q818" s="48"/>
      <c r="R818" s="48"/>
      <c r="S818" s="711" t="str">
        <f>IFERROR(__xludf.DUMMYFUNCTION("""COMPUTED_VALUE"""),"")</f>
        <v/>
      </c>
      <c r="T818" s="721"/>
      <c r="U818" s="721"/>
      <c r="V818" s="711"/>
      <c r="W818" s="721"/>
      <c r="X818" s="721"/>
      <c r="Y818" s="48"/>
      <c r="Z818" s="48"/>
      <c r="AA818" s="48"/>
      <c r="AB818" s="711"/>
      <c r="AC818" s="711"/>
      <c r="AD818" s="711"/>
      <c r="AE818" s="711"/>
      <c r="AF818" s="711"/>
      <c r="AG818" s="711"/>
      <c r="AH818" s="711"/>
    </row>
    <row r="819">
      <c r="A819" s="48"/>
      <c r="B819" s="48"/>
      <c r="C819" s="48"/>
      <c r="D819" s="721"/>
      <c r="E819" s="711"/>
      <c r="F819" s="711"/>
      <c r="G819" s="721"/>
      <c r="H819" s="721"/>
      <c r="I819" s="721"/>
      <c r="J819" s="48"/>
      <c r="K819" s="721"/>
      <c r="L819" s="721"/>
      <c r="M819" s="721"/>
      <c r="N819" s="719"/>
      <c r="O819" s="48"/>
      <c r="P819" s="719"/>
      <c r="Q819" s="48"/>
      <c r="R819" s="48"/>
      <c r="S819" s="711" t="str">
        <f>IFERROR(__xludf.DUMMYFUNCTION("""COMPUTED_VALUE"""),"")</f>
        <v/>
      </c>
      <c r="T819" s="721"/>
      <c r="U819" s="721"/>
      <c r="V819" s="711"/>
      <c r="W819" s="721"/>
      <c r="X819" s="721"/>
      <c r="Y819" s="48"/>
      <c r="Z819" s="48"/>
      <c r="AA819" s="48"/>
      <c r="AB819" s="711"/>
      <c r="AC819" s="711"/>
      <c r="AD819" s="711"/>
      <c r="AE819" s="711"/>
      <c r="AF819" s="711"/>
      <c r="AG819" s="711"/>
      <c r="AH819" s="711"/>
    </row>
    <row r="820">
      <c r="A820" s="48"/>
      <c r="B820" s="48"/>
      <c r="C820" s="48"/>
      <c r="D820" s="721"/>
      <c r="E820" s="711"/>
      <c r="F820" s="711"/>
      <c r="G820" s="721"/>
      <c r="H820" s="721"/>
      <c r="I820" s="721"/>
      <c r="J820" s="48"/>
      <c r="K820" s="721"/>
      <c r="L820" s="721"/>
      <c r="M820" s="721"/>
      <c r="N820" s="719"/>
      <c r="O820" s="48"/>
      <c r="P820" s="719"/>
      <c r="Q820" s="48"/>
      <c r="R820" s="48"/>
      <c r="S820" s="711" t="str">
        <f>IFERROR(__xludf.DUMMYFUNCTION("""COMPUTED_VALUE"""),"")</f>
        <v/>
      </c>
      <c r="T820" s="721"/>
      <c r="U820" s="721"/>
      <c r="V820" s="711"/>
      <c r="W820" s="721"/>
      <c r="X820" s="721"/>
      <c r="Y820" s="48"/>
      <c r="Z820" s="48"/>
      <c r="AA820" s="48"/>
      <c r="AB820" s="711"/>
      <c r="AC820" s="711"/>
      <c r="AD820" s="711"/>
      <c r="AE820" s="711"/>
      <c r="AF820" s="711"/>
      <c r="AG820" s="711"/>
      <c r="AH820" s="711"/>
    </row>
    <row r="821">
      <c r="A821" s="48"/>
      <c r="B821" s="48"/>
      <c r="C821" s="48"/>
      <c r="D821" s="721"/>
      <c r="E821" s="711"/>
      <c r="F821" s="711"/>
      <c r="G821" s="721"/>
      <c r="H821" s="721"/>
      <c r="I821" s="721"/>
      <c r="J821" s="48"/>
      <c r="K821" s="721"/>
      <c r="L821" s="721"/>
      <c r="M821" s="721"/>
      <c r="N821" s="719"/>
      <c r="O821" s="48"/>
      <c r="P821" s="719"/>
      <c r="Q821" s="48"/>
      <c r="R821" s="714" t="str">
        <f>IFERROR(__xludf.DUMMYFUNCTION("""COMPUTED_VALUE"""),"2526CRUZVEN11.F")</f>
        <v>2526CRUZVEN11.F</v>
      </c>
      <c r="S821" s="711">
        <f>IFERROR(__xludf.DUMMYFUNCTION("""COMPUTED_VALUE"""),40.0)</f>
        <v>40</v>
      </c>
      <c r="T821" s="722" t="str">
        <f>IFERROR(__xludf.DUMMYFUNCTION("""COMPUTED_VALUE"""),"2526CRUZVEN11.F")</f>
        <v>2526CRUZVEN11.F</v>
      </c>
      <c r="U821" s="721"/>
      <c r="V821" s="711"/>
      <c r="W821" s="721"/>
      <c r="X821" s="721"/>
      <c r="Y821" s="48"/>
      <c r="Z821" s="48"/>
      <c r="AA821" s="48"/>
      <c r="AB821" s="711"/>
      <c r="AC821" s="711"/>
      <c r="AD821" s="711"/>
      <c r="AE821" s="711"/>
      <c r="AF821" s="711"/>
      <c r="AG821" s="711"/>
      <c r="AH821" s="711"/>
    </row>
    <row r="822">
      <c r="A822" s="48"/>
      <c r="B822" s="48"/>
      <c r="C822" s="48"/>
      <c r="D822" s="721"/>
      <c r="E822" s="711"/>
      <c r="F822" s="711"/>
      <c r="G822" s="721"/>
      <c r="H822" s="721"/>
      <c r="I822" s="721"/>
      <c r="J822" s="48"/>
      <c r="K822" s="721"/>
      <c r="L822" s="721"/>
      <c r="M822" s="721"/>
      <c r="N822" s="719"/>
      <c r="O822" s="48"/>
      <c r="P822" s="719"/>
      <c r="Q822" s="48"/>
      <c r="R822" s="48"/>
      <c r="S822" s="711" t="str">
        <f>IFERROR(__xludf.DUMMYFUNCTION("""COMPUTED_VALUE"""),"")</f>
        <v/>
      </c>
      <c r="T822" s="721"/>
      <c r="U822" s="721"/>
      <c r="V822" s="711"/>
      <c r="W822" s="721"/>
      <c r="X822" s="721"/>
      <c r="Y822" s="48"/>
      <c r="Z822" s="48"/>
      <c r="AA822" s="48"/>
      <c r="AB822" s="711"/>
      <c r="AC822" s="711"/>
      <c r="AD822" s="711"/>
      <c r="AE822" s="711"/>
      <c r="AF822" s="711"/>
      <c r="AG822" s="711"/>
      <c r="AH822" s="711"/>
    </row>
    <row r="823">
      <c r="A823" s="48"/>
      <c r="B823" s="48"/>
      <c r="C823" s="48"/>
      <c r="D823" s="721"/>
      <c r="E823" s="711"/>
      <c r="F823" s="711"/>
      <c r="G823" s="721"/>
      <c r="H823" s="721"/>
      <c r="I823" s="721"/>
      <c r="J823" s="48"/>
      <c r="K823" s="721"/>
      <c r="L823" s="721"/>
      <c r="M823" s="721"/>
      <c r="N823" s="719"/>
      <c r="O823" s="48"/>
      <c r="P823" s="719"/>
      <c r="Q823" s="48"/>
      <c r="R823" s="48"/>
      <c r="S823" s="711" t="str">
        <f>IFERROR(__xludf.DUMMYFUNCTION("""COMPUTED_VALUE"""),"")</f>
        <v/>
      </c>
      <c r="T823" s="721"/>
      <c r="U823" s="721"/>
      <c r="V823" s="711"/>
      <c r="W823" s="721"/>
      <c r="X823" s="721"/>
      <c r="Y823" s="48"/>
      <c r="Z823" s="48"/>
      <c r="AA823" s="48"/>
      <c r="AB823" s="711"/>
      <c r="AC823" s="711"/>
      <c r="AD823" s="711"/>
      <c r="AE823" s="711"/>
      <c r="AF823" s="711"/>
      <c r="AG823" s="711"/>
      <c r="AH823" s="711"/>
    </row>
    <row r="824">
      <c r="A824" s="48"/>
      <c r="B824" s="48"/>
      <c r="C824" s="48"/>
      <c r="D824" s="721"/>
      <c r="E824" s="711"/>
      <c r="F824" s="711"/>
      <c r="G824" s="721"/>
      <c r="H824" s="721"/>
      <c r="I824" s="721"/>
      <c r="J824" s="48"/>
      <c r="K824" s="721"/>
      <c r="L824" s="721"/>
      <c r="M824" s="721"/>
      <c r="N824" s="719"/>
      <c r="O824" s="48"/>
      <c r="P824" s="719"/>
      <c r="Q824" s="48"/>
      <c r="R824" s="48"/>
      <c r="S824" s="711" t="str">
        <f>IFERROR(__xludf.DUMMYFUNCTION("""COMPUTED_VALUE"""),"")</f>
        <v/>
      </c>
      <c r="T824" s="721"/>
      <c r="U824" s="721"/>
      <c r="V824" s="711"/>
      <c r="W824" s="721"/>
      <c r="X824" s="721"/>
      <c r="Y824" s="48"/>
      <c r="Z824" s="48"/>
      <c r="AA824" s="48"/>
      <c r="AB824" s="711"/>
      <c r="AC824" s="711"/>
      <c r="AD824" s="711"/>
      <c r="AE824" s="711"/>
      <c r="AF824" s="711"/>
      <c r="AG824" s="711"/>
      <c r="AH824" s="711"/>
    </row>
    <row r="825">
      <c r="A825" s="48"/>
      <c r="B825" s="48"/>
      <c r="C825" s="48"/>
      <c r="D825" s="721"/>
      <c r="E825" s="711"/>
      <c r="F825" s="711"/>
      <c r="G825" s="721"/>
      <c r="H825" s="721"/>
      <c r="I825" s="721"/>
      <c r="J825" s="48"/>
      <c r="K825" s="721"/>
      <c r="L825" s="721"/>
      <c r="M825" s="721"/>
      <c r="N825" s="719"/>
      <c r="O825" s="48"/>
      <c r="P825" s="719"/>
      <c r="Q825" s="48"/>
      <c r="R825" s="48"/>
      <c r="S825" s="711" t="str">
        <f>IFERROR(__xludf.DUMMYFUNCTION("""COMPUTED_VALUE"""),"")</f>
        <v/>
      </c>
      <c r="T825" s="721"/>
      <c r="U825" s="721"/>
      <c r="V825" s="711"/>
      <c r="W825" s="721"/>
      <c r="X825" s="721"/>
      <c r="Y825" s="48"/>
      <c r="Z825" s="48"/>
      <c r="AA825" s="48"/>
      <c r="AB825" s="711"/>
      <c r="AC825" s="711"/>
      <c r="AD825" s="711"/>
      <c r="AE825" s="711"/>
      <c r="AF825" s="711"/>
      <c r="AG825" s="711"/>
      <c r="AH825" s="711"/>
    </row>
    <row r="826">
      <c r="A826" s="48"/>
      <c r="B826" s="48"/>
      <c r="C826" s="48"/>
      <c r="D826" s="721"/>
      <c r="E826" s="711"/>
      <c r="F826" s="711"/>
      <c r="G826" s="721"/>
      <c r="H826" s="721"/>
      <c r="I826" s="721"/>
      <c r="J826" s="48"/>
      <c r="K826" s="721"/>
      <c r="L826" s="721"/>
      <c r="M826" s="721"/>
      <c r="N826" s="719"/>
      <c r="O826" s="48"/>
      <c r="P826" s="719"/>
      <c r="Q826" s="48"/>
      <c r="R826" s="48"/>
      <c r="S826" s="711" t="str">
        <f>IFERROR(__xludf.DUMMYFUNCTION("""COMPUTED_VALUE"""),"")</f>
        <v/>
      </c>
      <c r="T826" s="721"/>
      <c r="U826" s="721"/>
      <c r="V826" s="711"/>
      <c r="W826" s="721"/>
      <c r="X826" s="721"/>
      <c r="Y826" s="48"/>
      <c r="Z826" s="48"/>
      <c r="AA826" s="48"/>
      <c r="AB826" s="711"/>
      <c r="AC826" s="711"/>
      <c r="AD826" s="711"/>
      <c r="AE826" s="711"/>
      <c r="AF826" s="711"/>
      <c r="AG826" s="711"/>
      <c r="AH826" s="711"/>
    </row>
    <row r="827">
      <c r="A827" s="48"/>
      <c r="B827" s="48"/>
      <c r="C827" s="48"/>
      <c r="D827" s="721"/>
      <c r="E827" s="711"/>
      <c r="F827" s="711"/>
      <c r="G827" s="721"/>
      <c r="H827" s="721"/>
      <c r="I827" s="721"/>
      <c r="J827" s="48"/>
      <c r="K827" s="721"/>
      <c r="L827" s="721"/>
      <c r="M827" s="721"/>
      <c r="N827" s="719"/>
      <c r="O827" s="48"/>
      <c r="P827" s="719"/>
      <c r="Q827" s="48"/>
      <c r="R827" s="48"/>
      <c r="S827" s="711" t="str">
        <f>IFERROR(__xludf.DUMMYFUNCTION("""COMPUTED_VALUE"""),"")</f>
        <v/>
      </c>
      <c r="T827" s="721"/>
      <c r="U827" s="721"/>
      <c r="V827" s="711"/>
      <c r="W827" s="721"/>
      <c r="X827" s="721"/>
      <c r="Y827" s="48"/>
      <c r="Z827" s="48"/>
      <c r="AA827" s="48"/>
      <c r="AB827" s="711"/>
      <c r="AC827" s="711"/>
      <c r="AD827" s="711"/>
      <c r="AE827" s="711"/>
      <c r="AF827" s="711"/>
      <c r="AG827" s="711"/>
      <c r="AH827" s="711"/>
    </row>
    <row r="828">
      <c r="A828" s="48"/>
      <c r="B828" s="48"/>
      <c r="C828" s="48"/>
      <c r="D828" s="721"/>
      <c r="E828" s="711"/>
      <c r="F828" s="711"/>
      <c r="G828" s="721"/>
      <c r="H828" s="721"/>
      <c r="I828" s="721"/>
      <c r="J828" s="48"/>
      <c r="K828" s="721"/>
      <c r="L828" s="721"/>
      <c r="M828" s="721"/>
      <c r="N828" s="719"/>
      <c r="O828" s="48"/>
      <c r="P828" s="719"/>
      <c r="Q828" s="48"/>
      <c r="R828" s="711" t="str">
        <f>IFERROR(__xludf.DUMMYFUNCTION("""COMPUTED_VALUE"""),"2526MODULOVEN11.Y")</f>
        <v>2526MODULOVEN11.Y</v>
      </c>
      <c r="S828" s="711">
        <f>IFERROR(__xludf.DUMMYFUNCTION("""COMPUTED_VALUE"""),40.0)</f>
        <v>40</v>
      </c>
      <c r="T828" s="721" t="str">
        <f>IFERROR(__xludf.DUMMYFUNCTION("""COMPUTED_VALUE"""),"2526MODULOVEN11.Y")</f>
        <v>2526MODULOVEN11.Y</v>
      </c>
      <c r="U828" s="721"/>
      <c r="V828" s="711"/>
      <c r="W828" s="721"/>
      <c r="X828" s="721"/>
      <c r="Y828" s="48"/>
      <c r="Z828" s="48"/>
      <c r="AA828" s="48"/>
      <c r="AB828" s="711"/>
      <c r="AC828" s="711"/>
      <c r="AD828" s="711"/>
      <c r="AE828" s="711"/>
      <c r="AF828" s="711"/>
      <c r="AG828" s="711"/>
      <c r="AH828" s="711"/>
    </row>
    <row r="829">
      <c r="A829" s="48"/>
      <c r="B829" s="48"/>
      <c r="C829" s="48"/>
      <c r="D829" s="721"/>
      <c r="E829" s="711"/>
      <c r="F829" s="711"/>
      <c r="G829" s="721"/>
      <c r="H829" s="721"/>
      <c r="I829" s="721"/>
      <c r="J829" s="48"/>
      <c r="K829" s="721"/>
      <c r="L829" s="721"/>
      <c r="M829" s="721"/>
      <c r="N829" s="719"/>
      <c r="O829" s="48"/>
      <c r="P829" s="719"/>
      <c r="Q829" s="48"/>
      <c r="R829" s="711" t="str">
        <f>IFERROR(__xludf.DUMMYFUNCTION("""COMPUTED_VALUE"""),"2526SEABRAVEN11.Y")</f>
        <v>2526SEABRAVEN11.Y</v>
      </c>
      <c r="S829" s="711">
        <f>IFERROR(__xludf.DUMMYFUNCTION("""COMPUTED_VALUE"""),20.0)</f>
        <v>20</v>
      </c>
      <c r="T829" s="721" t="str">
        <f>IFERROR(__xludf.DUMMYFUNCTION("""COMPUTED_VALUE"""),"2526SEABRAVEN11.Y")</f>
        <v>2526SEABRAVEN11.Y</v>
      </c>
      <c r="U829" s="721"/>
      <c r="V829" s="711"/>
      <c r="W829" s="721"/>
      <c r="X829" s="721"/>
      <c r="Y829" s="48"/>
      <c r="Z829" s="48"/>
      <c r="AA829" s="48"/>
      <c r="AB829" s="711"/>
      <c r="AC829" s="711"/>
      <c r="AD829" s="711"/>
      <c r="AE829" s="711"/>
      <c r="AF829" s="711"/>
      <c r="AG829" s="711"/>
      <c r="AH829" s="711"/>
    </row>
    <row r="830">
      <c r="A830" s="48"/>
      <c r="B830" s="48"/>
      <c r="C830" s="48"/>
      <c r="D830" s="721"/>
      <c r="E830" s="711"/>
      <c r="F830" s="711"/>
      <c r="G830" s="721"/>
      <c r="H830" s="721"/>
      <c r="I830" s="721"/>
      <c r="J830" s="48"/>
      <c r="K830" s="721"/>
      <c r="L830" s="721"/>
      <c r="M830" s="721"/>
      <c r="N830" s="719"/>
      <c r="O830" s="48"/>
      <c r="P830" s="719"/>
      <c r="Q830" s="48"/>
      <c r="R830" s="48"/>
      <c r="S830" s="711" t="str">
        <f>IFERROR(__xludf.DUMMYFUNCTION("""COMPUTED_VALUE"""),"")</f>
        <v/>
      </c>
      <c r="T830" s="721"/>
      <c r="U830" s="721"/>
      <c r="V830" s="711"/>
      <c r="W830" s="721"/>
      <c r="X830" s="721"/>
      <c r="Y830" s="48"/>
      <c r="Z830" s="48"/>
      <c r="AA830" s="48"/>
      <c r="AB830" s="711"/>
      <c r="AC830" s="711"/>
      <c r="AD830" s="711"/>
      <c r="AE830" s="711"/>
      <c r="AF830" s="711"/>
      <c r="AG830" s="711"/>
      <c r="AH830" s="711"/>
    </row>
    <row r="831">
      <c r="A831" s="48"/>
      <c r="B831" s="48"/>
      <c r="C831" s="48"/>
      <c r="D831" s="721"/>
      <c r="E831" s="711"/>
      <c r="F831" s="711"/>
      <c r="G831" s="721"/>
      <c r="H831" s="721"/>
      <c r="I831" s="721"/>
      <c r="J831" s="48"/>
      <c r="K831" s="721"/>
      <c r="L831" s="721"/>
      <c r="M831" s="721"/>
      <c r="N831" s="719"/>
      <c r="O831" s="48"/>
      <c r="P831" s="719"/>
      <c r="Q831" s="48"/>
      <c r="R831" s="48"/>
      <c r="S831" s="711" t="str">
        <f>IFERROR(__xludf.DUMMYFUNCTION("""COMPUTED_VALUE"""),"")</f>
        <v/>
      </c>
      <c r="T831" s="721"/>
      <c r="U831" s="721"/>
      <c r="V831" s="711"/>
      <c r="W831" s="721"/>
      <c r="X831" s="721"/>
      <c r="Y831" s="48"/>
      <c r="Z831" s="48"/>
      <c r="AA831" s="48"/>
      <c r="AB831" s="711"/>
      <c r="AC831" s="711"/>
      <c r="AD831" s="711"/>
      <c r="AE831" s="711"/>
      <c r="AF831" s="711"/>
      <c r="AG831" s="711"/>
      <c r="AH831" s="711"/>
    </row>
    <row r="832">
      <c r="A832" s="48"/>
      <c r="B832" s="48"/>
      <c r="C832" s="48"/>
      <c r="D832" s="721"/>
      <c r="E832" s="711"/>
      <c r="F832" s="711"/>
      <c r="G832" s="721"/>
      <c r="H832" s="721"/>
      <c r="I832" s="721"/>
      <c r="J832" s="48"/>
      <c r="K832" s="721"/>
      <c r="L832" s="721"/>
      <c r="M832" s="721"/>
      <c r="N832" s="719"/>
      <c r="O832" s="48"/>
      <c r="P832" s="719"/>
      <c r="Q832" s="48"/>
      <c r="R832" s="48"/>
      <c r="S832" s="711" t="str">
        <f>IFERROR(__xludf.DUMMYFUNCTION("""COMPUTED_VALUE"""),"")</f>
        <v/>
      </c>
      <c r="T832" s="721"/>
      <c r="U832" s="721"/>
      <c r="V832" s="711"/>
      <c r="W832" s="721"/>
      <c r="X832" s="721"/>
      <c r="Y832" s="48"/>
      <c r="Z832" s="48"/>
      <c r="AA832" s="48"/>
      <c r="AB832" s="711"/>
      <c r="AC832" s="711"/>
      <c r="AD832" s="711"/>
      <c r="AE832" s="711"/>
      <c r="AF832" s="711"/>
      <c r="AG832" s="711"/>
      <c r="AH832" s="711"/>
    </row>
    <row r="833">
      <c r="A833" s="48"/>
      <c r="B833" s="48"/>
      <c r="C833" s="48"/>
      <c r="D833" s="721"/>
      <c r="E833" s="711"/>
      <c r="F833" s="711"/>
      <c r="G833" s="721"/>
      <c r="H833" s="721"/>
      <c r="I833" s="721"/>
      <c r="J833" s="48"/>
      <c r="K833" s="721"/>
      <c r="L833" s="721"/>
      <c r="M833" s="721"/>
      <c r="N833" s="719"/>
      <c r="O833" s="48"/>
      <c r="P833" s="719"/>
      <c r="Q833" s="48"/>
      <c r="R833" s="714" t="str">
        <f>IFERROR(__xludf.DUMMYFUNCTION("""COMPUTED_VALUE"""),"2526CRUZVEN12.F")</f>
        <v>2526CRUZVEN12.F</v>
      </c>
      <c r="S833" s="711">
        <f>IFERROR(__xludf.DUMMYFUNCTION("""COMPUTED_VALUE"""),30.0)</f>
        <v>30</v>
      </c>
      <c r="T833" s="722" t="str">
        <f>IFERROR(__xludf.DUMMYFUNCTION("""COMPUTED_VALUE"""),"2526CRUZVEN12.F")</f>
        <v>2526CRUZVEN12.F</v>
      </c>
      <c r="U833" s="721"/>
      <c r="V833" s="711"/>
      <c r="W833" s="721"/>
      <c r="X833" s="721"/>
      <c r="Y833" s="48"/>
      <c r="Z833" s="48"/>
      <c r="AA833" s="48"/>
      <c r="AB833" s="711"/>
      <c r="AC833" s="711"/>
      <c r="AD833" s="711"/>
      <c r="AE833" s="711"/>
      <c r="AF833" s="711"/>
      <c r="AG833" s="711"/>
      <c r="AH833" s="711"/>
    </row>
    <row r="834">
      <c r="A834" s="48"/>
      <c r="B834" s="48"/>
      <c r="C834" s="48"/>
      <c r="D834" s="721"/>
      <c r="E834" s="711"/>
      <c r="F834" s="711"/>
      <c r="G834" s="721"/>
      <c r="H834" s="721"/>
      <c r="I834" s="721"/>
      <c r="J834" s="48"/>
      <c r="K834" s="721"/>
      <c r="L834" s="721"/>
      <c r="M834" s="721"/>
      <c r="N834" s="719"/>
      <c r="O834" s="48"/>
      <c r="P834" s="719"/>
      <c r="Q834" s="48"/>
      <c r="R834" s="48"/>
      <c r="S834" s="711" t="str">
        <f>IFERROR(__xludf.DUMMYFUNCTION("""COMPUTED_VALUE"""),"")</f>
        <v/>
      </c>
      <c r="T834" s="721"/>
      <c r="U834" s="721"/>
      <c r="V834" s="711"/>
      <c r="W834" s="721"/>
      <c r="X834" s="721"/>
      <c r="Y834" s="48"/>
      <c r="Z834" s="48"/>
      <c r="AA834" s="48"/>
      <c r="AB834" s="711"/>
      <c r="AC834" s="711"/>
      <c r="AD834" s="711"/>
      <c r="AE834" s="711"/>
      <c r="AF834" s="711"/>
      <c r="AG834" s="711"/>
      <c r="AH834" s="711"/>
    </row>
    <row r="835">
      <c r="A835" s="48"/>
      <c r="B835" s="48"/>
      <c r="C835" s="48"/>
      <c r="D835" s="721"/>
      <c r="E835" s="711"/>
      <c r="F835" s="711"/>
      <c r="G835" s="721"/>
      <c r="H835" s="721"/>
      <c r="I835" s="721"/>
      <c r="J835" s="48"/>
      <c r="K835" s="721"/>
      <c r="L835" s="721"/>
      <c r="M835" s="721"/>
      <c r="N835" s="719"/>
      <c r="O835" s="48"/>
      <c r="P835" s="719"/>
      <c r="Q835" s="48"/>
      <c r="R835" s="48"/>
      <c r="S835" s="711" t="str">
        <f>IFERROR(__xludf.DUMMYFUNCTION("""COMPUTED_VALUE"""),"")</f>
        <v/>
      </c>
      <c r="T835" s="721"/>
      <c r="U835" s="721"/>
      <c r="V835" s="711"/>
      <c r="W835" s="721"/>
      <c r="X835" s="721"/>
      <c r="Y835" s="48"/>
      <c r="Z835" s="48"/>
      <c r="AA835" s="48"/>
      <c r="AB835" s="711"/>
      <c r="AC835" s="711"/>
      <c r="AD835" s="711"/>
      <c r="AE835" s="711"/>
      <c r="AF835" s="711"/>
      <c r="AG835" s="711"/>
      <c r="AH835" s="711"/>
    </row>
    <row r="836">
      <c r="A836" s="48"/>
      <c r="B836" s="48"/>
      <c r="C836" s="48"/>
      <c r="D836" s="721"/>
      <c r="E836" s="711"/>
      <c r="F836" s="711"/>
      <c r="G836" s="721"/>
      <c r="H836" s="721"/>
      <c r="I836" s="721"/>
      <c r="J836" s="48"/>
      <c r="K836" s="721"/>
      <c r="L836" s="721"/>
      <c r="M836" s="721"/>
      <c r="N836" s="719"/>
      <c r="O836" s="48"/>
      <c r="P836" s="719"/>
      <c r="Q836" s="48"/>
      <c r="R836" s="48"/>
      <c r="S836" s="711" t="str">
        <f>IFERROR(__xludf.DUMMYFUNCTION("""COMPUTED_VALUE"""),"")</f>
        <v/>
      </c>
      <c r="T836" s="721"/>
      <c r="U836" s="721"/>
      <c r="V836" s="711"/>
      <c r="W836" s="721"/>
      <c r="X836" s="721"/>
      <c r="Y836" s="48"/>
      <c r="Z836" s="48"/>
      <c r="AA836" s="48"/>
      <c r="AB836" s="711"/>
      <c r="AC836" s="711"/>
      <c r="AD836" s="711"/>
      <c r="AE836" s="711"/>
      <c r="AF836" s="711"/>
      <c r="AG836" s="711"/>
      <c r="AH836" s="711"/>
    </row>
    <row r="837">
      <c r="A837" s="48"/>
      <c r="B837" s="48"/>
      <c r="C837" s="48"/>
      <c r="D837" s="721"/>
      <c r="E837" s="711"/>
      <c r="F837" s="711"/>
      <c r="G837" s="721"/>
      <c r="H837" s="721"/>
      <c r="I837" s="721"/>
      <c r="J837" s="48"/>
      <c r="K837" s="721"/>
      <c r="L837" s="721"/>
      <c r="M837" s="721"/>
      <c r="N837" s="719"/>
      <c r="O837" s="48"/>
      <c r="P837" s="719"/>
      <c r="Q837" s="48"/>
      <c r="R837" s="714" t="str">
        <f>IFERROR(__xludf.DUMMYFUNCTION("""COMPUTED_VALUE"""),"2526KUQIVEN12.F")</f>
        <v>2526KUQIVEN12.F</v>
      </c>
      <c r="S837" s="711">
        <f>IFERROR(__xludf.DUMMYFUNCTION("""COMPUTED_VALUE"""),40.0)</f>
        <v>40</v>
      </c>
      <c r="T837" s="722" t="str">
        <f>IFERROR(__xludf.DUMMYFUNCTION("""COMPUTED_VALUE"""),"2526KUQIVEN12.F")</f>
        <v>2526KUQIVEN12.F</v>
      </c>
      <c r="U837" s="721"/>
      <c r="V837" s="711"/>
      <c r="W837" s="721"/>
      <c r="X837" s="721"/>
      <c r="Y837" s="48"/>
      <c r="Z837" s="48"/>
      <c r="AA837" s="48"/>
      <c r="AB837" s="711"/>
      <c r="AC837" s="711"/>
      <c r="AD837" s="711"/>
      <c r="AE837" s="711"/>
      <c r="AF837" s="711"/>
      <c r="AG837" s="711"/>
      <c r="AH837" s="711"/>
    </row>
    <row r="838">
      <c r="A838" s="48"/>
      <c r="B838" s="48"/>
      <c r="C838" s="48"/>
      <c r="D838" s="721"/>
      <c r="E838" s="711"/>
      <c r="F838" s="711"/>
      <c r="G838" s="721"/>
      <c r="H838" s="721"/>
      <c r="I838" s="721"/>
      <c r="J838" s="48"/>
      <c r="K838" s="721"/>
      <c r="L838" s="721"/>
      <c r="M838" s="721"/>
      <c r="N838" s="719"/>
      <c r="O838" s="48"/>
      <c r="P838" s="719"/>
      <c r="Q838" s="48"/>
      <c r="R838" s="711" t="str">
        <f>IFERROR(__xludf.DUMMYFUNCTION("""COMPUTED_VALUE"""),"2526FILLYVEN12.Y")</f>
        <v>2526FILLYVEN12.Y</v>
      </c>
      <c r="S838" s="711">
        <f>IFERROR(__xludf.DUMMYFUNCTION("""COMPUTED_VALUE"""),3.0)</f>
        <v>3</v>
      </c>
      <c r="T838" s="721" t="str">
        <f>IFERROR(__xludf.DUMMYFUNCTION("""COMPUTED_VALUE"""),"2526FILLYVEN12.Y")</f>
        <v>2526FILLYVEN12.Y</v>
      </c>
      <c r="U838" s="721"/>
      <c r="V838" s="711"/>
      <c r="W838" s="721"/>
      <c r="X838" s="721"/>
      <c r="Y838" s="48"/>
      <c r="Z838" s="48"/>
      <c r="AA838" s="48"/>
      <c r="AB838" s="711"/>
      <c r="AC838" s="711"/>
      <c r="AD838" s="711"/>
      <c r="AE838" s="711"/>
      <c r="AF838" s="711"/>
      <c r="AG838" s="711"/>
      <c r="AH838" s="711"/>
    </row>
    <row r="839">
      <c r="A839" s="48"/>
      <c r="B839" s="48"/>
      <c r="C839" s="48"/>
      <c r="D839" s="721"/>
      <c r="E839" s="711"/>
      <c r="F839" s="711"/>
      <c r="G839" s="721"/>
      <c r="H839" s="721"/>
      <c r="I839" s="721"/>
      <c r="J839" s="48"/>
      <c r="K839" s="721"/>
      <c r="L839" s="721"/>
      <c r="M839" s="721"/>
      <c r="N839" s="719"/>
      <c r="O839" s="48"/>
      <c r="P839" s="719"/>
      <c r="Q839" s="48"/>
      <c r="R839" s="48"/>
      <c r="S839" s="711" t="str">
        <f>IFERROR(__xludf.DUMMYFUNCTION("""COMPUTED_VALUE"""),"")</f>
        <v/>
      </c>
      <c r="T839" s="721"/>
      <c r="U839" s="721"/>
      <c r="V839" s="711"/>
      <c r="W839" s="721"/>
      <c r="X839" s="721"/>
      <c r="Y839" s="48"/>
      <c r="Z839" s="48"/>
      <c r="AA839" s="48"/>
      <c r="AB839" s="711"/>
      <c r="AC839" s="711"/>
      <c r="AD839" s="711"/>
      <c r="AE839" s="711"/>
      <c r="AF839" s="711"/>
      <c r="AG839" s="711"/>
      <c r="AH839" s="711"/>
    </row>
    <row r="840">
      <c r="A840" s="48"/>
      <c r="B840" s="48"/>
      <c r="C840" s="48"/>
      <c r="D840" s="721"/>
      <c r="E840" s="711"/>
      <c r="F840" s="711"/>
      <c r="G840" s="721"/>
      <c r="H840" s="721"/>
      <c r="I840" s="721"/>
      <c r="J840" s="48"/>
      <c r="K840" s="721"/>
      <c r="L840" s="721"/>
      <c r="M840" s="721"/>
      <c r="N840" s="719"/>
      <c r="O840" s="48"/>
      <c r="P840" s="719"/>
      <c r="Q840" s="48"/>
      <c r="R840" s="48"/>
      <c r="S840" s="711" t="str">
        <f>IFERROR(__xludf.DUMMYFUNCTION("""COMPUTED_VALUE"""),"")</f>
        <v/>
      </c>
      <c r="T840" s="721"/>
      <c r="U840" s="721"/>
      <c r="V840" s="711"/>
      <c r="W840" s="721"/>
      <c r="X840" s="721"/>
      <c r="Y840" s="48"/>
      <c r="Z840" s="48"/>
      <c r="AA840" s="48"/>
      <c r="AB840" s="711"/>
      <c r="AC840" s="711"/>
      <c r="AD840" s="711"/>
      <c r="AE840" s="711"/>
      <c r="AF840" s="711"/>
      <c r="AG840" s="711"/>
      <c r="AH840" s="711"/>
    </row>
    <row r="841">
      <c r="A841" s="48"/>
      <c r="B841" s="48"/>
      <c r="C841" s="48"/>
      <c r="D841" s="721"/>
      <c r="E841" s="711"/>
      <c r="F841" s="711"/>
      <c r="G841" s="721"/>
      <c r="H841" s="721"/>
      <c r="I841" s="721"/>
      <c r="J841" s="48"/>
      <c r="K841" s="721"/>
      <c r="L841" s="721"/>
      <c r="M841" s="721"/>
      <c r="N841" s="719"/>
      <c r="O841" s="48"/>
      <c r="P841" s="719"/>
      <c r="Q841" s="48"/>
      <c r="R841" s="711" t="str">
        <f>IFERROR(__xludf.DUMMYFUNCTION("""COMPUTED_VALUE"""),"2526SEABRAVEN12.Y")</f>
        <v>2526SEABRAVEN12.Y</v>
      </c>
      <c r="S841" s="711">
        <f>IFERROR(__xludf.DUMMYFUNCTION("""COMPUTED_VALUE"""),20.0)</f>
        <v>20</v>
      </c>
      <c r="T841" s="721" t="str">
        <f>IFERROR(__xludf.DUMMYFUNCTION("""COMPUTED_VALUE"""),"2526SEABRAVEN12.Y")</f>
        <v>2526SEABRAVEN12.Y</v>
      </c>
      <c r="U841" s="721"/>
      <c r="V841" s="711"/>
      <c r="W841" s="721"/>
      <c r="X841" s="721"/>
      <c r="Y841" s="48"/>
      <c r="Z841" s="48"/>
      <c r="AA841" s="48"/>
      <c r="AB841" s="711"/>
      <c r="AC841" s="711"/>
      <c r="AD841" s="711"/>
      <c r="AE841" s="711"/>
      <c r="AF841" s="711"/>
      <c r="AG841" s="711"/>
      <c r="AH841" s="711"/>
    </row>
    <row r="842">
      <c r="A842" s="48"/>
      <c r="B842" s="48"/>
      <c r="C842" s="48"/>
      <c r="D842" s="721"/>
      <c r="E842" s="711"/>
      <c r="F842" s="711"/>
      <c r="G842" s="721"/>
      <c r="H842" s="721"/>
      <c r="I842" s="721"/>
      <c r="J842" s="48"/>
      <c r="K842" s="721"/>
      <c r="L842" s="721"/>
      <c r="M842" s="721"/>
      <c r="N842" s="719"/>
      <c r="O842" s="48"/>
      <c r="P842" s="719"/>
      <c r="Q842" s="48"/>
      <c r="R842" s="48"/>
      <c r="S842" s="711" t="str">
        <f>IFERROR(__xludf.DUMMYFUNCTION("""COMPUTED_VALUE"""),"")</f>
        <v/>
      </c>
      <c r="T842" s="721"/>
      <c r="U842" s="721"/>
      <c r="V842" s="711"/>
      <c r="W842" s="721"/>
      <c r="X842" s="721"/>
      <c r="Y842" s="48"/>
      <c r="Z842" s="48"/>
      <c r="AA842" s="48"/>
      <c r="AB842" s="711"/>
      <c r="AC842" s="711"/>
      <c r="AD842" s="711"/>
      <c r="AE842" s="711"/>
      <c r="AF842" s="711"/>
      <c r="AG842" s="711"/>
      <c r="AH842" s="711"/>
    </row>
    <row r="843">
      <c r="A843" s="48"/>
      <c r="B843" s="48"/>
      <c r="C843" s="48"/>
      <c r="D843" s="721"/>
      <c r="E843" s="711"/>
      <c r="F843" s="711"/>
      <c r="G843" s="721"/>
      <c r="H843" s="721"/>
      <c r="I843" s="721"/>
      <c r="J843" s="48"/>
      <c r="K843" s="721"/>
      <c r="L843" s="721"/>
      <c r="M843" s="721"/>
      <c r="N843" s="719"/>
      <c r="O843" s="48"/>
      <c r="P843" s="719"/>
      <c r="Q843" s="48"/>
      <c r="R843" s="48"/>
      <c r="S843" s="711" t="str">
        <f>IFERROR(__xludf.DUMMYFUNCTION("""COMPUTED_VALUE"""),"")</f>
        <v/>
      </c>
      <c r="T843" s="721"/>
      <c r="U843" s="721"/>
      <c r="V843" s="711"/>
      <c r="W843" s="721"/>
      <c r="X843" s="721"/>
      <c r="Y843" s="48"/>
      <c r="Z843" s="48"/>
      <c r="AA843" s="48"/>
      <c r="AB843" s="711"/>
      <c r="AC843" s="711"/>
      <c r="AD843" s="711"/>
      <c r="AE843" s="711"/>
      <c r="AF843" s="711"/>
      <c r="AG843" s="711"/>
      <c r="AH843" s="711"/>
    </row>
    <row r="844">
      <c r="A844" s="48"/>
      <c r="B844" s="48"/>
      <c r="C844" s="48"/>
      <c r="D844" s="721"/>
      <c r="E844" s="711"/>
      <c r="F844" s="711"/>
      <c r="G844" s="721"/>
      <c r="H844" s="721"/>
      <c r="I844" s="721"/>
      <c r="J844" s="48"/>
      <c r="K844" s="721"/>
      <c r="L844" s="721"/>
      <c r="M844" s="721"/>
      <c r="N844" s="719"/>
      <c r="O844" s="48"/>
      <c r="P844" s="719"/>
      <c r="Q844" s="48"/>
      <c r="R844" s="48"/>
      <c r="S844" s="711" t="str">
        <f>IFERROR(__xludf.DUMMYFUNCTION("""COMPUTED_VALUE"""),"")</f>
        <v/>
      </c>
      <c r="T844" s="721"/>
      <c r="U844" s="721"/>
      <c r="V844" s="711"/>
      <c r="W844" s="721"/>
      <c r="X844" s="721"/>
      <c r="Y844" s="48"/>
      <c r="Z844" s="48"/>
      <c r="AA844" s="48"/>
      <c r="AB844" s="711"/>
      <c r="AC844" s="711"/>
      <c r="AD844" s="711"/>
      <c r="AE844" s="711"/>
      <c r="AF844" s="711"/>
      <c r="AG844" s="711"/>
      <c r="AH844" s="711"/>
    </row>
    <row r="845">
      <c r="A845" s="48"/>
      <c r="B845" s="48"/>
      <c r="C845" s="48"/>
      <c r="D845" s="721"/>
      <c r="E845" s="711"/>
      <c r="F845" s="711"/>
      <c r="G845" s="721"/>
      <c r="H845" s="721"/>
      <c r="I845" s="721"/>
      <c r="J845" s="48"/>
      <c r="K845" s="721"/>
      <c r="L845" s="721"/>
      <c r="M845" s="721"/>
      <c r="N845" s="719"/>
      <c r="O845" s="48"/>
      <c r="P845" s="719"/>
      <c r="Q845" s="48"/>
      <c r="R845" s="714" t="str">
        <f>IFERROR(__xludf.DUMMYFUNCTION("""COMPUTED_VALUE"""),"2526CRUZVEN13.F")</f>
        <v>2526CRUZVEN13.F</v>
      </c>
      <c r="S845" s="711">
        <f>IFERROR(__xludf.DUMMYFUNCTION("""COMPUTED_VALUE"""),40.0)</f>
        <v>40</v>
      </c>
      <c r="T845" s="722" t="str">
        <f>IFERROR(__xludf.DUMMYFUNCTION("""COMPUTED_VALUE"""),"2526CRUZVEN13.F")</f>
        <v>2526CRUZVEN13.F</v>
      </c>
      <c r="U845" s="721"/>
      <c r="V845" s="711"/>
      <c r="W845" s="721"/>
      <c r="X845" s="721"/>
      <c r="Y845" s="48"/>
      <c r="Z845" s="48"/>
      <c r="AA845" s="48"/>
      <c r="AB845" s="711"/>
      <c r="AC845" s="711"/>
      <c r="AD845" s="711"/>
      <c r="AE845" s="711"/>
      <c r="AF845" s="711"/>
      <c r="AG845" s="711"/>
      <c r="AH845" s="711"/>
    </row>
    <row r="846">
      <c r="A846" s="48"/>
      <c r="B846" s="48"/>
      <c r="C846" s="48"/>
      <c r="D846" s="721"/>
      <c r="E846" s="711"/>
      <c r="F846" s="711"/>
      <c r="G846" s="721"/>
      <c r="H846" s="721"/>
      <c r="I846" s="721"/>
      <c r="J846" s="48"/>
      <c r="K846" s="721"/>
      <c r="L846" s="721"/>
      <c r="M846" s="721"/>
      <c r="N846" s="719"/>
      <c r="O846" s="48"/>
      <c r="P846" s="719"/>
      <c r="Q846" s="48"/>
      <c r="R846" s="48"/>
      <c r="S846" s="711" t="str">
        <f>IFERROR(__xludf.DUMMYFUNCTION("""COMPUTED_VALUE"""),"")</f>
        <v/>
      </c>
      <c r="T846" s="721"/>
      <c r="U846" s="721"/>
      <c r="V846" s="711"/>
      <c r="W846" s="721"/>
      <c r="X846" s="721"/>
      <c r="Y846" s="48"/>
      <c r="Z846" s="48"/>
      <c r="AA846" s="48"/>
      <c r="AB846" s="711"/>
      <c r="AC846" s="711"/>
      <c r="AD846" s="711"/>
      <c r="AE846" s="711"/>
      <c r="AF846" s="711"/>
      <c r="AG846" s="711"/>
      <c r="AH846" s="711"/>
    </row>
    <row r="847">
      <c r="A847" s="48"/>
      <c r="B847" s="48"/>
      <c r="C847" s="48"/>
      <c r="D847" s="721"/>
      <c r="E847" s="711"/>
      <c r="F847" s="711"/>
      <c r="G847" s="721"/>
      <c r="H847" s="721"/>
      <c r="I847" s="721"/>
      <c r="J847" s="48"/>
      <c r="K847" s="721"/>
      <c r="L847" s="721"/>
      <c r="M847" s="721"/>
      <c r="N847" s="719"/>
      <c r="O847" s="48"/>
      <c r="P847" s="719"/>
      <c r="Q847" s="48"/>
      <c r="R847" s="48"/>
      <c r="S847" s="711" t="str">
        <f>IFERROR(__xludf.DUMMYFUNCTION("""COMPUTED_VALUE"""),"")</f>
        <v/>
      </c>
      <c r="T847" s="721"/>
      <c r="U847" s="721"/>
      <c r="V847" s="711"/>
      <c r="W847" s="721"/>
      <c r="X847" s="721"/>
      <c r="Y847" s="48"/>
      <c r="Z847" s="48"/>
      <c r="AA847" s="48"/>
      <c r="AB847" s="711"/>
      <c r="AC847" s="711"/>
      <c r="AD847" s="711"/>
      <c r="AE847" s="711"/>
      <c r="AF847" s="711"/>
      <c r="AG847" s="711"/>
      <c r="AH847" s="711"/>
    </row>
    <row r="848">
      <c r="A848" s="48"/>
      <c r="B848" s="48"/>
      <c r="C848" s="48"/>
      <c r="D848" s="721"/>
      <c r="E848" s="711"/>
      <c r="F848" s="711"/>
      <c r="G848" s="721"/>
      <c r="H848" s="721"/>
      <c r="I848" s="721"/>
      <c r="J848" s="48"/>
      <c r="K848" s="721"/>
      <c r="L848" s="721"/>
      <c r="M848" s="721"/>
      <c r="N848" s="719"/>
      <c r="O848" s="48"/>
      <c r="P848" s="719"/>
      <c r="Q848" s="48"/>
      <c r="R848" s="714" t="str">
        <f>IFERROR(__xludf.DUMMYFUNCTION("""COMPUTED_VALUE"""),"2526GRANDEVEN13.D")</f>
        <v>2526GRANDEVEN13.D</v>
      </c>
      <c r="S848" s="711">
        <f>IFERROR(__xludf.DUMMYFUNCTION("""COMPUTED_VALUE"""),15.0)</f>
        <v>15</v>
      </c>
      <c r="T848" s="722" t="str">
        <f>IFERROR(__xludf.DUMMYFUNCTION("""COMPUTED_VALUE"""),"2526GRANDEVEN13.D")</f>
        <v>2526GRANDEVEN13.D</v>
      </c>
      <c r="U848" s="721"/>
      <c r="V848" s="711"/>
      <c r="W848" s="721"/>
      <c r="X848" s="721"/>
      <c r="Y848" s="48"/>
      <c r="Z848" s="48"/>
      <c r="AA848" s="48"/>
      <c r="AB848" s="711"/>
      <c r="AC848" s="711"/>
      <c r="AD848" s="711"/>
      <c r="AE848" s="711"/>
      <c r="AF848" s="711"/>
      <c r="AG848" s="711"/>
      <c r="AH848" s="711"/>
    </row>
    <row r="849">
      <c r="A849" s="48"/>
      <c r="B849" s="48"/>
      <c r="C849" s="48"/>
      <c r="D849" s="721"/>
      <c r="E849" s="711"/>
      <c r="F849" s="711"/>
      <c r="G849" s="721"/>
      <c r="H849" s="721"/>
      <c r="I849" s="721"/>
      <c r="J849" s="48"/>
      <c r="K849" s="721"/>
      <c r="L849" s="721"/>
      <c r="M849" s="721"/>
      <c r="N849" s="719"/>
      <c r="O849" s="48"/>
      <c r="P849" s="719"/>
      <c r="Q849" s="48"/>
      <c r="R849" s="714" t="str">
        <f>IFERROR(__xludf.DUMMYFUNCTION("""COMPUTED_VALUE"""),"2526KUQIVEN13.F")</f>
        <v>2526KUQIVEN13.F</v>
      </c>
      <c r="S849" s="711">
        <f>IFERROR(__xludf.DUMMYFUNCTION("""COMPUTED_VALUE"""),30.0)</f>
        <v>30</v>
      </c>
      <c r="T849" s="722" t="str">
        <f>IFERROR(__xludf.DUMMYFUNCTION("""COMPUTED_VALUE"""),"2526KUQIVEN13.F")</f>
        <v>2526KUQIVEN13.F</v>
      </c>
      <c r="U849" s="721"/>
      <c r="V849" s="711"/>
      <c r="W849" s="721"/>
      <c r="X849" s="721"/>
      <c r="Y849" s="48"/>
      <c r="Z849" s="48"/>
      <c r="AA849" s="48"/>
      <c r="AB849" s="711"/>
      <c r="AC849" s="711"/>
      <c r="AD849" s="711"/>
      <c r="AE849" s="711"/>
      <c r="AF849" s="711"/>
      <c r="AG849" s="711"/>
      <c r="AH849" s="711"/>
    </row>
    <row r="850">
      <c r="A850" s="48"/>
      <c r="B850" s="48"/>
      <c r="C850" s="48"/>
      <c r="D850" s="721"/>
      <c r="E850" s="711"/>
      <c r="F850" s="711"/>
      <c r="G850" s="721"/>
      <c r="H850" s="721"/>
      <c r="I850" s="721"/>
      <c r="J850" s="48"/>
      <c r="K850" s="721"/>
      <c r="L850" s="721"/>
      <c r="M850" s="721"/>
      <c r="N850" s="719"/>
      <c r="O850" s="48"/>
      <c r="P850" s="719"/>
      <c r="Q850" s="48"/>
      <c r="R850" s="711" t="str">
        <f>IFERROR(__xludf.DUMMYFUNCTION("""COMPUTED_VALUE"""),"2526FILLYVEN13.Y")</f>
        <v>2526FILLYVEN13.Y</v>
      </c>
      <c r="S850" s="711">
        <f>IFERROR(__xludf.DUMMYFUNCTION("""COMPUTED_VALUE"""),3.0)</f>
        <v>3</v>
      </c>
      <c r="T850" s="721" t="str">
        <f>IFERROR(__xludf.DUMMYFUNCTION("""COMPUTED_VALUE"""),"2526FILLYVEN13.Y")</f>
        <v>2526FILLYVEN13.Y</v>
      </c>
      <c r="U850" s="721"/>
      <c r="V850" s="711"/>
      <c r="W850" s="721"/>
      <c r="X850" s="721"/>
      <c r="Y850" s="48"/>
      <c r="Z850" s="48"/>
      <c r="AA850" s="48"/>
      <c r="AB850" s="711"/>
      <c r="AC850" s="711"/>
      <c r="AD850" s="711"/>
      <c r="AE850" s="711"/>
      <c r="AF850" s="711"/>
      <c r="AG850" s="711"/>
      <c r="AH850" s="711"/>
    </row>
    <row r="851">
      <c r="A851" s="48"/>
      <c r="B851" s="48"/>
      <c r="C851" s="48"/>
      <c r="D851" s="721"/>
      <c r="E851" s="711"/>
      <c r="F851" s="711"/>
      <c r="G851" s="721"/>
      <c r="H851" s="721"/>
      <c r="I851" s="721"/>
      <c r="J851" s="48"/>
      <c r="K851" s="721"/>
      <c r="L851" s="721"/>
      <c r="M851" s="721"/>
      <c r="N851" s="719"/>
      <c r="O851" s="48"/>
      <c r="P851" s="719"/>
      <c r="Q851" s="48"/>
      <c r="R851" s="48"/>
      <c r="S851" s="711" t="str">
        <f>IFERROR(__xludf.DUMMYFUNCTION("""COMPUTED_VALUE"""),"")</f>
        <v/>
      </c>
      <c r="T851" s="721"/>
      <c r="U851" s="721"/>
      <c r="V851" s="711"/>
      <c r="W851" s="721"/>
      <c r="X851" s="721"/>
      <c r="Y851" s="48"/>
      <c r="Z851" s="48"/>
      <c r="AA851" s="48"/>
      <c r="AB851" s="711"/>
      <c r="AC851" s="711"/>
      <c r="AD851" s="711"/>
      <c r="AE851" s="711"/>
      <c r="AF851" s="711"/>
      <c r="AG851" s="711"/>
      <c r="AH851" s="711"/>
    </row>
    <row r="852">
      <c r="A852" s="48"/>
      <c r="B852" s="48"/>
      <c r="C852" s="48"/>
      <c r="D852" s="721"/>
      <c r="E852" s="711"/>
      <c r="F852" s="711"/>
      <c r="G852" s="721"/>
      <c r="H852" s="721"/>
      <c r="I852" s="721"/>
      <c r="J852" s="48"/>
      <c r="K852" s="721"/>
      <c r="L852" s="721"/>
      <c r="M852" s="721"/>
      <c r="N852" s="719"/>
      <c r="O852" s="48"/>
      <c r="P852" s="719"/>
      <c r="Q852" s="48"/>
      <c r="R852" s="48"/>
      <c r="S852" s="711" t="str">
        <f>IFERROR(__xludf.DUMMYFUNCTION("""COMPUTED_VALUE"""),"")</f>
        <v/>
      </c>
      <c r="T852" s="721"/>
      <c r="U852" s="721"/>
      <c r="V852" s="711"/>
      <c r="W852" s="721"/>
      <c r="X852" s="721"/>
      <c r="Y852" s="48"/>
      <c r="Z852" s="48"/>
      <c r="AA852" s="48"/>
      <c r="AB852" s="711"/>
      <c r="AC852" s="711"/>
      <c r="AD852" s="711"/>
      <c r="AE852" s="711"/>
      <c r="AF852" s="711"/>
      <c r="AG852" s="711"/>
      <c r="AH852" s="711"/>
    </row>
    <row r="853">
      <c r="A853" s="48"/>
      <c r="B853" s="48"/>
      <c r="C853" s="48"/>
      <c r="D853" s="721"/>
      <c r="E853" s="711"/>
      <c r="F853" s="711"/>
      <c r="G853" s="721"/>
      <c r="H853" s="721"/>
      <c r="I853" s="721"/>
      <c r="J853" s="48"/>
      <c r="K853" s="721"/>
      <c r="L853" s="721"/>
      <c r="M853" s="721"/>
      <c r="N853" s="719"/>
      <c r="O853" s="48"/>
      <c r="P853" s="719"/>
      <c r="Q853" s="48"/>
      <c r="R853" s="711" t="str">
        <f>IFERROR(__xludf.DUMMYFUNCTION("""COMPUTED_VALUE"""),"2526SEABRAVEN13.Y")</f>
        <v>2526SEABRAVEN13.Y</v>
      </c>
      <c r="S853" s="711">
        <f>IFERROR(__xludf.DUMMYFUNCTION("""COMPUTED_VALUE"""),20.0)</f>
        <v>20</v>
      </c>
      <c r="T853" s="721" t="str">
        <f>IFERROR(__xludf.DUMMYFUNCTION("""COMPUTED_VALUE"""),"2526SEABRAVEN13.Y")</f>
        <v>2526SEABRAVEN13.Y</v>
      </c>
      <c r="U853" s="721"/>
      <c r="V853" s="711"/>
      <c r="W853" s="721"/>
      <c r="X853" s="721"/>
      <c r="Y853" s="48"/>
      <c r="Z853" s="48"/>
      <c r="AA853" s="48"/>
      <c r="AB853" s="711"/>
      <c r="AC853" s="711"/>
      <c r="AD853" s="711"/>
      <c r="AE853" s="711"/>
      <c r="AF853" s="711"/>
      <c r="AG853" s="711"/>
      <c r="AH853" s="711"/>
    </row>
    <row r="854">
      <c r="A854" s="48"/>
      <c r="B854" s="48"/>
      <c r="C854" s="48"/>
      <c r="D854" s="721"/>
      <c r="E854" s="711"/>
      <c r="F854" s="711"/>
      <c r="G854" s="721"/>
      <c r="H854" s="721"/>
      <c r="I854" s="721"/>
      <c r="J854" s="48"/>
      <c r="K854" s="721"/>
      <c r="L854" s="721"/>
      <c r="M854" s="721"/>
      <c r="N854" s="719"/>
      <c r="O854" s="48"/>
      <c r="P854" s="719"/>
      <c r="Q854" s="48"/>
      <c r="R854" s="48"/>
      <c r="S854" s="711" t="str">
        <f>IFERROR(__xludf.DUMMYFUNCTION("""COMPUTED_VALUE"""),"")</f>
        <v/>
      </c>
      <c r="T854" s="721"/>
      <c r="U854" s="721"/>
      <c r="V854" s="711"/>
      <c r="W854" s="721"/>
      <c r="X854" s="721"/>
      <c r="Y854" s="48"/>
      <c r="Z854" s="48"/>
      <c r="AA854" s="48"/>
      <c r="AB854" s="711"/>
      <c r="AC854" s="711"/>
      <c r="AD854" s="711"/>
      <c r="AE854" s="711"/>
      <c r="AF854" s="711"/>
      <c r="AG854" s="711"/>
      <c r="AH854" s="711"/>
    </row>
    <row r="855">
      <c r="A855" s="48"/>
      <c r="B855" s="48"/>
      <c r="C855" s="48"/>
      <c r="D855" s="721"/>
      <c r="E855" s="711"/>
      <c r="F855" s="711"/>
      <c r="G855" s="721"/>
      <c r="H855" s="721"/>
      <c r="I855" s="721"/>
      <c r="J855" s="48"/>
      <c r="K855" s="721"/>
      <c r="L855" s="721"/>
      <c r="M855" s="721"/>
      <c r="N855" s="719"/>
      <c r="O855" s="48"/>
      <c r="P855" s="719"/>
      <c r="Q855" s="48"/>
      <c r="R855" s="48"/>
      <c r="S855" s="711" t="str">
        <f>IFERROR(__xludf.DUMMYFUNCTION("""COMPUTED_VALUE"""),"")</f>
        <v/>
      </c>
      <c r="T855" s="721"/>
      <c r="U855" s="721"/>
      <c r="V855" s="711"/>
      <c r="W855" s="721"/>
      <c r="X855" s="721"/>
      <c r="Y855" s="48"/>
      <c r="Z855" s="48"/>
      <c r="AA855" s="48"/>
      <c r="AB855" s="711"/>
      <c r="AC855" s="711"/>
      <c r="AD855" s="711"/>
      <c r="AE855" s="711"/>
      <c r="AF855" s="711"/>
      <c r="AG855" s="711"/>
      <c r="AH855" s="711"/>
    </row>
    <row r="856">
      <c r="A856" s="48"/>
      <c r="B856" s="48"/>
      <c r="C856" s="48"/>
      <c r="D856" s="721"/>
      <c r="E856" s="711"/>
      <c r="F856" s="711"/>
      <c r="G856" s="721"/>
      <c r="H856" s="721"/>
      <c r="I856" s="721"/>
      <c r="J856" s="48"/>
      <c r="K856" s="721"/>
      <c r="L856" s="721"/>
      <c r="M856" s="721"/>
      <c r="N856" s="719"/>
      <c r="O856" s="48"/>
      <c r="P856" s="719"/>
      <c r="Q856" s="48"/>
      <c r="R856" s="48"/>
      <c r="S856" s="711" t="str">
        <f>IFERROR(__xludf.DUMMYFUNCTION("""COMPUTED_VALUE"""),"")</f>
        <v/>
      </c>
      <c r="T856" s="721"/>
      <c r="U856" s="721"/>
      <c r="V856" s="711"/>
      <c r="W856" s="721"/>
      <c r="X856" s="721"/>
      <c r="Y856" s="48"/>
      <c r="Z856" s="48"/>
      <c r="AA856" s="48"/>
      <c r="AB856" s="711"/>
      <c r="AC856" s="711"/>
      <c r="AD856" s="711"/>
      <c r="AE856" s="711"/>
      <c r="AF856" s="711"/>
      <c r="AG856" s="711"/>
      <c r="AH856" s="711"/>
    </row>
    <row r="857">
      <c r="A857" s="48"/>
      <c r="B857" s="48"/>
      <c r="C857" s="48"/>
      <c r="D857" s="721"/>
      <c r="E857" s="711"/>
      <c r="F857" s="711"/>
      <c r="G857" s="721"/>
      <c r="H857" s="721"/>
      <c r="I857" s="721"/>
      <c r="J857" s="48"/>
      <c r="K857" s="721"/>
      <c r="L857" s="721"/>
      <c r="M857" s="721"/>
      <c r="N857" s="719"/>
      <c r="O857" s="48"/>
      <c r="P857" s="719"/>
      <c r="Q857" s="48"/>
      <c r="R857" s="48"/>
      <c r="S857" s="711" t="str">
        <f>IFERROR(__xludf.DUMMYFUNCTION("""COMPUTED_VALUE"""),"")</f>
        <v/>
      </c>
      <c r="T857" s="721"/>
      <c r="U857" s="721"/>
      <c r="V857" s="711"/>
      <c r="W857" s="721"/>
      <c r="X857" s="721"/>
      <c r="Y857" s="48"/>
      <c r="Z857" s="48"/>
      <c r="AA857" s="48"/>
      <c r="AB857" s="711"/>
      <c r="AC857" s="711"/>
      <c r="AD857" s="711"/>
      <c r="AE857" s="711"/>
      <c r="AF857" s="711"/>
      <c r="AG857" s="711"/>
      <c r="AH857" s="711"/>
    </row>
    <row r="858">
      <c r="A858" s="48"/>
      <c r="B858" s="48"/>
      <c r="C858" s="48"/>
      <c r="D858" s="721"/>
      <c r="E858" s="711"/>
      <c r="F858" s="711"/>
      <c r="G858" s="721"/>
      <c r="H858" s="721"/>
      <c r="I858" s="721"/>
      <c r="J858" s="48"/>
      <c r="K858" s="721"/>
      <c r="L858" s="721"/>
      <c r="M858" s="721"/>
      <c r="N858" s="719"/>
      <c r="O858" s="48"/>
      <c r="P858" s="719"/>
      <c r="Q858" s="48"/>
      <c r="R858" s="48"/>
      <c r="S858" s="711" t="str">
        <f>IFERROR(__xludf.DUMMYFUNCTION("""COMPUTED_VALUE"""),"")</f>
        <v/>
      </c>
      <c r="T858" s="721"/>
      <c r="U858" s="721"/>
      <c r="V858" s="711"/>
      <c r="W858" s="721"/>
      <c r="X858" s="721"/>
      <c r="Y858" s="48"/>
      <c r="Z858" s="48"/>
      <c r="AA858" s="48"/>
      <c r="AB858" s="711"/>
      <c r="AC858" s="711"/>
      <c r="AD858" s="711"/>
      <c r="AE858" s="711"/>
      <c r="AF858" s="711"/>
      <c r="AG858" s="711"/>
      <c r="AH858" s="711"/>
    </row>
    <row r="859">
      <c r="A859" s="48"/>
      <c r="B859" s="48"/>
      <c r="C859" s="48"/>
      <c r="D859" s="721"/>
      <c r="E859" s="711"/>
      <c r="F859" s="711"/>
      <c r="G859" s="721"/>
      <c r="H859" s="721"/>
      <c r="I859" s="721"/>
      <c r="J859" s="48"/>
      <c r="K859" s="721"/>
      <c r="L859" s="721"/>
      <c r="M859" s="721"/>
      <c r="N859" s="719"/>
      <c r="O859" s="48"/>
      <c r="P859" s="719"/>
      <c r="Q859" s="48"/>
      <c r="R859" s="48"/>
      <c r="S859" s="711" t="str">
        <f>IFERROR(__xludf.DUMMYFUNCTION("""COMPUTED_VALUE"""),"")</f>
        <v/>
      </c>
      <c r="T859" s="721"/>
      <c r="U859" s="721"/>
      <c r="V859" s="711"/>
      <c r="W859" s="721"/>
      <c r="X859" s="721"/>
      <c r="Y859" s="48"/>
      <c r="Z859" s="48"/>
      <c r="AA859" s="48"/>
      <c r="AB859" s="711"/>
      <c r="AC859" s="711"/>
      <c r="AD859" s="711"/>
      <c r="AE859" s="711"/>
      <c r="AF859" s="711"/>
      <c r="AG859" s="711"/>
      <c r="AH859" s="711"/>
    </row>
    <row r="860">
      <c r="A860" s="48"/>
      <c r="B860" s="48"/>
      <c r="C860" s="48"/>
      <c r="D860" s="721"/>
      <c r="E860" s="711"/>
      <c r="F860" s="711"/>
      <c r="G860" s="721"/>
      <c r="H860" s="721"/>
      <c r="I860" s="721"/>
      <c r="J860" s="48"/>
      <c r="K860" s="721"/>
      <c r="L860" s="721"/>
      <c r="M860" s="721"/>
      <c r="N860" s="719"/>
      <c r="O860" s="48"/>
      <c r="P860" s="719"/>
      <c r="Q860" s="48"/>
      <c r="R860" s="48"/>
      <c r="S860" s="711" t="str">
        <f>IFERROR(__xludf.DUMMYFUNCTION("""COMPUTED_VALUE"""),"")</f>
        <v/>
      </c>
      <c r="T860" s="721"/>
      <c r="U860" s="721"/>
      <c r="V860" s="711"/>
      <c r="W860" s="721"/>
      <c r="X860" s="721"/>
      <c r="Y860" s="48"/>
      <c r="Z860" s="48"/>
      <c r="AA860" s="48"/>
      <c r="AB860" s="711"/>
      <c r="AC860" s="711"/>
      <c r="AD860" s="711"/>
      <c r="AE860" s="711"/>
      <c r="AF860" s="711"/>
      <c r="AG860" s="711"/>
      <c r="AH860" s="711"/>
    </row>
    <row r="861">
      <c r="A861" s="48"/>
      <c r="B861" s="48"/>
      <c r="C861" s="48"/>
      <c r="D861" s="721"/>
      <c r="E861" s="711"/>
      <c r="F861" s="711"/>
      <c r="G861" s="721"/>
      <c r="H861" s="721"/>
      <c r="I861" s="721"/>
      <c r="J861" s="48"/>
      <c r="K861" s="721"/>
      <c r="L861" s="721"/>
      <c r="M861" s="721"/>
      <c r="N861" s="719"/>
      <c r="O861" s="48"/>
      <c r="P861" s="719"/>
      <c r="Q861" s="48"/>
      <c r="R861" s="48"/>
      <c r="S861" s="711" t="str">
        <f>IFERROR(__xludf.DUMMYFUNCTION("""COMPUTED_VALUE"""),"")</f>
        <v/>
      </c>
      <c r="T861" s="721"/>
      <c r="U861" s="721"/>
      <c r="V861" s="711"/>
      <c r="W861" s="721"/>
      <c r="X861" s="721"/>
      <c r="Y861" s="48"/>
      <c r="Z861" s="48"/>
      <c r="AA861" s="48"/>
      <c r="AB861" s="711"/>
      <c r="AC861" s="711"/>
      <c r="AD861" s="711"/>
      <c r="AE861" s="711"/>
      <c r="AF861" s="711"/>
      <c r="AG861" s="711"/>
      <c r="AH861" s="711"/>
    </row>
    <row r="862">
      <c r="A862" s="48"/>
      <c r="B862" s="48"/>
      <c r="C862" s="48"/>
      <c r="D862" s="721"/>
      <c r="E862" s="711"/>
      <c r="F862" s="711"/>
      <c r="G862" s="721"/>
      <c r="H862" s="721"/>
      <c r="I862" s="721"/>
      <c r="J862" s="48"/>
      <c r="K862" s="721"/>
      <c r="L862" s="721"/>
      <c r="M862" s="721"/>
      <c r="N862" s="719"/>
      <c r="O862" s="48"/>
      <c r="P862" s="719"/>
      <c r="Q862" s="48"/>
      <c r="R862" s="48"/>
      <c r="S862" s="711" t="str">
        <f>IFERROR(__xludf.DUMMYFUNCTION("""COMPUTED_VALUE"""),"")</f>
        <v/>
      </c>
      <c r="T862" s="721"/>
      <c r="U862" s="721"/>
      <c r="V862" s="711"/>
      <c r="W862" s="721"/>
      <c r="X862" s="721"/>
      <c r="Y862" s="48"/>
      <c r="Z862" s="48"/>
      <c r="AA862" s="48"/>
      <c r="AB862" s="711"/>
      <c r="AC862" s="711"/>
      <c r="AD862" s="711"/>
      <c r="AE862" s="711"/>
      <c r="AF862" s="711"/>
      <c r="AG862" s="711"/>
      <c r="AH862" s="711"/>
    </row>
    <row r="863">
      <c r="A863" s="48"/>
      <c r="B863" s="48"/>
      <c r="C863" s="48"/>
      <c r="D863" s="721"/>
      <c r="E863" s="711"/>
      <c r="F863" s="711"/>
      <c r="G863" s="721"/>
      <c r="H863" s="721"/>
      <c r="I863" s="721"/>
      <c r="J863" s="48"/>
      <c r="K863" s="721"/>
      <c r="L863" s="721"/>
      <c r="M863" s="721"/>
      <c r="N863" s="719"/>
      <c r="O863" s="48"/>
      <c r="P863" s="719"/>
      <c r="Q863" s="48"/>
      <c r="R863" s="48"/>
      <c r="S863" s="711" t="str">
        <f>IFERROR(__xludf.DUMMYFUNCTION("""COMPUTED_VALUE"""),"")</f>
        <v/>
      </c>
      <c r="T863" s="721"/>
      <c r="U863" s="721"/>
      <c r="V863" s="711"/>
      <c r="W863" s="721"/>
      <c r="X863" s="721"/>
      <c r="Y863" s="48"/>
      <c r="Z863" s="48"/>
      <c r="AA863" s="48"/>
      <c r="AB863" s="711"/>
      <c r="AC863" s="711"/>
      <c r="AD863" s="711"/>
      <c r="AE863" s="711"/>
      <c r="AF863" s="711"/>
      <c r="AG863" s="711"/>
      <c r="AH863" s="711"/>
    </row>
    <row r="864">
      <c r="A864" s="48"/>
      <c r="B864" s="48"/>
      <c r="C864" s="48"/>
      <c r="D864" s="721"/>
      <c r="E864" s="711"/>
      <c r="F864" s="711"/>
      <c r="G864" s="721"/>
      <c r="H864" s="721"/>
      <c r="I864" s="721"/>
      <c r="J864" s="48"/>
      <c r="K864" s="721"/>
      <c r="L864" s="721"/>
      <c r="M864" s="721"/>
      <c r="N864" s="719"/>
      <c r="O864" s="48"/>
      <c r="P864" s="719"/>
      <c r="Q864" s="48"/>
      <c r="R864" s="48"/>
      <c r="S864" s="711" t="str">
        <f>IFERROR(__xludf.DUMMYFUNCTION("""COMPUTED_VALUE"""),"")</f>
        <v/>
      </c>
      <c r="T864" s="721"/>
      <c r="U864" s="721"/>
      <c r="V864" s="711"/>
      <c r="W864" s="721"/>
      <c r="X864" s="721"/>
      <c r="Y864" s="48"/>
      <c r="Z864" s="48"/>
      <c r="AA864" s="48"/>
      <c r="AB864" s="711"/>
      <c r="AC864" s="711"/>
      <c r="AD864" s="711"/>
      <c r="AE864" s="711"/>
      <c r="AF864" s="711"/>
      <c r="AG864" s="711"/>
      <c r="AH864" s="711"/>
    </row>
    <row r="865">
      <c r="A865" s="48"/>
      <c r="B865" s="48"/>
      <c r="C865" s="48"/>
      <c r="D865" s="721"/>
      <c r="E865" s="711"/>
      <c r="F865" s="711"/>
      <c r="G865" s="721"/>
      <c r="H865" s="721"/>
      <c r="I865" s="721"/>
      <c r="J865" s="48"/>
      <c r="K865" s="721"/>
      <c r="L865" s="721"/>
      <c r="M865" s="721"/>
      <c r="N865" s="719"/>
      <c r="O865" s="48"/>
      <c r="P865" s="719"/>
      <c r="Q865" s="48"/>
      <c r="R865" s="711" t="str">
        <f>IFERROR(__xludf.DUMMYFUNCTION("""COMPUTED_VALUE"""),"2526SEABRAVEN14.Y")</f>
        <v>2526SEABRAVEN14.Y</v>
      </c>
      <c r="S865" s="711">
        <f>IFERROR(__xludf.DUMMYFUNCTION("""COMPUTED_VALUE"""),20.0)</f>
        <v>20</v>
      </c>
      <c r="T865" s="721" t="str">
        <f>IFERROR(__xludf.DUMMYFUNCTION("""COMPUTED_VALUE"""),"2526SEABRAVEN14.Y")</f>
        <v>2526SEABRAVEN14.Y</v>
      </c>
      <c r="U865" s="721"/>
      <c r="V865" s="711"/>
      <c r="W865" s="721"/>
      <c r="X865" s="721"/>
      <c r="Y865" s="48"/>
      <c r="Z865" s="48"/>
      <c r="AA865" s="48"/>
      <c r="AB865" s="711"/>
      <c r="AC865" s="711"/>
      <c r="AD865" s="711"/>
      <c r="AE865" s="711"/>
      <c r="AF865" s="711"/>
      <c r="AG865" s="711"/>
      <c r="AH865" s="711"/>
    </row>
    <row r="866">
      <c r="A866" s="48"/>
      <c r="B866" s="48"/>
      <c r="C866" s="48"/>
      <c r="D866" s="721"/>
      <c r="E866" s="711"/>
      <c r="F866" s="711"/>
      <c r="G866" s="721"/>
      <c r="H866" s="721"/>
      <c r="I866" s="721"/>
      <c r="J866" s="48"/>
      <c r="K866" s="721"/>
      <c r="L866" s="721"/>
      <c r="M866" s="721"/>
      <c r="N866" s="719"/>
      <c r="O866" s="48"/>
      <c r="P866" s="719"/>
      <c r="Q866" s="48"/>
      <c r="R866" s="48"/>
      <c r="S866" s="711" t="str">
        <f>IFERROR(__xludf.DUMMYFUNCTION("""COMPUTED_VALUE"""),"")</f>
        <v/>
      </c>
      <c r="T866" s="721"/>
      <c r="U866" s="721"/>
      <c r="V866" s="711"/>
      <c r="W866" s="721"/>
      <c r="X866" s="721"/>
      <c r="Y866" s="48"/>
      <c r="Z866" s="48"/>
      <c r="AA866" s="48"/>
      <c r="AB866" s="711"/>
      <c r="AC866" s="711"/>
      <c r="AD866" s="711"/>
      <c r="AE866" s="711"/>
      <c r="AF866" s="711"/>
      <c r="AG866" s="711"/>
      <c r="AH866" s="711"/>
    </row>
    <row r="867">
      <c r="A867" s="48"/>
      <c r="B867" s="48"/>
      <c r="C867" s="48"/>
      <c r="D867" s="721"/>
      <c r="E867" s="711"/>
      <c r="F867" s="711"/>
      <c r="G867" s="721"/>
      <c r="H867" s="721"/>
      <c r="I867" s="721"/>
      <c r="J867" s="48"/>
      <c r="K867" s="721"/>
      <c r="L867" s="721"/>
      <c r="M867" s="721"/>
      <c r="N867" s="719"/>
      <c r="O867" s="48"/>
      <c r="P867" s="719"/>
      <c r="Q867" s="48"/>
      <c r="R867" s="48"/>
      <c r="S867" s="711" t="str">
        <f>IFERROR(__xludf.DUMMYFUNCTION("""COMPUTED_VALUE"""),"")</f>
        <v/>
      </c>
      <c r="T867" s="721"/>
      <c r="U867" s="721"/>
      <c r="V867" s="711"/>
      <c r="W867" s="721"/>
      <c r="X867" s="721"/>
      <c r="Y867" s="48"/>
      <c r="Z867" s="48"/>
      <c r="AA867" s="48"/>
      <c r="AB867" s="711"/>
      <c r="AC867" s="711"/>
      <c r="AD867" s="711"/>
      <c r="AE867" s="711"/>
      <c r="AF867" s="711"/>
      <c r="AG867" s="711"/>
      <c r="AH867" s="711"/>
    </row>
    <row r="868">
      <c r="A868" s="48"/>
      <c r="B868" s="48"/>
      <c r="C868" s="48"/>
      <c r="D868" s="721"/>
      <c r="E868" s="711"/>
      <c r="F868" s="711"/>
      <c r="G868" s="721"/>
      <c r="H868" s="721"/>
      <c r="I868" s="721"/>
      <c r="J868" s="48"/>
      <c r="K868" s="721"/>
      <c r="L868" s="721"/>
      <c r="M868" s="721"/>
      <c r="N868" s="719"/>
      <c r="O868" s="48"/>
      <c r="P868" s="719"/>
      <c r="Q868" s="48"/>
      <c r="R868" s="48"/>
      <c r="S868" s="711" t="str">
        <f>IFERROR(__xludf.DUMMYFUNCTION("""COMPUTED_VALUE"""),"")</f>
        <v/>
      </c>
      <c r="T868" s="721"/>
      <c r="U868" s="721"/>
      <c r="V868" s="711"/>
      <c r="W868" s="721"/>
      <c r="X868" s="721"/>
      <c r="Y868" s="48"/>
      <c r="Z868" s="48"/>
      <c r="AA868" s="48"/>
      <c r="AB868" s="711"/>
      <c r="AC868" s="711"/>
      <c r="AD868" s="711"/>
      <c r="AE868" s="711"/>
      <c r="AF868" s="711"/>
      <c r="AG868" s="711"/>
      <c r="AH868" s="711"/>
    </row>
    <row r="869">
      <c r="A869" s="48"/>
      <c r="B869" s="48"/>
      <c r="C869" s="48"/>
      <c r="D869" s="721"/>
      <c r="E869" s="711"/>
      <c r="F869" s="711"/>
      <c r="G869" s="721"/>
      <c r="H869" s="721"/>
      <c r="I869" s="721"/>
      <c r="J869" s="48"/>
      <c r="K869" s="721"/>
      <c r="L869" s="721"/>
      <c r="M869" s="721"/>
      <c r="N869" s="719"/>
      <c r="O869" s="48"/>
      <c r="P869" s="719"/>
      <c r="Q869" s="48"/>
      <c r="R869" s="48"/>
      <c r="S869" s="711" t="str">
        <f>IFERROR(__xludf.DUMMYFUNCTION("""COMPUTED_VALUE"""),"")</f>
        <v/>
      </c>
      <c r="T869" s="721"/>
      <c r="U869" s="721"/>
      <c r="V869" s="711"/>
      <c r="W869" s="721"/>
      <c r="X869" s="721"/>
      <c r="Y869" s="48"/>
      <c r="Z869" s="48"/>
      <c r="AA869" s="48"/>
      <c r="AB869" s="711"/>
      <c r="AC869" s="711"/>
      <c r="AD869" s="711"/>
      <c r="AE869" s="711"/>
      <c r="AF869" s="711"/>
      <c r="AG869" s="711"/>
      <c r="AH869" s="711"/>
    </row>
    <row r="870">
      <c r="A870" s="48"/>
      <c r="B870" s="48"/>
      <c r="C870" s="48"/>
      <c r="D870" s="721"/>
      <c r="E870" s="711"/>
      <c r="F870" s="711"/>
      <c r="G870" s="721"/>
      <c r="H870" s="721"/>
      <c r="I870" s="721"/>
      <c r="J870" s="48"/>
      <c r="K870" s="721"/>
      <c r="L870" s="721"/>
      <c r="M870" s="721"/>
      <c r="N870" s="719"/>
      <c r="O870" s="48"/>
      <c r="P870" s="719"/>
      <c r="Q870" s="48"/>
      <c r="R870" s="48"/>
      <c r="S870" s="711" t="str">
        <f>IFERROR(__xludf.DUMMYFUNCTION("""COMPUTED_VALUE"""),"")</f>
        <v/>
      </c>
      <c r="T870" s="721"/>
      <c r="U870" s="721"/>
      <c r="V870" s="711"/>
      <c r="W870" s="721"/>
      <c r="X870" s="721"/>
      <c r="Y870" s="48"/>
      <c r="Z870" s="48"/>
      <c r="AA870" s="48"/>
      <c r="AB870" s="711"/>
      <c r="AC870" s="711"/>
      <c r="AD870" s="711"/>
      <c r="AE870" s="711"/>
      <c r="AF870" s="711"/>
      <c r="AG870" s="711"/>
      <c r="AH870" s="711"/>
    </row>
    <row r="871">
      <c r="A871" s="48"/>
      <c r="B871" s="48"/>
      <c r="C871" s="48"/>
      <c r="D871" s="721"/>
      <c r="E871" s="711"/>
      <c r="F871" s="711"/>
      <c r="G871" s="721"/>
      <c r="H871" s="721"/>
      <c r="I871" s="721"/>
      <c r="J871" s="48"/>
      <c r="K871" s="721"/>
      <c r="L871" s="721"/>
      <c r="M871" s="721"/>
      <c r="N871" s="719"/>
      <c r="O871" s="48"/>
      <c r="P871" s="719"/>
      <c r="Q871" s="48"/>
      <c r="R871" s="48"/>
      <c r="S871" s="711" t="str">
        <f>IFERROR(__xludf.DUMMYFUNCTION("""COMPUTED_VALUE"""),"")</f>
        <v/>
      </c>
      <c r="T871" s="721"/>
      <c r="U871" s="721"/>
      <c r="V871" s="711"/>
      <c r="W871" s="721"/>
      <c r="X871" s="721"/>
      <c r="Y871" s="48"/>
      <c r="Z871" s="48"/>
      <c r="AA871" s="48"/>
      <c r="AB871" s="711"/>
      <c r="AC871" s="711"/>
      <c r="AD871" s="711"/>
      <c r="AE871" s="711"/>
      <c r="AF871" s="711"/>
      <c r="AG871" s="711"/>
      <c r="AH871" s="711"/>
    </row>
    <row r="872">
      <c r="A872" s="48"/>
      <c r="B872" s="48"/>
      <c r="C872" s="48"/>
      <c r="D872" s="721"/>
      <c r="E872" s="711"/>
      <c r="F872" s="711"/>
      <c r="G872" s="721"/>
      <c r="H872" s="721"/>
      <c r="I872" s="721"/>
      <c r="J872" s="48"/>
      <c r="K872" s="721"/>
      <c r="L872" s="721"/>
      <c r="M872" s="721"/>
      <c r="N872" s="719"/>
      <c r="O872" s="48"/>
      <c r="P872" s="719"/>
      <c r="Q872" s="48"/>
      <c r="R872" s="714" t="str">
        <f>IFERROR(__xludf.DUMMYFUNCTION("""COMPUTED_VALUE"""),"2526GRANDEVEN15.D")</f>
        <v>2526GRANDEVEN15.D</v>
      </c>
      <c r="S872" s="711">
        <f>IFERROR(__xludf.DUMMYFUNCTION("""COMPUTED_VALUE"""),15.0)</f>
        <v>15</v>
      </c>
      <c r="T872" s="722" t="str">
        <f>IFERROR(__xludf.DUMMYFUNCTION("""COMPUTED_VALUE"""),"2526GRANDEVEN15.D")</f>
        <v>2526GRANDEVEN15.D</v>
      </c>
      <c r="U872" s="721"/>
      <c r="V872" s="711"/>
      <c r="W872" s="721"/>
      <c r="X872" s="721"/>
      <c r="Y872" s="48"/>
      <c r="Z872" s="48"/>
      <c r="AA872" s="48"/>
      <c r="AB872" s="711"/>
      <c r="AC872" s="711"/>
      <c r="AD872" s="711"/>
      <c r="AE872" s="711"/>
      <c r="AF872" s="711"/>
      <c r="AG872" s="711"/>
      <c r="AH872" s="711"/>
    </row>
    <row r="873">
      <c r="A873" s="48"/>
      <c r="B873" s="48"/>
      <c r="C873" s="48"/>
      <c r="D873" s="721"/>
      <c r="E873" s="711"/>
      <c r="F873" s="711"/>
      <c r="G873" s="721"/>
      <c r="H873" s="721"/>
      <c r="I873" s="721"/>
      <c r="J873" s="48"/>
      <c r="K873" s="721"/>
      <c r="L873" s="721"/>
      <c r="M873" s="721"/>
      <c r="N873" s="719"/>
      <c r="O873" s="48"/>
      <c r="P873" s="719"/>
      <c r="Q873" s="48"/>
      <c r="R873" s="48"/>
      <c r="S873" s="711" t="str">
        <f>IFERROR(__xludf.DUMMYFUNCTION("""COMPUTED_VALUE"""),"")</f>
        <v/>
      </c>
      <c r="T873" s="721"/>
      <c r="U873" s="721"/>
      <c r="V873" s="711"/>
      <c r="W873" s="721"/>
      <c r="X873" s="721"/>
      <c r="Y873" s="48"/>
      <c r="Z873" s="48"/>
      <c r="AA873" s="48"/>
      <c r="AB873" s="711"/>
      <c r="AC873" s="711"/>
      <c r="AD873" s="711"/>
      <c r="AE873" s="711"/>
      <c r="AF873" s="711"/>
      <c r="AG873" s="711"/>
      <c r="AH873" s="711"/>
    </row>
    <row r="874">
      <c r="A874" s="48"/>
      <c r="B874" s="48"/>
      <c r="C874" s="48"/>
      <c r="D874" s="721"/>
      <c r="E874" s="711"/>
      <c r="F874" s="711"/>
      <c r="G874" s="721"/>
      <c r="H874" s="721"/>
      <c r="I874" s="721"/>
      <c r="J874" s="48"/>
      <c r="K874" s="721"/>
      <c r="L874" s="721"/>
      <c r="M874" s="721"/>
      <c r="N874" s="719"/>
      <c r="O874" s="48"/>
      <c r="P874" s="719"/>
      <c r="Q874" s="48"/>
      <c r="R874" s="48"/>
      <c r="S874" s="711" t="str">
        <f>IFERROR(__xludf.DUMMYFUNCTION("""COMPUTED_VALUE"""),"")</f>
        <v/>
      </c>
      <c r="T874" s="721"/>
      <c r="U874" s="721"/>
      <c r="V874" s="711"/>
      <c r="W874" s="721"/>
      <c r="X874" s="721"/>
      <c r="Y874" s="48"/>
      <c r="Z874" s="48"/>
      <c r="AA874" s="48"/>
      <c r="AB874" s="711"/>
      <c r="AC874" s="711"/>
      <c r="AD874" s="711"/>
      <c r="AE874" s="711"/>
      <c r="AF874" s="711"/>
      <c r="AG874" s="711"/>
      <c r="AH874" s="711"/>
    </row>
    <row r="875">
      <c r="A875" s="48"/>
      <c r="B875" s="48"/>
      <c r="C875" s="48"/>
      <c r="D875" s="721"/>
      <c r="E875" s="711"/>
      <c r="F875" s="711"/>
      <c r="G875" s="721"/>
      <c r="H875" s="721"/>
      <c r="I875" s="721"/>
      <c r="J875" s="48"/>
      <c r="K875" s="721"/>
      <c r="L875" s="721"/>
      <c r="M875" s="721"/>
      <c r="N875" s="719"/>
      <c r="O875" s="48"/>
      <c r="P875" s="719"/>
      <c r="Q875" s="48"/>
      <c r="R875" s="48"/>
      <c r="S875" s="711" t="str">
        <f>IFERROR(__xludf.DUMMYFUNCTION("""COMPUTED_VALUE"""),"")</f>
        <v/>
      </c>
      <c r="T875" s="721"/>
      <c r="U875" s="721"/>
      <c r="V875" s="711"/>
      <c r="W875" s="721"/>
      <c r="X875" s="721"/>
      <c r="Y875" s="48"/>
      <c r="Z875" s="48"/>
      <c r="AA875" s="48"/>
      <c r="AB875" s="711"/>
      <c r="AC875" s="711"/>
      <c r="AD875" s="711"/>
      <c r="AE875" s="711"/>
      <c r="AF875" s="711"/>
      <c r="AG875" s="711"/>
      <c r="AH875" s="711"/>
    </row>
    <row r="876">
      <c r="A876" s="48"/>
      <c r="B876" s="48"/>
      <c r="C876" s="48"/>
      <c r="D876" s="721"/>
      <c r="E876" s="711"/>
      <c r="F876" s="711"/>
      <c r="G876" s="721"/>
      <c r="H876" s="721"/>
      <c r="I876" s="721"/>
      <c r="J876" s="48"/>
      <c r="K876" s="721"/>
      <c r="L876" s="721"/>
      <c r="M876" s="721"/>
      <c r="N876" s="719"/>
      <c r="O876" s="48"/>
      <c r="P876" s="719"/>
      <c r="Q876" s="48"/>
      <c r="R876" s="48"/>
      <c r="S876" s="711" t="str">
        <f>IFERROR(__xludf.DUMMYFUNCTION("""COMPUTED_VALUE"""),"")</f>
        <v/>
      </c>
      <c r="T876" s="721"/>
      <c r="U876" s="721"/>
      <c r="V876" s="711"/>
      <c r="W876" s="721"/>
      <c r="X876" s="721"/>
      <c r="Y876" s="48"/>
      <c r="Z876" s="48"/>
      <c r="AA876" s="48"/>
      <c r="AB876" s="711"/>
      <c r="AC876" s="711"/>
      <c r="AD876" s="711"/>
      <c r="AE876" s="711"/>
      <c r="AF876" s="711"/>
      <c r="AG876" s="711"/>
      <c r="AH876" s="711"/>
    </row>
    <row r="877">
      <c r="A877" s="48"/>
      <c r="B877" s="48"/>
      <c r="C877" s="48"/>
      <c r="D877" s="721"/>
      <c r="E877" s="711"/>
      <c r="F877" s="711"/>
      <c r="G877" s="721"/>
      <c r="H877" s="721"/>
      <c r="I877" s="721"/>
      <c r="J877" s="48"/>
      <c r="K877" s="721"/>
      <c r="L877" s="721"/>
      <c r="M877" s="721"/>
      <c r="N877" s="719"/>
      <c r="O877" s="48"/>
      <c r="P877" s="719"/>
      <c r="Q877" s="48"/>
      <c r="R877" s="711" t="str">
        <f>IFERROR(__xludf.DUMMYFUNCTION("""COMPUTED_VALUE"""),"2526SEABRAVEN15.Y")</f>
        <v>2526SEABRAVEN15.Y</v>
      </c>
      <c r="S877" s="711">
        <f>IFERROR(__xludf.DUMMYFUNCTION("""COMPUTED_VALUE"""),20.0)</f>
        <v>20</v>
      </c>
      <c r="T877" s="721" t="str">
        <f>IFERROR(__xludf.DUMMYFUNCTION("""COMPUTED_VALUE"""),"2526SEABRAVEN15.Y")</f>
        <v>2526SEABRAVEN15.Y</v>
      </c>
      <c r="U877" s="721"/>
      <c r="V877" s="711"/>
      <c r="W877" s="721"/>
      <c r="X877" s="721"/>
      <c r="Y877" s="48"/>
      <c r="Z877" s="48"/>
      <c r="AA877" s="48"/>
      <c r="AB877" s="711"/>
      <c r="AC877" s="711"/>
      <c r="AD877" s="711"/>
      <c r="AE877" s="711"/>
      <c r="AF877" s="711"/>
      <c r="AG877" s="711"/>
      <c r="AH877" s="711"/>
    </row>
    <row r="878">
      <c r="A878" s="48"/>
      <c r="B878" s="48"/>
      <c r="C878" s="48"/>
      <c r="D878" s="721"/>
      <c r="E878" s="711"/>
      <c r="F878" s="711"/>
      <c r="G878" s="721"/>
      <c r="H878" s="721"/>
      <c r="I878" s="721"/>
      <c r="J878" s="48"/>
      <c r="K878" s="721"/>
      <c r="L878" s="721"/>
      <c r="M878" s="721"/>
      <c r="N878" s="719"/>
      <c r="O878" s="48"/>
      <c r="P878" s="719"/>
      <c r="Q878" s="48"/>
      <c r="R878" s="48"/>
      <c r="S878" s="711" t="str">
        <f>IFERROR(__xludf.DUMMYFUNCTION("""COMPUTED_VALUE"""),"")</f>
        <v/>
      </c>
      <c r="T878" s="721"/>
      <c r="U878" s="721"/>
      <c r="V878" s="711"/>
      <c r="W878" s="721"/>
      <c r="X878" s="721"/>
      <c r="Y878" s="48"/>
      <c r="Z878" s="48"/>
      <c r="AA878" s="48"/>
      <c r="AB878" s="711"/>
      <c r="AC878" s="711"/>
      <c r="AD878" s="711"/>
      <c r="AE878" s="711"/>
      <c r="AF878" s="711"/>
      <c r="AG878" s="711"/>
      <c r="AH878" s="711"/>
    </row>
    <row r="879">
      <c r="A879" s="48"/>
      <c r="B879" s="48"/>
      <c r="C879" s="48"/>
      <c r="D879" s="721"/>
      <c r="E879" s="711"/>
      <c r="F879" s="711"/>
      <c r="G879" s="721"/>
      <c r="H879" s="721"/>
      <c r="I879" s="721"/>
      <c r="J879" s="48"/>
      <c r="K879" s="721"/>
      <c r="L879" s="721"/>
      <c r="M879" s="721"/>
      <c r="N879" s="719"/>
      <c r="O879" s="48"/>
      <c r="P879" s="719"/>
      <c r="Q879" s="48"/>
      <c r="R879" s="48"/>
      <c r="S879" s="711" t="str">
        <f>IFERROR(__xludf.DUMMYFUNCTION("""COMPUTED_VALUE"""),"")</f>
        <v/>
      </c>
      <c r="T879" s="721"/>
      <c r="U879" s="721"/>
      <c r="V879" s="711"/>
      <c r="W879" s="721"/>
      <c r="X879" s="721"/>
      <c r="Y879" s="48"/>
      <c r="Z879" s="48"/>
      <c r="AA879" s="48"/>
      <c r="AB879" s="711"/>
      <c r="AC879" s="711"/>
      <c r="AD879" s="711"/>
      <c r="AE879" s="711"/>
      <c r="AF879" s="711"/>
      <c r="AG879" s="711"/>
      <c r="AH879" s="711"/>
    </row>
    <row r="880">
      <c r="A880" s="48"/>
      <c r="B880" s="48"/>
      <c r="C880" s="48"/>
      <c r="D880" s="721"/>
      <c r="E880" s="711"/>
      <c r="F880" s="711"/>
      <c r="G880" s="721"/>
      <c r="H880" s="721"/>
      <c r="I880" s="721"/>
      <c r="J880" s="48"/>
      <c r="K880" s="721"/>
      <c r="L880" s="721"/>
      <c r="M880" s="721"/>
      <c r="N880" s="719"/>
      <c r="O880" s="48"/>
      <c r="P880" s="719"/>
      <c r="Q880" s="48"/>
      <c r="R880" s="48"/>
      <c r="S880" s="711" t="str">
        <f>IFERROR(__xludf.DUMMYFUNCTION("""COMPUTED_VALUE"""),"")</f>
        <v/>
      </c>
      <c r="T880" s="721"/>
      <c r="U880" s="721"/>
      <c r="V880" s="711"/>
      <c r="W880" s="721"/>
      <c r="X880" s="721"/>
      <c r="Y880" s="48"/>
      <c r="Z880" s="48"/>
      <c r="AA880" s="48"/>
      <c r="AB880" s="711"/>
      <c r="AC880" s="711"/>
      <c r="AD880" s="711"/>
      <c r="AE880" s="711"/>
      <c r="AF880" s="711"/>
      <c r="AG880" s="711"/>
      <c r="AH880" s="711"/>
    </row>
    <row r="881">
      <c r="A881" s="48"/>
      <c r="B881" s="48"/>
      <c r="C881" s="48"/>
      <c r="D881" s="721"/>
      <c r="E881" s="711"/>
      <c r="F881" s="711"/>
      <c r="G881" s="721"/>
      <c r="H881" s="721"/>
      <c r="I881" s="721"/>
      <c r="J881" s="48"/>
      <c r="K881" s="721"/>
      <c r="L881" s="721"/>
      <c r="M881" s="721"/>
      <c r="N881" s="719"/>
      <c r="O881" s="48"/>
      <c r="P881" s="719"/>
      <c r="Q881" s="48"/>
      <c r="R881" s="48"/>
      <c r="S881" s="711" t="str">
        <f>IFERROR(__xludf.DUMMYFUNCTION("""COMPUTED_VALUE"""),"")</f>
        <v/>
      </c>
      <c r="T881" s="721"/>
      <c r="U881" s="721"/>
      <c r="V881" s="711"/>
      <c r="W881" s="721"/>
      <c r="X881" s="721"/>
      <c r="Y881" s="48"/>
      <c r="Z881" s="48"/>
      <c r="AA881" s="48"/>
      <c r="AB881" s="711"/>
      <c r="AC881" s="711"/>
      <c r="AD881" s="711"/>
      <c r="AE881" s="711"/>
      <c r="AF881" s="711"/>
      <c r="AG881" s="711"/>
      <c r="AH881" s="711"/>
    </row>
    <row r="882">
      <c r="A882" s="48"/>
      <c r="B882" s="48"/>
      <c r="C882" s="48"/>
      <c r="D882" s="721"/>
      <c r="E882" s="711"/>
      <c r="F882" s="711"/>
      <c r="G882" s="721"/>
      <c r="H882" s="721"/>
      <c r="I882" s="721"/>
      <c r="J882" s="48"/>
      <c r="K882" s="721"/>
      <c r="L882" s="721"/>
      <c r="M882" s="721"/>
      <c r="N882" s="719"/>
      <c r="O882" s="48"/>
      <c r="P882" s="719"/>
      <c r="Q882" s="48"/>
      <c r="R882" s="48"/>
      <c r="S882" s="711" t="str">
        <f>IFERROR(__xludf.DUMMYFUNCTION("""COMPUTED_VALUE"""),"")</f>
        <v/>
      </c>
      <c r="T882" s="721"/>
      <c r="U882" s="721"/>
      <c r="V882" s="711"/>
      <c r="W882" s="721"/>
      <c r="X882" s="721"/>
      <c r="Y882" s="48"/>
      <c r="Z882" s="48"/>
      <c r="AA882" s="48"/>
      <c r="AB882" s="711"/>
      <c r="AC882" s="711"/>
      <c r="AD882" s="711"/>
      <c r="AE882" s="711"/>
      <c r="AF882" s="711"/>
      <c r="AG882" s="711"/>
      <c r="AH882" s="711"/>
    </row>
    <row r="883">
      <c r="A883" s="48"/>
      <c r="B883" s="48"/>
      <c r="C883" s="48"/>
      <c r="D883" s="721"/>
      <c r="E883" s="711"/>
      <c r="F883" s="711"/>
      <c r="G883" s="721"/>
      <c r="H883" s="721"/>
      <c r="I883" s="721"/>
      <c r="J883" s="48"/>
      <c r="K883" s="721"/>
      <c r="L883" s="721"/>
      <c r="M883" s="721"/>
      <c r="N883" s="719"/>
      <c r="O883" s="48"/>
      <c r="P883" s="719"/>
      <c r="Q883" s="48"/>
      <c r="R883" s="48"/>
      <c r="S883" s="711" t="str">
        <f>IFERROR(__xludf.DUMMYFUNCTION("""COMPUTED_VALUE"""),"")</f>
        <v/>
      </c>
      <c r="T883" s="721"/>
      <c r="U883" s="721"/>
      <c r="V883" s="711"/>
      <c r="W883" s="721"/>
      <c r="X883" s="721"/>
      <c r="Y883" s="48"/>
      <c r="Z883" s="48"/>
      <c r="AA883" s="48"/>
      <c r="AB883" s="711"/>
      <c r="AC883" s="711"/>
      <c r="AD883" s="711"/>
      <c r="AE883" s="711"/>
      <c r="AF883" s="711"/>
      <c r="AG883" s="711"/>
      <c r="AH883" s="711"/>
    </row>
    <row r="884">
      <c r="A884" s="48"/>
      <c r="B884" s="48"/>
      <c r="C884" s="48"/>
      <c r="D884" s="721"/>
      <c r="E884" s="711"/>
      <c r="F884" s="711"/>
      <c r="G884" s="721"/>
      <c r="H884" s="721"/>
      <c r="I884" s="721"/>
      <c r="J884" s="48"/>
      <c r="K884" s="721"/>
      <c r="L884" s="721"/>
      <c r="M884" s="721"/>
      <c r="N884" s="719"/>
      <c r="O884" s="48"/>
      <c r="P884" s="719"/>
      <c r="Q884" s="48"/>
      <c r="R884" s="714" t="str">
        <f>IFERROR(__xludf.DUMMYFUNCTION("""COMPUTED_VALUE"""),"2526GRANDEVEN16.D")</f>
        <v>2526GRANDEVEN16.D</v>
      </c>
      <c r="S884" s="711">
        <f>IFERROR(__xludf.DUMMYFUNCTION("""COMPUTED_VALUE"""),15.0)</f>
        <v>15</v>
      </c>
      <c r="T884" s="722" t="str">
        <f>IFERROR(__xludf.DUMMYFUNCTION("""COMPUTED_VALUE"""),"2526GRANDEVEN16.D")</f>
        <v>2526GRANDEVEN16.D</v>
      </c>
      <c r="U884" s="721"/>
      <c r="V884" s="711"/>
      <c r="W884" s="721"/>
      <c r="X884" s="721"/>
      <c r="Y884" s="48"/>
      <c r="Z884" s="48"/>
      <c r="AA884" s="48"/>
      <c r="AB884" s="711"/>
      <c r="AC884" s="711"/>
      <c r="AD884" s="711"/>
      <c r="AE884" s="711"/>
      <c r="AF884" s="711"/>
      <c r="AG884" s="711"/>
      <c r="AH884" s="711"/>
    </row>
    <row r="885">
      <c r="A885" s="48"/>
      <c r="B885" s="48"/>
      <c r="C885" s="48"/>
      <c r="D885" s="721"/>
      <c r="E885" s="711"/>
      <c r="F885" s="711"/>
      <c r="G885" s="721"/>
      <c r="H885" s="721"/>
      <c r="I885" s="721"/>
      <c r="J885" s="48"/>
      <c r="K885" s="721"/>
      <c r="L885" s="721"/>
      <c r="M885" s="721"/>
      <c r="N885" s="719"/>
      <c r="O885" s="48"/>
      <c r="P885" s="719"/>
      <c r="Q885" s="48"/>
      <c r="R885" s="48"/>
      <c r="S885" s="711" t="str">
        <f>IFERROR(__xludf.DUMMYFUNCTION("""COMPUTED_VALUE"""),"")</f>
        <v/>
      </c>
      <c r="T885" s="721"/>
      <c r="U885" s="721"/>
      <c r="V885" s="711"/>
      <c r="W885" s="721"/>
      <c r="X885" s="721"/>
      <c r="Y885" s="48"/>
      <c r="Z885" s="48"/>
      <c r="AA885" s="48"/>
      <c r="AB885" s="711"/>
      <c r="AC885" s="711"/>
      <c r="AD885" s="711"/>
      <c r="AE885" s="711"/>
      <c r="AF885" s="711"/>
      <c r="AG885" s="711"/>
      <c r="AH885" s="711"/>
    </row>
    <row r="886">
      <c r="A886" s="48"/>
      <c r="B886" s="48"/>
      <c r="C886" s="48"/>
      <c r="D886" s="721"/>
      <c r="E886" s="711"/>
      <c r="F886" s="711"/>
      <c r="G886" s="721"/>
      <c r="H886" s="721"/>
      <c r="I886" s="721"/>
      <c r="J886" s="48"/>
      <c r="K886" s="721"/>
      <c r="L886" s="721"/>
      <c r="M886" s="721"/>
      <c r="N886" s="719"/>
      <c r="O886" s="48"/>
      <c r="P886" s="719"/>
      <c r="Q886" s="48"/>
      <c r="R886" s="48"/>
      <c r="S886" s="711" t="str">
        <f>IFERROR(__xludf.DUMMYFUNCTION("""COMPUTED_VALUE"""),"")</f>
        <v/>
      </c>
      <c r="T886" s="721"/>
      <c r="U886" s="721"/>
      <c r="V886" s="711"/>
      <c r="W886" s="721"/>
      <c r="X886" s="721"/>
      <c r="Y886" s="48"/>
      <c r="Z886" s="48"/>
      <c r="AA886" s="48"/>
      <c r="AB886" s="711"/>
      <c r="AC886" s="711"/>
      <c r="AD886" s="711"/>
      <c r="AE886" s="711"/>
      <c r="AF886" s="711"/>
      <c r="AG886" s="711"/>
      <c r="AH886" s="711"/>
    </row>
    <row r="887">
      <c r="A887" s="48"/>
      <c r="B887" s="48"/>
      <c r="C887" s="48"/>
      <c r="D887" s="721"/>
      <c r="E887" s="711"/>
      <c r="F887" s="711"/>
      <c r="G887" s="721"/>
      <c r="H887" s="721"/>
      <c r="I887" s="721"/>
      <c r="J887" s="48"/>
      <c r="K887" s="721"/>
      <c r="L887" s="721"/>
      <c r="M887" s="721"/>
      <c r="N887" s="719"/>
      <c r="O887" s="48"/>
      <c r="P887" s="719"/>
      <c r="Q887" s="48"/>
      <c r="R887" s="48"/>
      <c r="S887" s="711" t="str">
        <f>IFERROR(__xludf.DUMMYFUNCTION("""COMPUTED_VALUE"""),"")</f>
        <v/>
      </c>
      <c r="T887" s="721"/>
      <c r="U887" s="721"/>
      <c r="V887" s="711"/>
      <c r="W887" s="721"/>
      <c r="X887" s="721"/>
      <c r="Y887" s="48"/>
      <c r="Z887" s="48"/>
      <c r="AA887" s="48"/>
      <c r="AB887" s="711"/>
      <c r="AC887" s="711"/>
      <c r="AD887" s="711"/>
      <c r="AE887" s="711"/>
      <c r="AF887" s="711"/>
      <c r="AG887" s="711"/>
      <c r="AH887" s="711"/>
    </row>
    <row r="888">
      <c r="A888" s="48"/>
      <c r="B888" s="48"/>
      <c r="C888" s="48"/>
      <c r="D888" s="721"/>
      <c r="E888" s="711"/>
      <c r="F888" s="711"/>
      <c r="G888" s="721"/>
      <c r="H888" s="721"/>
      <c r="I888" s="721"/>
      <c r="J888" s="48"/>
      <c r="K888" s="721"/>
      <c r="L888" s="721"/>
      <c r="M888" s="721"/>
      <c r="N888" s="719"/>
      <c r="O888" s="48"/>
      <c r="P888" s="719"/>
      <c r="Q888" s="48"/>
      <c r="R888" s="48"/>
      <c r="S888" s="711" t="str">
        <f>IFERROR(__xludf.DUMMYFUNCTION("""COMPUTED_VALUE"""),"")</f>
        <v/>
      </c>
      <c r="T888" s="721"/>
      <c r="U888" s="721"/>
      <c r="V888" s="711"/>
      <c r="W888" s="721"/>
      <c r="X888" s="721"/>
      <c r="Y888" s="48"/>
      <c r="Z888" s="48"/>
      <c r="AA888" s="48"/>
      <c r="AB888" s="711"/>
      <c r="AC888" s="711"/>
      <c r="AD888" s="711"/>
      <c r="AE888" s="711"/>
      <c r="AF888" s="711"/>
      <c r="AG888" s="711"/>
      <c r="AH888" s="711"/>
    </row>
    <row r="889">
      <c r="A889" s="48"/>
      <c r="B889" s="48"/>
      <c r="C889" s="48"/>
      <c r="D889" s="721"/>
      <c r="E889" s="711"/>
      <c r="F889" s="711"/>
      <c r="G889" s="721"/>
      <c r="H889" s="721"/>
      <c r="I889" s="721"/>
      <c r="J889" s="48"/>
      <c r="K889" s="721"/>
      <c r="L889" s="721"/>
      <c r="M889" s="721"/>
      <c r="N889" s="719"/>
      <c r="O889" s="48"/>
      <c r="P889" s="719"/>
      <c r="Q889" s="48"/>
      <c r="R889" s="711" t="str">
        <f>IFERROR(__xludf.DUMMYFUNCTION("""COMPUTED_VALUE"""),"2526SEABRAVEN16.Y")</f>
        <v>2526SEABRAVEN16.Y</v>
      </c>
      <c r="S889" s="711">
        <f>IFERROR(__xludf.DUMMYFUNCTION("""COMPUTED_VALUE"""),20.0)</f>
        <v>20</v>
      </c>
      <c r="T889" s="721" t="str">
        <f>IFERROR(__xludf.DUMMYFUNCTION("""COMPUTED_VALUE"""),"2526SEABRAVEN16.Y")</f>
        <v>2526SEABRAVEN16.Y</v>
      </c>
      <c r="U889" s="721"/>
      <c r="V889" s="711"/>
      <c r="W889" s="721"/>
      <c r="X889" s="721"/>
      <c r="Y889" s="48"/>
      <c r="Z889" s="48"/>
      <c r="AA889" s="48"/>
      <c r="AB889" s="711"/>
      <c r="AC889" s="711"/>
      <c r="AD889" s="711"/>
      <c r="AE889" s="711"/>
      <c r="AF889" s="711"/>
      <c r="AG889" s="711"/>
      <c r="AH889" s="711"/>
    </row>
    <row r="890">
      <c r="A890" s="48"/>
      <c r="B890" s="48"/>
      <c r="C890" s="48"/>
      <c r="D890" s="721"/>
      <c r="E890" s="711"/>
      <c r="F890" s="711"/>
      <c r="G890" s="721"/>
      <c r="H890" s="721"/>
      <c r="I890" s="721"/>
      <c r="J890" s="48"/>
      <c r="K890" s="721"/>
      <c r="L890" s="721"/>
      <c r="M890" s="721"/>
      <c r="N890" s="719"/>
      <c r="O890" s="48"/>
      <c r="P890" s="719"/>
      <c r="Q890" s="48"/>
      <c r="R890" s="48"/>
      <c r="S890" s="711" t="str">
        <f>IFERROR(__xludf.DUMMYFUNCTION("""COMPUTED_VALUE"""),"")</f>
        <v/>
      </c>
      <c r="T890" s="721"/>
      <c r="U890" s="721"/>
      <c r="V890" s="711"/>
      <c r="W890" s="721"/>
      <c r="X890" s="721"/>
      <c r="Y890" s="48"/>
      <c r="Z890" s="48"/>
      <c r="AA890" s="48"/>
      <c r="AB890" s="711"/>
      <c r="AC890" s="711"/>
      <c r="AD890" s="711"/>
      <c r="AE890" s="711"/>
      <c r="AF890" s="711"/>
      <c r="AG890" s="711"/>
      <c r="AH890" s="711"/>
    </row>
    <row r="891">
      <c r="A891" s="48"/>
      <c r="B891" s="48"/>
      <c r="C891" s="48"/>
      <c r="D891" s="721"/>
      <c r="E891" s="711"/>
      <c r="F891" s="711"/>
      <c r="G891" s="721"/>
      <c r="H891" s="721"/>
      <c r="I891" s="721"/>
      <c r="J891" s="48"/>
      <c r="K891" s="721"/>
      <c r="L891" s="721"/>
      <c r="M891" s="721"/>
      <c r="N891" s="719"/>
      <c r="O891" s="48"/>
      <c r="P891" s="719"/>
      <c r="Q891" s="48"/>
      <c r="R891" s="48"/>
      <c r="S891" s="711" t="str">
        <f>IFERROR(__xludf.DUMMYFUNCTION("""COMPUTED_VALUE"""),"")</f>
        <v/>
      </c>
      <c r="T891" s="721"/>
      <c r="U891" s="721"/>
      <c r="V891" s="711"/>
      <c r="W891" s="721"/>
      <c r="X891" s="721"/>
      <c r="Y891" s="48"/>
      <c r="Z891" s="48"/>
      <c r="AA891" s="48"/>
      <c r="AB891" s="711"/>
      <c r="AC891" s="711"/>
      <c r="AD891" s="711"/>
      <c r="AE891" s="711"/>
      <c r="AF891" s="711"/>
      <c r="AG891" s="711"/>
      <c r="AH891" s="711"/>
    </row>
    <row r="892">
      <c r="A892" s="48"/>
      <c r="B892" s="48"/>
      <c r="C892" s="48"/>
      <c r="D892" s="721"/>
      <c r="E892" s="711"/>
      <c r="F892" s="711"/>
      <c r="G892" s="721"/>
      <c r="H892" s="721"/>
      <c r="I892" s="721"/>
      <c r="J892" s="48"/>
      <c r="K892" s="721"/>
      <c r="L892" s="721"/>
      <c r="M892" s="721"/>
      <c r="N892" s="719"/>
      <c r="O892" s="48"/>
      <c r="P892" s="719"/>
      <c r="Q892" s="48"/>
      <c r="R892" s="48"/>
      <c r="S892" s="711" t="str">
        <f>IFERROR(__xludf.DUMMYFUNCTION("""COMPUTED_VALUE"""),"")</f>
        <v/>
      </c>
      <c r="T892" s="721"/>
      <c r="U892" s="721"/>
      <c r="V892" s="711"/>
      <c r="W892" s="721"/>
      <c r="X892" s="721"/>
      <c r="Y892" s="48"/>
      <c r="Z892" s="48"/>
      <c r="AA892" s="48"/>
      <c r="AB892" s="711"/>
      <c r="AC892" s="711"/>
      <c r="AD892" s="711"/>
      <c r="AE892" s="711"/>
      <c r="AF892" s="711"/>
      <c r="AG892" s="711"/>
      <c r="AH892" s="711"/>
    </row>
    <row r="893">
      <c r="A893" s="48"/>
      <c r="B893" s="48"/>
      <c r="C893" s="48"/>
      <c r="D893" s="721"/>
      <c r="E893" s="711"/>
      <c r="F893" s="711"/>
      <c r="G893" s="721"/>
      <c r="H893" s="721"/>
      <c r="I893" s="721"/>
      <c r="J893" s="48"/>
      <c r="K893" s="721"/>
      <c r="L893" s="721"/>
      <c r="M893" s="721"/>
      <c r="N893" s="719"/>
      <c r="O893" s="48"/>
      <c r="P893" s="719"/>
      <c r="Q893" s="48"/>
      <c r="R893" s="48"/>
      <c r="S893" s="711" t="str">
        <f>IFERROR(__xludf.DUMMYFUNCTION("""COMPUTED_VALUE"""),"")</f>
        <v/>
      </c>
      <c r="T893" s="721"/>
      <c r="U893" s="721"/>
      <c r="V893" s="711"/>
      <c r="W893" s="721"/>
      <c r="X893" s="721"/>
      <c r="Y893" s="48"/>
      <c r="Z893" s="48"/>
      <c r="AA893" s="48"/>
      <c r="AB893" s="711"/>
      <c r="AC893" s="711"/>
      <c r="AD893" s="711"/>
      <c r="AE893" s="711"/>
      <c r="AF893" s="711"/>
      <c r="AG893" s="711"/>
      <c r="AH893" s="711"/>
    </row>
    <row r="894">
      <c r="A894" s="48"/>
      <c r="B894" s="48"/>
      <c r="C894" s="48"/>
      <c r="D894" s="721"/>
      <c r="E894" s="711"/>
      <c r="F894" s="711"/>
      <c r="G894" s="721"/>
      <c r="H894" s="721"/>
      <c r="I894" s="721"/>
      <c r="J894" s="48"/>
      <c r="K894" s="721"/>
      <c r="L894" s="721"/>
      <c r="M894" s="721"/>
      <c r="N894" s="719"/>
      <c r="O894" s="48"/>
      <c r="P894" s="719"/>
      <c r="Q894" s="48"/>
      <c r="R894" s="714" t="str">
        <f>IFERROR(__xludf.DUMMYFUNCTION("""COMPUTED_VALUE"""),"2526MARINOVEN17.B")</f>
        <v>2526MARINOVEN17.B</v>
      </c>
      <c r="S894" s="711">
        <f>IFERROR(__xludf.DUMMYFUNCTION("""COMPUTED_VALUE"""),11.0)</f>
        <v>11</v>
      </c>
      <c r="T894" s="722" t="str">
        <f>IFERROR(__xludf.DUMMYFUNCTION("""COMPUTED_VALUE"""),"2526MARINOVEN17.B")</f>
        <v>2526MARINOVEN17.B</v>
      </c>
      <c r="U894" s="721"/>
      <c r="V894" s="711"/>
      <c r="W894" s="721"/>
      <c r="X894" s="721"/>
      <c r="Y894" s="48"/>
      <c r="Z894" s="48"/>
      <c r="AA894" s="48"/>
      <c r="AB894" s="711"/>
      <c r="AC894" s="711"/>
      <c r="AD894" s="711"/>
      <c r="AE894" s="711"/>
      <c r="AF894" s="711"/>
      <c r="AG894" s="711"/>
      <c r="AH894" s="711"/>
    </row>
    <row r="895">
      <c r="A895" s="48"/>
      <c r="B895" s="48"/>
      <c r="C895" s="48"/>
      <c r="D895" s="721"/>
      <c r="E895" s="711"/>
      <c r="F895" s="711"/>
      <c r="G895" s="721"/>
      <c r="H895" s="721"/>
      <c r="I895" s="721"/>
      <c r="J895" s="48"/>
      <c r="K895" s="721"/>
      <c r="L895" s="721"/>
      <c r="M895" s="721"/>
      <c r="N895" s="719"/>
      <c r="O895" s="48"/>
      <c r="P895" s="719"/>
      <c r="Q895" s="48"/>
      <c r="R895" s="48"/>
      <c r="S895" s="711" t="str">
        <f>IFERROR(__xludf.DUMMYFUNCTION("""COMPUTED_VALUE"""),"")</f>
        <v/>
      </c>
      <c r="T895" s="721"/>
      <c r="U895" s="721"/>
      <c r="V895" s="711"/>
      <c r="W895" s="721"/>
      <c r="X895" s="721"/>
      <c r="Y895" s="48"/>
      <c r="Z895" s="48"/>
      <c r="AA895" s="48"/>
      <c r="AB895" s="711"/>
      <c r="AC895" s="711"/>
      <c r="AD895" s="711"/>
      <c r="AE895" s="711"/>
      <c r="AF895" s="711"/>
      <c r="AG895" s="711"/>
      <c r="AH895" s="711"/>
    </row>
    <row r="896">
      <c r="A896" s="48"/>
      <c r="B896" s="48"/>
      <c r="C896" s="48"/>
      <c r="D896" s="721"/>
      <c r="E896" s="711"/>
      <c r="F896" s="711"/>
      <c r="G896" s="721"/>
      <c r="H896" s="721"/>
      <c r="I896" s="721"/>
      <c r="J896" s="48"/>
      <c r="K896" s="721"/>
      <c r="L896" s="721"/>
      <c r="M896" s="721"/>
      <c r="N896" s="719"/>
      <c r="O896" s="48"/>
      <c r="P896" s="719"/>
      <c r="Q896" s="48"/>
      <c r="R896" s="48"/>
      <c r="S896" s="711" t="str">
        <f>IFERROR(__xludf.DUMMYFUNCTION("""COMPUTED_VALUE"""),"")</f>
        <v/>
      </c>
      <c r="T896" s="721"/>
      <c r="U896" s="721"/>
      <c r="V896" s="711"/>
      <c r="W896" s="721"/>
      <c r="X896" s="721"/>
      <c r="Y896" s="48"/>
      <c r="Z896" s="48"/>
      <c r="AA896" s="48"/>
      <c r="AB896" s="711"/>
      <c r="AC896" s="711"/>
      <c r="AD896" s="711"/>
      <c r="AE896" s="711"/>
      <c r="AF896" s="711"/>
      <c r="AG896" s="711"/>
      <c r="AH896" s="711"/>
    </row>
    <row r="897">
      <c r="A897" s="48"/>
      <c r="B897" s="48"/>
      <c r="C897" s="48"/>
      <c r="D897" s="721"/>
      <c r="E897" s="711"/>
      <c r="F897" s="711"/>
      <c r="G897" s="721"/>
      <c r="H897" s="721"/>
      <c r="I897" s="721"/>
      <c r="J897" s="48"/>
      <c r="K897" s="721"/>
      <c r="L897" s="721"/>
      <c r="M897" s="721"/>
      <c r="N897" s="719"/>
      <c r="O897" s="48"/>
      <c r="P897" s="719"/>
      <c r="Q897" s="48"/>
      <c r="R897" s="48"/>
      <c r="S897" s="711" t="str">
        <f>IFERROR(__xludf.DUMMYFUNCTION("""COMPUTED_VALUE"""),"")</f>
        <v/>
      </c>
      <c r="T897" s="721"/>
      <c r="U897" s="721"/>
      <c r="V897" s="711"/>
      <c r="W897" s="721"/>
      <c r="X897" s="721"/>
      <c r="Y897" s="48"/>
      <c r="Z897" s="48"/>
      <c r="AA897" s="48"/>
      <c r="AB897" s="711"/>
      <c r="AC897" s="711"/>
      <c r="AD897" s="711"/>
      <c r="AE897" s="711"/>
      <c r="AF897" s="711"/>
      <c r="AG897" s="711"/>
      <c r="AH897" s="711"/>
    </row>
    <row r="898">
      <c r="A898" s="48"/>
      <c r="B898" s="48"/>
      <c r="C898" s="48"/>
      <c r="D898" s="721"/>
      <c r="E898" s="711"/>
      <c r="F898" s="711"/>
      <c r="G898" s="721"/>
      <c r="H898" s="721"/>
      <c r="I898" s="721"/>
      <c r="J898" s="48"/>
      <c r="K898" s="721"/>
      <c r="L898" s="721"/>
      <c r="M898" s="721"/>
      <c r="N898" s="719"/>
      <c r="O898" s="48"/>
      <c r="P898" s="719"/>
      <c r="Q898" s="48"/>
      <c r="R898" s="48"/>
      <c r="S898" s="711" t="str">
        <f>IFERROR(__xludf.DUMMYFUNCTION("""COMPUTED_VALUE"""),"")</f>
        <v/>
      </c>
      <c r="T898" s="721"/>
      <c r="U898" s="721"/>
      <c r="V898" s="711"/>
      <c r="W898" s="721"/>
      <c r="X898" s="721"/>
      <c r="Y898" s="48"/>
      <c r="Z898" s="48"/>
      <c r="AA898" s="48"/>
      <c r="AB898" s="711"/>
      <c r="AC898" s="711"/>
      <c r="AD898" s="711"/>
      <c r="AE898" s="711"/>
      <c r="AF898" s="711"/>
      <c r="AG898" s="711"/>
      <c r="AH898" s="711"/>
    </row>
    <row r="899">
      <c r="A899" s="48"/>
      <c r="B899" s="48"/>
      <c r="C899" s="48"/>
      <c r="D899" s="721"/>
      <c r="E899" s="711"/>
      <c r="F899" s="711"/>
      <c r="G899" s="721"/>
      <c r="H899" s="721"/>
      <c r="I899" s="721"/>
      <c r="J899" s="48"/>
      <c r="K899" s="721"/>
      <c r="L899" s="721"/>
      <c r="M899" s="721"/>
      <c r="N899" s="719"/>
      <c r="O899" s="48"/>
      <c r="P899" s="719"/>
      <c r="Q899" s="48"/>
      <c r="R899" s="714" t="str">
        <f>IFERROR(__xludf.DUMMYFUNCTION("""COMPUTED_VALUE"""),"2526ANAHITAVEN17.B")</f>
        <v>2526ANAHITAVEN17.B</v>
      </c>
      <c r="S899" s="711">
        <f>IFERROR(__xludf.DUMMYFUNCTION("""COMPUTED_VALUE"""),24.0)</f>
        <v>24</v>
      </c>
      <c r="T899" s="722" t="str">
        <f>IFERROR(__xludf.DUMMYFUNCTION("""COMPUTED_VALUE"""),"2526ANAHITAVEN17.B")</f>
        <v>2526ANAHITAVEN17.B</v>
      </c>
      <c r="U899" s="721"/>
      <c r="V899" s="711"/>
      <c r="W899" s="721"/>
      <c r="X899" s="721"/>
      <c r="Y899" s="48"/>
      <c r="Z899" s="48"/>
      <c r="AA899" s="48"/>
      <c r="AB899" s="711"/>
      <c r="AC899" s="711"/>
      <c r="AD899" s="711"/>
      <c r="AE899" s="711"/>
      <c r="AF899" s="711"/>
      <c r="AG899" s="711"/>
      <c r="AH899" s="711"/>
    </row>
    <row r="900">
      <c r="A900" s="48"/>
      <c r="B900" s="48"/>
      <c r="C900" s="48"/>
      <c r="D900" s="721"/>
      <c r="E900" s="711"/>
      <c r="F900" s="711"/>
      <c r="G900" s="721"/>
      <c r="H900" s="721"/>
      <c r="I900" s="721"/>
      <c r="J900" s="48"/>
      <c r="K900" s="721"/>
      <c r="L900" s="721"/>
      <c r="M900" s="721"/>
      <c r="N900" s="719"/>
      <c r="O900" s="48"/>
      <c r="P900" s="719"/>
      <c r="Q900" s="48"/>
      <c r="R900" s="48"/>
      <c r="S900" s="711" t="str">
        <f>IFERROR(__xludf.DUMMYFUNCTION("""COMPUTED_VALUE"""),"")</f>
        <v/>
      </c>
      <c r="T900" s="721"/>
      <c r="U900" s="721"/>
      <c r="V900" s="711"/>
      <c r="W900" s="721"/>
      <c r="X900" s="721"/>
      <c r="Y900" s="48"/>
      <c r="Z900" s="48"/>
      <c r="AA900" s="48"/>
      <c r="AB900" s="711"/>
      <c r="AC900" s="711"/>
      <c r="AD900" s="711"/>
      <c r="AE900" s="711"/>
      <c r="AF900" s="711"/>
      <c r="AG900" s="711"/>
      <c r="AH900" s="711"/>
    </row>
    <row r="901">
      <c r="A901" s="48"/>
      <c r="B901" s="48"/>
      <c r="C901" s="48"/>
      <c r="D901" s="721"/>
      <c r="E901" s="711"/>
      <c r="F901" s="711"/>
      <c r="G901" s="721"/>
      <c r="H901" s="721"/>
      <c r="I901" s="721"/>
      <c r="J901" s="48"/>
      <c r="K901" s="721"/>
      <c r="L901" s="721"/>
      <c r="M901" s="721"/>
      <c r="N901" s="719"/>
      <c r="O901" s="48"/>
      <c r="P901" s="719"/>
      <c r="Q901" s="48"/>
      <c r="R901" s="714" t="str">
        <f>IFERROR(__xludf.DUMMYFUNCTION("""COMPUTED_VALUE"""),"2526GRANDEVEN17.B")</f>
        <v>2526GRANDEVEN17.B</v>
      </c>
      <c r="S901" s="711">
        <f>IFERROR(__xludf.DUMMYFUNCTION("""COMPUTED_VALUE"""),15.0)</f>
        <v>15</v>
      </c>
      <c r="T901" s="722" t="str">
        <f>IFERROR(__xludf.DUMMYFUNCTION("""COMPUTED_VALUE"""),"2526GRANDEVEN17.B")</f>
        <v>2526GRANDEVEN17.B</v>
      </c>
      <c r="U901" s="721"/>
      <c r="V901" s="711"/>
      <c r="W901" s="721"/>
      <c r="X901" s="721"/>
      <c r="Y901" s="48"/>
      <c r="Z901" s="48"/>
      <c r="AA901" s="48"/>
      <c r="AB901" s="711"/>
      <c r="AC901" s="711"/>
      <c r="AD901" s="711"/>
      <c r="AE901" s="711"/>
      <c r="AF901" s="711"/>
      <c r="AG901" s="711"/>
      <c r="AH901" s="711"/>
    </row>
    <row r="902">
      <c r="A902" s="48"/>
      <c r="B902" s="48"/>
      <c r="C902" s="48"/>
      <c r="D902" s="721"/>
      <c r="E902" s="711"/>
      <c r="F902" s="711"/>
      <c r="G902" s="721"/>
      <c r="H902" s="721"/>
      <c r="I902" s="721"/>
      <c r="J902" s="48"/>
      <c r="K902" s="721"/>
      <c r="L902" s="721"/>
      <c r="M902" s="721"/>
      <c r="N902" s="719"/>
      <c r="O902" s="48"/>
      <c r="P902" s="719"/>
      <c r="Q902" s="48"/>
      <c r="R902" s="714" t="str">
        <f>IFERROR(__xludf.DUMMYFUNCTION("""COMPUTED_VALUE"""),"2526SETTIVEN18.F")</f>
        <v>2526SETTIVEN18.F</v>
      </c>
      <c r="S902" s="711">
        <f>IFERROR(__xludf.DUMMYFUNCTION("""COMPUTED_VALUE"""),15.0)</f>
        <v>15</v>
      </c>
      <c r="T902" s="722" t="str">
        <f>IFERROR(__xludf.DUMMYFUNCTION("""COMPUTED_VALUE"""),"2526SETTIVEN18.F")</f>
        <v>2526SETTIVEN18.F</v>
      </c>
      <c r="U902" s="721"/>
      <c r="V902" s="711"/>
      <c r="W902" s="721"/>
      <c r="X902" s="721"/>
      <c r="Y902" s="48"/>
      <c r="Z902" s="48"/>
      <c r="AA902" s="48"/>
      <c r="AB902" s="711"/>
      <c r="AC902" s="711"/>
      <c r="AD902" s="711"/>
      <c r="AE902" s="711"/>
      <c r="AF902" s="711"/>
      <c r="AG902" s="711"/>
      <c r="AH902" s="711"/>
    </row>
    <row r="903">
      <c r="A903" s="48"/>
      <c r="B903" s="48"/>
      <c r="C903" s="48"/>
      <c r="D903" s="721"/>
      <c r="E903" s="711"/>
      <c r="F903" s="711"/>
      <c r="G903" s="721"/>
      <c r="H903" s="721"/>
      <c r="I903" s="721"/>
      <c r="J903" s="48"/>
      <c r="K903" s="721"/>
      <c r="L903" s="721"/>
      <c r="M903" s="721"/>
      <c r="N903" s="719"/>
      <c r="O903" s="48"/>
      <c r="P903" s="719"/>
      <c r="Q903" s="48"/>
      <c r="R903" s="48"/>
      <c r="S903" s="711" t="str">
        <f>IFERROR(__xludf.DUMMYFUNCTION("""COMPUTED_VALUE"""),"")</f>
        <v/>
      </c>
      <c r="T903" s="721"/>
      <c r="U903" s="721"/>
      <c r="V903" s="711"/>
      <c r="W903" s="721"/>
      <c r="X903" s="721"/>
      <c r="Y903" s="48"/>
      <c r="Z903" s="48"/>
      <c r="AA903" s="48"/>
      <c r="AB903" s="711"/>
      <c r="AC903" s="711"/>
      <c r="AD903" s="711"/>
      <c r="AE903" s="711"/>
      <c r="AF903" s="711"/>
      <c r="AG903" s="711"/>
      <c r="AH903" s="711"/>
    </row>
    <row r="904">
      <c r="A904" s="48"/>
      <c r="B904" s="48"/>
      <c r="C904" s="48"/>
      <c r="D904" s="721"/>
      <c r="E904" s="711"/>
      <c r="F904" s="711"/>
      <c r="G904" s="721"/>
      <c r="H904" s="721"/>
      <c r="I904" s="721"/>
      <c r="J904" s="48"/>
      <c r="K904" s="721"/>
      <c r="L904" s="721"/>
      <c r="M904" s="721"/>
      <c r="N904" s="719"/>
      <c r="O904" s="48"/>
      <c r="P904" s="719"/>
      <c r="Q904" s="48"/>
      <c r="R904" s="48"/>
      <c r="S904" s="711" t="str">
        <f>IFERROR(__xludf.DUMMYFUNCTION("""COMPUTED_VALUE"""),"")</f>
        <v/>
      </c>
      <c r="T904" s="721"/>
      <c r="U904" s="721"/>
      <c r="V904" s="711"/>
      <c r="W904" s="721"/>
      <c r="X904" s="721"/>
      <c r="Y904" s="48"/>
      <c r="Z904" s="48"/>
      <c r="AA904" s="48"/>
      <c r="AB904" s="711"/>
      <c r="AC904" s="711"/>
      <c r="AD904" s="711"/>
      <c r="AE904" s="711"/>
      <c r="AF904" s="711"/>
      <c r="AG904" s="711"/>
      <c r="AH904" s="711"/>
    </row>
    <row r="905">
      <c r="A905" s="48"/>
      <c r="B905" s="48"/>
      <c r="C905" s="48"/>
      <c r="D905" s="721"/>
      <c r="E905" s="711"/>
      <c r="F905" s="711"/>
      <c r="G905" s="721"/>
      <c r="H905" s="721"/>
      <c r="I905" s="721"/>
      <c r="J905" s="48"/>
      <c r="K905" s="721"/>
      <c r="L905" s="721"/>
      <c r="M905" s="721"/>
      <c r="N905" s="719"/>
      <c r="O905" s="48"/>
      <c r="P905" s="719"/>
      <c r="Q905" s="48"/>
      <c r="R905" s="714" t="str">
        <f>IFERROR(__xludf.DUMMYFUNCTION("""COMPUTED_VALUE"""),"2526VASSALLOVEN18.F")</f>
        <v>2526VASSALLOVEN18.F</v>
      </c>
      <c r="S905" s="711">
        <f>IFERROR(__xludf.DUMMYFUNCTION("""COMPUTED_VALUE"""),40.0)</f>
        <v>40</v>
      </c>
      <c r="T905" s="722" t="str">
        <f>IFERROR(__xludf.DUMMYFUNCTION("""COMPUTED_VALUE"""),"2526VASSALLOVEN18.F")</f>
        <v>2526VASSALLOVEN18.F</v>
      </c>
      <c r="U905" s="721"/>
      <c r="V905" s="711"/>
      <c r="W905" s="721"/>
      <c r="X905" s="721"/>
      <c r="Y905" s="48"/>
      <c r="Z905" s="48"/>
      <c r="AA905" s="48"/>
      <c r="AB905" s="711"/>
      <c r="AC905" s="711"/>
      <c r="AD905" s="711"/>
      <c r="AE905" s="711"/>
      <c r="AF905" s="711"/>
      <c r="AG905" s="711"/>
      <c r="AH905" s="711"/>
    </row>
    <row r="906">
      <c r="A906" s="48"/>
      <c r="B906" s="48"/>
      <c r="C906" s="48"/>
      <c r="D906" s="721"/>
      <c r="E906" s="711"/>
      <c r="F906" s="711"/>
      <c r="G906" s="721"/>
      <c r="H906" s="721"/>
      <c r="I906" s="721"/>
      <c r="J906" s="48"/>
      <c r="K906" s="721"/>
      <c r="L906" s="721"/>
      <c r="M906" s="721"/>
      <c r="N906" s="719"/>
      <c r="O906" s="48"/>
      <c r="P906" s="719"/>
      <c r="Q906" s="48"/>
      <c r="R906" s="714" t="str">
        <f>IFERROR(__xludf.DUMMYFUNCTION("""COMPUTED_VALUE"""),"2526MARINOVEN18.B")</f>
        <v>2526MARINOVEN18.B</v>
      </c>
      <c r="S906" s="711">
        <f>IFERROR(__xludf.DUMMYFUNCTION("""COMPUTED_VALUE"""),11.0)</f>
        <v>11</v>
      </c>
      <c r="T906" s="722" t="str">
        <f>IFERROR(__xludf.DUMMYFUNCTION("""COMPUTED_VALUE"""),"2526MARINOVEN18.B")</f>
        <v>2526MARINOVEN18.B</v>
      </c>
      <c r="U906" s="721"/>
      <c r="V906" s="711"/>
      <c r="W906" s="721"/>
      <c r="X906" s="721"/>
      <c r="Y906" s="48"/>
      <c r="Z906" s="48"/>
      <c r="AA906" s="48"/>
      <c r="AB906" s="711"/>
      <c r="AC906" s="711"/>
      <c r="AD906" s="711"/>
      <c r="AE906" s="711"/>
      <c r="AF906" s="711"/>
      <c r="AG906" s="711"/>
      <c r="AH906" s="711"/>
    </row>
    <row r="907">
      <c r="A907" s="48"/>
      <c r="B907" s="48"/>
      <c r="C907" s="48"/>
      <c r="D907" s="721"/>
      <c r="E907" s="711"/>
      <c r="F907" s="711"/>
      <c r="G907" s="721"/>
      <c r="H907" s="721"/>
      <c r="I907" s="721"/>
      <c r="J907" s="48"/>
      <c r="K907" s="721"/>
      <c r="L907" s="721"/>
      <c r="M907" s="721"/>
      <c r="N907" s="719"/>
      <c r="O907" s="48"/>
      <c r="P907" s="719"/>
      <c r="Q907" s="48"/>
      <c r="R907" s="714" t="str">
        <f>IFERROR(__xludf.DUMMYFUNCTION("""COMPUTED_VALUE"""),"2526FERGIEVEN18.D")</f>
        <v>2526FERGIEVEN18.D</v>
      </c>
      <c r="S907" s="711">
        <f>IFERROR(__xludf.DUMMYFUNCTION("""COMPUTED_VALUE"""),18.0)</f>
        <v>18</v>
      </c>
      <c r="T907" s="722" t="str">
        <f>IFERROR(__xludf.DUMMYFUNCTION("""COMPUTED_VALUE"""),"2526FERGIEVEN18.D")</f>
        <v>2526FERGIEVEN18.D</v>
      </c>
      <c r="U907" s="721"/>
      <c r="V907" s="711"/>
      <c r="W907" s="721"/>
      <c r="X907" s="721"/>
      <c r="Y907" s="48"/>
      <c r="Z907" s="48"/>
      <c r="AA907" s="48"/>
      <c r="AB907" s="711"/>
      <c r="AC907" s="711"/>
      <c r="AD907" s="711"/>
      <c r="AE907" s="711"/>
      <c r="AF907" s="711"/>
      <c r="AG907" s="711"/>
      <c r="AH907" s="711"/>
    </row>
    <row r="908">
      <c r="A908" s="48"/>
      <c r="B908" s="48"/>
      <c r="C908" s="48"/>
      <c r="D908" s="721"/>
      <c r="E908" s="711"/>
      <c r="F908" s="711"/>
      <c r="G908" s="721"/>
      <c r="H908" s="721"/>
      <c r="I908" s="721"/>
      <c r="J908" s="48"/>
      <c r="K908" s="721"/>
      <c r="L908" s="721"/>
      <c r="M908" s="721"/>
      <c r="N908" s="719"/>
      <c r="O908" s="48"/>
      <c r="P908" s="719"/>
      <c r="Q908" s="48"/>
      <c r="R908" s="714" t="str">
        <f>IFERROR(__xludf.DUMMYFUNCTION("""COMPUTED_VALUE"""),"2526FRANZINIVEN18.F")</f>
        <v>2526FRANZINIVEN18.F</v>
      </c>
      <c r="S908" s="711">
        <f>IFERROR(__xludf.DUMMYFUNCTION("""COMPUTED_VALUE"""),26.0)</f>
        <v>26</v>
      </c>
      <c r="T908" s="722" t="str">
        <f>IFERROR(__xludf.DUMMYFUNCTION("""COMPUTED_VALUE"""),"2526FRANZINIVEN18.F")</f>
        <v>2526FRANZINIVEN18.F</v>
      </c>
      <c r="U908" s="721"/>
      <c r="V908" s="711"/>
      <c r="W908" s="721"/>
      <c r="X908" s="721"/>
      <c r="Y908" s="48"/>
      <c r="Z908" s="48"/>
      <c r="AA908" s="48"/>
      <c r="AB908" s="711"/>
      <c r="AC908" s="711"/>
      <c r="AD908" s="711"/>
      <c r="AE908" s="711"/>
      <c r="AF908" s="711"/>
      <c r="AG908" s="711"/>
      <c r="AH908" s="711"/>
    </row>
    <row r="909">
      <c r="A909" s="48"/>
      <c r="B909" s="48"/>
      <c r="C909" s="48"/>
      <c r="D909" s="721"/>
      <c r="E909" s="711"/>
      <c r="F909" s="711"/>
      <c r="G909" s="721"/>
      <c r="H909" s="721"/>
      <c r="I909" s="721"/>
      <c r="J909" s="48"/>
      <c r="K909" s="721"/>
      <c r="L909" s="721"/>
      <c r="M909" s="721"/>
      <c r="N909" s="719"/>
      <c r="O909" s="48"/>
      <c r="P909" s="719"/>
      <c r="Q909" s="48"/>
      <c r="R909" s="714" t="str">
        <f>IFERROR(__xludf.DUMMYFUNCTION("""COMPUTED_VALUE"""),"2526ANAHITAVEN18.D")</f>
        <v>2526ANAHITAVEN18.D</v>
      </c>
      <c r="S909" s="711">
        <f>IFERROR(__xludf.DUMMYFUNCTION("""COMPUTED_VALUE"""),30.0)</f>
        <v>30</v>
      </c>
      <c r="T909" s="722" t="str">
        <f>IFERROR(__xludf.DUMMYFUNCTION("""COMPUTED_VALUE"""),"2526ANAHITAVEN18.D")</f>
        <v>2526ANAHITAVEN18.D</v>
      </c>
      <c r="U909" s="721"/>
      <c r="V909" s="711"/>
      <c r="W909" s="721"/>
      <c r="X909" s="721"/>
      <c r="Y909" s="48"/>
      <c r="Z909" s="48"/>
      <c r="AA909" s="48"/>
      <c r="AB909" s="711"/>
      <c r="AC909" s="711"/>
      <c r="AD909" s="711"/>
      <c r="AE909" s="711"/>
      <c r="AF909" s="711"/>
      <c r="AG909" s="711"/>
      <c r="AH909" s="711"/>
    </row>
    <row r="910">
      <c r="A910" s="48"/>
      <c r="B910" s="48"/>
      <c r="C910" s="48"/>
      <c r="D910" s="721"/>
      <c r="E910" s="711"/>
      <c r="F910" s="711"/>
      <c r="G910" s="721"/>
      <c r="H910" s="721"/>
      <c r="I910" s="721"/>
      <c r="J910" s="48"/>
      <c r="K910" s="721"/>
      <c r="L910" s="721"/>
      <c r="M910" s="721"/>
      <c r="N910" s="719"/>
      <c r="O910" s="48"/>
      <c r="P910" s="719"/>
      <c r="Q910" s="48"/>
      <c r="R910" s="714" t="str">
        <f>IFERROR(__xludf.DUMMYFUNCTION("""COMPUTED_VALUE"""),"2526TIUTINAVEN18.A")</f>
        <v>2526TIUTINAVEN18.A</v>
      </c>
      <c r="S910" s="711">
        <f>IFERROR(__xludf.DUMMYFUNCTION("""COMPUTED_VALUE"""),6.0)</f>
        <v>6</v>
      </c>
      <c r="T910" s="722" t="str">
        <f>IFERROR(__xludf.DUMMYFUNCTION("""COMPUTED_VALUE"""),"2526TIUTINAVEN18.A")</f>
        <v>2526TIUTINAVEN18.A</v>
      </c>
      <c r="U910" s="721"/>
      <c r="V910" s="711"/>
      <c r="W910" s="721"/>
      <c r="X910" s="721"/>
      <c r="Y910" s="48"/>
      <c r="Z910" s="48"/>
      <c r="AA910" s="48"/>
      <c r="AB910" s="711"/>
      <c r="AC910" s="711"/>
      <c r="AD910" s="711"/>
      <c r="AE910" s="711"/>
      <c r="AF910" s="711"/>
      <c r="AG910" s="711"/>
      <c r="AH910" s="711"/>
    </row>
    <row r="911">
      <c r="A911" s="48"/>
      <c r="B911" s="48"/>
      <c r="C911" s="48"/>
      <c r="D911" s="721"/>
      <c r="E911" s="711"/>
      <c r="F911" s="711"/>
      <c r="G911" s="721"/>
      <c r="H911" s="721"/>
      <c r="I911" s="721"/>
      <c r="J911" s="48"/>
      <c r="K911" s="721"/>
      <c r="L911" s="721"/>
      <c r="M911" s="721"/>
      <c r="N911" s="719"/>
      <c r="O911" s="48"/>
      <c r="P911" s="719"/>
      <c r="Q911" s="48"/>
      <c r="R911" s="714" t="str">
        <f>IFERROR(__xludf.DUMMYFUNCTION("""COMPUTED_VALUE"""),"2526CRUZVEN18.F")</f>
        <v>2526CRUZVEN18.F</v>
      </c>
      <c r="S911" s="711">
        <f>IFERROR(__xludf.DUMMYFUNCTION("""COMPUTED_VALUE"""),20.0)</f>
        <v>20</v>
      </c>
      <c r="T911" s="722" t="str">
        <f>IFERROR(__xludf.DUMMYFUNCTION("""COMPUTED_VALUE"""),"2526CRUZVEN18.F")</f>
        <v>2526CRUZVEN18.F</v>
      </c>
      <c r="U911" s="721"/>
      <c r="V911" s="711"/>
      <c r="W911" s="721"/>
      <c r="X911" s="721"/>
      <c r="Y911" s="48"/>
      <c r="Z911" s="48"/>
      <c r="AA911" s="48"/>
      <c r="AB911" s="711"/>
      <c r="AC911" s="711"/>
      <c r="AD911" s="711"/>
      <c r="AE911" s="711"/>
      <c r="AF911" s="711"/>
      <c r="AG911" s="711"/>
      <c r="AH911" s="711"/>
    </row>
    <row r="912">
      <c r="A912" s="48"/>
      <c r="B912" s="48"/>
      <c r="C912" s="48"/>
      <c r="D912" s="721"/>
      <c r="E912" s="711"/>
      <c r="F912" s="711"/>
      <c r="G912" s="721"/>
      <c r="H912" s="721"/>
      <c r="I912" s="721"/>
      <c r="J912" s="48"/>
      <c r="K912" s="721"/>
      <c r="L912" s="721"/>
      <c r="M912" s="721"/>
      <c r="N912" s="719"/>
      <c r="O912" s="48"/>
      <c r="P912" s="719"/>
      <c r="Q912" s="48"/>
      <c r="R912" s="714" t="str">
        <f>IFERROR(__xludf.DUMMYFUNCTION("""COMPUTED_VALUE"""),"2526GEDDOVEN18.D")</f>
        <v>2526GEDDOVEN18.D</v>
      </c>
      <c r="S912" s="711">
        <f>IFERROR(__xludf.DUMMYFUNCTION("""COMPUTED_VALUE"""),30.0)</f>
        <v>30</v>
      </c>
      <c r="T912" s="722" t="str">
        <f>IFERROR(__xludf.DUMMYFUNCTION("""COMPUTED_VALUE"""),"2526GEDDOVEN18.D")</f>
        <v>2526GEDDOVEN18.D</v>
      </c>
      <c r="U912" s="721"/>
      <c r="V912" s="711"/>
      <c r="W912" s="721"/>
      <c r="X912" s="721"/>
      <c r="Y912" s="48"/>
      <c r="Z912" s="48"/>
      <c r="AA912" s="48"/>
      <c r="AB912" s="711"/>
      <c r="AC912" s="711"/>
      <c r="AD912" s="711"/>
      <c r="AE912" s="711"/>
      <c r="AF912" s="711"/>
      <c r="AG912" s="711"/>
      <c r="AH912" s="711"/>
    </row>
    <row r="913">
      <c r="A913" s="48"/>
      <c r="B913" s="48"/>
      <c r="C913" s="48"/>
      <c r="D913" s="721"/>
      <c r="E913" s="711"/>
      <c r="F913" s="711"/>
      <c r="G913" s="721"/>
      <c r="H913" s="721"/>
      <c r="I913" s="721"/>
      <c r="J913" s="48"/>
      <c r="K913" s="721"/>
      <c r="L913" s="721"/>
      <c r="M913" s="721"/>
      <c r="N913" s="719"/>
      <c r="O913" s="48"/>
      <c r="P913" s="719"/>
      <c r="Q913" s="48"/>
      <c r="R913" s="714" t="str">
        <f>IFERROR(__xludf.DUMMYFUNCTION("""COMPUTED_VALUE"""),"2526GRANDEVEN18.B")</f>
        <v>2526GRANDEVEN18.B</v>
      </c>
      <c r="S913" s="711">
        <f>IFERROR(__xludf.DUMMYFUNCTION("""COMPUTED_VALUE"""),15.0)</f>
        <v>15</v>
      </c>
      <c r="T913" s="722" t="str">
        <f>IFERROR(__xludf.DUMMYFUNCTION("""COMPUTED_VALUE"""),"2526GRANDEVEN18.B")</f>
        <v>2526GRANDEVEN18.B</v>
      </c>
      <c r="U913" s="721"/>
      <c r="V913" s="711"/>
      <c r="W913" s="721"/>
      <c r="X913" s="721"/>
      <c r="Y913" s="48"/>
      <c r="Z913" s="48"/>
      <c r="AA913" s="48"/>
      <c r="AB913" s="711"/>
      <c r="AC913" s="711"/>
      <c r="AD913" s="711"/>
      <c r="AE913" s="711"/>
      <c r="AF913" s="711"/>
      <c r="AG913" s="711"/>
      <c r="AH913" s="711"/>
    </row>
    <row r="914">
      <c r="A914" s="48"/>
      <c r="B914" s="48"/>
      <c r="C914" s="48"/>
      <c r="D914" s="721"/>
      <c r="E914" s="711"/>
      <c r="F914" s="711"/>
      <c r="G914" s="721"/>
      <c r="H914" s="721"/>
      <c r="I914" s="721"/>
      <c r="J914" s="48"/>
      <c r="K914" s="721"/>
      <c r="L914" s="721"/>
      <c r="M914" s="721"/>
      <c r="N914" s="719"/>
      <c r="O914" s="48"/>
      <c r="P914" s="719"/>
      <c r="Q914" s="48"/>
      <c r="R914" s="714" t="str">
        <f>IFERROR(__xludf.DUMMYFUNCTION("""COMPUTED_VALUE"""),"2526SETTIVEN19.F")</f>
        <v>2526SETTIVEN19.F</v>
      </c>
      <c r="S914" s="711">
        <f>IFERROR(__xludf.DUMMYFUNCTION("""COMPUTED_VALUE"""),15.0)</f>
        <v>15</v>
      </c>
      <c r="T914" s="722" t="str">
        <f>IFERROR(__xludf.DUMMYFUNCTION("""COMPUTED_VALUE"""),"2526SETTIVEN19.F")</f>
        <v>2526SETTIVEN19.F</v>
      </c>
      <c r="U914" s="721"/>
      <c r="V914" s="711"/>
      <c r="W914" s="721"/>
      <c r="X914" s="721"/>
      <c r="Y914" s="48"/>
      <c r="Z914" s="48"/>
      <c r="AA914" s="48"/>
      <c r="AB914" s="711"/>
      <c r="AC914" s="711"/>
      <c r="AD914" s="711"/>
      <c r="AE914" s="711"/>
      <c r="AF914" s="711"/>
      <c r="AG914" s="711"/>
      <c r="AH914" s="711"/>
    </row>
    <row r="915">
      <c r="A915" s="48"/>
      <c r="B915" s="48"/>
      <c r="C915" s="48"/>
      <c r="D915" s="721"/>
      <c r="E915" s="711"/>
      <c r="F915" s="711"/>
      <c r="G915" s="721"/>
      <c r="H915" s="721"/>
      <c r="I915" s="721"/>
      <c r="J915" s="48"/>
      <c r="K915" s="721"/>
      <c r="L915" s="721"/>
      <c r="M915" s="721"/>
      <c r="N915" s="719"/>
      <c r="O915" s="48"/>
      <c r="P915" s="719"/>
      <c r="Q915" s="48"/>
      <c r="R915" s="48"/>
      <c r="S915" s="711" t="str">
        <f>IFERROR(__xludf.DUMMYFUNCTION("""COMPUTED_VALUE"""),"")</f>
        <v/>
      </c>
      <c r="T915" s="721"/>
      <c r="U915" s="721"/>
      <c r="V915" s="711"/>
      <c r="W915" s="721"/>
      <c r="X915" s="721"/>
      <c r="Y915" s="48"/>
      <c r="Z915" s="48"/>
      <c r="AA915" s="48"/>
      <c r="AB915" s="711"/>
      <c r="AC915" s="711"/>
      <c r="AD915" s="711"/>
      <c r="AE915" s="711"/>
      <c r="AF915" s="711"/>
      <c r="AG915" s="711"/>
      <c r="AH915" s="711"/>
    </row>
    <row r="916">
      <c r="A916" s="48"/>
      <c r="B916" s="48"/>
      <c r="C916" s="48"/>
      <c r="D916" s="721"/>
      <c r="E916" s="711"/>
      <c r="F916" s="711"/>
      <c r="G916" s="721"/>
      <c r="H916" s="721"/>
      <c r="I916" s="721"/>
      <c r="J916" s="48"/>
      <c r="K916" s="721"/>
      <c r="L916" s="721"/>
      <c r="M916" s="721"/>
      <c r="N916" s="719"/>
      <c r="O916" s="48"/>
      <c r="P916" s="719"/>
      <c r="Q916" s="48"/>
      <c r="R916" s="48"/>
      <c r="S916" s="711" t="str">
        <f>IFERROR(__xludf.DUMMYFUNCTION("""COMPUTED_VALUE"""),"")</f>
        <v/>
      </c>
      <c r="T916" s="721"/>
      <c r="U916" s="721"/>
      <c r="V916" s="711"/>
      <c r="W916" s="721"/>
      <c r="X916" s="721"/>
      <c r="Y916" s="48"/>
      <c r="Z916" s="48"/>
      <c r="AA916" s="48"/>
      <c r="AB916" s="711"/>
      <c r="AC916" s="711"/>
      <c r="AD916" s="711"/>
      <c r="AE916" s="711"/>
      <c r="AF916" s="711"/>
      <c r="AG916" s="711"/>
      <c r="AH916" s="711"/>
    </row>
    <row r="917">
      <c r="A917" s="48"/>
      <c r="B917" s="48"/>
      <c r="C917" s="48"/>
      <c r="D917" s="721"/>
      <c r="E917" s="711"/>
      <c r="F917" s="711"/>
      <c r="G917" s="721"/>
      <c r="H917" s="721"/>
      <c r="I917" s="721"/>
      <c r="J917" s="48"/>
      <c r="K917" s="721"/>
      <c r="L917" s="721"/>
      <c r="M917" s="721"/>
      <c r="N917" s="719"/>
      <c r="O917" s="48"/>
      <c r="P917" s="719"/>
      <c r="Q917" s="48"/>
      <c r="R917" s="714" t="str">
        <f>IFERROR(__xludf.DUMMYFUNCTION("""COMPUTED_VALUE"""),"2526FERGIEVEN19.D")</f>
        <v>2526FERGIEVEN19.D</v>
      </c>
      <c r="S917" s="711">
        <f>IFERROR(__xludf.DUMMYFUNCTION("""COMPUTED_VALUE"""),30.0)</f>
        <v>30</v>
      </c>
      <c r="T917" s="722" t="str">
        <f>IFERROR(__xludf.DUMMYFUNCTION("""COMPUTED_VALUE"""),"2526FERGIEVEN19.D")</f>
        <v>2526FERGIEVEN19.D</v>
      </c>
      <c r="U917" s="721"/>
      <c r="V917" s="711"/>
      <c r="W917" s="721"/>
      <c r="X917" s="721"/>
      <c r="Y917" s="48"/>
      <c r="Z917" s="48"/>
      <c r="AA917" s="48"/>
      <c r="AB917" s="711"/>
      <c r="AC917" s="711"/>
      <c r="AD917" s="711"/>
      <c r="AE917" s="711"/>
      <c r="AF917" s="711"/>
      <c r="AG917" s="711"/>
      <c r="AH917" s="711"/>
    </row>
    <row r="918">
      <c r="A918" s="48"/>
      <c r="B918" s="48"/>
      <c r="C918" s="48"/>
      <c r="D918" s="721"/>
      <c r="E918" s="711"/>
      <c r="F918" s="711"/>
      <c r="G918" s="721"/>
      <c r="H918" s="721"/>
      <c r="I918" s="721"/>
      <c r="J918" s="48"/>
      <c r="K918" s="721"/>
      <c r="L918" s="721"/>
      <c r="M918" s="721"/>
      <c r="N918" s="719"/>
      <c r="O918" s="48"/>
      <c r="P918" s="719"/>
      <c r="Q918" s="48"/>
      <c r="R918" s="714" t="str">
        <f>IFERROR(__xludf.DUMMYFUNCTION("""COMPUTED_VALUE"""),"2526BONNIVEN19.C")</f>
        <v>2526BONNIVEN19.C</v>
      </c>
      <c r="S918" s="711">
        <f>IFERROR(__xludf.DUMMYFUNCTION("""COMPUTED_VALUE"""),30.0)</f>
        <v>30</v>
      </c>
      <c r="T918" s="722" t="str">
        <f>IFERROR(__xludf.DUMMYFUNCTION("""COMPUTED_VALUE"""),"2526BONNIVEN19.C")</f>
        <v>2526BONNIVEN19.C</v>
      </c>
      <c r="U918" s="721"/>
      <c r="V918" s="711"/>
      <c r="W918" s="721"/>
      <c r="X918" s="721"/>
      <c r="Y918" s="48"/>
      <c r="Z918" s="48"/>
      <c r="AA918" s="48"/>
      <c r="AB918" s="711"/>
      <c r="AC918" s="711"/>
      <c r="AD918" s="711"/>
      <c r="AE918" s="711"/>
      <c r="AF918" s="711"/>
      <c r="AG918" s="711"/>
      <c r="AH918" s="711"/>
    </row>
    <row r="919">
      <c r="A919" s="48"/>
      <c r="B919" s="48"/>
      <c r="C919" s="48"/>
      <c r="D919" s="721"/>
      <c r="E919" s="711"/>
      <c r="F919" s="711"/>
      <c r="G919" s="721"/>
      <c r="H919" s="721"/>
      <c r="I919" s="721"/>
      <c r="J919" s="48"/>
      <c r="K919" s="721"/>
      <c r="L919" s="721"/>
      <c r="M919" s="721"/>
      <c r="N919" s="719"/>
      <c r="O919" s="48"/>
      <c r="P919" s="719"/>
      <c r="Q919" s="48"/>
      <c r="R919" s="714" t="str">
        <f>IFERROR(__xludf.DUMMYFUNCTION("""COMPUTED_VALUE"""),"2526NEMBRIVEN19.C")</f>
        <v>2526NEMBRIVEN19.C</v>
      </c>
      <c r="S919" s="711">
        <f>IFERROR(__xludf.DUMMYFUNCTION("""COMPUTED_VALUE"""),30.0)</f>
        <v>30</v>
      </c>
      <c r="T919" s="722" t="str">
        <f>IFERROR(__xludf.DUMMYFUNCTION("""COMPUTED_VALUE"""),"2526NEMBRIVEN19.C")</f>
        <v>2526NEMBRIVEN19.C</v>
      </c>
      <c r="U919" s="721"/>
      <c r="V919" s="711"/>
      <c r="W919" s="721"/>
      <c r="X919" s="721"/>
      <c r="Y919" s="48"/>
      <c r="Z919" s="48"/>
      <c r="AA919" s="48"/>
      <c r="AB919" s="711"/>
      <c r="AC919" s="711"/>
      <c r="AD919" s="711"/>
      <c r="AE919" s="711"/>
      <c r="AF919" s="711"/>
      <c r="AG919" s="711"/>
      <c r="AH919" s="711"/>
    </row>
    <row r="920">
      <c r="A920" s="48"/>
      <c r="B920" s="48"/>
      <c r="C920" s="48"/>
      <c r="D920" s="721"/>
      <c r="E920" s="711"/>
      <c r="F920" s="711"/>
      <c r="G920" s="721"/>
      <c r="H920" s="721"/>
      <c r="I920" s="721"/>
      <c r="J920" s="48"/>
      <c r="K920" s="721"/>
      <c r="L920" s="721"/>
      <c r="M920" s="721"/>
      <c r="N920" s="719"/>
      <c r="O920" s="48"/>
      <c r="P920" s="719"/>
      <c r="Q920" s="48"/>
      <c r="R920" s="714" t="str">
        <f>IFERROR(__xludf.DUMMYFUNCTION("""COMPUTED_VALUE"""),"2526VASSALLOVEN19.F")</f>
        <v>2526VASSALLOVEN19.F</v>
      </c>
      <c r="S920" s="711">
        <f>IFERROR(__xludf.DUMMYFUNCTION("""COMPUTED_VALUE"""),15.0)</f>
        <v>15</v>
      </c>
      <c r="T920" s="722" t="str">
        <f>IFERROR(__xludf.DUMMYFUNCTION("""COMPUTED_VALUE"""),"2526VASSALLOVEN19.F")</f>
        <v>2526VASSALLOVEN19.F</v>
      </c>
      <c r="U920" s="721"/>
      <c r="V920" s="711"/>
      <c r="W920" s="721"/>
      <c r="X920" s="721"/>
      <c r="Y920" s="48"/>
      <c r="Z920" s="48"/>
      <c r="AA920" s="48"/>
      <c r="AB920" s="711"/>
      <c r="AC920" s="711"/>
      <c r="AD920" s="711"/>
      <c r="AE920" s="711"/>
      <c r="AF920" s="711"/>
      <c r="AG920" s="711"/>
      <c r="AH920" s="711"/>
    </row>
    <row r="921">
      <c r="A921" s="48"/>
      <c r="B921" s="48"/>
      <c r="C921" s="48"/>
      <c r="D921" s="721"/>
      <c r="E921" s="711"/>
      <c r="F921" s="711"/>
      <c r="G921" s="721"/>
      <c r="H921" s="721"/>
      <c r="I921" s="721"/>
      <c r="J921" s="48"/>
      <c r="K921" s="721"/>
      <c r="L921" s="721"/>
      <c r="M921" s="721"/>
      <c r="N921" s="719"/>
      <c r="O921" s="48"/>
      <c r="P921" s="719"/>
      <c r="Q921" s="48"/>
      <c r="R921" s="714" t="str">
        <f>IFERROR(__xludf.DUMMYFUNCTION("""COMPUTED_VALUE"""),"2526ANAHITAVEN19.D")</f>
        <v>2526ANAHITAVEN19.D</v>
      </c>
      <c r="S921" s="711">
        <f>IFERROR(__xludf.DUMMYFUNCTION("""COMPUTED_VALUE"""),30.0)</f>
        <v>30</v>
      </c>
      <c r="T921" s="722" t="str">
        <f>IFERROR(__xludf.DUMMYFUNCTION("""COMPUTED_VALUE"""),"2526ANAHITAVEN19.D")</f>
        <v>2526ANAHITAVEN19.D</v>
      </c>
      <c r="U921" s="721"/>
      <c r="V921" s="711"/>
      <c r="W921" s="721"/>
      <c r="X921" s="721"/>
      <c r="Y921" s="48"/>
      <c r="Z921" s="48"/>
      <c r="AA921" s="48"/>
      <c r="AB921" s="711"/>
      <c r="AC921" s="711"/>
      <c r="AD921" s="711"/>
      <c r="AE921" s="711"/>
      <c r="AF921" s="711"/>
      <c r="AG921" s="711"/>
      <c r="AH921" s="711"/>
    </row>
    <row r="922">
      <c r="A922" s="48"/>
      <c r="B922" s="48"/>
      <c r="C922" s="48"/>
      <c r="D922" s="721"/>
      <c r="E922" s="711"/>
      <c r="F922" s="711"/>
      <c r="G922" s="721"/>
      <c r="H922" s="721"/>
      <c r="I922" s="721"/>
      <c r="J922" s="48"/>
      <c r="K922" s="721"/>
      <c r="L922" s="721"/>
      <c r="M922" s="721"/>
      <c r="N922" s="719"/>
      <c r="O922" s="48"/>
      <c r="P922" s="719"/>
      <c r="Q922" s="48"/>
      <c r="R922" s="714" t="str">
        <f>IFERROR(__xludf.DUMMYFUNCTION("""COMPUTED_VALUE"""),"2526TIUTINAVEN19.A")</f>
        <v>2526TIUTINAVEN19.A</v>
      </c>
      <c r="S922" s="711">
        <f>IFERROR(__xludf.DUMMYFUNCTION("""COMPUTED_VALUE"""),6.0)</f>
        <v>6</v>
      </c>
      <c r="T922" s="722" t="str">
        <f>IFERROR(__xludf.DUMMYFUNCTION("""COMPUTED_VALUE"""),"2526TIUTINAVEN19.A")</f>
        <v>2526TIUTINAVEN19.A</v>
      </c>
      <c r="U922" s="721"/>
      <c r="V922" s="711"/>
      <c r="W922" s="721"/>
      <c r="X922" s="721"/>
      <c r="Y922" s="48"/>
      <c r="Z922" s="48"/>
      <c r="AA922" s="48"/>
      <c r="AB922" s="711"/>
      <c r="AC922" s="711"/>
      <c r="AD922" s="711"/>
      <c r="AE922" s="711"/>
      <c r="AF922" s="711"/>
      <c r="AG922" s="711"/>
      <c r="AH922" s="711"/>
    </row>
    <row r="923">
      <c r="A923" s="48"/>
      <c r="B923" s="48"/>
      <c r="C923" s="48"/>
      <c r="D923" s="721"/>
      <c r="E923" s="711"/>
      <c r="F923" s="711"/>
      <c r="G923" s="721"/>
      <c r="H923" s="721"/>
      <c r="I923" s="721"/>
      <c r="J923" s="48"/>
      <c r="K923" s="721"/>
      <c r="L923" s="721"/>
      <c r="M923" s="721"/>
      <c r="N923" s="719"/>
      <c r="O923" s="48"/>
      <c r="P923" s="719"/>
      <c r="Q923" s="48"/>
      <c r="R923" s="714" t="str">
        <f>IFERROR(__xludf.DUMMYFUNCTION("""COMPUTED_VALUE"""),"2526BLUEVEN19.D")</f>
        <v>2526BLUEVEN19.D</v>
      </c>
      <c r="S923" s="711">
        <f>IFERROR(__xludf.DUMMYFUNCTION("""COMPUTED_VALUE"""),20.0)</f>
        <v>20</v>
      </c>
      <c r="T923" s="722" t="str">
        <f>IFERROR(__xludf.DUMMYFUNCTION("""COMPUTED_VALUE"""),"2526BLUEVEN19.D")</f>
        <v>2526BLUEVEN19.D</v>
      </c>
      <c r="U923" s="721"/>
      <c r="V923" s="711"/>
      <c r="W923" s="721"/>
      <c r="X923" s="721"/>
      <c r="Y923" s="48"/>
      <c r="Z923" s="48"/>
      <c r="AA923" s="48"/>
      <c r="AB923" s="711"/>
      <c r="AC923" s="711"/>
      <c r="AD923" s="711"/>
      <c r="AE923" s="711"/>
      <c r="AF923" s="711"/>
      <c r="AG923" s="711"/>
      <c r="AH923" s="711"/>
    </row>
    <row r="924">
      <c r="A924" s="48"/>
      <c r="B924" s="48"/>
      <c r="C924" s="48"/>
      <c r="D924" s="721"/>
      <c r="E924" s="711"/>
      <c r="F924" s="711"/>
      <c r="G924" s="721"/>
      <c r="H924" s="721"/>
      <c r="I924" s="721"/>
      <c r="J924" s="48"/>
      <c r="K924" s="721"/>
      <c r="L924" s="721"/>
      <c r="M924" s="721"/>
      <c r="N924" s="719"/>
      <c r="O924" s="48"/>
      <c r="P924" s="719"/>
      <c r="Q924" s="48"/>
      <c r="R924" s="714" t="str">
        <f>IFERROR(__xludf.DUMMYFUNCTION("""COMPUTED_VALUE"""),"2526CRUZVEN19.D")</f>
        <v>2526CRUZVEN19.D</v>
      </c>
      <c r="S924" s="711">
        <f>IFERROR(__xludf.DUMMYFUNCTION("""COMPUTED_VALUE"""),30.0)</f>
        <v>30</v>
      </c>
      <c r="T924" s="722" t="str">
        <f>IFERROR(__xludf.DUMMYFUNCTION("""COMPUTED_VALUE"""),"2526CRUZVEN19.D")</f>
        <v>2526CRUZVEN19.D</v>
      </c>
      <c r="U924" s="721"/>
      <c r="V924" s="711"/>
      <c r="W924" s="721"/>
      <c r="X924" s="721"/>
      <c r="Y924" s="48"/>
      <c r="Z924" s="48"/>
      <c r="AA924" s="48"/>
      <c r="AB924" s="711"/>
      <c r="AC924" s="711"/>
      <c r="AD924" s="711"/>
      <c r="AE924" s="711"/>
      <c r="AF924" s="711"/>
      <c r="AG924" s="711"/>
      <c r="AH924" s="711"/>
    </row>
    <row r="925">
      <c r="A925" s="48"/>
      <c r="B925" s="48"/>
      <c r="C925" s="48"/>
      <c r="D925" s="721"/>
      <c r="E925" s="711"/>
      <c r="F925" s="711"/>
      <c r="G925" s="721"/>
      <c r="H925" s="721"/>
      <c r="I925" s="721"/>
      <c r="J925" s="48"/>
      <c r="K925" s="721"/>
      <c r="L925" s="721"/>
      <c r="M925" s="721"/>
      <c r="N925" s="719"/>
      <c r="O925" s="48"/>
      <c r="P925" s="719"/>
      <c r="Q925" s="48"/>
      <c r="R925" s="714" t="str">
        <f>IFERROR(__xludf.DUMMYFUNCTION("""COMPUTED_VALUE"""),"2526GRANDEVEN19.D")</f>
        <v>2526GRANDEVEN19.D</v>
      </c>
      <c r="S925" s="711">
        <f>IFERROR(__xludf.DUMMYFUNCTION("""COMPUTED_VALUE"""),15.0)</f>
        <v>15</v>
      </c>
      <c r="T925" s="722" t="str">
        <f>IFERROR(__xludf.DUMMYFUNCTION("""COMPUTED_VALUE"""),"2526GRANDEVEN19.D")</f>
        <v>2526GRANDEVEN19.D</v>
      </c>
      <c r="U925" s="721"/>
      <c r="V925" s="711"/>
      <c r="W925" s="721"/>
      <c r="X925" s="721"/>
      <c r="Y925" s="48"/>
      <c r="Z925" s="48"/>
      <c r="AA925" s="48"/>
      <c r="AB925" s="711"/>
      <c r="AC925" s="711"/>
      <c r="AD925" s="711"/>
      <c r="AE925" s="711"/>
      <c r="AF925" s="711"/>
      <c r="AG925" s="711"/>
      <c r="AH925" s="711"/>
    </row>
    <row r="926">
      <c r="A926" s="48"/>
      <c r="B926" s="48"/>
      <c r="C926" s="48"/>
      <c r="D926" s="721"/>
      <c r="E926" s="711"/>
      <c r="F926" s="711"/>
      <c r="G926" s="721"/>
      <c r="H926" s="721"/>
      <c r="I926" s="721"/>
      <c r="J926" s="48"/>
      <c r="K926" s="721"/>
      <c r="L926" s="721"/>
      <c r="M926" s="721"/>
      <c r="N926" s="719"/>
      <c r="O926" s="48"/>
      <c r="P926" s="719"/>
      <c r="Q926" s="48"/>
      <c r="R926" s="48"/>
      <c r="S926" s="711" t="str">
        <f>IFERROR(__xludf.DUMMYFUNCTION("""COMPUTED_VALUE"""),"")</f>
        <v/>
      </c>
      <c r="T926" s="721"/>
      <c r="U926" s="721"/>
      <c r="V926" s="711"/>
      <c r="W926" s="721"/>
      <c r="X926" s="721"/>
      <c r="Y926" s="48"/>
      <c r="Z926" s="48"/>
      <c r="AA926" s="48"/>
      <c r="AB926" s="711"/>
      <c r="AC926" s="711"/>
      <c r="AD926" s="711"/>
      <c r="AE926" s="711"/>
      <c r="AF926" s="711"/>
      <c r="AG926" s="711"/>
      <c r="AH926" s="711"/>
    </row>
    <row r="927">
      <c r="A927" s="48"/>
      <c r="B927" s="48"/>
      <c r="C927" s="48"/>
      <c r="D927" s="721"/>
      <c r="E927" s="711"/>
      <c r="F927" s="711"/>
      <c r="G927" s="721"/>
      <c r="H927" s="721"/>
      <c r="I927" s="721"/>
      <c r="J927" s="48"/>
      <c r="K927" s="721"/>
      <c r="L927" s="721"/>
      <c r="M927" s="721"/>
      <c r="N927" s="719"/>
      <c r="O927" s="48"/>
      <c r="P927" s="719"/>
      <c r="Q927" s="48"/>
      <c r="R927" s="48"/>
      <c r="S927" s="711" t="str">
        <f>IFERROR(__xludf.DUMMYFUNCTION("""COMPUTED_VALUE"""),"")</f>
        <v/>
      </c>
      <c r="T927" s="721"/>
      <c r="U927" s="721"/>
      <c r="V927" s="711"/>
      <c r="W927" s="721"/>
      <c r="X927" s="721"/>
      <c r="Y927" s="48"/>
      <c r="Z927" s="48"/>
      <c r="AA927" s="48"/>
      <c r="AB927" s="711"/>
      <c r="AC927" s="711"/>
      <c r="AD927" s="711"/>
      <c r="AE927" s="711"/>
      <c r="AF927" s="711"/>
      <c r="AG927" s="711"/>
      <c r="AH927" s="711"/>
    </row>
    <row r="928">
      <c r="A928" s="48"/>
      <c r="B928" s="48"/>
      <c r="C928" s="48"/>
      <c r="D928" s="721"/>
      <c r="E928" s="711"/>
      <c r="F928" s="711"/>
      <c r="G928" s="721"/>
      <c r="H928" s="721"/>
      <c r="I928" s="721"/>
      <c r="J928" s="48"/>
      <c r="K928" s="721"/>
      <c r="L928" s="721"/>
      <c r="M928" s="721"/>
      <c r="N928" s="719"/>
      <c r="O928" s="48"/>
      <c r="P928" s="719"/>
      <c r="Q928" s="48"/>
      <c r="R928" s="48"/>
      <c r="S928" s="711" t="str">
        <f>IFERROR(__xludf.DUMMYFUNCTION("""COMPUTED_VALUE"""),"")</f>
        <v/>
      </c>
      <c r="T928" s="721"/>
      <c r="U928" s="721"/>
      <c r="V928" s="711"/>
      <c r="W928" s="721"/>
      <c r="X928" s="721"/>
      <c r="Y928" s="48"/>
      <c r="Z928" s="48"/>
      <c r="AA928" s="48"/>
      <c r="AB928" s="711"/>
      <c r="AC928" s="711"/>
      <c r="AD928" s="711"/>
      <c r="AE928" s="711"/>
      <c r="AF928" s="711"/>
      <c r="AG928" s="711"/>
      <c r="AH928" s="711"/>
    </row>
    <row r="929">
      <c r="A929" s="48"/>
      <c r="B929" s="48"/>
      <c r="C929" s="48"/>
      <c r="D929" s="721"/>
      <c r="E929" s="711"/>
      <c r="F929" s="711"/>
      <c r="G929" s="721"/>
      <c r="H929" s="721"/>
      <c r="I929" s="721"/>
      <c r="J929" s="48"/>
      <c r="K929" s="721"/>
      <c r="L929" s="721"/>
      <c r="M929" s="721"/>
      <c r="N929" s="719"/>
      <c r="O929" s="48"/>
      <c r="P929" s="719"/>
      <c r="Q929" s="48"/>
      <c r="R929" s="714" t="str">
        <f>IFERROR(__xludf.DUMMYFUNCTION("""COMPUTED_VALUE"""),"2526FERGIEVEN20.D")</f>
        <v>2526FERGIEVEN20.D</v>
      </c>
      <c r="S929" s="711">
        <f>IFERROR(__xludf.DUMMYFUNCTION("""COMPUTED_VALUE"""),30.0)</f>
        <v>30</v>
      </c>
      <c r="T929" s="722" t="str">
        <f>IFERROR(__xludf.DUMMYFUNCTION("""COMPUTED_VALUE"""),"2526FERGIEVEN20.D")</f>
        <v>2526FERGIEVEN20.D</v>
      </c>
      <c r="U929" s="721"/>
      <c r="V929" s="711"/>
      <c r="W929" s="721"/>
      <c r="X929" s="721"/>
      <c r="Y929" s="48"/>
      <c r="Z929" s="48"/>
      <c r="AA929" s="48"/>
      <c r="AB929" s="711"/>
      <c r="AC929" s="711"/>
      <c r="AD929" s="711"/>
      <c r="AE929" s="711"/>
      <c r="AF929" s="711"/>
      <c r="AG929" s="711"/>
      <c r="AH929" s="711"/>
    </row>
    <row r="930">
      <c r="A930" s="48"/>
      <c r="B930" s="48"/>
      <c r="C930" s="48"/>
      <c r="D930" s="721"/>
      <c r="E930" s="711"/>
      <c r="F930" s="711"/>
      <c r="G930" s="721"/>
      <c r="H930" s="721"/>
      <c r="I930" s="721"/>
      <c r="J930" s="48"/>
      <c r="K930" s="721"/>
      <c r="L930" s="721"/>
      <c r="M930" s="721"/>
      <c r="N930" s="719"/>
      <c r="O930" s="48"/>
      <c r="P930" s="719"/>
      <c r="Q930" s="48"/>
      <c r="R930" s="714" t="str">
        <f>IFERROR(__xludf.DUMMYFUNCTION("""COMPUTED_VALUE"""),"2526NEMBRIVEN20.C")</f>
        <v>2526NEMBRIVEN20.C</v>
      </c>
      <c r="S930" s="711">
        <f>IFERROR(__xludf.DUMMYFUNCTION("""COMPUTED_VALUE"""),30.0)</f>
        <v>30</v>
      </c>
      <c r="T930" s="722" t="str">
        <f>IFERROR(__xludf.DUMMYFUNCTION("""COMPUTED_VALUE"""),"2526NEMBRIVEN20.C")</f>
        <v>2526NEMBRIVEN20.C</v>
      </c>
      <c r="U930" s="721"/>
      <c r="V930" s="711"/>
      <c r="W930" s="721"/>
      <c r="X930" s="721"/>
      <c r="Y930" s="48"/>
      <c r="Z930" s="48"/>
      <c r="AA930" s="48"/>
      <c r="AB930" s="711"/>
      <c r="AC930" s="711"/>
      <c r="AD930" s="711"/>
      <c r="AE930" s="711"/>
      <c r="AF930" s="711"/>
      <c r="AG930" s="711"/>
      <c r="AH930" s="711"/>
    </row>
    <row r="931">
      <c r="A931" s="48"/>
      <c r="B931" s="48"/>
      <c r="C931" s="48"/>
      <c r="D931" s="721"/>
      <c r="E931" s="711"/>
      <c r="F931" s="711"/>
      <c r="G931" s="721"/>
      <c r="H931" s="721"/>
      <c r="I931" s="721"/>
      <c r="J931" s="48"/>
      <c r="K931" s="721"/>
      <c r="L931" s="721"/>
      <c r="M931" s="721"/>
      <c r="N931" s="719"/>
      <c r="O931" s="48"/>
      <c r="P931" s="719"/>
      <c r="Q931" s="48"/>
      <c r="R931" s="714" t="str">
        <f>IFERROR(__xludf.DUMMYFUNCTION("""COMPUTED_VALUE"""),"2526BONNIVEN20.C")</f>
        <v>2526BONNIVEN20.C</v>
      </c>
      <c r="S931" s="711">
        <f>IFERROR(__xludf.DUMMYFUNCTION("""COMPUTED_VALUE"""),24.0)</f>
        <v>24</v>
      </c>
      <c r="T931" s="722" t="str">
        <f>IFERROR(__xludf.DUMMYFUNCTION("""COMPUTED_VALUE"""),"2526BONNIVEN20.C")</f>
        <v>2526BONNIVEN20.C</v>
      </c>
      <c r="U931" s="721"/>
      <c r="V931" s="711"/>
      <c r="W931" s="721"/>
      <c r="X931" s="721"/>
      <c r="Y931" s="48"/>
      <c r="Z931" s="48"/>
      <c r="AA931" s="48"/>
      <c r="AB931" s="711"/>
      <c r="AC931" s="711"/>
      <c r="AD931" s="711"/>
      <c r="AE931" s="711"/>
      <c r="AF931" s="711"/>
      <c r="AG931" s="711"/>
      <c r="AH931" s="711"/>
    </row>
    <row r="932">
      <c r="A932" s="48"/>
      <c r="B932" s="48"/>
      <c r="C932" s="48"/>
      <c r="D932" s="721"/>
      <c r="E932" s="711"/>
      <c r="F932" s="711"/>
      <c r="G932" s="721"/>
      <c r="H932" s="721"/>
      <c r="I932" s="721"/>
      <c r="J932" s="48"/>
      <c r="K932" s="721"/>
      <c r="L932" s="721"/>
      <c r="M932" s="721"/>
      <c r="N932" s="719"/>
      <c r="O932" s="48"/>
      <c r="P932" s="719"/>
      <c r="Q932" s="48"/>
      <c r="R932" s="48"/>
      <c r="S932" s="711" t="str">
        <f>IFERROR(__xludf.DUMMYFUNCTION("""COMPUTED_VALUE"""),"")</f>
        <v/>
      </c>
      <c r="T932" s="721"/>
      <c r="U932" s="721"/>
      <c r="V932" s="711"/>
      <c r="W932" s="721"/>
      <c r="X932" s="721"/>
      <c r="Y932" s="48"/>
      <c r="Z932" s="48"/>
      <c r="AA932" s="48"/>
      <c r="AB932" s="711"/>
      <c r="AC932" s="711"/>
      <c r="AD932" s="711"/>
      <c r="AE932" s="711"/>
      <c r="AF932" s="711"/>
      <c r="AG932" s="711"/>
      <c r="AH932" s="711"/>
    </row>
    <row r="933">
      <c r="A933" s="48"/>
      <c r="B933" s="48"/>
      <c r="C933" s="48"/>
      <c r="D933" s="721"/>
      <c r="E933" s="711"/>
      <c r="F933" s="711"/>
      <c r="G933" s="721"/>
      <c r="H933" s="721"/>
      <c r="I933" s="721"/>
      <c r="J933" s="48"/>
      <c r="K933" s="721"/>
      <c r="L933" s="721"/>
      <c r="M933" s="721"/>
      <c r="N933" s="719"/>
      <c r="O933" s="48"/>
      <c r="P933" s="719"/>
      <c r="Q933" s="48"/>
      <c r="R933" s="714" t="str">
        <f>IFERROR(__xludf.DUMMYFUNCTION("""COMPUTED_VALUE"""),"2526DUTTAVEN20.D")</f>
        <v>2526DUTTAVEN20.D</v>
      </c>
      <c r="S933" s="711">
        <f>IFERROR(__xludf.DUMMYFUNCTION("""COMPUTED_VALUE"""),30.0)</f>
        <v>30</v>
      </c>
      <c r="T933" s="722" t="str">
        <f>IFERROR(__xludf.DUMMYFUNCTION("""COMPUTED_VALUE"""),"2526DUTTAVEN20.D")</f>
        <v>2526DUTTAVEN20.D</v>
      </c>
      <c r="U933" s="721"/>
      <c r="V933" s="711"/>
      <c r="W933" s="721"/>
      <c r="X933" s="721"/>
      <c r="Y933" s="48"/>
      <c r="Z933" s="48"/>
      <c r="AA933" s="48"/>
      <c r="AB933" s="711"/>
      <c r="AC933" s="711"/>
      <c r="AD933" s="711"/>
      <c r="AE933" s="711"/>
      <c r="AF933" s="711"/>
      <c r="AG933" s="711"/>
      <c r="AH933" s="711"/>
    </row>
    <row r="934">
      <c r="A934" s="48"/>
      <c r="B934" s="48"/>
      <c r="C934" s="48"/>
      <c r="D934" s="721"/>
      <c r="E934" s="711"/>
      <c r="F934" s="711"/>
      <c r="G934" s="721"/>
      <c r="H934" s="721"/>
      <c r="I934" s="721"/>
      <c r="J934" s="48"/>
      <c r="K934" s="721"/>
      <c r="L934" s="721"/>
      <c r="M934" s="721"/>
      <c r="N934" s="719"/>
      <c r="O934" s="48"/>
      <c r="P934" s="719"/>
      <c r="Q934" s="48"/>
      <c r="R934" s="714" t="str">
        <f>IFERROR(__xludf.DUMMYFUNCTION("""COMPUTED_VALUE"""),"2526TIUTINAVEN20.A")</f>
        <v>2526TIUTINAVEN20.A</v>
      </c>
      <c r="S934" s="711">
        <f>IFERROR(__xludf.DUMMYFUNCTION("""COMPUTED_VALUE"""),6.0)</f>
        <v>6</v>
      </c>
      <c r="T934" s="722" t="str">
        <f>IFERROR(__xludf.DUMMYFUNCTION("""COMPUTED_VALUE"""),"2526TIUTINAVEN20.A")</f>
        <v>2526TIUTINAVEN20.A</v>
      </c>
      <c r="U934" s="721"/>
      <c r="V934" s="711"/>
      <c r="W934" s="721"/>
      <c r="X934" s="721"/>
      <c r="Y934" s="48"/>
      <c r="Z934" s="48"/>
      <c r="AA934" s="48"/>
      <c r="AB934" s="711"/>
      <c r="AC934" s="711"/>
      <c r="AD934" s="711"/>
      <c r="AE934" s="711"/>
      <c r="AF934" s="711"/>
      <c r="AG934" s="711"/>
      <c r="AH934" s="711"/>
    </row>
    <row r="935">
      <c r="A935" s="48"/>
      <c r="B935" s="48"/>
      <c r="C935" s="48"/>
      <c r="D935" s="721"/>
      <c r="E935" s="711"/>
      <c r="F935" s="711"/>
      <c r="G935" s="721"/>
      <c r="H935" s="721"/>
      <c r="I935" s="721"/>
      <c r="J935" s="48"/>
      <c r="K935" s="721"/>
      <c r="L935" s="721"/>
      <c r="M935" s="721"/>
      <c r="N935" s="719"/>
      <c r="O935" s="48"/>
      <c r="P935" s="719"/>
      <c r="Q935" s="48"/>
      <c r="R935" s="714" t="str">
        <f>IFERROR(__xludf.DUMMYFUNCTION("""COMPUTED_VALUE"""),"2526MAGARROVEN20.D")</f>
        <v>2526MAGARROVEN20.D</v>
      </c>
      <c r="S935" s="711">
        <f>IFERROR(__xludf.DUMMYFUNCTION("""COMPUTED_VALUE"""),24.0)</f>
        <v>24</v>
      </c>
      <c r="T935" s="722" t="str">
        <f>IFERROR(__xludf.DUMMYFUNCTION("""COMPUTED_VALUE"""),"2526MAGARROVEN20.D")</f>
        <v>2526MAGARROVEN20.D</v>
      </c>
      <c r="U935" s="721"/>
      <c r="V935" s="711"/>
      <c r="W935" s="721"/>
      <c r="X935" s="721"/>
      <c r="Y935" s="48"/>
      <c r="Z935" s="48"/>
      <c r="AA935" s="48"/>
      <c r="AB935" s="711"/>
      <c r="AC935" s="711"/>
      <c r="AD935" s="711"/>
      <c r="AE935" s="711"/>
      <c r="AF935" s="711"/>
      <c r="AG935" s="711"/>
      <c r="AH935" s="711"/>
    </row>
    <row r="936">
      <c r="A936" s="48"/>
      <c r="B936" s="48"/>
      <c r="C936" s="48"/>
      <c r="D936" s="721"/>
      <c r="E936" s="711"/>
      <c r="F936" s="711"/>
      <c r="G936" s="721"/>
      <c r="H936" s="721"/>
      <c r="I936" s="721"/>
      <c r="J936" s="48"/>
      <c r="K936" s="721"/>
      <c r="L936" s="721"/>
      <c r="M936" s="721"/>
      <c r="N936" s="719"/>
      <c r="O936" s="48"/>
      <c r="P936" s="719"/>
      <c r="Q936" s="48"/>
      <c r="R936" s="714" t="str">
        <f>IFERROR(__xludf.DUMMYFUNCTION("""COMPUTED_VALUE"""),"2526ANAHITAVEN20.D")</f>
        <v>2526ANAHITAVEN20.D</v>
      </c>
      <c r="S936" s="711">
        <f>IFERROR(__xludf.DUMMYFUNCTION("""COMPUTED_VALUE"""),30.0)</f>
        <v>30</v>
      </c>
      <c r="T936" s="722" t="str">
        <f>IFERROR(__xludf.DUMMYFUNCTION("""COMPUTED_VALUE"""),"2526ANAHITAVEN20.D")</f>
        <v>2526ANAHITAVEN20.D</v>
      </c>
      <c r="U936" s="721"/>
      <c r="V936" s="711"/>
      <c r="W936" s="721"/>
      <c r="X936" s="721"/>
      <c r="Y936" s="48"/>
      <c r="Z936" s="48"/>
      <c r="AA936" s="48"/>
      <c r="AB936" s="711"/>
      <c r="AC936" s="711"/>
      <c r="AD936" s="711"/>
      <c r="AE936" s="711"/>
      <c r="AF936" s="711"/>
      <c r="AG936" s="711"/>
      <c r="AH936" s="711"/>
    </row>
    <row r="937">
      <c r="A937" s="48"/>
      <c r="B937" s="48"/>
      <c r="C937" s="48"/>
      <c r="D937" s="721"/>
      <c r="E937" s="711"/>
      <c r="F937" s="711"/>
      <c r="G937" s="721"/>
      <c r="H937" s="721"/>
      <c r="I937" s="721"/>
      <c r="J937" s="48"/>
      <c r="K937" s="721"/>
      <c r="L937" s="721"/>
      <c r="M937" s="721"/>
      <c r="N937" s="719"/>
      <c r="O937" s="48"/>
      <c r="P937" s="719"/>
      <c r="Q937" s="48"/>
      <c r="R937" s="714" t="str">
        <f>IFERROR(__xludf.DUMMYFUNCTION("""COMPUTED_VALUE"""),"2526GRANDEVEN20.D")</f>
        <v>2526GRANDEVEN20.D</v>
      </c>
      <c r="S937" s="711">
        <f>IFERROR(__xludf.DUMMYFUNCTION("""COMPUTED_VALUE"""),15.0)</f>
        <v>15</v>
      </c>
      <c r="T937" s="722" t="str">
        <f>IFERROR(__xludf.DUMMYFUNCTION("""COMPUTED_VALUE"""),"2526GRANDEVEN20.D")</f>
        <v>2526GRANDEVEN20.D</v>
      </c>
      <c r="U937" s="721"/>
      <c r="V937" s="711"/>
      <c r="W937" s="721"/>
      <c r="X937" s="721"/>
      <c r="Y937" s="48"/>
      <c r="Z937" s="48"/>
      <c r="AA937" s="48"/>
      <c r="AB937" s="711"/>
      <c r="AC937" s="711"/>
      <c r="AD937" s="711"/>
      <c r="AE937" s="711"/>
      <c r="AF937" s="711"/>
      <c r="AG937" s="711"/>
      <c r="AH937" s="711"/>
    </row>
    <row r="938">
      <c r="A938" s="48"/>
      <c r="B938" s="48"/>
      <c r="C938" s="48"/>
      <c r="D938" s="721"/>
      <c r="E938" s="711"/>
      <c r="F938" s="711"/>
      <c r="G938" s="721"/>
      <c r="H938" s="721"/>
      <c r="I938" s="721"/>
      <c r="J938" s="48"/>
      <c r="K938" s="721"/>
      <c r="L938" s="721"/>
      <c r="M938" s="721"/>
      <c r="N938" s="719"/>
      <c r="O938" s="48"/>
      <c r="P938" s="719"/>
      <c r="Q938" s="48"/>
      <c r="R938" s="48"/>
      <c r="S938" s="711" t="str">
        <f>IFERROR(__xludf.DUMMYFUNCTION("""COMPUTED_VALUE"""),"")</f>
        <v/>
      </c>
      <c r="T938" s="721"/>
      <c r="U938" s="721"/>
      <c r="V938" s="711"/>
      <c r="W938" s="721"/>
      <c r="X938" s="721"/>
      <c r="Y938" s="48"/>
      <c r="Z938" s="48"/>
      <c r="AA938" s="48"/>
      <c r="AB938" s="711"/>
      <c r="AC938" s="711"/>
      <c r="AD938" s="711"/>
      <c r="AE938" s="711"/>
      <c r="AF938" s="711"/>
      <c r="AG938" s="711"/>
      <c r="AH938" s="711"/>
    </row>
    <row r="939">
      <c r="A939" s="48"/>
      <c r="B939" s="48"/>
      <c r="C939" s="48"/>
      <c r="D939" s="721"/>
      <c r="E939" s="711"/>
      <c r="F939" s="711"/>
      <c r="G939" s="721"/>
      <c r="H939" s="721"/>
      <c r="I939" s="721"/>
      <c r="J939" s="48"/>
      <c r="K939" s="721"/>
      <c r="L939" s="721"/>
      <c r="M939" s="721"/>
      <c r="N939" s="719"/>
      <c r="O939" s="48"/>
      <c r="P939" s="719"/>
      <c r="Q939" s="48"/>
      <c r="R939" s="48"/>
      <c r="S939" s="711" t="str">
        <f>IFERROR(__xludf.DUMMYFUNCTION("""COMPUTED_VALUE"""),"")</f>
        <v/>
      </c>
      <c r="T939" s="721"/>
      <c r="U939" s="721"/>
      <c r="V939" s="711"/>
      <c r="W939" s="721"/>
      <c r="X939" s="721"/>
      <c r="Y939" s="48"/>
      <c r="Z939" s="48"/>
      <c r="AA939" s="48"/>
      <c r="AB939" s="711"/>
      <c r="AC939" s="711"/>
      <c r="AD939" s="711"/>
      <c r="AE939" s="711"/>
      <c r="AF939" s="711"/>
      <c r="AG939" s="711"/>
      <c r="AH939" s="711"/>
    </row>
    <row r="940">
      <c r="A940" s="48"/>
      <c r="B940" s="48"/>
      <c r="C940" s="48"/>
      <c r="D940" s="721"/>
      <c r="E940" s="711"/>
      <c r="F940" s="711"/>
      <c r="G940" s="721"/>
      <c r="H940" s="721"/>
      <c r="I940" s="721"/>
      <c r="J940" s="48"/>
      <c r="K940" s="721"/>
      <c r="L940" s="721"/>
      <c r="M940" s="721"/>
      <c r="N940" s="719"/>
      <c r="O940" s="48"/>
      <c r="P940" s="719"/>
      <c r="Q940" s="48"/>
      <c r="R940" s="48"/>
      <c r="S940" s="711" t="str">
        <f>IFERROR(__xludf.DUMMYFUNCTION("""COMPUTED_VALUE"""),"")</f>
        <v/>
      </c>
      <c r="T940" s="721"/>
      <c r="U940" s="721"/>
      <c r="V940" s="711"/>
      <c r="W940" s="721"/>
      <c r="X940" s="721"/>
      <c r="Y940" s="48"/>
      <c r="Z940" s="48"/>
      <c r="AA940" s="48"/>
      <c r="AB940" s="711"/>
      <c r="AC940" s="711"/>
      <c r="AD940" s="711"/>
      <c r="AE940" s="711"/>
      <c r="AF940" s="711"/>
      <c r="AG940" s="711"/>
      <c r="AH940" s="711"/>
    </row>
    <row r="941">
      <c r="A941" s="48"/>
      <c r="B941" s="48"/>
      <c r="C941" s="48"/>
      <c r="D941" s="721"/>
      <c r="E941" s="711"/>
      <c r="F941" s="711"/>
      <c r="G941" s="721"/>
      <c r="H941" s="721"/>
      <c r="I941" s="721"/>
      <c r="J941" s="48"/>
      <c r="K941" s="721"/>
      <c r="L941" s="721"/>
      <c r="M941" s="721"/>
      <c r="N941" s="719"/>
      <c r="O941" s="48"/>
      <c r="P941" s="719"/>
      <c r="Q941" s="48"/>
      <c r="R941" s="48"/>
      <c r="S941" s="711" t="str">
        <f>IFERROR(__xludf.DUMMYFUNCTION("""COMPUTED_VALUE"""),"")</f>
        <v/>
      </c>
      <c r="T941" s="721"/>
      <c r="U941" s="721"/>
      <c r="V941" s="711"/>
      <c r="W941" s="721"/>
      <c r="X941" s="721"/>
      <c r="Y941" s="48"/>
      <c r="Z941" s="48"/>
      <c r="AA941" s="48"/>
      <c r="AB941" s="711"/>
      <c r="AC941" s="711"/>
      <c r="AD941" s="711"/>
      <c r="AE941" s="711"/>
      <c r="AF941" s="711"/>
      <c r="AG941" s="711"/>
      <c r="AH941" s="711"/>
    </row>
    <row r="942">
      <c r="A942" s="48"/>
      <c r="B942" s="48"/>
      <c r="C942" s="48"/>
      <c r="D942" s="721"/>
      <c r="E942" s="711"/>
      <c r="F942" s="711"/>
      <c r="G942" s="721"/>
      <c r="H942" s="721"/>
      <c r="I942" s="721"/>
      <c r="J942" s="48"/>
      <c r="K942" s="721"/>
      <c r="L942" s="721"/>
      <c r="M942" s="721"/>
      <c r="N942" s="719"/>
      <c r="O942" s="48"/>
      <c r="P942" s="719"/>
      <c r="Q942" s="48"/>
      <c r="R942" s="48"/>
      <c r="S942" s="711" t="str">
        <f>IFERROR(__xludf.DUMMYFUNCTION("""COMPUTED_VALUE"""),"")</f>
        <v/>
      </c>
      <c r="T942" s="721"/>
      <c r="U942" s="721"/>
      <c r="V942" s="711"/>
      <c r="W942" s="721"/>
      <c r="X942" s="721"/>
      <c r="Y942" s="48"/>
      <c r="Z942" s="48"/>
      <c r="AA942" s="48"/>
      <c r="AB942" s="711"/>
      <c r="AC942" s="711"/>
      <c r="AD942" s="711"/>
      <c r="AE942" s="711"/>
      <c r="AF942" s="711"/>
      <c r="AG942" s="711"/>
      <c r="AH942" s="711"/>
    </row>
    <row r="943">
      <c r="A943" s="48"/>
      <c r="B943" s="48"/>
      <c r="C943" s="48"/>
      <c r="D943" s="721"/>
      <c r="E943" s="711"/>
      <c r="F943" s="711"/>
      <c r="G943" s="721"/>
      <c r="H943" s="721"/>
      <c r="I943" s="721"/>
      <c r="J943" s="48"/>
      <c r="K943" s="721"/>
      <c r="L943" s="721"/>
      <c r="M943" s="721"/>
      <c r="N943" s="719"/>
      <c r="O943" s="48"/>
      <c r="P943" s="719"/>
      <c r="Q943" s="48"/>
      <c r="R943" s="48"/>
      <c r="S943" s="711" t="str">
        <f>IFERROR(__xludf.DUMMYFUNCTION("""COMPUTED_VALUE"""),"")</f>
        <v/>
      </c>
      <c r="T943" s="721"/>
      <c r="U943" s="721"/>
      <c r="V943" s="711"/>
      <c r="W943" s="721"/>
      <c r="X943" s="721"/>
      <c r="Y943" s="48"/>
      <c r="Z943" s="48"/>
      <c r="AA943" s="48"/>
      <c r="AB943" s="711"/>
      <c r="AC943" s="711"/>
      <c r="AD943" s="711"/>
      <c r="AE943" s="711"/>
      <c r="AF943" s="711"/>
      <c r="AG943" s="711"/>
      <c r="AH943" s="711"/>
    </row>
    <row r="944">
      <c r="A944" s="48"/>
      <c r="B944" s="48"/>
      <c r="C944" s="48"/>
      <c r="D944" s="721"/>
      <c r="E944" s="711"/>
      <c r="F944" s="711"/>
      <c r="G944" s="721"/>
      <c r="H944" s="721"/>
      <c r="I944" s="721"/>
      <c r="J944" s="48"/>
      <c r="K944" s="721"/>
      <c r="L944" s="721"/>
      <c r="M944" s="721"/>
      <c r="N944" s="719"/>
      <c r="O944" s="48"/>
      <c r="P944" s="719"/>
      <c r="Q944" s="48"/>
      <c r="R944" s="48"/>
      <c r="S944" s="711" t="str">
        <f>IFERROR(__xludf.DUMMYFUNCTION("""COMPUTED_VALUE"""),"")</f>
        <v/>
      </c>
      <c r="T944" s="721"/>
      <c r="U944" s="721"/>
      <c r="V944" s="711"/>
      <c r="W944" s="721"/>
      <c r="X944" s="721"/>
      <c r="Y944" s="48"/>
      <c r="Z944" s="48"/>
      <c r="AA944" s="48"/>
      <c r="AB944" s="711"/>
      <c r="AC944" s="711"/>
      <c r="AD944" s="711"/>
      <c r="AE944" s="711"/>
      <c r="AF944" s="711"/>
      <c r="AG944" s="711"/>
      <c r="AH944" s="711"/>
    </row>
    <row r="945">
      <c r="A945" s="48"/>
      <c r="B945" s="48"/>
      <c r="C945" s="48"/>
      <c r="D945" s="721"/>
      <c r="E945" s="711"/>
      <c r="F945" s="711"/>
      <c r="G945" s="721"/>
      <c r="H945" s="721"/>
      <c r="I945" s="721"/>
      <c r="J945" s="48"/>
      <c r="K945" s="721"/>
      <c r="L945" s="721"/>
      <c r="M945" s="721"/>
      <c r="N945" s="719"/>
      <c r="O945" s="48"/>
      <c r="P945" s="719"/>
      <c r="Q945" s="48"/>
      <c r="R945" s="48"/>
      <c r="S945" s="711" t="str">
        <f>IFERROR(__xludf.DUMMYFUNCTION("""COMPUTED_VALUE"""),"")</f>
        <v/>
      </c>
      <c r="T945" s="721"/>
      <c r="U945" s="721"/>
      <c r="V945" s="711"/>
      <c r="W945" s="721"/>
      <c r="X945" s="721"/>
      <c r="Y945" s="48"/>
      <c r="Z945" s="48"/>
      <c r="AA945" s="48"/>
      <c r="AB945" s="711"/>
      <c r="AC945" s="711"/>
      <c r="AD945" s="711"/>
      <c r="AE945" s="711"/>
      <c r="AF945" s="711"/>
      <c r="AG945" s="711"/>
      <c r="AH945" s="711"/>
    </row>
    <row r="946">
      <c r="A946" s="48"/>
      <c r="B946" s="48"/>
      <c r="C946" s="48"/>
      <c r="D946" s="721"/>
      <c r="E946" s="711"/>
      <c r="F946" s="711"/>
      <c r="G946" s="721"/>
      <c r="H946" s="721"/>
      <c r="I946" s="721"/>
      <c r="J946" s="48"/>
      <c r="K946" s="721"/>
      <c r="L946" s="721"/>
      <c r="M946" s="721"/>
      <c r="N946" s="719"/>
      <c r="O946" s="48"/>
      <c r="P946" s="719"/>
      <c r="Q946" s="48"/>
      <c r="R946" s="48"/>
      <c r="S946" s="711" t="str">
        <f>IFERROR(__xludf.DUMMYFUNCTION("""COMPUTED_VALUE"""),"")</f>
        <v/>
      </c>
      <c r="T946" s="721"/>
      <c r="U946" s="721"/>
      <c r="V946" s="711"/>
      <c r="W946" s="721"/>
      <c r="X946" s="721"/>
      <c r="Y946" s="48"/>
      <c r="Z946" s="48"/>
      <c r="AA946" s="48"/>
      <c r="AB946" s="711"/>
      <c r="AC946" s="711"/>
      <c r="AD946" s="711"/>
      <c r="AE946" s="711"/>
      <c r="AF946" s="711"/>
      <c r="AG946" s="711"/>
      <c r="AH946" s="711"/>
    </row>
    <row r="947">
      <c r="A947" s="48"/>
      <c r="B947" s="48"/>
      <c r="C947" s="48"/>
      <c r="D947" s="721"/>
      <c r="E947" s="711"/>
      <c r="F947" s="711"/>
      <c r="G947" s="721"/>
      <c r="H947" s="721"/>
      <c r="I947" s="721"/>
      <c r="J947" s="48"/>
      <c r="K947" s="721"/>
      <c r="L947" s="721"/>
      <c r="M947" s="721"/>
      <c r="N947" s="719"/>
      <c r="O947" s="48"/>
      <c r="P947" s="719"/>
      <c r="Q947" s="48"/>
      <c r="R947" s="48"/>
      <c r="S947" s="711" t="str">
        <f>IFERROR(__xludf.DUMMYFUNCTION("""COMPUTED_VALUE"""),"")</f>
        <v/>
      </c>
      <c r="T947" s="721"/>
      <c r="U947" s="721"/>
      <c r="V947" s="711"/>
      <c r="W947" s="721"/>
      <c r="X947" s="721"/>
      <c r="Y947" s="48"/>
      <c r="Z947" s="48"/>
      <c r="AA947" s="48"/>
      <c r="AB947" s="711"/>
      <c r="AC947" s="711"/>
      <c r="AD947" s="711"/>
      <c r="AE947" s="711"/>
      <c r="AF947" s="711"/>
      <c r="AG947" s="711"/>
      <c r="AH947" s="711"/>
    </row>
    <row r="948">
      <c r="A948" s="48"/>
      <c r="B948" s="48"/>
      <c r="C948" s="48"/>
      <c r="D948" s="721"/>
      <c r="E948" s="711"/>
      <c r="F948" s="711"/>
      <c r="G948" s="721"/>
      <c r="H948" s="721"/>
      <c r="I948" s="721"/>
      <c r="J948" s="48"/>
      <c r="K948" s="721"/>
      <c r="L948" s="721"/>
      <c r="M948" s="721"/>
      <c r="N948" s="719"/>
      <c r="O948" s="48"/>
      <c r="P948" s="719"/>
      <c r="Q948" s="48"/>
      <c r="R948" s="48"/>
      <c r="S948" s="711" t="str">
        <f>IFERROR(__xludf.DUMMYFUNCTION("""COMPUTED_VALUE"""),"")</f>
        <v/>
      </c>
      <c r="T948" s="721"/>
      <c r="U948" s="721"/>
      <c r="V948" s="711"/>
      <c r="W948" s="721"/>
      <c r="X948" s="721"/>
      <c r="Y948" s="48"/>
      <c r="Z948" s="48"/>
      <c r="AA948" s="48"/>
      <c r="AB948" s="711"/>
      <c r="AC948" s="711"/>
      <c r="AD948" s="711"/>
      <c r="AE948" s="711"/>
      <c r="AF948" s="711"/>
      <c r="AG948" s="711"/>
      <c r="AH948" s="711"/>
    </row>
    <row r="949">
      <c r="A949" s="48"/>
      <c r="B949" s="48"/>
      <c r="C949" s="48"/>
      <c r="D949" s="721"/>
      <c r="E949" s="711"/>
      <c r="F949" s="711"/>
      <c r="G949" s="721"/>
      <c r="H949" s="721"/>
      <c r="I949" s="721"/>
      <c r="J949" s="48"/>
      <c r="K949" s="721"/>
      <c r="L949" s="721"/>
      <c r="M949" s="721"/>
      <c r="N949" s="719"/>
      <c r="O949" s="48"/>
      <c r="P949" s="719"/>
      <c r="Q949" s="48"/>
      <c r="R949" s="48"/>
      <c r="S949" s="711" t="str">
        <f>IFERROR(__xludf.DUMMYFUNCTION("""COMPUTED_VALUE"""),"")</f>
        <v/>
      </c>
      <c r="T949" s="721"/>
      <c r="U949" s="721"/>
      <c r="V949" s="711"/>
      <c r="W949" s="721"/>
      <c r="X949" s="721"/>
      <c r="Y949" s="48"/>
      <c r="Z949" s="48"/>
      <c r="AA949" s="48"/>
      <c r="AB949" s="711"/>
      <c r="AC949" s="711"/>
      <c r="AD949" s="711"/>
      <c r="AE949" s="711"/>
      <c r="AF949" s="711"/>
      <c r="AG949" s="711"/>
      <c r="AH949" s="711"/>
    </row>
    <row r="950">
      <c r="A950" s="48"/>
      <c r="B950" s="48"/>
      <c r="C950" s="48"/>
      <c r="D950" s="721"/>
      <c r="E950" s="711"/>
      <c r="F950" s="711"/>
      <c r="G950" s="721"/>
      <c r="H950" s="721"/>
      <c r="I950" s="721"/>
      <c r="J950" s="48"/>
      <c r="K950" s="721"/>
      <c r="L950" s="721"/>
      <c r="M950" s="721"/>
      <c r="N950" s="719"/>
      <c r="O950" s="48"/>
      <c r="P950" s="719"/>
      <c r="Q950" s="48"/>
      <c r="R950" s="48"/>
      <c r="S950" s="711" t="str">
        <f>IFERROR(__xludf.DUMMYFUNCTION("""COMPUTED_VALUE"""),"")</f>
        <v/>
      </c>
      <c r="T950" s="721"/>
      <c r="U950" s="721"/>
      <c r="V950" s="711"/>
      <c r="W950" s="721"/>
      <c r="X950" s="721"/>
      <c r="Y950" s="48"/>
      <c r="Z950" s="48"/>
      <c r="AA950" s="48"/>
      <c r="AB950" s="711"/>
      <c r="AC950" s="711"/>
      <c r="AD950" s="711"/>
      <c r="AE950" s="711"/>
      <c r="AF950" s="711"/>
      <c r="AG950" s="711"/>
      <c r="AH950" s="711"/>
    </row>
    <row r="951">
      <c r="A951" s="48"/>
      <c r="B951" s="48"/>
      <c r="C951" s="48"/>
      <c r="D951" s="721"/>
      <c r="E951" s="711"/>
      <c r="F951" s="711"/>
      <c r="G951" s="721"/>
      <c r="H951" s="721"/>
      <c r="I951" s="721"/>
      <c r="J951" s="48"/>
      <c r="K951" s="721"/>
      <c r="L951" s="721"/>
      <c r="M951" s="721"/>
      <c r="N951" s="719"/>
      <c r="O951" s="48"/>
      <c r="P951" s="719"/>
      <c r="Q951" s="48"/>
      <c r="R951" s="48"/>
      <c r="S951" s="711" t="str">
        <f>IFERROR(__xludf.DUMMYFUNCTION("""COMPUTED_VALUE"""),"")</f>
        <v/>
      </c>
      <c r="T951" s="721"/>
      <c r="U951" s="721"/>
      <c r="V951" s="711"/>
      <c r="W951" s="721"/>
      <c r="X951" s="721"/>
      <c r="Y951" s="48"/>
      <c r="Z951" s="48"/>
      <c r="AA951" s="48"/>
      <c r="AB951" s="711"/>
      <c r="AC951" s="711"/>
      <c r="AD951" s="711"/>
      <c r="AE951" s="711"/>
      <c r="AF951" s="711"/>
      <c r="AG951" s="711"/>
      <c r="AH951" s="711"/>
    </row>
    <row r="952">
      <c r="A952" s="48"/>
      <c r="B952" s="48"/>
      <c r="C952" s="48"/>
      <c r="D952" s="721"/>
      <c r="E952" s="711"/>
      <c r="F952" s="711"/>
      <c r="G952" s="721"/>
      <c r="H952" s="721"/>
      <c r="I952" s="721"/>
      <c r="J952" s="48"/>
      <c r="K952" s="721"/>
      <c r="L952" s="721"/>
      <c r="M952" s="721"/>
      <c r="N952" s="719"/>
      <c r="O952" s="48"/>
      <c r="P952" s="719"/>
      <c r="Q952" s="48"/>
      <c r="R952" s="48"/>
      <c r="S952" s="711" t="str">
        <f>IFERROR(__xludf.DUMMYFUNCTION("""COMPUTED_VALUE"""),"")</f>
        <v/>
      </c>
      <c r="T952" s="721"/>
      <c r="U952" s="721"/>
      <c r="V952" s="711"/>
      <c r="W952" s="721"/>
      <c r="X952" s="721"/>
      <c r="Y952" s="48"/>
      <c r="Z952" s="48"/>
      <c r="AA952" s="48"/>
      <c r="AB952" s="711"/>
      <c r="AC952" s="711"/>
      <c r="AD952" s="711"/>
      <c r="AE952" s="711"/>
      <c r="AF952" s="711"/>
      <c r="AG952" s="711"/>
      <c r="AH952" s="711"/>
    </row>
    <row r="953">
      <c r="A953" s="48"/>
      <c r="B953" s="48"/>
      <c r="C953" s="48"/>
      <c r="D953" s="721"/>
      <c r="E953" s="711"/>
      <c r="F953" s="711"/>
      <c r="G953" s="721"/>
      <c r="H953" s="721"/>
      <c r="I953" s="721"/>
      <c r="J953" s="48"/>
      <c r="K953" s="721"/>
      <c r="L953" s="721"/>
      <c r="M953" s="721"/>
      <c r="N953" s="719"/>
      <c r="O953" s="48"/>
      <c r="P953" s="719"/>
      <c r="Q953" s="48"/>
      <c r="R953" s="48"/>
      <c r="S953" s="711" t="str">
        <f>IFERROR(__xludf.DUMMYFUNCTION("""COMPUTED_VALUE"""),"")</f>
        <v/>
      </c>
      <c r="T953" s="721"/>
      <c r="U953" s="721"/>
      <c r="V953" s="711"/>
      <c r="W953" s="721"/>
      <c r="X953" s="721"/>
      <c r="Y953" s="48"/>
      <c r="Z953" s="48"/>
      <c r="AA953" s="48"/>
      <c r="AB953" s="711"/>
      <c r="AC953" s="711"/>
      <c r="AD953" s="711"/>
      <c r="AE953" s="711"/>
      <c r="AF953" s="711"/>
      <c r="AG953" s="711"/>
      <c r="AH953" s="711"/>
    </row>
    <row r="954">
      <c r="A954" s="48"/>
      <c r="B954" s="48"/>
      <c r="C954" s="48"/>
      <c r="D954" s="721"/>
      <c r="E954" s="711"/>
      <c r="F954" s="711"/>
      <c r="G954" s="721"/>
      <c r="H954" s="721"/>
      <c r="I954" s="721"/>
      <c r="J954" s="48"/>
      <c r="K954" s="721"/>
      <c r="L954" s="721"/>
      <c r="M954" s="721"/>
      <c r="N954" s="719"/>
      <c r="O954" s="48"/>
      <c r="P954" s="719"/>
      <c r="Q954" s="48"/>
      <c r="R954" s="48"/>
      <c r="S954" s="711" t="str">
        <f>IFERROR(__xludf.DUMMYFUNCTION("""COMPUTED_VALUE"""),"")</f>
        <v/>
      </c>
      <c r="T954" s="721"/>
      <c r="U954" s="721"/>
      <c r="V954" s="711"/>
      <c r="W954" s="721"/>
      <c r="X954" s="721"/>
      <c r="Y954" s="48"/>
      <c r="Z954" s="48"/>
      <c r="AA954" s="48"/>
      <c r="AB954" s="711"/>
      <c r="AC954" s="711"/>
      <c r="AD954" s="711"/>
      <c r="AE954" s="711"/>
      <c r="AF954" s="711"/>
      <c r="AG954" s="711"/>
      <c r="AH954" s="711"/>
    </row>
    <row r="955">
      <c r="A955" s="48"/>
      <c r="B955" s="48"/>
      <c r="C955" s="48"/>
      <c r="D955" s="721"/>
      <c r="E955" s="711"/>
      <c r="F955" s="711"/>
      <c r="G955" s="721"/>
      <c r="H955" s="721"/>
      <c r="I955" s="721"/>
      <c r="J955" s="48"/>
      <c r="K955" s="721"/>
      <c r="L955" s="721"/>
      <c r="M955" s="721"/>
      <c r="N955" s="719"/>
      <c r="O955" s="48"/>
      <c r="P955" s="719"/>
      <c r="Q955" s="48"/>
      <c r="R955" s="48"/>
      <c r="S955" s="711" t="str">
        <f>IFERROR(__xludf.DUMMYFUNCTION("""COMPUTED_VALUE"""),"")</f>
        <v/>
      </c>
      <c r="T955" s="721"/>
      <c r="U955" s="721"/>
      <c r="V955" s="711"/>
      <c r="W955" s="721"/>
      <c r="X955" s="721"/>
      <c r="Y955" s="48"/>
      <c r="Z955" s="48"/>
      <c r="AA955" s="48"/>
      <c r="AB955" s="711"/>
      <c r="AC955" s="711"/>
      <c r="AD955" s="711"/>
      <c r="AE955" s="711"/>
      <c r="AF955" s="711"/>
      <c r="AG955" s="711"/>
      <c r="AH955" s="711"/>
    </row>
    <row r="956">
      <c r="A956" s="48"/>
      <c r="B956" s="48"/>
      <c r="C956" s="48"/>
      <c r="D956" s="721"/>
      <c r="E956" s="711"/>
      <c r="F956" s="711"/>
      <c r="G956" s="721"/>
      <c r="H956" s="721"/>
      <c r="I956" s="721"/>
      <c r="J956" s="48"/>
      <c r="K956" s="721"/>
      <c r="L956" s="721"/>
      <c r="M956" s="721"/>
      <c r="N956" s="719"/>
      <c r="O956" s="48"/>
      <c r="P956" s="719"/>
      <c r="Q956" s="48"/>
      <c r="R956" s="48"/>
      <c r="S956" s="711" t="str">
        <f>IFERROR(__xludf.DUMMYFUNCTION("""COMPUTED_VALUE"""),"")</f>
        <v/>
      </c>
      <c r="T956" s="721"/>
      <c r="U956" s="721"/>
      <c r="V956" s="711"/>
      <c r="W956" s="721"/>
      <c r="X956" s="721"/>
      <c r="Y956" s="48"/>
      <c r="Z956" s="48"/>
      <c r="AA956" s="48"/>
      <c r="AB956" s="711"/>
      <c r="AC956" s="711"/>
      <c r="AD956" s="711"/>
      <c r="AE956" s="711"/>
      <c r="AF956" s="711"/>
      <c r="AG956" s="711"/>
      <c r="AH956" s="711"/>
    </row>
    <row r="957">
      <c r="A957" s="48"/>
      <c r="B957" s="48"/>
      <c r="C957" s="48"/>
      <c r="D957" s="721"/>
      <c r="E957" s="711"/>
      <c r="F957" s="711"/>
      <c r="G957" s="721"/>
      <c r="H957" s="721"/>
      <c r="I957" s="721"/>
      <c r="J957" s="48"/>
      <c r="K957" s="721"/>
      <c r="L957" s="721"/>
      <c r="M957" s="721"/>
      <c r="N957" s="719"/>
      <c r="O957" s="48"/>
      <c r="P957" s="719"/>
      <c r="Q957" s="48"/>
      <c r="R957" s="48"/>
      <c r="S957" s="711" t="str">
        <f>IFERROR(__xludf.DUMMYFUNCTION("""COMPUTED_VALUE"""),"")</f>
        <v/>
      </c>
      <c r="T957" s="721"/>
      <c r="U957" s="721"/>
      <c r="V957" s="711"/>
      <c r="W957" s="721"/>
      <c r="X957" s="721"/>
      <c r="Y957" s="48"/>
      <c r="Z957" s="48"/>
      <c r="AA957" s="48"/>
      <c r="AB957" s="711"/>
      <c r="AC957" s="711"/>
      <c r="AD957" s="711"/>
      <c r="AE957" s="711"/>
      <c r="AF957" s="711"/>
      <c r="AG957" s="711"/>
      <c r="AH957" s="711"/>
    </row>
    <row r="958">
      <c r="A958" s="48"/>
      <c r="B958" s="48"/>
      <c r="C958" s="48"/>
      <c r="D958" s="721"/>
      <c r="E958" s="711"/>
      <c r="F958" s="711"/>
      <c r="G958" s="721"/>
      <c r="H958" s="721"/>
      <c r="I958" s="721"/>
      <c r="J958" s="48"/>
      <c r="K958" s="721"/>
      <c r="L958" s="721"/>
      <c r="M958" s="721"/>
      <c r="N958" s="719"/>
      <c r="O958" s="48"/>
      <c r="P958" s="719"/>
      <c r="Q958" s="48"/>
      <c r="R958" s="48"/>
      <c r="S958" s="711" t="str">
        <f>IFERROR(__xludf.DUMMYFUNCTION("""COMPUTED_VALUE"""),"")</f>
        <v/>
      </c>
      <c r="T958" s="721"/>
      <c r="U958" s="721"/>
      <c r="V958" s="711"/>
      <c r="W958" s="721"/>
      <c r="X958" s="721"/>
      <c r="Y958" s="48"/>
      <c r="Z958" s="48"/>
      <c r="AA958" s="48"/>
      <c r="AB958" s="711"/>
      <c r="AC958" s="711"/>
      <c r="AD958" s="711"/>
      <c r="AE958" s="711"/>
      <c r="AF958" s="711"/>
      <c r="AG958" s="711"/>
      <c r="AH958" s="711"/>
    </row>
    <row r="959">
      <c r="A959" s="48"/>
      <c r="B959" s="48"/>
      <c r="C959" s="48"/>
      <c r="D959" s="721"/>
      <c r="E959" s="711"/>
      <c r="F959" s="711"/>
      <c r="G959" s="721"/>
      <c r="H959" s="721"/>
      <c r="I959" s="721"/>
      <c r="J959" s="48"/>
      <c r="K959" s="721"/>
      <c r="L959" s="721"/>
      <c r="M959" s="721"/>
      <c r="N959" s="719"/>
      <c r="O959" s="48"/>
      <c r="P959" s="719"/>
      <c r="Q959" s="48"/>
      <c r="R959" s="48"/>
      <c r="S959" s="711" t="str">
        <f>IFERROR(__xludf.DUMMYFUNCTION("""COMPUTED_VALUE"""),"")</f>
        <v/>
      </c>
      <c r="T959" s="721"/>
      <c r="U959" s="721"/>
      <c r="V959" s="711"/>
      <c r="W959" s="721"/>
      <c r="X959" s="721"/>
      <c r="Y959" s="48"/>
      <c r="Z959" s="48"/>
      <c r="AA959" s="48"/>
      <c r="AB959" s="711"/>
      <c r="AC959" s="711"/>
      <c r="AD959" s="711"/>
      <c r="AE959" s="711"/>
      <c r="AF959" s="711"/>
      <c r="AG959" s="711"/>
      <c r="AH959" s="711"/>
    </row>
    <row r="960">
      <c r="A960" s="48"/>
      <c r="B960" s="48"/>
      <c r="C960" s="48"/>
      <c r="D960" s="721"/>
      <c r="E960" s="711"/>
      <c r="F960" s="711"/>
      <c r="G960" s="721"/>
      <c r="H960" s="721"/>
      <c r="I960" s="721"/>
      <c r="J960" s="48"/>
      <c r="K960" s="721"/>
      <c r="L960" s="721"/>
      <c r="M960" s="721"/>
      <c r="N960" s="719"/>
      <c r="O960" s="48"/>
      <c r="P960" s="719"/>
      <c r="Q960" s="48"/>
      <c r="R960" s="48"/>
      <c r="S960" s="711" t="str">
        <f>IFERROR(__xludf.DUMMYFUNCTION("""COMPUTED_VALUE"""),"")</f>
        <v/>
      </c>
      <c r="T960" s="721"/>
      <c r="U960" s="721"/>
      <c r="V960" s="711"/>
      <c r="W960" s="721"/>
      <c r="X960" s="721"/>
      <c r="Y960" s="48"/>
      <c r="Z960" s="48"/>
      <c r="AA960" s="48"/>
      <c r="AB960" s="711"/>
      <c r="AC960" s="711"/>
      <c r="AD960" s="711"/>
      <c r="AE960" s="711"/>
      <c r="AF960" s="711"/>
      <c r="AG960" s="711"/>
      <c r="AH960" s="711"/>
    </row>
    <row r="961">
      <c r="A961" s="48"/>
      <c r="B961" s="48"/>
      <c r="C961" s="48"/>
      <c r="D961" s="721"/>
      <c r="E961" s="711"/>
      <c r="F961" s="711"/>
      <c r="G961" s="721"/>
      <c r="H961" s="721"/>
      <c r="I961" s="721"/>
      <c r="J961" s="48"/>
      <c r="K961" s="721"/>
      <c r="L961" s="721"/>
      <c r="M961" s="721"/>
      <c r="N961" s="719"/>
      <c r="O961" s="48"/>
      <c r="P961" s="719"/>
      <c r="Q961" s="48"/>
      <c r="R961" s="48"/>
      <c r="S961" s="711" t="str">
        <f>IFERROR(__xludf.DUMMYFUNCTION("""COMPUTED_VALUE"""),"")</f>
        <v/>
      </c>
      <c r="T961" s="721"/>
      <c r="U961" s="721"/>
      <c r="V961" s="711"/>
      <c r="W961" s="721"/>
      <c r="X961" s="721"/>
      <c r="Y961" s="48"/>
      <c r="Z961" s="48"/>
      <c r="AA961" s="48"/>
      <c r="AB961" s="711"/>
      <c r="AC961" s="711"/>
      <c r="AD961" s="711"/>
      <c r="AE961" s="711"/>
      <c r="AF961" s="711"/>
      <c r="AG961" s="711"/>
      <c r="AH961" s="711"/>
    </row>
    <row r="962">
      <c r="A962" s="48"/>
      <c r="B962" s="48"/>
      <c r="C962" s="48"/>
      <c r="D962" s="721"/>
      <c r="E962" s="711"/>
      <c r="F962" s="711"/>
      <c r="G962" s="721"/>
      <c r="H962" s="721"/>
      <c r="I962" s="721"/>
      <c r="J962" s="48"/>
      <c r="K962" s="721"/>
      <c r="L962" s="721"/>
      <c r="M962" s="721"/>
      <c r="N962" s="719"/>
      <c r="O962" s="48"/>
      <c r="P962" s="719"/>
      <c r="Q962" s="48"/>
      <c r="R962" s="48"/>
      <c r="S962" s="711" t="str">
        <f>IFERROR(__xludf.DUMMYFUNCTION("""COMPUTED_VALUE"""),"")</f>
        <v/>
      </c>
      <c r="T962" s="721"/>
      <c r="U962" s="721"/>
      <c r="V962" s="711"/>
      <c r="W962" s="721"/>
      <c r="X962" s="721"/>
      <c r="Y962" s="48"/>
      <c r="Z962" s="48"/>
      <c r="AA962" s="48"/>
      <c r="AB962" s="711"/>
      <c r="AC962" s="711"/>
      <c r="AD962" s="711"/>
      <c r="AE962" s="711"/>
      <c r="AF962" s="711"/>
      <c r="AG962" s="711"/>
      <c r="AH962" s="711"/>
    </row>
    <row r="963">
      <c r="A963" s="48"/>
      <c r="B963" s="48"/>
      <c r="C963" s="48"/>
      <c r="D963" s="721"/>
      <c r="E963" s="711"/>
      <c r="F963" s="711"/>
      <c r="G963" s="721"/>
      <c r="H963" s="721"/>
      <c r="I963" s="721"/>
      <c r="J963" s="48"/>
      <c r="K963" s="721"/>
      <c r="L963" s="721"/>
      <c r="M963" s="721"/>
      <c r="N963" s="719"/>
      <c r="O963" s="48"/>
      <c r="P963" s="719"/>
      <c r="Q963" s="48"/>
      <c r="R963" s="48"/>
      <c r="S963" s="711" t="str">
        <f>IFERROR(__xludf.DUMMYFUNCTION("""COMPUTED_VALUE"""),"")</f>
        <v/>
      </c>
      <c r="T963" s="721"/>
      <c r="U963" s="721"/>
      <c r="V963" s="711"/>
      <c r="W963" s="721"/>
      <c r="X963" s="721"/>
      <c r="Y963" s="48"/>
      <c r="Z963" s="48"/>
      <c r="AA963" s="48"/>
      <c r="AB963" s="711"/>
      <c r="AC963" s="711"/>
      <c r="AD963" s="711"/>
      <c r="AE963" s="711"/>
      <c r="AF963" s="711"/>
      <c r="AG963" s="711"/>
      <c r="AH963" s="711"/>
    </row>
    <row r="964">
      <c r="A964" s="48"/>
      <c r="B964" s="48"/>
      <c r="C964" s="48"/>
      <c r="D964" s="721"/>
      <c r="E964" s="711"/>
      <c r="F964" s="711"/>
      <c r="G964" s="721"/>
      <c r="H964" s="721"/>
      <c r="I964" s="721"/>
      <c r="J964" s="48"/>
      <c r="K964" s="721"/>
      <c r="L964" s="721"/>
      <c r="M964" s="721"/>
      <c r="N964" s="719"/>
      <c r="O964" s="48"/>
      <c r="P964" s="719"/>
      <c r="Q964" s="48"/>
      <c r="R964" s="48"/>
      <c r="S964" s="711" t="str">
        <f>IFERROR(__xludf.DUMMYFUNCTION("""COMPUTED_VALUE"""),"")</f>
        <v/>
      </c>
      <c r="T964" s="721"/>
      <c r="U964" s="721"/>
      <c r="V964" s="711"/>
      <c r="W964" s="721"/>
      <c r="X964" s="721"/>
      <c r="Y964" s="48"/>
      <c r="Z964" s="48"/>
      <c r="AA964" s="48"/>
      <c r="AB964" s="711"/>
      <c r="AC964" s="711"/>
      <c r="AD964" s="711"/>
      <c r="AE964" s="711"/>
      <c r="AF964" s="711"/>
      <c r="AG964" s="711"/>
      <c r="AH964" s="711"/>
    </row>
    <row r="965">
      <c r="A965" s="48"/>
      <c r="B965" s="48"/>
      <c r="C965" s="48"/>
      <c r="D965" s="721"/>
      <c r="E965" s="711"/>
      <c r="F965" s="711"/>
      <c r="G965" s="721"/>
      <c r="H965" s="721"/>
      <c r="I965" s="721"/>
      <c r="J965" s="48"/>
      <c r="K965" s="721"/>
      <c r="L965" s="721"/>
      <c r="M965" s="721"/>
      <c r="N965" s="719"/>
      <c r="O965" s="48"/>
      <c r="P965" s="719"/>
      <c r="Q965" s="48"/>
      <c r="R965" s="48"/>
      <c r="S965" s="711" t="str">
        <f>IFERROR(__xludf.DUMMYFUNCTION("""COMPUTED_VALUE"""),"")</f>
        <v/>
      </c>
      <c r="T965" s="721"/>
      <c r="U965" s="721"/>
      <c r="V965" s="711"/>
      <c r="W965" s="721"/>
      <c r="X965" s="721"/>
      <c r="Y965" s="48"/>
      <c r="Z965" s="48"/>
      <c r="AA965" s="48"/>
      <c r="AB965" s="711"/>
      <c r="AC965" s="711"/>
      <c r="AD965" s="711"/>
      <c r="AE965" s="711"/>
      <c r="AF965" s="711"/>
      <c r="AG965" s="711"/>
      <c r="AH965" s="711"/>
    </row>
    <row r="966">
      <c r="A966" s="48"/>
      <c r="B966" s="48"/>
      <c r="C966" s="48"/>
      <c r="D966" s="721"/>
      <c r="E966" s="711"/>
      <c r="F966" s="711"/>
      <c r="G966" s="721"/>
      <c r="H966" s="721"/>
      <c r="I966" s="721"/>
      <c r="J966" s="48"/>
      <c r="K966" s="721"/>
      <c r="L966" s="721"/>
      <c r="M966" s="721"/>
      <c r="N966" s="719"/>
      <c r="O966" s="48"/>
      <c r="P966" s="719"/>
      <c r="Q966" s="48"/>
      <c r="R966" s="48"/>
      <c r="S966" s="711" t="str">
        <f>IFERROR(__xludf.DUMMYFUNCTION("""COMPUTED_VALUE"""),"")</f>
        <v/>
      </c>
      <c r="T966" s="721"/>
      <c r="U966" s="721"/>
      <c r="V966" s="711"/>
      <c r="W966" s="721"/>
      <c r="X966" s="721"/>
      <c r="Y966" s="48"/>
      <c r="Z966" s="48"/>
      <c r="AA966" s="48"/>
      <c r="AB966" s="711"/>
      <c r="AC966" s="711"/>
      <c r="AD966" s="711"/>
      <c r="AE966" s="711"/>
      <c r="AF966" s="711"/>
      <c r="AG966" s="711"/>
      <c r="AH966" s="711"/>
    </row>
    <row r="967">
      <c r="A967" s="48"/>
      <c r="B967" s="48"/>
      <c r="C967" s="48"/>
      <c r="D967" s="721"/>
      <c r="E967" s="711"/>
      <c r="F967" s="711"/>
      <c r="G967" s="721"/>
      <c r="H967" s="721"/>
      <c r="I967" s="721"/>
      <c r="J967" s="48"/>
      <c r="K967" s="721"/>
      <c r="L967" s="721"/>
      <c r="M967" s="721"/>
      <c r="N967" s="719"/>
      <c r="O967" s="48"/>
      <c r="P967" s="719"/>
      <c r="Q967" s="48"/>
      <c r="R967" s="48"/>
      <c r="S967" s="711" t="str">
        <f>IFERROR(__xludf.DUMMYFUNCTION("""COMPUTED_VALUE"""),"")</f>
        <v/>
      </c>
      <c r="T967" s="721"/>
      <c r="U967" s="721"/>
      <c r="V967" s="711"/>
      <c r="W967" s="721"/>
      <c r="X967" s="721"/>
      <c r="Y967" s="48"/>
      <c r="Z967" s="48"/>
      <c r="AA967" s="48"/>
      <c r="AB967" s="711"/>
      <c r="AC967" s="711"/>
      <c r="AD967" s="711"/>
      <c r="AE967" s="711"/>
      <c r="AF967" s="711"/>
      <c r="AG967" s="711"/>
      <c r="AH967" s="711"/>
    </row>
    <row r="968">
      <c r="A968" s="48"/>
      <c r="B968" s="48"/>
      <c r="C968" s="48"/>
      <c r="D968" s="721"/>
      <c r="E968" s="711"/>
      <c r="F968" s="711"/>
      <c r="G968" s="721"/>
      <c r="H968" s="721"/>
      <c r="I968" s="721"/>
      <c r="J968" s="48"/>
      <c r="K968" s="721"/>
      <c r="L968" s="721"/>
      <c r="M968" s="721"/>
      <c r="N968" s="719"/>
      <c r="O968" s="48"/>
      <c r="P968" s="719"/>
      <c r="Q968" s="48"/>
      <c r="R968" s="48"/>
      <c r="S968" s="711" t="str">
        <f>IFERROR(__xludf.DUMMYFUNCTION("""COMPUTED_VALUE"""),"")</f>
        <v/>
      </c>
      <c r="T968" s="721"/>
      <c r="U968" s="721"/>
      <c r="V968" s="711"/>
      <c r="W968" s="721"/>
      <c r="X968" s="721"/>
      <c r="Y968" s="48"/>
      <c r="Z968" s="48"/>
      <c r="AA968" s="48"/>
      <c r="AB968" s="711"/>
      <c r="AC968" s="711"/>
      <c r="AD968" s="711"/>
      <c r="AE968" s="711"/>
      <c r="AF968" s="711"/>
      <c r="AG968" s="711"/>
      <c r="AH968" s="711"/>
    </row>
    <row r="969">
      <c r="A969" s="48"/>
      <c r="B969" s="48"/>
      <c r="C969" s="48"/>
      <c r="D969" s="721"/>
      <c r="E969" s="711"/>
      <c r="F969" s="711"/>
      <c r="G969" s="721"/>
      <c r="H969" s="721"/>
      <c r="I969" s="721"/>
      <c r="J969" s="48"/>
      <c r="K969" s="721"/>
      <c r="L969" s="721"/>
      <c r="M969" s="721"/>
      <c r="N969" s="719"/>
      <c r="O969" s="48"/>
      <c r="P969" s="719"/>
      <c r="Q969" s="48"/>
      <c r="R969" s="48"/>
      <c r="S969" s="711" t="str">
        <f>IFERROR(__xludf.DUMMYFUNCTION("""COMPUTED_VALUE"""),"")</f>
        <v/>
      </c>
      <c r="T969" s="721"/>
      <c r="U969" s="721"/>
      <c r="V969" s="711"/>
      <c r="W969" s="721"/>
      <c r="X969" s="721"/>
      <c r="Y969" s="48"/>
      <c r="Z969" s="48"/>
      <c r="AA969" s="48"/>
      <c r="AB969" s="711"/>
      <c r="AC969" s="711"/>
      <c r="AD969" s="711"/>
      <c r="AE969" s="711"/>
      <c r="AF969" s="711"/>
      <c r="AG969" s="711"/>
      <c r="AH969" s="711"/>
    </row>
    <row r="970">
      <c r="A970" s="48"/>
      <c r="B970" s="48"/>
      <c r="C970" s="48"/>
      <c r="D970" s="721"/>
      <c r="E970" s="711"/>
      <c r="F970" s="711"/>
      <c r="G970" s="721"/>
      <c r="H970" s="721"/>
      <c r="I970" s="721"/>
      <c r="J970" s="48"/>
      <c r="K970" s="721"/>
      <c r="L970" s="721"/>
      <c r="M970" s="721"/>
      <c r="N970" s="719"/>
      <c r="O970" s="48"/>
      <c r="P970" s="719"/>
      <c r="Q970" s="48"/>
      <c r="R970" s="48"/>
      <c r="S970" s="711" t="str">
        <f>IFERROR(__xludf.DUMMYFUNCTION("""COMPUTED_VALUE"""),"")</f>
        <v/>
      </c>
      <c r="T970" s="721"/>
      <c r="U970" s="721"/>
      <c r="V970" s="711"/>
      <c r="W970" s="721"/>
      <c r="X970" s="721"/>
      <c r="Y970" s="48"/>
      <c r="Z970" s="48"/>
      <c r="AA970" s="48"/>
      <c r="AB970" s="711"/>
      <c r="AC970" s="711"/>
      <c r="AD970" s="711"/>
      <c r="AE970" s="711"/>
      <c r="AF970" s="711"/>
      <c r="AG970" s="711"/>
      <c r="AH970" s="711"/>
    </row>
    <row r="971">
      <c r="A971" s="48"/>
      <c r="B971" s="48"/>
      <c r="C971" s="48"/>
      <c r="D971" s="721"/>
      <c r="E971" s="711"/>
      <c r="F971" s="711"/>
      <c r="G971" s="721"/>
      <c r="H971" s="721"/>
      <c r="I971" s="721"/>
      <c r="J971" s="48"/>
      <c r="K971" s="721"/>
      <c r="L971" s="721"/>
      <c r="M971" s="721"/>
      <c r="N971" s="719"/>
      <c r="O971" s="48"/>
      <c r="P971" s="719"/>
      <c r="Q971" s="48"/>
      <c r="R971" s="48"/>
      <c r="S971" s="711" t="str">
        <f>IFERROR(__xludf.DUMMYFUNCTION("""COMPUTED_VALUE"""),"")</f>
        <v/>
      </c>
      <c r="T971" s="721"/>
      <c r="U971" s="721"/>
      <c r="V971" s="711"/>
      <c r="W971" s="721"/>
      <c r="X971" s="721"/>
      <c r="Y971" s="48"/>
      <c r="Z971" s="48"/>
      <c r="AA971" s="48"/>
      <c r="AB971" s="711"/>
      <c r="AC971" s="711"/>
      <c r="AD971" s="711"/>
      <c r="AE971" s="711"/>
      <c r="AF971" s="711"/>
      <c r="AG971" s="711"/>
      <c r="AH971" s="711"/>
    </row>
    <row r="972">
      <c r="A972" s="48"/>
      <c r="B972" s="48"/>
      <c r="C972" s="48"/>
      <c r="D972" s="721"/>
      <c r="E972" s="711"/>
      <c r="F972" s="711"/>
      <c r="G972" s="721"/>
      <c r="H972" s="721"/>
      <c r="I972" s="721"/>
      <c r="J972" s="48"/>
      <c r="K972" s="721"/>
      <c r="L972" s="721"/>
      <c r="M972" s="721"/>
      <c r="N972" s="719"/>
      <c r="O972" s="48"/>
      <c r="P972" s="719"/>
      <c r="Q972" s="48"/>
      <c r="R972" s="48"/>
      <c r="S972" s="711" t="str">
        <f>IFERROR(__xludf.DUMMYFUNCTION("""COMPUTED_VALUE"""),"")</f>
        <v/>
      </c>
      <c r="T972" s="721"/>
      <c r="U972" s="721"/>
      <c r="V972" s="711"/>
      <c r="W972" s="721"/>
      <c r="X972" s="721"/>
      <c r="Y972" s="48"/>
      <c r="Z972" s="48"/>
      <c r="AA972" s="48"/>
      <c r="AB972" s="711"/>
      <c r="AC972" s="711"/>
      <c r="AD972" s="711"/>
      <c r="AE972" s="711"/>
      <c r="AF972" s="711"/>
      <c r="AG972" s="711"/>
      <c r="AH972" s="711"/>
    </row>
    <row r="973">
      <c r="A973" s="48"/>
      <c r="B973" s="48"/>
      <c r="C973" s="48"/>
      <c r="D973" s="721"/>
      <c r="E973" s="711"/>
      <c r="F973" s="711"/>
      <c r="G973" s="721"/>
      <c r="H973" s="721"/>
      <c r="I973" s="721"/>
      <c r="J973" s="48"/>
      <c r="K973" s="721"/>
      <c r="L973" s="721"/>
      <c r="M973" s="721"/>
      <c r="N973" s="719"/>
      <c r="O973" s="48"/>
      <c r="P973" s="719"/>
      <c r="Q973" s="48"/>
      <c r="R973" s="48"/>
      <c r="S973" s="711" t="str">
        <f>IFERROR(__xludf.DUMMYFUNCTION("""COMPUTED_VALUE"""),"")</f>
        <v/>
      </c>
      <c r="T973" s="721"/>
      <c r="U973" s="721"/>
      <c r="V973" s="711"/>
      <c r="W973" s="721"/>
      <c r="X973" s="721"/>
      <c r="Y973" s="48"/>
      <c r="Z973" s="48"/>
      <c r="AA973" s="48"/>
      <c r="AB973" s="711"/>
      <c r="AC973" s="711"/>
      <c r="AD973" s="711"/>
      <c r="AE973" s="711"/>
      <c r="AF973" s="711"/>
      <c r="AG973" s="711"/>
      <c r="AH973" s="711"/>
    </row>
    <row r="974">
      <c r="A974" s="48"/>
      <c r="B974" s="48"/>
      <c r="C974" s="48"/>
      <c r="D974" s="721"/>
      <c r="E974" s="711"/>
      <c r="F974" s="711"/>
      <c r="G974" s="721"/>
      <c r="H974" s="721"/>
      <c r="I974" s="721"/>
      <c r="J974" s="48"/>
      <c r="K974" s="721"/>
      <c r="L974" s="721"/>
      <c r="M974" s="721"/>
      <c r="N974" s="719"/>
      <c r="O974" s="48"/>
      <c r="P974" s="719"/>
      <c r="Q974" s="48"/>
      <c r="R974" s="48"/>
      <c r="S974" s="711" t="str">
        <f>IFERROR(__xludf.DUMMYFUNCTION("""COMPUTED_VALUE"""),"")</f>
        <v/>
      </c>
      <c r="T974" s="721"/>
      <c r="U974" s="721"/>
      <c r="V974" s="711"/>
      <c r="W974" s="721"/>
      <c r="X974" s="721"/>
      <c r="Y974" s="48"/>
      <c r="Z974" s="48"/>
      <c r="AA974" s="48"/>
      <c r="AB974" s="711"/>
      <c r="AC974" s="711"/>
      <c r="AD974" s="711"/>
      <c r="AE974" s="711"/>
      <c r="AF974" s="711"/>
      <c r="AG974" s="711"/>
      <c r="AH974" s="711"/>
    </row>
    <row r="975">
      <c r="A975" s="48"/>
      <c r="B975" s="48"/>
      <c r="C975" s="48"/>
      <c r="D975" s="721"/>
      <c r="E975" s="711"/>
      <c r="F975" s="711"/>
      <c r="G975" s="721"/>
      <c r="H975" s="721"/>
      <c r="I975" s="721"/>
      <c r="J975" s="48"/>
      <c r="K975" s="721"/>
      <c r="L975" s="721"/>
      <c r="M975" s="721"/>
      <c r="N975" s="719"/>
      <c r="O975" s="48"/>
      <c r="P975" s="719"/>
      <c r="Q975" s="48"/>
      <c r="R975" s="48"/>
      <c r="S975" s="711" t="str">
        <f>IFERROR(__xludf.DUMMYFUNCTION("""COMPUTED_VALUE"""),"")</f>
        <v/>
      </c>
      <c r="T975" s="721"/>
      <c r="U975" s="721"/>
      <c r="V975" s="711"/>
      <c r="W975" s="721"/>
      <c r="X975" s="721"/>
      <c r="Y975" s="48"/>
      <c r="Z975" s="48"/>
      <c r="AA975" s="48"/>
      <c r="AB975" s="711"/>
      <c r="AC975" s="711"/>
      <c r="AD975" s="711"/>
      <c r="AE975" s="711"/>
      <c r="AF975" s="711"/>
      <c r="AG975" s="711"/>
      <c r="AH975" s="711"/>
    </row>
    <row r="976">
      <c r="A976" s="48"/>
      <c r="B976" s="48"/>
      <c r="C976" s="48"/>
      <c r="D976" s="721"/>
      <c r="E976" s="711"/>
      <c r="F976" s="711"/>
      <c r="G976" s="721"/>
      <c r="H976" s="721"/>
      <c r="I976" s="721"/>
      <c r="J976" s="48"/>
      <c r="K976" s="721"/>
      <c r="L976" s="721"/>
      <c r="M976" s="721"/>
      <c r="N976" s="719"/>
      <c r="O976" s="48"/>
      <c r="P976" s="719"/>
      <c r="Q976" s="48"/>
      <c r="R976" s="48"/>
      <c r="S976" s="711" t="str">
        <f>IFERROR(__xludf.DUMMYFUNCTION("""COMPUTED_VALUE"""),"")</f>
        <v/>
      </c>
      <c r="T976" s="721"/>
      <c r="U976" s="721"/>
      <c r="V976" s="711"/>
      <c r="W976" s="721"/>
      <c r="X976" s="721"/>
      <c r="Y976" s="48"/>
      <c r="Z976" s="48"/>
      <c r="AA976" s="48"/>
      <c r="AB976" s="711"/>
      <c r="AC976" s="711"/>
      <c r="AD976" s="711"/>
      <c r="AE976" s="711"/>
      <c r="AF976" s="711"/>
      <c r="AG976" s="711"/>
      <c r="AH976" s="711"/>
    </row>
    <row r="977">
      <c r="A977" s="48"/>
      <c r="B977" s="48"/>
      <c r="C977" s="48"/>
      <c r="D977" s="721"/>
      <c r="E977" s="711"/>
      <c r="F977" s="711"/>
      <c r="G977" s="721"/>
      <c r="H977" s="721"/>
      <c r="I977" s="721"/>
      <c r="J977" s="48"/>
      <c r="K977" s="721"/>
      <c r="L977" s="721"/>
      <c r="M977" s="721"/>
      <c r="N977" s="719"/>
      <c r="O977" s="48"/>
      <c r="P977" s="719"/>
      <c r="Q977" s="48"/>
      <c r="R977" s="48"/>
      <c r="S977" s="711" t="str">
        <f>IFERROR(__xludf.DUMMYFUNCTION("""COMPUTED_VALUE"""),"")</f>
        <v/>
      </c>
      <c r="T977" s="721"/>
      <c r="U977" s="721"/>
      <c r="V977" s="711"/>
      <c r="W977" s="721"/>
      <c r="X977" s="721"/>
      <c r="Y977" s="48"/>
      <c r="Z977" s="48"/>
      <c r="AA977" s="48"/>
      <c r="AB977" s="711"/>
      <c r="AC977" s="711"/>
      <c r="AD977" s="711"/>
      <c r="AE977" s="711"/>
      <c r="AF977" s="711"/>
      <c r="AG977" s="711"/>
      <c r="AH977" s="711"/>
    </row>
    <row r="978">
      <c r="A978" s="48"/>
      <c r="B978" s="48"/>
      <c r="C978" s="48"/>
      <c r="D978" s="721"/>
      <c r="E978" s="711"/>
      <c r="F978" s="711"/>
      <c r="G978" s="721"/>
      <c r="H978" s="721"/>
      <c r="I978" s="721"/>
      <c r="J978" s="48"/>
      <c r="K978" s="721"/>
      <c r="L978" s="721"/>
      <c r="M978" s="721"/>
      <c r="N978" s="719"/>
      <c r="O978" s="48"/>
      <c r="P978" s="719"/>
      <c r="Q978" s="48"/>
      <c r="R978" s="48"/>
      <c r="S978" s="711" t="str">
        <f>IFERROR(__xludf.DUMMYFUNCTION("""COMPUTED_VALUE"""),"")</f>
        <v/>
      </c>
      <c r="T978" s="721"/>
      <c r="U978" s="721"/>
      <c r="V978" s="711"/>
      <c r="W978" s="721"/>
      <c r="X978" s="721"/>
      <c r="Y978" s="48"/>
      <c r="Z978" s="48"/>
      <c r="AA978" s="48"/>
      <c r="AB978" s="711"/>
      <c r="AC978" s="711"/>
      <c r="AD978" s="711"/>
      <c r="AE978" s="711"/>
      <c r="AF978" s="711"/>
      <c r="AG978" s="711"/>
      <c r="AH978" s="711"/>
    </row>
    <row r="979">
      <c r="A979" s="48"/>
      <c r="B979" s="48"/>
      <c r="C979" s="48"/>
      <c r="D979" s="721"/>
      <c r="E979" s="711"/>
      <c r="F979" s="711"/>
      <c r="G979" s="721"/>
      <c r="H979" s="721"/>
      <c r="I979" s="721"/>
      <c r="J979" s="48"/>
      <c r="K979" s="721"/>
      <c r="L979" s="721"/>
      <c r="M979" s="721"/>
      <c r="N979" s="719"/>
      <c r="O979" s="48"/>
      <c r="P979" s="719"/>
      <c r="Q979" s="48"/>
      <c r="R979" s="48"/>
      <c r="S979" s="711" t="str">
        <f>IFERROR(__xludf.DUMMYFUNCTION("""COMPUTED_VALUE"""),"")</f>
        <v/>
      </c>
      <c r="T979" s="721"/>
      <c r="U979" s="721"/>
      <c r="V979" s="711"/>
      <c r="W979" s="721"/>
      <c r="X979" s="721"/>
      <c r="Y979" s="48"/>
      <c r="Z979" s="48"/>
      <c r="AA979" s="48"/>
      <c r="AB979" s="711"/>
      <c r="AC979" s="711"/>
      <c r="AD979" s="711"/>
      <c r="AE979" s="711"/>
      <c r="AF979" s="711"/>
      <c r="AG979" s="711"/>
      <c r="AH979" s="711"/>
    </row>
    <row r="980">
      <c r="A980" s="48"/>
      <c r="B980" s="48"/>
      <c r="C980" s="48"/>
      <c r="D980" s="721"/>
      <c r="E980" s="711"/>
      <c r="F980" s="711"/>
      <c r="G980" s="721"/>
      <c r="H980" s="721"/>
      <c r="I980" s="721"/>
      <c r="J980" s="48"/>
      <c r="K980" s="721"/>
      <c r="L980" s="721"/>
      <c r="M980" s="721"/>
      <c r="N980" s="719"/>
      <c r="O980" s="48"/>
      <c r="P980" s="719"/>
      <c r="Q980" s="48"/>
      <c r="R980" s="48"/>
      <c r="S980" s="711" t="str">
        <f>IFERROR(__xludf.DUMMYFUNCTION("""COMPUTED_VALUE"""),"")</f>
        <v/>
      </c>
      <c r="T980" s="721"/>
      <c r="U980" s="721"/>
      <c r="V980" s="711"/>
      <c r="W980" s="721"/>
      <c r="X980" s="721"/>
      <c r="Y980" s="48"/>
      <c r="Z980" s="48"/>
      <c r="AA980" s="48"/>
      <c r="AB980" s="711"/>
      <c r="AC980" s="711"/>
      <c r="AD980" s="711"/>
      <c r="AE980" s="711"/>
      <c r="AF980" s="711"/>
      <c r="AG980" s="711"/>
      <c r="AH980" s="711"/>
    </row>
    <row r="981">
      <c r="A981" s="48"/>
      <c r="B981" s="48"/>
      <c r="C981" s="48"/>
      <c r="D981" s="721"/>
      <c r="E981" s="711"/>
      <c r="F981" s="711"/>
      <c r="G981" s="721"/>
      <c r="H981" s="721"/>
      <c r="I981" s="721"/>
      <c r="J981" s="48"/>
      <c r="K981" s="721"/>
      <c r="L981" s="721"/>
      <c r="M981" s="721"/>
      <c r="N981" s="719"/>
      <c r="O981" s="48"/>
      <c r="P981" s="719"/>
      <c r="Q981" s="48"/>
      <c r="R981" s="48"/>
      <c r="S981" s="711" t="str">
        <f>IFERROR(__xludf.DUMMYFUNCTION("""COMPUTED_VALUE"""),"")</f>
        <v/>
      </c>
      <c r="T981" s="721"/>
      <c r="U981" s="721"/>
      <c r="V981" s="711"/>
      <c r="W981" s="721"/>
      <c r="X981" s="721"/>
      <c r="Y981" s="48"/>
      <c r="Z981" s="48"/>
      <c r="AA981" s="48"/>
      <c r="AB981" s="711"/>
      <c r="AC981" s="711"/>
      <c r="AD981" s="711"/>
      <c r="AE981" s="711"/>
      <c r="AF981" s="711"/>
      <c r="AG981" s="711"/>
      <c r="AH981" s="711"/>
    </row>
    <row r="982">
      <c r="A982" s="48"/>
      <c r="B982" s="48"/>
      <c r="C982" s="48"/>
      <c r="D982" s="721"/>
      <c r="E982" s="711"/>
      <c r="F982" s="711"/>
      <c r="G982" s="721"/>
      <c r="H982" s="721"/>
      <c r="I982" s="721"/>
      <c r="J982" s="48"/>
      <c r="K982" s="721"/>
      <c r="L982" s="721"/>
      <c r="M982" s="721"/>
      <c r="N982" s="719"/>
      <c r="O982" s="48"/>
      <c r="P982" s="719"/>
      <c r="Q982" s="48"/>
      <c r="R982" s="48"/>
      <c r="S982" s="711" t="str">
        <f>IFERROR(__xludf.DUMMYFUNCTION("""COMPUTED_VALUE"""),"")</f>
        <v/>
      </c>
      <c r="T982" s="721"/>
      <c r="U982" s="721"/>
      <c r="V982" s="711"/>
      <c r="W982" s="721"/>
      <c r="X982" s="721"/>
      <c r="Y982" s="48"/>
      <c r="Z982" s="48"/>
      <c r="AA982" s="48"/>
      <c r="AB982" s="711"/>
      <c r="AC982" s="711"/>
      <c r="AD982" s="711"/>
      <c r="AE982" s="711"/>
      <c r="AF982" s="711"/>
      <c r="AG982" s="711"/>
      <c r="AH982" s="711"/>
    </row>
    <row r="983">
      <c r="A983" s="48"/>
      <c r="B983" s="48"/>
      <c r="C983" s="48"/>
      <c r="D983" s="721"/>
      <c r="E983" s="711"/>
      <c r="F983" s="711"/>
      <c r="G983" s="721"/>
      <c r="H983" s="721"/>
      <c r="I983" s="721"/>
      <c r="J983" s="48"/>
      <c r="K983" s="721"/>
      <c r="L983" s="721"/>
      <c r="M983" s="721"/>
      <c r="N983" s="719"/>
      <c r="O983" s="48"/>
      <c r="P983" s="719"/>
      <c r="Q983" s="48"/>
      <c r="R983" s="48"/>
      <c r="S983" s="711" t="str">
        <f>IFERROR(__xludf.DUMMYFUNCTION("""COMPUTED_VALUE"""),"")</f>
        <v/>
      </c>
      <c r="T983" s="721"/>
      <c r="U983" s="721"/>
      <c r="V983" s="711"/>
      <c r="W983" s="721"/>
      <c r="X983" s="721"/>
      <c r="Y983" s="48"/>
      <c r="Z983" s="48"/>
      <c r="AA983" s="48"/>
      <c r="AB983" s="711"/>
      <c r="AC983" s="711"/>
      <c r="AD983" s="711"/>
      <c r="AE983" s="711"/>
      <c r="AF983" s="711"/>
      <c r="AG983" s="711"/>
      <c r="AH983" s="711"/>
    </row>
    <row r="984">
      <c r="A984" s="48"/>
      <c r="B984" s="48"/>
      <c r="C984" s="48"/>
      <c r="D984" s="721"/>
      <c r="E984" s="711"/>
      <c r="F984" s="711"/>
      <c r="G984" s="721"/>
      <c r="H984" s="721"/>
      <c r="I984" s="721"/>
      <c r="J984" s="48"/>
      <c r="K984" s="721"/>
      <c r="L984" s="721"/>
      <c r="M984" s="721"/>
      <c r="N984" s="719"/>
      <c r="O984" s="48"/>
      <c r="P984" s="719"/>
      <c r="Q984" s="48"/>
      <c r="R984" s="48"/>
      <c r="S984" s="711" t="str">
        <f>IFERROR(__xludf.DUMMYFUNCTION("""COMPUTED_VALUE"""),"")</f>
        <v/>
      </c>
      <c r="T984" s="721"/>
      <c r="U984" s="721"/>
      <c r="V984" s="711"/>
      <c r="W984" s="721"/>
      <c r="X984" s="721"/>
      <c r="Y984" s="48"/>
      <c r="Z984" s="48"/>
      <c r="AA984" s="48"/>
      <c r="AB984" s="711"/>
      <c r="AC984" s="711"/>
      <c r="AD984" s="711"/>
      <c r="AE984" s="711"/>
      <c r="AF984" s="711"/>
      <c r="AG984" s="711"/>
      <c r="AH984" s="711"/>
    </row>
    <row r="985">
      <c r="A985" s="48"/>
      <c r="B985" s="48"/>
      <c r="C985" s="48"/>
      <c r="D985" s="721"/>
      <c r="E985" s="711"/>
      <c r="F985" s="711"/>
      <c r="G985" s="721"/>
      <c r="H985" s="721"/>
      <c r="I985" s="721"/>
      <c r="J985" s="48"/>
      <c r="K985" s="721"/>
      <c r="L985" s="721"/>
      <c r="M985" s="721"/>
      <c r="N985" s="719"/>
      <c r="O985" s="48"/>
      <c r="P985" s="719"/>
      <c r="Q985" s="48"/>
      <c r="R985" s="48"/>
      <c r="S985" s="711" t="str">
        <f>IFERROR(__xludf.DUMMYFUNCTION("""COMPUTED_VALUE"""),"")</f>
        <v/>
      </c>
      <c r="T985" s="721"/>
      <c r="U985" s="721"/>
      <c r="V985" s="711"/>
      <c r="W985" s="721"/>
      <c r="X985" s="721"/>
      <c r="Y985" s="48"/>
      <c r="Z985" s="48"/>
      <c r="AA985" s="48"/>
      <c r="AB985" s="711"/>
      <c r="AC985" s="711"/>
      <c r="AD985" s="711"/>
      <c r="AE985" s="711"/>
      <c r="AF985" s="711"/>
      <c r="AG985" s="711"/>
      <c r="AH985" s="711"/>
    </row>
    <row r="986">
      <c r="A986" s="48"/>
      <c r="B986" s="48"/>
      <c r="C986" s="48"/>
      <c r="D986" s="721"/>
      <c r="E986" s="711"/>
      <c r="F986" s="711"/>
      <c r="G986" s="721"/>
      <c r="H986" s="721"/>
      <c r="I986" s="721"/>
      <c r="J986" s="48"/>
      <c r="K986" s="721"/>
      <c r="L986" s="721"/>
      <c r="M986" s="721"/>
      <c r="N986" s="719"/>
      <c r="O986" s="48"/>
      <c r="P986" s="719"/>
      <c r="Q986" s="48"/>
      <c r="R986" s="48"/>
      <c r="S986" s="711" t="str">
        <f>IFERROR(__xludf.DUMMYFUNCTION("""COMPUTED_VALUE"""),"")</f>
        <v/>
      </c>
      <c r="T986" s="721"/>
      <c r="U986" s="721"/>
      <c r="V986" s="711"/>
      <c r="W986" s="721"/>
      <c r="X986" s="721"/>
      <c r="Y986" s="48"/>
      <c r="Z986" s="48"/>
      <c r="AA986" s="48"/>
      <c r="AB986" s="711"/>
      <c r="AC986" s="711"/>
      <c r="AD986" s="711"/>
      <c r="AE986" s="711"/>
      <c r="AF986" s="711"/>
      <c r="AG986" s="711"/>
      <c r="AH986" s="711"/>
    </row>
    <row r="987">
      <c r="A987" s="48"/>
      <c r="B987" s="48"/>
      <c r="C987" s="48"/>
      <c r="D987" s="721"/>
      <c r="E987" s="711"/>
      <c r="F987" s="711"/>
      <c r="G987" s="721"/>
      <c r="H987" s="721"/>
      <c r="I987" s="721"/>
      <c r="J987" s="48"/>
      <c r="K987" s="721"/>
      <c r="L987" s="721"/>
      <c r="M987" s="721"/>
      <c r="N987" s="719"/>
      <c r="O987" s="48"/>
      <c r="P987" s="719"/>
      <c r="Q987" s="48"/>
      <c r="R987" s="48"/>
      <c r="S987" s="711" t="str">
        <f>IFERROR(__xludf.DUMMYFUNCTION("""COMPUTED_VALUE"""),"")</f>
        <v/>
      </c>
      <c r="T987" s="721"/>
      <c r="U987" s="721"/>
      <c r="V987" s="711"/>
      <c r="W987" s="721"/>
      <c r="X987" s="721"/>
      <c r="Y987" s="48"/>
      <c r="Z987" s="48"/>
      <c r="AA987" s="48"/>
      <c r="AB987" s="711"/>
      <c r="AC987" s="711"/>
      <c r="AD987" s="711"/>
      <c r="AE987" s="711"/>
      <c r="AF987" s="711"/>
      <c r="AG987" s="711"/>
      <c r="AH987" s="711"/>
    </row>
    <row r="988">
      <c r="A988" s="48"/>
      <c r="B988" s="48"/>
      <c r="C988" s="48"/>
      <c r="D988" s="721"/>
      <c r="E988" s="711"/>
      <c r="F988" s="711"/>
      <c r="G988" s="721"/>
      <c r="H988" s="721"/>
      <c r="I988" s="721"/>
      <c r="J988" s="48"/>
      <c r="K988" s="721"/>
      <c r="L988" s="721"/>
      <c r="M988" s="721"/>
      <c r="N988" s="719"/>
      <c r="O988" s="48"/>
      <c r="P988" s="719"/>
      <c r="Q988" s="48"/>
      <c r="R988" s="48"/>
      <c r="S988" s="711" t="str">
        <f>IFERROR(__xludf.DUMMYFUNCTION("""COMPUTED_VALUE"""),"")</f>
        <v/>
      </c>
      <c r="T988" s="721"/>
      <c r="U988" s="721"/>
      <c r="V988" s="711"/>
      <c r="W988" s="721"/>
      <c r="X988" s="721"/>
      <c r="Y988" s="48"/>
      <c r="Z988" s="48"/>
      <c r="AA988" s="48"/>
      <c r="AB988" s="711"/>
      <c r="AC988" s="711"/>
      <c r="AD988" s="711"/>
      <c r="AE988" s="711"/>
      <c r="AF988" s="711"/>
      <c r="AG988" s="711"/>
      <c r="AH988" s="711"/>
    </row>
    <row r="989">
      <c r="A989" s="48"/>
      <c r="B989" s="48"/>
      <c r="C989" s="48"/>
      <c r="D989" s="721"/>
      <c r="E989" s="711"/>
      <c r="F989" s="711"/>
      <c r="G989" s="721"/>
      <c r="H989" s="721"/>
      <c r="I989" s="721"/>
      <c r="J989" s="48"/>
      <c r="K989" s="721"/>
      <c r="L989" s="721"/>
      <c r="M989" s="721"/>
      <c r="N989" s="719"/>
      <c r="O989" s="48"/>
      <c r="P989" s="719"/>
      <c r="Q989" s="48"/>
      <c r="R989" s="48"/>
      <c r="S989" s="711" t="str">
        <f>IFERROR(__xludf.DUMMYFUNCTION("""COMPUTED_VALUE"""),"")</f>
        <v/>
      </c>
      <c r="T989" s="721"/>
      <c r="U989" s="721"/>
      <c r="V989" s="711"/>
      <c r="W989" s="721"/>
      <c r="X989" s="721"/>
      <c r="Y989" s="48"/>
      <c r="Z989" s="48"/>
      <c r="AA989" s="48"/>
      <c r="AB989" s="711"/>
      <c r="AC989" s="711"/>
      <c r="AD989" s="711"/>
      <c r="AE989" s="711"/>
      <c r="AF989" s="711"/>
      <c r="AG989" s="711"/>
      <c r="AH989" s="711"/>
    </row>
    <row r="990">
      <c r="A990" s="48"/>
      <c r="B990" s="48"/>
      <c r="C990" s="48"/>
      <c r="D990" s="721"/>
      <c r="E990" s="711"/>
      <c r="F990" s="711"/>
      <c r="G990" s="721"/>
      <c r="H990" s="721"/>
      <c r="I990" s="721"/>
      <c r="J990" s="48"/>
      <c r="K990" s="721"/>
      <c r="L990" s="721"/>
      <c r="M990" s="721"/>
      <c r="N990" s="719"/>
      <c r="O990" s="48"/>
      <c r="P990" s="719"/>
      <c r="Q990" s="48"/>
      <c r="R990" s="48"/>
      <c r="S990" s="711" t="str">
        <f>IFERROR(__xludf.DUMMYFUNCTION("""COMPUTED_VALUE"""),"")</f>
        <v/>
      </c>
      <c r="T990" s="721"/>
      <c r="U990" s="721"/>
      <c r="V990" s="711"/>
      <c r="W990" s="721"/>
      <c r="X990" s="721"/>
      <c r="Y990" s="48"/>
      <c r="Z990" s="48"/>
      <c r="AA990" s="48"/>
      <c r="AB990" s="711"/>
      <c r="AC990" s="711"/>
      <c r="AD990" s="711"/>
      <c r="AE990" s="711"/>
      <c r="AF990" s="711"/>
      <c r="AG990" s="711"/>
      <c r="AH990" s="711"/>
    </row>
    <row r="991">
      <c r="A991" s="48"/>
      <c r="B991" s="48"/>
      <c r="C991" s="48"/>
      <c r="D991" s="721"/>
      <c r="E991" s="711"/>
      <c r="F991" s="711"/>
      <c r="G991" s="721"/>
      <c r="H991" s="721"/>
      <c r="I991" s="721"/>
      <c r="J991" s="48"/>
      <c r="K991" s="721"/>
      <c r="L991" s="721"/>
      <c r="M991" s="721"/>
      <c r="N991" s="719"/>
      <c r="O991" s="48"/>
      <c r="P991" s="719"/>
      <c r="Q991" s="48"/>
      <c r="R991" s="48"/>
      <c r="S991" s="711" t="str">
        <f>IFERROR(__xludf.DUMMYFUNCTION("""COMPUTED_VALUE"""),"")</f>
        <v/>
      </c>
      <c r="T991" s="721"/>
      <c r="U991" s="721"/>
      <c r="V991" s="711"/>
      <c r="W991" s="721"/>
      <c r="X991" s="721"/>
      <c r="Y991" s="48"/>
      <c r="Z991" s="48"/>
      <c r="AA991" s="48"/>
      <c r="AB991" s="711"/>
      <c r="AC991" s="711"/>
      <c r="AD991" s="711"/>
      <c r="AE991" s="711"/>
      <c r="AF991" s="711"/>
      <c r="AG991" s="711"/>
      <c r="AH991" s="711"/>
    </row>
    <row r="992">
      <c r="A992" s="48"/>
      <c r="B992" s="48"/>
      <c r="C992" s="48"/>
      <c r="D992" s="721"/>
      <c r="E992" s="711"/>
      <c r="F992" s="711"/>
      <c r="G992" s="721"/>
      <c r="H992" s="721"/>
      <c r="I992" s="721"/>
      <c r="J992" s="48"/>
      <c r="K992" s="721"/>
      <c r="L992" s="721"/>
      <c r="M992" s="721"/>
      <c r="N992" s="719"/>
      <c r="O992" s="48"/>
      <c r="P992" s="719"/>
      <c r="Q992" s="48"/>
      <c r="R992" s="48"/>
      <c r="S992" s="711" t="str">
        <f>IFERROR(__xludf.DUMMYFUNCTION("""COMPUTED_VALUE"""),"")</f>
        <v/>
      </c>
      <c r="T992" s="721"/>
      <c r="U992" s="721"/>
      <c r="V992" s="711"/>
      <c r="W992" s="721"/>
      <c r="X992" s="721"/>
      <c r="Y992" s="48"/>
      <c r="Z992" s="48"/>
      <c r="AA992" s="48"/>
      <c r="AB992" s="711"/>
      <c r="AC992" s="711"/>
      <c r="AD992" s="711"/>
      <c r="AE992" s="711"/>
      <c r="AF992" s="711"/>
      <c r="AG992" s="711"/>
      <c r="AH992" s="711"/>
    </row>
    <row r="993">
      <c r="A993" s="48"/>
      <c r="B993" s="48"/>
      <c r="C993" s="48"/>
      <c r="D993" s="721"/>
      <c r="E993" s="711"/>
      <c r="F993" s="711"/>
      <c r="G993" s="721"/>
      <c r="H993" s="721"/>
      <c r="I993" s="721"/>
      <c r="J993" s="48"/>
      <c r="K993" s="721"/>
      <c r="L993" s="721"/>
      <c r="M993" s="721"/>
      <c r="N993" s="719"/>
      <c r="O993" s="48"/>
      <c r="P993" s="719"/>
      <c r="Q993" s="48"/>
      <c r="R993" s="48"/>
      <c r="S993" s="711" t="str">
        <f>IFERROR(__xludf.DUMMYFUNCTION("""COMPUTED_VALUE"""),"")</f>
        <v/>
      </c>
      <c r="T993" s="721"/>
      <c r="U993" s="721"/>
      <c r="V993" s="711"/>
      <c r="W993" s="721"/>
      <c r="X993" s="721"/>
      <c r="Y993" s="48"/>
      <c r="Z993" s="48"/>
      <c r="AA993" s="48"/>
      <c r="AB993" s="711"/>
      <c r="AC993" s="711"/>
      <c r="AD993" s="711"/>
      <c r="AE993" s="711"/>
      <c r="AF993" s="711"/>
      <c r="AG993" s="711"/>
      <c r="AH993" s="711"/>
    </row>
    <row r="994">
      <c r="A994" s="48"/>
      <c r="B994" s="48"/>
      <c r="C994" s="48"/>
      <c r="D994" s="721"/>
      <c r="E994" s="711"/>
      <c r="F994" s="711"/>
      <c r="G994" s="721"/>
      <c r="H994" s="721"/>
      <c r="I994" s="721"/>
      <c r="J994" s="48"/>
      <c r="K994" s="721"/>
      <c r="L994" s="721"/>
      <c r="M994" s="721"/>
      <c r="N994" s="719"/>
      <c r="O994" s="48"/>
      <c r="P994" s="719"/>
      <c r="Q994" s="48"/>
      <c r="R994" s="48"/>
      <c r="S994" s="711" t="str">
        <f>IFERROR(__xludf.DUMMYFUNCTION("""COMPUTED_VALUE"""),"")</f>
        <v/>
      </c>
      <c r="T994" s="721"/>
      <c r="U994" s="721"/>
      <c r="V994" s="711"/>
      <c r="W994" s="721"/>
      <c r="X994" s="721"/>
      <c r="Y994" s="48"/>
      <c r="Z994" s="48"/>
      <c r="AA994" s="48"/>
      <c r="AB994" s="711"/>
      <c r="AC994" s="711"/>
      <c r="AD994" s="711"/>
      <c r="AE994" s="711"/>
      <c r="AF994" s="711"/>
      <c r="AG994" s="711"/>
      <c r="AH994" s="711"/>
    </row>
    <row r="995">
      <c r="A995" s="48"/>
      <c r="B995" s="48"/>
      <c r="C995" s="48"/>
      <c r="D995" s="721"/>
      <c r="E995" s="711"/>
      <c r="F995" s="711"/>
      <c r="G995" s="721"/>
      <c r="H995" s="721"/>
      <c r="I995" s="721"/>
      <c r="J995" s="48"/>
      <c r="K995" s="721"/>
      <c r="L995" s="721"/>
      <c r="M995" s="721"/>
      <c r="N995" s="719"/>
      <c r="O995" s="48"/>
      <c r="P995" s="719"/>
      <c r="Q995" s="48"/>
      <c r="R995" s="48"/>
      <c r="S995" s="711" t="str">
        <f>IFERROR(__xludf.DUMMYFUNCTION("""COMPUTED_VALUE"""),"")</f>
        <v/>
      </c>
      <c r="T995" s="721"/>
      <c r="U995" s="721"/>
      <c r="V995" s="711"/>
      <c r="W995" s="721"/>
      <c r="X995" s="721"/>
      <c r="Y995" s="48"/>
      <c r="Z995" s="48"/>
      <c r="AA995" s="48"/>
      <c r="AB995" s="711"/>
      <c r="AC995" s="711"/>
      <c r="AD995" s="711"/>
      <c r="AE995" s="711"/>
      <c r="AF995" s="711"/>
      <c r="AG995" s="711"/>
      <c r="AH995" s="711"/>
    </row>
    <row r="996">
      <c r="A996" s="48"/>
      <c r="B996" s="48"/>
      <c r="C996" s="48"/>
      <c r="D996" s="721"/>
      <c r="E996" s="711"/>
      <c r="F996" s="711"/>
      <c r="G996" s="721"/>
      <c r="H996" s="721"/>
      <c r="I996" s="721"/>
      <c r="J996" s="48"/>
      <c r="K996" s="721"/>
      <c r="L996" s="721"/>
      <c r="M996" s="721"/>
      <c r="N996" s="719"/>
      <c r="O996" s="48"/>
      <c r="P996" s="719"/>
      <c r="Q996" s="48"/>
      <c r="R996" s="48"/>
      <c r="S996" s="711" t="str">
        <f>IFERROR(__xludf.DUMMYFUNCTION("""COMPUTED_VALUE"""),"")</f>
        <v/>
      </c>
      <c r="T996" s="721"/>
      <c r="U996" s="721"/>
      <c r="V996" s="711"/>
      <c r="W996" s="721"/>
      <c r="X996" s="721"/>
      <c r="Y996" s="48"/>
      <c r="Z996" s="48"/>
      <c r="AA996" s="48"/>
      <c r="AB996" s="711"/>
      <c r="AC996" s="711"/>
      <c r="AD996" s="711"/>
      <c r="AE996" s="711"/>
      <c r="AF996" s="711"/>
      <c r="AG996" s="711"/>
      <c r="AH996" s="711"/>
    </row>
    <row r="997">
      <c r="A997" s="48"/>
      <c r="B997" s="48"/>
      <c r="C997" s="48"/>
      <c r="D997" s="721"/>
      <c r="E997" s="711"/>
      <c r="F997" s="711"/>
      <c r="G997" s="721"/>
      <c r="H997" s="721"/>
      <c r="I997" s="721"/>
      <c r="J997" s="48"/>
      <c r="K997" s="721"/>
      <c r="L997" s="721"/>
      <c r="M997" s="721"/>
      <c r="N997" s="719"/>
      <c r="O997" s="48"/>
      <c r="P997" s="719"/>
      <c r="Q997" s="48"/>
      <c r="R997" s="714" t="str">
        <f>IFERROR(__xludf.DUMMYFUNCTION("""COMPUTED_VALUE"""),"2526GRANDESAB10.D")</f>
        <v>2526GRANDESAB10.D</v>
      </c>
      <c r="S997" s="711">
        <f>IFERROR(__xludf.DUMMYFUNCTION("""COMPUTED_VALUE"""),15.0)</f>
        <v>15</v>
      </c>
      <c r="T997" s="722" t="str">
        <f>IFERROR(__xludf.DUMMYFUNCTION("""COMPUTED_VALUE"""),"2526GRANDESAB10.D")</f>
        <v>2526GRANDESAB10.D</v>
      </c>
      <c r="U997" s="721"/>
      <c r="V997" s="711"/>
      <c r="W997" s="721"/>
      <c r="X997" s="721"/>
      <c r="Y997" s="48"/>
      <c r="Z997" s="48"/>
      <c r="AA997" s="48"/>
      <c r="AB997" s="711"/>
      <c r="AC997" s="711"/>
      <c r="AD997" s="711"/>
      <c r="AE997" s="711"/>
      <c r="AF997" s="711"/>
      <c r="AG997" s="711"/>
      <c r="AH997" s="711"/>
    </row>
    <row r="998">
      <c r="A998" s="48"/>
      <c r="B998" s="48"/>
      <c r="C998" s="48"/>
      <c r="D998" s="721"/>
      <c r="E998" s="711"/>
      <c r="F998" s="711"/>
      <c r="G998" s="721"/>
      <c r="H998" s="721"/>
      <c r="I998" s="721"/>
      <c r="J998" s="48"/>
      <c r="K998" s="721"/>
      <c r="L998" s="721"/>
      <c r="M998" s="721"/>
      <c r="N998" s="719"/>
      <c r="O998" s="48"/>
      <c r="P998" s="719"/>
      <c r="Q998" s="48"/>
      <c r="R998" s="48"/>
      <c r="S998" s="711" t="str">
        <f>IFERROR(__xludf.DUMMYFUNCTION("""COMPUTED_VALUE"""),"")</f>
        <v/>
      </c>
      <c r="T998" s="721"/>
      <c r="U998" s="721"/>
      <c r="V998" s="711"/>
      <c r="W998" s="721"/>
      <c r="X998" s="721"/>
      <c r="Y998" s="48"/>
      <c r="Z998" s="48"/>
      <c r="AA998" s="48"/>
      <c r="AB998" s="711"/>
      <c r="AC998" s="711"/>
      <c r="AD998" s="711"/>
      <c r="AE998" s="711"/>
      <c r="AF998" s="711"/>
      <c r="AG998" s="711"/>
      <c r="AH998" s="711"/>
    </row>
    <row r="999">
      <c r="A999" s="48"/>
      <c r="B999" s="48"/>
      <c r="C999" s="48"/>
      <c r="D999" s="721"/>
      <c r="E999" s="711"/>
      <c r="F999" s="711"/>
      <c r="G999" s="721"/>
      <c r="H999" s="721"/>
      <c r="I999" s="721"/>
      <c r="J999" s="48"/>
      <c r="K999" s="721"/>
      <c r="L999" s="721"/>
      <c r="M999" s="721"/>
      <c r="N999" s="719"/>
      <c r="O999" s="48"/>
      <c r="P999" s="719"/>
      <c r="Q999" s="48"/>
      <c r="R999" s="48"/>
      <c r="S999" s="711" t="str">
        <f>IFERROR(__xludf.DUMMYFUNCTION("""COMPUTED_VALUE"""),"")</f>
        <v/>
      </c>
      <c r="T999" s="721"/>
      <c r="U999" s="721"/>
      <c r="V999" s="711"/>
      <c r="W999" s="721"/>
      <c r="X999" s="721"/>
      <c r="Y999" s="48"/>
      <c r="Z999" s="48"/>
      <c r="AA999" s="48"/>
      <c r="AB999" s="711"/>
      <c r="AC999" s="711"/>
      <c r="AD999" s="711"/>
      <c r="AE999" s="711"/>
      <c r="AF999" s="711"/>
      <c r="AG999" s="711"/>
      <c r="AH999" s="711"/>
    </row>
    <row r="1000">
      <c r="A1000" s="48"/>
      <c r="B1000" s="48"/>
      <c r="C1000" s="48"/>
      <c r="D1000" s="721"/>
      <c r="E1000" s="711"/>
      <c r="F1000" s="711"/>
      <c r="G1000" s="721"/>
      <c r="H1000" s="721"/>
      <c r="I1000" s="721"/>
      <c r="J1000" s="48"/>
      <c r="K1000" s="721"/>
      <c r="L1000" s="721"/>
      <c r="M1000" s="721"/>
      <c r="N1000" s="719"/>
      <c r="O1000" s="48"/>
      <c r="P1000" s="719"/>
      <c r="Q1000" s="48"/>
      <c r="R1000" s="48"/>
      <c r="S1000" s="711" t="str">
        <f>IFERROR(__xludf.DUMMYFUNCTION("""COMPUTED_VALUE"""),"")</f>
        <v/>
      </c>
      <c r="T1000" s="721"/>
      <c r="U1000" s="721"/>
      <c r="V1000" s="711"/>
      <c r="W1000" s="721"/>
      <c r="X1000" s="721"/>
      <c r="Y1000" s="48"/>
      <c r="Z1000" s="48"/>
      <c r="AA1000" s="48"/>
      <c r="AB1000" s="711"/>
      <c r="AC1000" s="711"/>
      <c r="AD1000" s="711"/>
      <c r="AE1000" s="711"/>
      <c r="AF1000" s="711"/>
      <c r="AG1000" s="711"/>
      <c r="AH1000" s="711"/>
    </row>
    <row r="1001">
      <c r="A1001" s="48"/>
      <c r="B1001" s="48"/>
      <c r="C1001" s="48"/>
      <c r="D1001" s="721"/>
      <c r="E1001" s="711"/>
      <c r="F1001" s="711"/>
      <c r="G1001" s="721"/>
      <c r="H1001" s="721"/>
      <c r="I1001" s="721"/>
      <c r="J1001" s="48"/>
      <c r="K1001" s="721"/>
      <c r="L1001" s="721"/>
      <c r="M1001" s="721"/>
      <c r="N1001" s="719"/>
      <c r="O1001" s="48"/>
      <c r="P1001" s="719"/>
      <c r="Q1001" s="48"/>
      <c r="R1001" s="48"/>
      <c r="S1001" s="711" t="str">
        <f>IFERROR(__xludf.DUMMYFUNCTION("""COMPUTED_VALUE"""),"")</f>
        <v/>
      </c>
      <c r="T1001" s="721"/>
      <c r="U1001" s="721"/>
      <c r="V1001" s="711"/>
      <c r="W1001" s="721"/>
      <c r="X1001" s="721"/>
      <c r="Y1001" s="48"/>
      <c r="Z1001" s="48"/>
      <c r="AA1001" s="48"/>
      <c r="AB1001" s="711"/>
      <c r="AC1001" s="711"/>
      <c r="AD1001" s="711"/>
      <c r="AE1001" s="711"/>
      <c r="AF1001" s="711"/>
      <c r="AG1001" s="711"/>
      <c r="AH1001" s="711"/>
    </row>
    <row r="1002">
      <c r="A1002" s="48"/>
      <c r="B1002" s="48"/>
      <c r="C1002" s="48"/>
      <c r="D1002" s="721"/>
      <c r="E1002" s="711"/>
      <c r="F1002" s="711"/>
      <c r="G1002" s="721"/>
      <c r="H1002" s="721"/>
      <c r="I1002" s="721"/>
      <c r="J1002" s="48"/>
      <c r="K1002" s="721"/>
      <c r="L1002" s="721"/>
      <c r="M1002" s="721"/>
      <c r="N1002" s="719"/>
      <c r="O1002" s="48"/>
      <c r="P1002" s="719"/>
      <c r="Q1002" s="48"/>
      <c r="R1002" s="48"/>
      <c r="S1002" s="711" t="str">
        <f>IFERROR(__xludf.DUMMYFUNCTION("""COMPUTED_VALUE"""),"")</f>
        <v/>
      </c>
      <c r="T1002" s="721"/>
      <c r="U1002" s="721"/>
      <c r="V1002" s="711"/>
      <c r="W1002" s="721"/>
      <c r="X1002" s="721"/>
      <c r="Y1002" s="48"/>
      <c r="Z1002" s="48"/>
      <c r="AA1002" s="48"/>
      <c r="AB1002" s="711"/>
      <c r="AC1002" s="711"/>
      <c r="AD1002" s="711"/>
      <c r="AE1002" s="711"/>
      <c r="AF1002" s="711"/>
      <c r="AG1002" s="711"/>
      <c r="AH1002" s="711"/>
    </row>
    <row r="1003">
      <c r="A1003" s="48"/>
      <c r="B1003" s="48"/>
      <c r="C1003" s="48"/>
      <c r="D1003" s="721"/>
      <c r="E1003" s="711"/>
      <c r="F1003" s="711"/>
      <c r="G1003" s="721"/>
      <c r="H1003" s="721"/>
      <c r="I1003" s="721"/>
      <c r="J1003" s="48"/>
      <c r="K1003" s="721"/>
      <c r="L1003" s="721"/>
      <c r="M1003" s="721"/>
      <c r="N1003" s="719"/>
      <c r="O1003" s="48"/>
      <c r="P1003" s="719"/>
      <c r="Q1003" s="48"/>
      <c r="R1003" s="714" t="str">
        <f>IFERROR(__xludf.DUMMYFUNCTION("""COMPUTED_VALUE"""),"2526BONACINASAB10.D")</f>
        <v>2526BONACINASAB10.D</v>
      </c>
      <c r="S1003" s="711">
        <f>IFERROR(__xludf.DUMMYFUNCTION("""COMPUTED_VALUE"""),24.0)</f>
        <v>24</v>
      </c>
      <c r="T1003" s="722" t="str">
        <f>IFERROR(__xludf.DUMMYFUNCTION("""COMPUTED_VALUE"""),"2526BONACINASAB10.D")</f>
        <v>2526BONACINASAB10.D</v>
      </c>
      <c r="U1003" s="721"/>
      <c r="V1003" s="711"/>
      <c r="W1003" s="721"/>
      <c r="X1003" s="721"/>
      <c r="Y1003" s="48"/>
      <c r="Z1003" s="48"/>
      <c r="AA1003" s="48"/>
      <c r="AB1003" s="711"/>
      <c r="AC1003" s="711"/>
      <c r="AD1003" s="711"/>
      <c r="AE1003" s="711"/>
      <c r="AF1003" s="711"/>
      <c r="AG1003" s="711"/>
      <c r="AH1003" s="711"/>
    </row>
    <row r="1004">
      <c r="A1004" s="48"/>
      <c r="B1004" s="48"/>
      <c r="C1004" s="48"/>
      <c r="D1004" s="721"/>
      <c r="E1004" s="711"/>
      <c r="F1004" s="711"/>
      <c r="G1004" s="721"/>
      <c r="H1004" s="721"/>
      <c r="I1004" s="721"/>
      <c r="J1004" s="48"/>
      <c r="K1004" s="721"/>
      <c r="L1004" s="721"/>
      <c r="M1004" s="721"/>
      <c r="N1004" s="719"/>
      <c r="O1004" s="48"/>
      <c r="P1004" s="719"/>
      <c r="Q1004" s="48"/>
      <c r="R1004" s="711" t="str">
        <f>IFERROR(__xludf.DUMMYFUNCTION("""COMPUTED_VALUE"""),"2526MASSAGGISAB10.Y")</f>
        <v>2526MASSAGGISAB10.Y</v>
      </c>
      <c r="S1004" s="711">
        <f>IFERROR(__xludf.DUMMYFUNCTION("""COMPUTED_VALUE"""),30.0)</f>
        <v>30</v>
      </c>
      <c r="T1004" s="721" t="str">
        <f>IFERROR(__xludf.DUMMYFUNCTION("""COMPUTED_VALUE"""),"2526MASSAGGISAB10.Y")</f>
        <v>2526MASSAGGISAB10.Y</v>
      </c>
      <c r="U1004" s="721"/>
      <c r="V1004" s="711"/>
      <c r="W1004" s="721"/>
      <c r="X1004" s="721"/>
      <c r="Y1004" s="48"/>
      <c r="Z1004" s="48"/>
      <c r="AA1004" s="48"/>
      <c r="AB1004" s="711"/>
      <c r="AC1004" s="711"/>
      <c r="AD1004" s="711"/>
      <c r="AE1004" s="711"/>
      <c r="AF1004" s="711"/>
      <c r="AG1004" s="711"/>
      <c r="AH1004" s="711"/>
    </row>
    <row r="1005">
      <c r="A1005" s="48"/>
      <c r="B1005" s="48"/>
      <c r="C1005" s="48"/>
      <c r="D1005" s="721"/>
      <c r="E1005" s="711"/>
      <c r="F1005" s="711"/>
      <c r="G1005" s="721"/>
      <c r="H1005" s="721"/>
      <c r="I1005" s="721"/>
      <c r="J1005" s="48"/>
      <c r="K1005" s="721"/>
      <c r="L1005" s="721"/>
      <c r="M1005" s="721"/>
      <c r="N1005" s="719"/>
      <c r="O1005" s="48"/>
      <c r="P1005" s="719"/>
      <c r="Q1005" s="48"/>
      <c r="R1005" s="714" t="str">
        <f>IFERROR(__xludf.DUMMYFUNCTION("""COMPUTED_VALUE"""),"2526CRUZSAB10.F")</f>
        <v>2526CRUZSAB10.F</v>
      </c>
      <c r="S1005" s="711">
        <f>IFERROR(__xludf.DUMMYFUNCTION("""COMPUTED_VALUE"""),26.0)</f>
        <v>26</v>
      </c>
      <c r="T1005" s="722" t="str">
        <f>IFERROR(__xludf.DUMMYFUNCTION("""COMPUTED_VALUE"""),"2526CRUZSAB10.F")</f>
        <v>2526CRUZSAB10.F</v>
      </c>
      <c r="U1005" s="721"/>
      <c r="V1005" s="711"/>
      <c r="W1005" s="721"/>
      <c r="X1005" s="721"/>
      <c r="Y1005" s="48"/>
      <c r="Z1005" s="48"/>
      <c r="AA1005" s="48"/>
      <c r="AB1005" s="711"/>
      <c r="AC1005" s="711"/>
      <c r="AD1005" s="711"/>
      <c r="AE1005" s="711"/>
      <c r="AF1005" s="711"/>
      <c r="AG1005" s="711"/>
      <c r="AH1005" s="711"/>
    </row>
    <row r="1006">
      <c r="A1006" s="48"/>
      <c r="B1006" s="48"/>
      <c r="C1006" s="48"/>
      <c r="D1006" s="721"/>
      <c r="E1006" s="711"/>
      <c r="F1006" s="711"/>
      <c r="G1006" s="721"/>
      <c r="H1006" s="721"/>
      <c r="I1006" s="721"/>
      <c r="J1006" s="48"/>
      <c r="K1006" s="721"/>
      <c r="L1006" s="721"/>
      <c r="M1006" s="721"/>
      <c r="N1006" s="719"/>
      <c r="O1006" s="48"/>
      <c r="P1006" s="719"/>
      <c r="Q1006" s="48"/>
      <c r="R1006" s="48"/>
      <c r="S1006" s="711" t="str">
        <f>IFERROR(__xludf.DUMMYFUNCTION("""COMPUTED_VALUE"""),"")</f>
        <v/>
      </c>
      <c r="T1006" s="721"/>
      <c r="U1006" s="721"/>
      <c r="V1006" s="711"/>
      <c r="W1006" s="721"/>
      <c r="X1006" s="721"/>
      <c r="Y1006" s="48"/>
      <c r="Z1006" s="48"/>
      <c r="AA1006" s="48"/>
      <c r="AB1006" s="711"/>
      <c r="AC1006" s="711"/>
      <c r="AD1006" s="711"/>
      <c r="AE1006" s="711"/>
      <c r="AF1006" s="711"/>
      <c r="AG1006" s="711"/>
      <c r="AH1006" s="711"/>
    </row>
    <row r="1007">
      <c r="A1007" s="48"/>
      <c r="B1007" s="48"/>
      <c r="C1007" s="48"/>
      <c r="D1007" s="721"/>
      <c r="E1007" s="711"/>
      <c r="F1007" s="711"/>
      <c r="G1007" s="721"/>
      <c r="H1007" s="721"/>
      <c r="I1007" s="721"/>
      <c r="J1007" s="48"/>
      <c r="K1007" s="721"/>
      <c r="L1007" s="721"/>
      <c r="M1007" s="721"/>
      <c r="N1007" s="719"/>
      <c r="O1007" s="48"/>
      <c r="P1007" s="719"/>
      <c r="Q1007" s="48"/>
      <c r="R1007" s="48"/>
      <c r="S1007" s="711" t="str">
        <f>IFERROR(__xludf.DUMMYFUNCTION("""COMPUTED_VALUE"""),"")</f>
        <v/>
      </c>
      <c r="T1007" s="721"/>
      <c r="U1007" s="721"/>
      <c r="V1007" s="711"/>
      <c r="W1007" s="721"/>
      <c r="X1007" s="721"/>
      <c r="Y1007" s="48"/>
      <c r="Z1007" s="48"/>
      <c r="AA1007" s="48"/>
      <c r="AB1007" s="711"/>
      <c r="AC1007" s="711"/>
      <c r="AD1007" s="711"/>
      <c r="AE1007" s="711"/>
      <c r="AF1007" s="711"/>
      <c r="AG1007" s="711"/>
      <c r="AH1007" s="711"/>
    </row>
    <row r="1008">
      <c r="A1008" s="48"/>
      <c r="B1008" s="48"/>
      <c r="C1008" s="48"/>
      <c r="D1008" s="721"/>
      <c r="E1008" s="711"/>
      <c r="F1008" s="711"/>
      <c r="G1008" s="721"/>
      <c r="H1008" s="721"/>
      <c r="I1008" s="721"/>
      <c r="J1008" s="48"/>
      <c r="K1008" s="721"/>
      <c r="L1008" s="721"/>
      <c r="M1008" s="721"/>
      <c r="N1008" s="719"/>
      <c r="O1008" s="48"/>
      <c r="P1008" s="719"/>
      <c r="Q1008" s="48"/>
      <c r="R1008" s="48"/>
      <c r="S1008" s="711" t="str">
        <f>IFERROR(__xludf.DUMMYFUNCTION("""COMPUTED_VALUE"""),"")</f>
        <v/>
      </c>
      <c r="T1008" s="721"/>
      <c r="U1008" s="721"/>
      <c r="V1008" s="711"/>
      <c r="W1008" s="721"/>
      <c r="X1008" s="721"/>
      <c r="Y1008" s="48"/>
      <c r="Z1008" s="48"/>
      <c r="AA1008" s="48"/>
      <c r="AB1008" s="711"/>
      <c r="AC1008" s="711"/>
      <c r="AD1008" s="711"/>
      <c r="AE1008" s="711"/>
      <c r="AF1008" s="711"/>
      <c r="AG1008" s="711"/>
      <c r="AH1008" s="711"/>
    </row>
    <row r="1009">
      <c r="A1009" s="48"/>
      <c r="B1009" s="48"/>
      <c r="C1009" s="48"/>
      <c r="D1009" s="721"/>
      <c r="E1009" s="711"/>
      <c r="F1009" s="711"/>
      <c r="G1009" s="721"/>
      <c r="H1009" s="721"/>
      <c r="I1009" s="721"/>
      <c r="J1009" s="48"/>
      <c r="K1009" s="721"/>
      <c r="L1009" s="721"/>
      <c r="M1009" s="721"/>
      <c r="N1009" s="719"/>
      <c r="O1009" s="48"/>
      <c r="P1009" s="719"/>
      <c r="Q1009" s="48"/>
      <c r="R1009" s="48"/>
      <c r="S1009" s="711" t="str">
        <f>IFERROR(__xludf.DUMMYFUNCTION("""COMPUTED_VALUE"""),"")</f>
        <v/>
      </c>
      <c r="T1009" s="721"/>
      <c r="U1009" s="721"/>
      <c r="V1009" s="711"/>
      <c r="W1009" s="721"/>
      <c r="X1009" s="721"/>
      <c r="Y1009" s="48"/>
      <c r="Z1009" s="48"/>
      <c r="AA1009" s="48"/>
      <c r="AB1009" s="711"/>
      <c r="AC1009" s="711"/>
      <c r="AD1009" s="711"/>
      <c r="AE1009" s="711"/>
      <c r="AF1009" s="711"/>
      <c r="AG1009" s="711"/>
      <c r="AH1009" s="711"/>
    </row>
    <row r="1010">
      <c r="A1010" s="48"/>
      <c r="B1010" s="48"/>
      <c r="C1010" s="48"/>
      <c r="D1010" s="721"/>
      <c r="E1010" s="711"/>
      <c r="F1010" s="711"/>
      <c r="G1010" s="721"/>
      <c r="H1010" s="721"/>
      <c r="I1010" s="721"/>
      <c r="J1010" s="48"/>
      <c r="K1010" s="721"/>
      <c r="L1010" s="721"/>
      <c r="M1010" s="721"/>
      <c r="N1010" s="719"/>
      <c r="O1010" s="48"/>
      <c r="P1010" s="719"/>
      <c r="Q1010" s="48"/>
      <c r="R1010" s="48"/>
      <c r="S1010" s="711" t="str">
        <f>IFERROR(__xludf.DUMMYFUNCTION("""COMPUTED_VALUE"""),"")</f>
        <v/>
      </c>
      <c r="T1010" s="721"/>
      <c r="U1010" s="721"/>
      <c r="V1010" s="711"/>
      <c r="W1010" s="721"/>
      <c r="X1010" s="721"/>
      <c r="Y1010" s="48"/>
      <c r="Z1010" s="48"/>
      <c r="AA1010" s="48"/>
      <c r="AB1010" s="711"/>
      <c r="AC1010" s="711"/>
      <c r="AD1010" s="711"/>
      <c r="AE1010" s="711"/>
      <c r="AF1010" s="711"/>
      <c r="AG1010" s="711"/>
      <c r="AH1010" s="711"/>
    </row>
    <row r="1011">
      <c r="A1011" s="48"/>
      <c r="B1011" s="48"/>
      <c r="C1011" s="48"/>
      <c r="D1011" s="721"/>
      <c r="E1011" s="711"/>
      <c r="F1011" s="711"/>
      <c r="G1011" s="721"/>
      <c r="H1011" s="721"/>
      <c r="I1011" s="721"/>
      <c r="J1011" s="48"/>
      <c r="K1011" s="721"/>
      <c r="L1011" s="721"/>
      <c r="M1011" s="721"/>
      <c r="N1011" s="719"/>
      <c r="O1011" s="48"/>
      <c r="P1011" s="719"/>
      <c r="Q1011" s="48"/>
      <c r="R1011" s="48"/>
      <c r="S1011" s="711" t="str">
        <f>IFERROR(__xludf.DUMMYFUNCTION("""COMPUTED_VALUE"""),"")</f>
        <v/>
      </c>
      <c r="T1011" s="721"/>
      <c r="U1011" s="721"/>
      <c r="V1011" s="711"/>
      <c r="W1011" s="721"/>
      <c r="X1011" s="721"/>
      <c r="Y1011" s="48"/>
      <c r="Z1011" s="48"/>
      <c r="AA1011" s="48"/>
      <c r="AB1011" s="711"/>
      <c r="AC1011" s="711"/>
      <c r="AD1011" s="711"/>
      <c r="AE1011" s="711"/>
      <c r="AF1011" s="711"/>
      <c r="AG1011" s="711"/>
      <c r="AH1011" s="711"/>
    </row>
    <row r="1012">
      <c r="A1012" s="48"/>
      <c r="B1012" s="48"/>
      <c r="C1012" s="48"/>
      <c r="D1012" s="721"/>
      <c r="E1012" s="711"/>
      <c r="F1012" s="711"/>
      <c r="G1012" s="721"/>
      <c r="H1012" s="721"/>
      <c r="I1012" s="721"/>
      <c r="J1012" s="48"/>
      <c r="K1012" s="721"/>
      <c r="L1012" s="721"/>
      <c r="M1012" s="721"/>
      <c r="N1012" s="719"/>
      <c r="O1012" s="48"/>
      <c r="P1012" s="719"/>
      <c r="Q1012" s="48"/>
      <c r="R1012" s="48"/>
      <c r="S1012" s="711" t="str">
        <f>IFERROR(__xludf.DUMMYFUNCTION("""COMPUTED_VALUE"""),"")</f>
        <v/>
      </c>
      <c r="T1012" s="721"/>
      <c r="U1012" s="721"/>
      <c r="V1012" s="711"/>
      <c r="W1012" s="721"/>
      <c r="X1012" s="721"/>
      <c r="Y1012" s="48"/>
      <c r="Z1012" s="48"/>
      <c r="AA1012" s="48"/>
      <c r="AB1012" s="711"/>
      <c r="AC1012" s="711"/>
      <c r="AD1012" s="711"/>
      <c r="AE1012" s="711"/>
      <c r="AF1012" s="711"/>
      <c r="AG1012" s="711"/>
      <c r="AH1012" s="711"/>
    </row>
    <row r="1013">
      <c r="A1013" s="48"/>
      <c r="B1013" s="48"/>
      <c r="C1013" s="48"/>
      <c r="D1013" s="721"/>
      <c r="E1013" s="711"/>
      <c r="F1013" s="711"/>
      <c r="G1013" s="721"/>
      <c r="H1013" s="721"/>
      <c r="I1013" s="721"/>
      <c r="J1013" s="48"/>
      <c r="K1013" s="721"/>
      <c r="L1013" s="721"/>
      <c r="M1013" s="721"/>
      <c r="N1013" s="719"/>
      <c r="O1013" s="48"/>
      <c r="P1013" s="719"/>
      <c r="Q1013" s="48"/>
      <c r="R1013" s="714" t="str">
        <f>IFERROR(__xludf.DUMMYFUNCTION("""COMPUTED_VALUE"""),"2526GRANDESAB11.F")</f>
        <v>2526GRANDESAB11.F</v>
      </c>
      <c r="S1013" s="711">
        <f>IFERROR(__xludf.DUMMYFUNCTION("""COMPUTED_VALUE"""),40.0)</f>
        <v>40</v>
      </c>
      <c r="T1013" s="722" t="str">
        <f>IFERROR(__xludf.DUMMYFUNCTION("""COMPUTED_VALUE"""),"2526GRANDESAB11.F")</f>
        <v>2526GRANDESAB11.F</v>
      </c>
      <c r="U1013" s="721"/>
      <c r="V1013" s="711"/>
      <c r="W1013" s="721"/>
      <c r="X1013" s="721"/>
      <c r="Y1013" s="48"/>
      <c r="Z1013" s="48"/>
      <c r="AA1013" s="48"/>
      <c r="AB1013" s="711"/>
      <c r="AC1013" s="711"/>
      <c r="AD1013" s="711"/>
      <c r="AE1013" s="711"/>
      <c r="AF1013" s="711"/>
      <c r="AG1013" s="711"/>
      <c r="AH1013" s="711"/>
    </row>
    <row r="1014">
      <c r="A1014" s="48"/>
      <c r="B1014" s="48"/>
      <c r="C1014" s="48"/>
      <c r="D1014" s="721"/>
      <c r="E1014" s="711"/>
      <c r="F1014" s="711"/>
      <c r="G1014" s="721"/>
      <c r="H1014" s="721"/>
      <c r="I1014" s="721"/>
      <c r="J1014" s="48"/>
      <c r="K1014" s="721"/>
      <c r="L1014" s="721"/>
      <c r="M1014" s="721"/>
      <c r="N1014" s="719"/>
      <c r="O1014" s="48"/>
      <c r="P1014" s="719"/>
      <c r="Q1014" s="48"/>
      <c r="R1014" s="714" t="str">
        <f>IFERROR(__xludf.DUMMYFUNCTION("""COMPUTED_VALUE"""),"2526BONACINASAB11.D")</f>
        <v>2526BONACINASAB11.D</v>
      </c>
      <c r="S1014" s="711">
        <f>IFERROR(__xludf.DUMMYFUNCTION("""COMPUTED_VALUE"""),26.0)</f>
        <v>26</v>
      </c>
      <c r="T1014" s="722" t="str">
        <f>IFERROR(__xludf.DUMMYFUNCTION("""COMPUTED_VALUE"""),"2526BONACINASAB11.D")</f>
        <v>2526BONACINASAB11.D</v>
      </c>
      <c r="U1014" s="721"/>
      <c r="V1014" s="711"/>
      <c r="W1014" s="721"/>
      <c r="X1014" s="721"/>
      <c r="Y1014" s="48"/>
      <c r="Z1014" s="48"/>
      <c r="AA1014" s="48"/>
      <c r="AB1014" s="711"/>
      <c r="AC1014" s="711"/>
      <c r="AD1014" s="711"/>
      <c r="AE1014" s="711"/>
      <c r="AF1014" s="711"/>
      <c r="AG1014" s="711"/>
      <c r="AH1014" s="711"/>
    </row>
    <row r="1015">
      <c r="A1015" s="48"/>
      <c r="B1015" s="48"/>
      <c r="C1015" s="48"/>
      <c r="D1015" s="721"/>
      <c r="E1015" s="711"/>
      <c r="F1015" s="711"/>
      <c r="G1015" s="721"/>
      <c r="H1015" s="721"/>
      <c r="I1015" s="721"/>
      <c r="J1015" s="48"/>
      <c r="K1015" s="721"/>
      <c r="L1015" s="721"/>
      <c r="M1015" s="721"/>
      <c r="N1015" s="719"/>
      <c r="O1015" s="48"/>
      <c r="P1015" s="719"/>
      <c r="Q1015" s="48"/>
      <c r="R1015" s="48"/>
      <c r="S1015" s="711" t="str">
        <f>IFERROR(__xludf.DUMMYFUNCTION("""COMPUTED_VALUE"""),"")</f>
        <v/>
      </c>
      <c r="T1015" s="721"/>
      <c r="U1015" s="721"/>
      <c r="V1015" s="711"/>
      <c r="W1015" s="721"/>
      <c r="X1015" s="721"/>
      <c r="Y1015" s="48"/>
      <c r="Z1015" s="48"/>
      <c r="AA1015" s="48"/>
      <c r="AB1015" s="711"/>
      <c r="AC1015" s="711"/>
      <c r="AD1015" s="711"/>
      <c r="AE1015" s="711"/>
      <c r="AF1015" s="711"/>
      <c r="AG1015" s="711"/>
      <c r="AH1015" s="711"/>
    </row>
    <row r="1016">
      <c r="A1016" s="48"/>
      <c r="B1016" s="48"/>
      <c r="C1016" s="48"/>
      <c r="D1016" s="721"/>
      <c r="E1016" s="711"/>
      <c r="F1016" s="711"/>
      <c r="G1016" s="721"/>
      <c r="H1016" s="721"/>
      <c r="I1016" s="721"/>
      <c r="J1016" s="48"/>
      <c r="K1016" s="721"/>
      <c r="L1016" s="721"/>
      <c r="M1016" s="721"/>
      <c r="N1016" s="719"/>
      <c r="O1016" s="48"/>
      <c r="P1016" s="719"/>
      <c r="Q1016" s="48"/>
      <c r="R1016" s="711" t="str">
        <f>IFERROR(__xludf.DUMMYFUNCTION("""COMPUTED_VALUE"""),"2526MASSAGGISAB11.Y")</f>
        <v>2526MASSAGGISAB11.Y</v>
      </c>
      <c r="S1016" s="711">
        <f>IFERROR(__xludf.DUMMYFUNCTION("""COMPUTED_VALUE"""),30.0)</f>
        <v>30</v>
      </c>
      <c r="T1016" s="721" t="str">
        <f>IFERROR(__xludf.DUMMYFUNCTION("""COMPUTED_VALUE"""),"2526MASSAGGISAB11.Y")</f>
        <v>2526MASSAGGISAB11.Y</v>
      </c>
      <c r="U1016" s="721"/>
      <c r="V1016" s="711"/>
      <c r="W1016" s="721"/>
      <c r="X1016" s="721"/>
      <c r="Y1016" s="48"/>
      <c r="Z1016" s="48"/>
      <c r="AA1016" s="48"/>
      <c r="AB1016" s="711"/>
      <c r="AC1016" s="711"/>
      <c r="AD1016" s="711"/>
      <c r="AE1016" s="711"/>
      <c r="AF1016" s="711"/>
      <c r="AG1016" s="711"/>
      <c r="AH1016" s="711"/>
    </row>
    <row r="1017">
      <c r="A1017" s="48"/>
      <c r="B1017" s="48"/>
      <c r="C1017" s="48"/>
      <c r="D1017" s="721"/>
      <c r="E1017" s="711"/>
      <c r="F1017" s="711"/>
      <c r="G1017" s="721"/>
      <c r="H1017" s="721"/>
      <c r="I1017" s="721"/>
      <c r="J1017" s="48"/>
      <c r="K1017" s="721"/>
      <c r="L1017" s="721"/>
      <c r="M1017" s="721"/>
      <c r="N1017" s="719"/>
      <c r="O1017" s="48"/>
      <c r="P1017" s="719"/>
      <c r="Q1017" s="48"/>
      <c r="R1017" s="714" t="str">
        <f>IFERROR(__xludf.DUMMYFUNCTION("""COMPUTED_VALUE"""),"2526CRUZSAB11.F")</f>
        <v>2526CRUZSAB11.F</v>
      </c>
      <c r="S1017" s="711">
        <f>IFERROR(__xludf.DUMMYFUNCTION("""COMPUTED_VALUE"""),40.0)</f>
        <v>40</v>
      </c>
      <c r="T1017" s="722" t="str">
        <f>IFERROR(__xludf.DUMMYFUNCTION("""COMPUTED_VALUE"""),"2526CRUZSAB11.F")</f>
        <v>2526CRUZSAB11.F</v>
      </c>
      <c r="U1017" s="721"/>
      <c r="V1017" s="711"/>
      <c r="W1017" s="721"/>
      <c r="X1017" s="721"/>
      <c r="Y1017" s="48"/>
      <c r="Z1017" s="48"/>
      <c r="AA1017" s="48"/>
      <c r="AB1017" s="711"/>
      <c r="AC1017" s="711"/>
      <c r="AD1017" s="711"/>
      <c r="AE1017" s="711"/>
      <c r="AF1017" s="711"/>
      <c r="AG1017" s="711"/>
      <c r="AH1017" s="711"/>
    </row>
    <row r="1018">
      <c r="A1018" s="48"/>
      <c r="B1018" s="48"/>
      <c r="C1018" s="48"/>
      <c r="D1018" s="721"/>
      <c r="E1018" s="711"/>
      <c r="F1018" s="711"/>
      <c r="G1018" s="721"/>
      <c r="H1018" s="721"/>
      <c r="I1018" s="721"/>
      <c r="J1018" s="48"/>
      <c r="K1018" s="721"/>
      <c r="L1018" s="721"/>
      <c r="M1018" s="721"/>
      <c r="N1018" s="719"/>
      <c r="O1018" s="48"/>
      <c r="P1018" s="719"/>
      <c r="Q1018" s="48"/>
      <c r="R1018" s="48"/>
      <c r="S1018" s="711" t="str">
        <f>IFERROR(__xludf.DUMMYFUNCTION("""COMPUTED_VALUE"""),"")</f>
        <v/>
      </c>
      <c r="T1018" s="721"/>
      <c r="U1018" s="721"/>
      <c r="V1018" s="711"/>
      <c r="W1018" s="721"/>
      <c r="X1018" s="721"/>
      <c r="Y1018" s="48"/>
      <c r="Z1018" s="48"/>
      <c r="AA1018" s="48"/>
      <c r="AB1018" s="711"/>
      <c r="AC1018" s="711"/>
      <c r="AD1018" s="711"/>
      <c r="AE1018" s="711"/>
      <c r="AF1018" s="711"/>
      <c r="AG1018" s="711"/>
      <c r="AH1018" s="711"/>
    </row>
    <row r="1019">
      <c r="A1019" s="48"/>
      <c r="B1019" s="48"/>
      <c r="C1019" s="48"/>
      <c r="D1019" s="721"/>
      <c r="E1019" s="711"/>
      <c r="F1019" s="711"/>
      <c r="G1019" s="721"/>
      <c r="H1019" s="721"/>
      <c r="I1019" s="721"/>
      <c r="J1019" s="48"/>
      <c r="K1019" s="721"/>
      <c r="L1019" s="721"/>
      <c r="M1019" s="721"/>
      <c r="N1019" s="719"/>
      <c r="O1019" s="48"/>
      <c r="P1019" s="719"/>
      <c r="Q1019" s="48"/>
      <c r="R1019" s="48"/>
      <c r="S1019" s="711" t="str">
        <f>IFERROR(__xludf.DUMMYFUNCTION("""COMPUTED_VALUE"""),"")</f>
        <v/>
      </c>
      <c r="T1019" s="721"/>
      <c r="U1019" s="721"/>
      <c r="V1019" s="711"/>
      <c r="W1019" s="721"/>
      <c r="X1019" s="721"/>
      <c r="Y1019" s="48"/>
      <c r="Z1019" s="48"/>
      <c r="AA1019" s="48"/>
      <c r="AB1019" s="711"/>
      <c r="AC1019" s="711"/>
      <c r="AD1019" s="711"/>
      <c r="AE1019" s="711"/>
      <c r="AF1019" s="711"/>
      <c r="AG1019" s="711"/>
      <c r="AH1019" s="711"/>
    </row>
    <row r="1020">
      <c r="A1020" s="48"/>
      <c r="B1020" s="48"/>
      <c r="C1020" s="48"/>
      <c r="D1020" s="721"/>
      <c r="E1020" s="711"/>
      <c r="F1020" s="711"/>
      <c r="G1020" s="721"/>
      <c r="H1020" s="721"/>
      <c r="I1020" s="721"/>
      <c r="J1020" s="48"/>
      <c r="K1020" s="721"/>
      <c r="L1020" s="721"/>
      <c r="M1020" s="721"/>
      <c r="N1020" s="719"/>
      <c r="O1020" s="48"/>
      <c r="P1020" s="719"/>
      <c r="Q1020" s="48"/>
      <c r="R1020" s="48"/>
      <c r="S1020" s="711" t="str">
        <f>IFERROR(__xludf.DUMMYFUNCTION("""COMPUTED_VALUE"""),"")</f>
        <v/>
      </c>
      <c r="T1020" s="721"/>
      <c r="U1020" s="721"/>
      <c r="V1020" s="711"/>
      <c r="W1020" s="721"/>
      <c r="X1020" s="721"/>
      <c r="Y1020" s="48"/>
      <c r="Z1020" s="48"/>
      <c r="AA1020" s="48"/>
      <c r="AB1020" s="711"/>
      <c r="AC1020" s="711"/>
      <c r="AD1020" s="711"/>
      <c r="AE1020" s="711"/>
      <c r="AF1020" s="711"/>
      <c r="AG1020" s="711"/>
      <c r="AH1020" s="711"/>
    </row>
    <row r="1021">
      <c r="A1021" s="48"/>
      <c r="B1021" s="48"/>
      <c r="C1021" s="48"/>
      <c r="D1021" s="721"/>
      <c r="E1021" s="711"/>
      <c r="F1021" s="711"/>
      <c r="G1021" s="721"/>
      <c r="H1021" s="721"/>
      <c r="I1021" s="721"/>
      <c r="J1021" s="48"/>
      <c r="K1021" s="721"/>
      <c r="L1021" s="721"/>
      <c r="M1021" s="721"/>
      <c r="N1021" s="719"/>
      <c r="O1021" s="48"/>
      <c r="P1021" s="719"/>
      <c r="Q1021" s="48"/>
      <c r="R1021" s="48"/>
      <c r="S1021" s="711" t="str">
        <f>IFERROR(__xludf.DUMMYFUNCTION("""COMPUTED_VALUE"""),"")</f>
        <v/>
      </c>
      <c r="T1021" s="721"/>
      <c r="U1021" s="721"/>
      <c r="V1021" s="711"/>
      <c r="W1021" s="721"/>
      <c r="X1021" s="721"/>
      <c r="Y1021" s="48"/>
      <c r="Z1021" s="48"/>
      <c r="AA1021" s="48"/>
      <c r="AB1021" s="711"/>
      <c r="AC1021" s="711"/>
      <c r="AD1021" s="711"/>
      <c r="AE1021" s="711"/>
      <c r="AF1021" s="711"/>
      <c r="AG1021" s="711"/>
      <c r="AH1021" s="711"/>
    </row>
    <row r="1022">
      <c r="A1022" s="48"/>
      <c r="B1022" s="48"/>
      <c r="C1022" s="48"/>
      <c r="D1022" s="721"/>
      <c r="E1022" s="711"/>
      <c r="F1022" s="711"/>
      <c r="G1022" s="721"/>
      <c r="H1022" s="721"/>
      <c r="I1022" s="721"/>
      <c r="J1022" s="48"/>
      <c r="K1022" s="721"/>
      <c r="L1022" s="721"/>
      <c r="M1022" s="721"/>
      <c r="N1022" s="719"/>
      <c r="O1022" s="48"/>
      <c r="P1022" s="719"/>
      <c r="Q1022" s="48"/>
      <c r="R1022" s="48"/>
      <c r="S1022" s="711" t="str">
        <f>IFERROR(__xludf.DUMMYFUNCTION("""COMPUTED_VALUE"""),"")</f>
        <v/>
      </c>
      <c r="T1022" s="721"/>
      <c r="U1022" s="721"/>
      <c r="V1022" s="711"/>
      <c r="W1022" s="721"/>
      <c r="X1022" s="721"/>
      <c r="Y1022" s="48"/>
      <c r="Z1022" s="48"/>
      <c r="AA1022" s="48"/>
      <c r="AB1022" s="711"/>
      <c r="AC1022" s="711"/>
      <c r="AD1022" s="711"/>
      <c r="AE1022" s="711"/>
      <c r="AF1022" s="711"/>
      <c r="AG1022" s="711"/>
      <c r="AH1022" s="711"/>
    </row>
    <row r="1023">
      <c r="A1023" s="48"/>
      <c r="B1023" s="48"/>
      <c r="C1023" s="48"/>
      <c r="D1023" s="721"/>
      <c r="E1023" s="711"/>
      <c r="F1023" s="711"/>
      <c r="G1023" s="721"/>
      <c r="H1023" s="721"/>
      <c r="I1023" s="721"/>
      <c r="J1023" s="48"/>
      <c r="K1023" s="721"/>
      <c r="L1023" s="721"/>
      <c r="M1023" s="721"/>
      <c r="N1023" s="719"/>
      <c r="O1023" s="48"/>
      <c r="P1023" s="719"/>
      <c r="Q1023" s="48"/>
      <c r="R1023" s="48"/>
      <c r="S1023" s="711" t="str">
        <f>IFERROR(__xludf.DUMMYFUNCTION("""COMPUTED_VALUE"""),"")</f>
        <v/>
      </c>
      <c r="T1023" s="721"/>
      <c r="U1023" s="721"/>
      <c r="V1023" s="711"/>
      <c r="W1023" s="721"/>
      <c r="X1023" s="721"/>
      <c r="Y1023" s="48"/>
      <c r="Z1023" s="48"/>
      <c r="AA1023" s="48"/>
      <c r="AB1023" s="711"/>
      <c r="AC1023" s="711"/>
      <c r="AD1023" s="711"/>
      <c r="AE1023" s="711"/>
      <c r="AF1023" s="711"/>
      <c r="AG1023" s="711"/>
      <c r="AH1023" s="711"/>
    </row>
    <row r="1024">
      <c r="A1024" s="48"/>
      <c r="B1024" s="48"/>
      <c r="C1024" s="48"/>
      <c r="D1024" s="721"/>
      <c r="E1024" s="711"/>
      <c r="F1024" s="711"/>
      <c r="G1024" s="721"/>
      <c r="H1024" s="721"/>
      <c r="I1024" s="721"/>
      <c r="J1024" s="48"/>
      <c r="K1024" s="721"/>
      <c r="L1024" s="721"/>
      <c r="M1024" s="721"/>
      <c r="N1024" s="719"/>
      <c r="O1024" s="48"/>
      <c r="P1024" s="719"/>
      <c r="Q1024" s="48"/>
      <c r="R1024" s="48"/>
      <c r="S1024" s="711" t="str">
        <f>IFERROR(__xludf.DUMMYFUNCTION("""COMPUTED_VALUE"""),"")</f>
        <v/>
      </c>
      <c r="T1024" s="721"/>
      <c r="U1024" s="721"/>
      <c r="V1024" s="711"/>
      <c r="W1024" s="721"/>
      <c r="X1024" s="721"/>
      <c r="Y1024" s="48"/>
      <c r="Z1024" s="48"/>
      <c r="AA1024" s="48"/>
      <c r="AB1024" s="711"/>
      <c r="AC1024" s="711"/>
      <c r="AD1024" s="711"/>
      <c r="AE1024" s="711"/>
      <c r="AF1024" s="711"/>
      <c r="AG1024" s="711"/>
      <c r="AH1024" s="711"/>
    </row>
    <row r="1025">
      <c r="A1025" s="48"/>
      <c r="B1025" s="48"/>
      <c r="C1025" s="48"/>
      <c r="D1025" s="721"/>
      <c r="E1025" s="711"/>
      <c r="F1025" s="711"/>
      <c r="G1025" s="721"/>
      <c r="H1025" s="721"/>
      <c r="I1025" s="721"/>
      <c r="J1025" s="48"/>
      <c r="K1025" s="721"/>
      <c r="L1025" s="721"/>
      <c r="M1025" s="721"/>
      <c r="N1025" s="719"/>
      <c r="O1025" s="48"/>
      <c r="P1025" s="719"/>
      <c r="Q1025" s="48"/>
      <c r="R1025" s="714" t="str">
        <f>IFERROR(__xludf.DUMMYFUNCTION("""COMPUTED_VALUE"""),"2526KUQISAB12.F")</f>
        <v>2526KUQISAB12.F</v>
      </c>
      <c r="S1025" s="711">
        <f>IFERROR(__xludf.DUMMYFUNCTION("""COMPUTED_VALUE"""),30.0)</f>
        <v>30</v>
      </c>
      <c r="T1025" s="722" t="str">
        <f>IFERROR(__xludf.DUMMYFUNCTION("""COMPUTED_VALUE"""),"2526KUQISAB12.F")</f>
        <v>2526KUQISAB12.F</v>
      </c>
      <c r="U1025" s="721"/>
      <c r="V1025" s="711"/>
      <c r="W1025" s="721"/>
      <c r="X1025" s="721"/>
      <c r="Y1025" s="48"/>
      <c r="Z1025" s="48"/>
      <c r="AA1025" s="48"/>
      <c r="AB1025" s="711"/>
      <c r="AC1025" s="711"/>
      <c r="AD1025" s="711"/>
      <c r="AE1025" s="711"/>
      <c r="AF1025" s="711"/>
      <c r="AG1025" s="711"/>
      <c r="AH1025" s="711"/>
    </row>
    <row r="1026">
      <c r="A1026" s="48"/>
      <c r="B1026" s="48"/>
      <c r="C1026" s="48"/>
      <c r="D1026" s="721"/>
      <c r="E1026" s="711"/>
      <c r="F1026" s="711"/>
      <c r="G1026" s="721"/>
      <c r="H1026" s="721"/>
      <c r="I1026" s="721"/>
      <c r="J1026" s="48"/>
      <c r="K1026" s="721"/>
      <c r="L1026" s="721"/>
      <c r="M1026" s="721"/>
      <c r="N1026" s="719"/>
      <c r="O1026" s="48"/>
      <c r="P1026" s="719"/>
      <c r="Q1026" s="48"/>
      <c r="R1026" s="714" t="str">
        <f>IFERROR(__xludf.DUMMYFUNCTION("""COMPUTED_VALUE"""),"2526VASSALLOSAB12.D")</f>
        <v>2526VASSALLOSAB12.D</v>
      </c>
      <c r="S1026" s="711">
        <f>IFERROR(__xludf.DUMMYFUNCTION("""COMPUTED_VALUE"""),15.0)</f>
        <v>15</v>
      </c>
      <c r="T1026" s="722" t="str">
        <f>IFERROR(__xludf.DUMMYFUNCTION("""COMPUTED_VALUE"""),"2526VASSALLOSAB12.D")</f>
        <v>2526VASSALLOSAB12.D</v>
      </c>
      <c r="U1026" s="721"/>
      <c r="V1026" s="711"/>
      <c r="W1026" s="721"/>
      <c r="X1026" s="721"/>
      <c r="Y1026" s="48"/>
      <c r="Z1026" s="48"/>
      <c r="AA1026" s="48"/>
      <c r="AB1026" s="711"/>
      <c r="AC1026" s="711"/>
      <c r="AD1026" s="711"/>
      <c r="AE1026" s="711"/>
      <c r="AF1026" s="711"/>
      <c r="AG1026" s="711"/>
      <c r="AH1026" s="711"/>
    </row>
    <row r="1027">
      <c r="A1027" s="48"/>
      <c r="B1027" s="48"/>
      <c r="C1027" s="48"/>
      <c r="D1027" s="721"/>
      <c r="E1027" s="711"/>
      <c r="F1027" s="711"/>
      <c r="G1027" s="721"/>
      <c r="H1027" s="721"/>
      <c r="I1027" s="721"/>
      <c r="J1027" s="48"/>
      <c r="K1027" s="721"/>
      <c r="L1027" s="721"/>
      <c r="M1027" s="721"/>
      <c r="N1027" s="719"/>
      <c r="O1027" s="48"/>
      <c r="P1027" s="719"/>
      <c r="Q1027" s="48"/>
      <c r="R1027" s="48"/>
      <c r="S1027" s="711" t="str">
        <f>IFERROR(__xludf.DUMMYFUNCTION("""COMPUTED_VALUE"""),"")</f>
        <v/>
      </c>
      <c r="T1027" s="721"/>
      <c r="U1027" s="721"/>
      <c r="V1027" s="711"/>
      <c r="W1027" s="721"/>
      <c r="X1027" s="721"/>
      <c r="Y1027" s="48"/>
      <c r="Z1027" s="48"/>
      <c r="AA1027" s="48"/>
      <c r="AB1027" s="711"/>
      <c r="AC1027" s="711"/>
      <c r="AD1027" s="711"/>
      <c r="AE1027" s="711"/>
      <c r="AF1027" s="711"/>
      <c r="AG1027" s="711"/>
      <c r="AH1027" s="711"/>
    </row>
    <row r="1028">
      <c r="A1028" s="48"/>
      <c r="B1028" s="48"/>
      <c r="C1028" s="48"/>
      <c r="D1028" s="721"/>
      <c r="E1028" s="711"/>
      <c r="F1028" s="711"/>
      <c r="G1028" s="721"/>
      <c r="H1028" s="721"/>
      <c r="I1028" s="721"/>
      <c r="J1028" s="48"/>
      <c r="K1028" s="721"/>
      <c r="L1028" s="721"/>
      <c r="M1028" s="721"/>
      <c r="N1028" s="719"/>
      <c r="O1028" s="48"/>
      <c r="P1028" s="719"/>
      <c r="Q1028" s="48"/>
      <c r="R1028" s="711" t="str">
        <f>IFERROR(__xludf.DUMMYFUNCTION("""COMPUTED_VALUE"""),"2526MASSAGGISAB12.Y")</f>
        <v>2526MASSAGGISAB12.Y</v>
      </c>
      <c r="S1028" s="711">
        <f>IFERROR(__xludf.DUMMYFUNCTION("""COMPUTED_VALUE"""),30.0)</f>
        <v>30</v>
      </c>
      <c r="T1028" s="721" t="str">
        <f>IFERROR(__xludf.DUMMYFUNCTION("""COMPUTED_VALUE"""),"2526MASSAGGISAB12.Y")</f>
        <v>2526MASSAGGISAB12.Y</v>
      </c>
      <c r="U1028" s="721"/>
      <c r="V1028" s="711"/>
      <c r="W1028" s="721"/>
      <c r="X1028" s="721"/>
      <c r="Y1028" s="48"/>
      <c r="Z1028" s="48"/>
      <c r="AA1028" s="48"/>
      <c r="AB1028" s="711"/>
      <c r="AC1028" s="711"/>
      <c r="AD1028" s="711"/>
      <c r="AE1028" s="711"/>
      <c r="AF1028" s="711"/>
      <c r="AG1028" s="711"/>
      <c r="AH1028" s="711"/>
    </row>
    <row r="1029">
      <c r="A1029" s="48"/>
      <c r="B1029" s="48"/>
      <c r="C1029" s="48"/>
      <c r="D1029" s="721"/>
      <c r="E1029" s="711"/>
      <c r="F1029" s="711"/>
      <c r="G1029" s="721"/>
      <c r="H1029" s="721"/>
      <c r="I1029" s="721"/>
      <c r="J1029" s="48"/>
      <c r="K1029" s="721"/>
      <c r="L1029" s="721"/>
      <c r="M1029" s="721"/>
      <c r="N1029" s="719"/>
      <c r="O1029" s="48"/>
      <c r="P1029" s="719"/>
      <c r="Q1029" s="48"/>
      <c r="R1029" s="714" t="str">
        <f>IFERROR(__xludf.DUMMYFUNCTION("""COMPUTED_VALUE"""),"2526CRUZSAB12.F")</f>
        <v>2526CRUZSAB12.F</v>
      </c>
      <c r="S1029" s="711">
        <f>IFERROR(__xludf.DUMMYFUNCTION("""COMPUTED_VALUE"""),30.0)</f>
        <v>30</v>
      </c>
      <c r="T1029" s="722" t="str">
        <f>IFERROR(__xludf.DUMMYFUNCTION("""COMPUTED_VALUE"""),"2526CRUZSAB12.F")</f>
        <v>2526CRUZSAB12.F</v>
      </c>
      <c r="U1029" s="721"/>
      <c r="V1029" s="711"/>
      <c r="W1029" s="721"/>
      <c r="X1029" s="721"/>
      <c r="Y1029" s="48"/>
      <c r="Z1029" s="48"/>
      <c r="AA1029" s="48"/>
      <c r="AB1029" s="711"/>
      <c r="AC1029" s="711"/>
      <c r="AD1029" s="711"/>
      <c r="AE1029" s="711"/>
      <c r="AF1029" s="711"/>
      <c r="AG1029" s="711"/>
      <c r="AH1029" s="711"/>
    </row>
    <row r="1030">
      <c r="A1030" s="48"/>
      <c r="B1030" s="48"/>
      <c r="C1030" s="48"/>
      <c r="D1030" s="721"/>
      <c r="E1030" s="711"/>
      <c r="F1030" s="711"/>
      <c r="G1030" s="721"/>
      <c r="H1030" s="721"/>
      <c r="I1030" s="721"/>
      <c r="J1030" s="48"/>
      <c r="K1030" s="721"/>
      <c r="L1030" s="721"/>
      <c r="M1030" s="721"/>
      <c r="N1030" s="719"/>
      <c r="O1030" s="48"/>
      <c r="P1030" s="719"/>
      <c r="Q1030" s="48"/>
      <c r="R1030" s="48"/>
      <c r="S1030" s="711" t="str">
        <f>IFERROR(__xludf.DUMMYFUNCTION("""COMPUTED_VALUE"""),"")</f>
        <v/>
      </c>
      <c r="T1030" s="721"/>
      <c r="U1030" s="721"/>
      <c r="V1030" s="711"/>
      <c r="W1030" s="721"/>
      <c r="X1030" s="721"/>
      <c r="Y1030" s="48"/>
      <c r="Z1030" s="48"/>
      <c r="AA1030" s="48"/>
      <c r="AB1030" s="711"/>
      <c r="AC1030" s="711"/>
      <c r="AD1030" s="711"/>
      <c r="AE1030" s="711"/>
      <c r="AF1030" s="711"/>
      <c r="AG1030" s="711"/>
      <c r="AH1030" s="711"/>
    </row>
    <row r="1031">
      <c r="A1031" s="48"/>
      <c r="B1031" s="48"/>
      <c r="C1031" s="48"/>
      <c r="D1031" s="721"/>
      <c r="E1031" s="711"/>
      <c r="F1031" s="711"/>
      <c r="G1031" s="721"/>
      <c r="H1031" s="721"/>
      <c r="I1031" s="721"/>
      <c r="J1031" s="48"/>
      <c r="K1031" s="721"/>
      <c r="L1031" s="721"/>
      <c r="M1031" s="721"/>
      <c r="N1031" s="719"/>
      <c r="O1031" s="48"/>
      <c r="P1031" s="719"/>
      <c r="Q1031" s="48"/>
      <c r="R1031" s="48"/>
      <c r="S1031" s="711" t="str">
        <f>IFERROR(__xludf.DUMMYFUNCTION("""COMPUTED_VALUE"""),"")</f>
        <v/>
      </c>
      <c r="T1031" s="721"/>
      <c r="U1031" s="721"/>
      <c r="V1031" s="711"/>
      <c r="W1031" s="721"/>
      <c r="X1031" s="721"/>
      <c r="Y1031" s="48"/>
      <c r="Z1031" s="48"/>
      <c r="AA1031" s="48"/>
      <c r="AB1031" s="711"/>
      <c r="AC1031" s="711"/>
      <c r="AD1031" s="711"/>
      <c r="AE1031" s="711"/>
      <c r="AF1031" s="711"/>
      <c r="AG1031" s="711"/>
      <c r="AH1031" s="711"/>
    </row>
    <row r="1032">
      <c r="A1032" s="48"/>
      <c r="B1032" s="48"/>
      <c r="C1032" s="48"/>
      <c r="D1032" s="721"/>
      <c r="E1032" s="711"/>
      <c r="F1032" s="711"/>
      <c r="G1032" s="721"/>
      <c r="H1032" s="721"/>
      <c r="I1032" s="721"/>
      <c r="J1032" s="48"/>
      <c r="K1032" s="721"/>
      <c r="L1032" s="721"/>
      <c r="M1032" s="721"/>
      <c r="N1032" s="719"/>
      <c r="O1032" s="48"/>
      <c r="P1032" s="719"/>
      <c r="Q1032" s="48"/>
      <c r="R1032" s="48"/>
      <c r="S1032" s="711" t="str">
        <f>IFERROR(__xludf.DUMMYFUNCTION("""COMPUTED_VALUE"""),"")</f>
        <v/>
      </c>
      <c r="T1032" s="721"/>
      <c r="U1032" s="721"/>
      <c r="V1032" s="711"/>
      <c r="W1032" s="721"/>
      <c r="X1032" s="721"/>
      <c r="Y1032" s="48"/>
      <c r="Z1032" s="48"/>
      <c r="AA1032" s="48"/>
      <c r="AB1032" s="711"/>
      <c r="AC1032" s="711"/>
      <c r="AD1032" s="711"/>
      <c r="AE1032" s="711"/>
      <c r="AF1032" s="711"/>
      <c r="AG1032" s="711"/>
      <c r="AH1032" s="711"/>
    </row>
    <row r="1033">
      <c r="A1033" s="48"/>
      <c r="B1033" s="48"/>
      <c r="C1033" s="48"/>
      <c r="D1033" s="721"/>
      <c r="E1033" s="711"/>
      <c r="F1033" s="711"/>
      <c r="G1033" s="721"/>
      <c r="H1033" s="721"/>
      <c r="I1033" s="721"/>
      <c r="J1033" s="48"/>
      <c r="K1033" s="721"/>
      <c r="L1033" s="721"/>
      <c r="M1033" s="721"/>
      <c r="N1033" s="719"/>
      <c r="O1033" s="48"/>
      <c r="P1033" s="719"/>
      <c r="Q1033" s="48"/>
      <c r="R1033" s="711" t="str">
        <f>IFERROR(__xludf.DUMMYFUNCTION("""COMPUTED_VALUE"""),"2526SEABRASAB12.Y")</f>
        <v>2526SEABRASAB12.Y</v>
      </c>
      <c r="S1033" s="711">
        <f>IFERROR(__xludf.DUMMYFUNCTION("""COMPUTED_VALUE"""),20.0)</f>
        <v>20</v>
      </c>
      <c r="T1033" s="721" t="str">
        <f>IFERROR(__xludf.DUMMYFUNCTION("""COMPUTED_VALUE"""),"2526SEABRASAB12.Y")</f>
        <v>2526SEABRASAB12.Y</v>
      </c>
      <c r="U1033" s="721"/>
      <c r="V1033" s="711"/>
      <c r="W1033" s="721"/>
      <c r="X1033" s="721"/>
      <c r="Y1033" s="48"/>
      <c r="Z1033" s="48"/>
      <c r="AA1033" s="48"/>
      <c r="AB1033" s="711"/>
      <c r="AC1033" s="711"/>
      <c r="AD1033" s="711"/>
      <c r="AE1033" s="711"/>
      <c r="AF1033" s="711"/>
      <c r="AG1033" s="711"/>
      <c r="AH1033" s="711"/>
    </row>
    <row r="1034">
      <c r="A1034" s="48"/>
      <c r="B1034" s="48"/>
      <c r="C1034" s="48"/>
      <c r="D1034" s="721"/>
      <c r="E1034" s="711"/>
      <c r="F1034" s="711"/>
      <c r="G1034" s="721"/>
      <c r="H1034" s="721"/>
      <c r="I1034" s="721"/>
      <c r="J1034" s="48"/>
      <c r="K1034" s="721"/>
      <c r="L1034" s="721"/>
      <c r="M1034" s="721"/>
      <c r="N1034" s="719"/>
      <c r="O1034" s="48"/>
      <c r="P1034" s="719"/>
      <c r="Q1034" s="48"/>
      <c r="R1034" s="48"/>
      <c r="S1034" s="711" t="str">
        <f>IFERROR(__xludf.DUMMYFUNCTION("""COMPUTED_VALUE"""),"")</f>
        <v/>
      </c>
      <c r="T1034" s="721"/>
      <c r="U1034" s="721"/>
      <c r="V1034" s="711"/>
      <c r="W1034" s="721"/>
      <c r="X1034" s="721"/>
      <c r="Y1034" s="48"/>
      <c r="Z1034" s="48"/>
      <c r="AA1034" s="48"/>
      <c r="AB1034" s="711"/>
      <c r="AC1034" s="711"/>
      <c r="AD1034" s="711"/>
      <c r="AE1034" s="711"/>
      <c r="AF1034" s="711"/>
      <c r="AG1034" s="711"/>
      <c r="AH1034" s="711"/>
    </row>
    <row r="1035">
      <c r="A1035" s="48"/>
      <c r="B1035" s="48"/>
      <c r="C1035" s="48"/>
      <c r="D1035" s="721"/>
      <c r="E1035" s="711"/>
      <c r="F1035" s="711"/>
      <c r="G1035" s="721"/>
      <c r="H1035" s="721"/>
      <c r="I1035" s="721"/>
      <c r="J1035" s="48"/>
      <c r="K1035" s="721"/>
      <c r="L1035" s="721"/>
      <c r="M1035" s="721"/>
      <c r="N1035" s="719"/>
      <c r="O1035" s="48"/>
      <c r="P1035" s="719"/>
      <c r="Q1035" s="48"/>
      <c r="R1035" s="48"/>
      <c r="S1035" s="711" t="str">
        <f>IFERROR(__xludf.DUMMYFUNCTION("""COMPUTED_VALUE"""),"")</f>
        <v/>
      </c>
      <c r="T1035" s="721"/>
      <c r="U1035" s="721"/>
      <c r="V1035" s="711"/>
      <c r="W1035" s="721"/>
      <c r="X1035" s="721"/>
      <c r="Y1035" s="48"/>
      <c r="Z1035" s="48"/>
      <c r="AA1035" s="48"/>
      <c r="AB1035" s="711"/>
      <c r="AC1035" s="711"/>
      <c r="AD1035" s="711"/>
      <c r="AE1035" s="711"/>
      <c r="AF1035" s="711"/>
      <c r="AG1035" s="711"/>
      <c r="AH1035" s="711"/>
    </row>
    <row r="1036">
      <c r="A1036" s="48"/>
      <c r="B1036" s="48"/>
      <c r="C1036" s="48"/>
      <c r="D1036" s="721"/>
      <c r="E1036" s="711"/>
      <c r="F1036" s="711"/>
      <c r="G1036" s="721"/>
      <c r="H1036" s="721"/>
      <c r="I1036" s="721"/>
      <c r="J1036" s="48"/>
      <c r="K1036" s="721"/>
      <c r="L1036" s="721"/>
      <c r="M1036" s="721"/>
      <c r="N1036" s="719"/>
      <c r="O1036" s="48"/>
      <c r="P1036" s="719"/>
      <c r="Q1036" s="48"/>
      <c r="R1036" s="48"/>
      <c r="S1036" s="711" t="str">
        <f>IFERROR(__xludf.DUMMYFUNCTION("""COMPUTED_VALUE"""),"")</f>
        <v/>
      </c>
      <c r="T1036" s="721"/>
      <c r="U1036" s="721"/>
      <c r="V1036" s="711"/>
      <c r="W1036" s="721"/>
      <c r="X1036" s="721"/>
      <c r="Y1036" s="48"/>
      <c r="Z1036" s="48"/>
      <c r="AA1036" s="48"/>
      <c r="AB1036" s="711"/>
      <c r="AC1036" s="711"/>
      <c r="AD1036" s="711"/>
      <c r="AE1036" s="711"/>
      <c r="AF1036" s="711"/>
      <c r="AG1036" s="711"/>
      <c r="AH1036" s="711"/>
    </row>
    <row r="1037">
      <c r="A1037" s="48"/>
      <c r="B1037" s="48"/>
      <c r="C1037" s="48"/>
      <c r="D1037" s="721"/>
      <c r="E1037" s="711"/>
      <c r="F1037" s="711"/>
      <c r="G1037" s="721"/>
      <c r="H1037" s="721"/>
      <c r="I1037" s="721"/>
      <c r="J1037" s="48"/>
      <c r="K1037" s="721"/>
      <c r="L1037" s="721"/>
      <c r="M1037" s="721"/>
      <c r="N1037" s="719"/>
      <c r="O1037" s="48"/>
      <c r="P1037" s="719"/>
      <c r="Q1037" s="48"/>
      <c r="R1037" s="714" t="str">
        <f>IFERROR(__xludf.DUMMYFUNCTION("""COMPUTED_VALUE"""),"2526KUQISAB13.F")</f>
        <v>2526KUQISAB13.F</v>
      </c>
      <c r="S1037" s="711">
        <f>IFERROR(__xludf.DUMMYFUNCTION("""COMPUTED_VALUE"""),40.0)</f>
        <v>40</v>
      </c>
      <c r="T1037" s="722" t="str">
        <f>IFERROR(__xludf.DUMMYFUNCTION("""COMPUTED_VALUE"""),"2526KUQISAB13.F")</f>
        <v>2526KUQISAB13.F</v>
      </c>
      <c r="U1037" s="721"/>
      <c r="V1037" s="711"/>
      <c r="W1037" s="721"/>
      <c r="X1037" s="721"/>
      <c r="Y1037" s="48"/>
      <c r="Z1037" s="48"/>
      <c r="AA1037" s="48"/>
      <c r="AB1037" s="711"/>
      <c r="AC1037" s="711"/>
      <c r="AD1037" s="711"/>
      <c r="AE1037" s="711"/>
      <c r="AF1037" s="711"/>
      <c r="AG1037" s="711"/>
      <c r="AH1037" s="711"/>
    </row>
    <row r="1038">
      <c r="A1038" s="48"/>
      <c r="B1038" s="48"/>
      <c r="C1038" s="48"/>
      <c r="D1038" s="721"/>
      <c r="E1038" s="711"/>
      <c r="F1038" s="711"/>
      <c r="G1038" s="721"/>
      <c r="H1038" s="721"/>
      <c r="I1038" s="721"/>
      <c r="J1038" s="48"/>
      <c r="K1038" s="721"/>
      <c r="L1038" s="721"/>
      <c r="M1038" s="721"/>
      <c r="N1038" s="719"/>
      <c r="O1038" s="48"/>
      <c r="P1038" s="719"/>
      <c r="Q1038" s="48"/>
      <c r="R1038" s="714" t="str">
        <f>IFERROR(__xludf.DUMMYFUNCTION("""COMPUTED_VALUE"""),"2526VASSALLOSAB13.D")</f>
        <v>2526VASSALLOSAB13.D</v>
      </c>
      <c r="S1038" s="711">
        <f>IFERROR(__xludf.DUMMYFUNCTION("""COMPUTED_VALUE"""),15.0)</f>
        <v>15</v>
      </c>
      <c r="T1038" s="722" t="str">
        <f>IFERROR(__xludf.DUMMYFUNCTION("""COMPUTED_VALUE"""),"2526VASSALLOSAB13.D")</f>
        <v>2526VASSALLOSAB13.D</v>
      </c>
      <c r="U1038" s="721"/>
      <c r="V1038" s="711"/>
      <c r="W1038" s="721"/>
      <c r="X1038" s="721"/>
      <c r="Y1038" s="48"/>
      <c r="Z1038" s="48"/>
      <c r="AA1038" s="48"/>
      <c r="AB1038" s="711"/>
      <c r="AC1038" s="711"/>
      <c r="AD1038" s="711"/>
      <c r="AE1038" s="711"/>
      <c r="AF1038" s="711"/>
      <c r="AG1038" s="711"/>
      <c r="AH1038" s="711"/>
    </row>
    <row r="1039">
      <c r="A1039" s="48"/>
      <c r="B1039" s="48"/>
      <c r="C1039" s="48"/>
      <c r="D1039" s="721"/>
      <c r="E1039" s="711"/>
      <c r="F1039" s="711"/>
      <c r="G1039" s="721"/>
      <c r="H1039" s="721"/>
      <c r="I1039" s="721"/>
      <c r="J1039" s="48"/>
      <c r="K1039" s="721"/>
      <c r="L1039" s="721"/>
      <c r="M1039" s="721"/>
      <c r="N1039" s="719"/>
      <c r="O1039" s="48"/>
      <c r="P1039" s="719"/>
      <c r="Q1039" s="48"/>
      <c r="R1039" s="714" t="str">
        <f>IFERROR(__xludf.DUMMYFUNCTION("""COMPUTED_VALUE"""),"2526DUTTASAB13.D")</f>
        <v>2526DUTTASAB13.D</v>
      </c>
      <c r="S1039" s="711">
        <f>IFERROR(__xludf.DUMMYFUNCTION("""COMPUTED_VALUE"""),24.0)</f>
        <v>24</v>
      </c>
      <c r="T1039" s="722" t="str">
        <f>IFERROR(__xludf.DUMMYFUNCTION("""COMPUTED_VALUE"""),"2526DUTTASAB13.D")</f>
        <v>2526DUTTASAB13.D</v>
      </c>
      <c r="U1039" s="721"/>
      <c r="V1039" s="711"/>
      <c r="W1039" s="721"/>
      <c r="X1039" s="721"/>
      <c r="Y1039" s="48"/>
      <c r="Z1039" s="48"/>
      <c r="AA1039" s="48"/>
      <c r="AB1039" s="711"/>
      <c r="AC1039" s="711"/>
      <c r="AD1039" s="711"/>
      <c r="AE1039" s="711"/>
      <c r="AF1039" s="711"/>
      <c r="AG1039" s="711"/>
      <c r="AH1039" s="711"/>
    </row>
    <row r="1040">
      <c r="A1040" s="48"/>
      <c r="B1040" s="48"/>
      <c r="C1040" s="48"/>
      <c r="D1040" s="721"/>
      <c r="E1040" s="711"/>
      <c r="F1040" s="711"/>
      <c r="G1040" s="721"/>
      <c r="H1040" s="721"/>
      <c r="I1040" s="721"/>
      <c r="J1040" s="48"/>
      <c r="K1040" s="721"/>
      <c r="L1040" s="721"/>
      <c r="M1040" s="721"/>
      <c r="N1040" s="719"/>
      <c r="O1040" s="48"/>
      <c r="P1040" s="719"/>
      <c r="Q1040" s="48"/>
      <c r="R1040" s="711" t="str">
        <f>IFERROR(__xludf.DUMMYFUNCTION("""COMPUTED_VALUE"""),"2526MASSAGGISAB13.Y")</f>
        <v>2526MASSAGGISAB13.Y</v>
      </c>
      <c r="S1040" s="711">
        <f>IFERROR(__xludf.DUMMYFUNCTION("""COMPUTED_VALUE"""),30.0)</f>
        <v>30</v>
      </c>
      <c r="T1040" s="721" t="str">
        <f>IFERROR(__xludf.DUMMYFUNCTION("""COMPUTED_VALUE"""),"2526MASSAGGISAB13.Y")</f>
        <v>2526MASSAGGISAB13.Y</v>
      </c>
      <c r="U1040" s="721"/>
      <c r="V1040" s="711"/>
      <c r="W1040" s="721"/>
      <c r="X1040" s="721"/>
      <c r="Y1040" s="48"/>
      <c r="Z1040" s="48"/>
      <c r="AA1040" s="48"/>
      <c r="AB1040" s="711"/>
      <c r="AC1040" s="711"/>
      <c r="AD1040" s="711"/>
      <c r="AE1040" s="711"/>
      <c r="AF1040" s="711"/>
      <c r="AG1040" s="711"/>
      <c r="AH1040" s="711"/>
    </row>
    <row r="1041">
      <c r="A1041" s="48"/>
      <c r="B1041" s="48"/>
      <c r="C1041" s="48"/>
      <c r="D1041" s="721"/>
      <c r="E1041" s="711"/>
      <c r="F1041" s="711"/>
      <c r="G1041" s="721"/>
      <c r="H1041" s="721"/>
      <c r="I1041" s="721"/>
      <c r="J1041" s="48"/>
      <c r="K1041" s="721"/>
      <c r="L1041" s="721"/>
      <c r="M1041" s="721"/>
      <c r="N1041" s="719"/>
      <c r="O1041" s="48"/>
      <c r="P1041" s="719"/>
      <c r="Q1041" s="48"/>
      <c r="R1041" s="714" t="str">
        <f>IFERROR(__xludf.DUMMYFUNCTION("""COMPUTED_VALUE"""),"2526CRUZSAB13.D")</f>
        <v>2526CRUZSAB13.D</v>
      </c>
      <c r="S1041" s="711">
        <f>IFERROR(__xludf.DUMMYFUNCTION("""COMPUTED_VALUE"""),30.0)</f>
        <v>30</v>
      </c>
      <c r="T1041" s="722" t="str">
        <f>IFERROR(__xludf.DUMMYFUNCTION("""COMPUTED_VALUE"""),"2526CRUZSAB13.D")</f>
        <v>2526CRUZSAB13.D</v>
      </c>
      <c r="U1041" s="721"/>
      <c r="V1041" s="711"/>
      <c r="W1041" s="721"/>
      <c r="X1041" s="721"/>
      <c r="Y1041" s="48"/>
      <c r="Z1041" s="48"/>
      <c r="AA1041" s="48"/>
      <c r="AB1041" s="711"/>
      <c r="AC1041" s="711"/>
      <c r="AD1041" s="711"/>
      <c r="AE1041" s="711"/>
      <c r="AF1041" s="711"/>
      <c r="AG1041" s="711"/>
      <c r="AH1041" s="711"/>
    </row>
    <row r="1042">
      <c r="A1042" s="48"/>
      <c r="B1042" s="48"/>
      <c r="C1042" s="48"/>
      <c r="D1042" s="721"/>
      <c r="E1042" s="711"/>
      <c r="F1042" s="711"/>
      <c r="G1042" s="721"/>
      <c r="H1042" s="721"/>
      <c r="I1042" s="721"/>
      <c r="J1042" s="48"/>
      <c r="K1042" s="721"/>
      <c r="L1042" s="721"/>
      <c r="M1042" s="721"/>
      <c r="N1042" s="719"/>
      <c r="O1042" s="48"/>
      <c r="P1042" s="719"/>
      <c r="Q1042" s="48"/>
      <c r="R1042" s="48"/>
      <c r="S1042" s="711" t="str">
        <f>IFERROR(__xludf.DUMMYFUNCTION("""COMPUTED_VALUE"""),"")</f>
        <v/>
      </c>
      <c r="T1042" s="721"/>
      <c r="U1042" s="721"/>
      <c r="V1042" s="711"/>
      <c r="W1042" s="721"/>
      <c r="X1042" s="721"/>
      <c r="Y1042" s="48"/>
      <c r="Z1042" s="48"/>
      <c r="AA1042" s="48"/>
      <c r="AB1042" s="711"/>
      <c r="AC1042" s="711"/>
      <c r="AD1042" s="711"/>
      <c r="AE1042" s="711"/>
      <c r="AF1042" s="711"/>
      <c r="AG1042" s="711"/>
      <c r="AH1042" s="711"/>
    </row>
    <row r="1043">
      <c r="A1043" s="48"/>
      <c r="B1043" s="48"/>
      <c r="C1043" s="48"/>
      <c r="D1043" s="721"/>
      <c r="E1043" s="711"/>
      <c r="F1043" s="711"/>
      <c r="G1043" s="721"/>
      <c r="H1043" s="721"/>
      <c r="I1043" s="721"/>
      <c r="J1043" s="48"/>
      <c r="K1043" s="721"/>
      <c r="L1043" s="721"/>
      <c r="M1043" s="721"/>
      <c r="N1043" s="719"/>
      <c r="O1043" s="48"/>
      <c r="P1043" s="719"/>
      <c r="Q1043" s="48"/>
      <c r="R1043" s="714" t="str">
        <f>IFERROR(__xludf.DUMMYFUNCTION("""COMPUTED_VALUE"""),"2526DARIENZOSAB13.D")</f>
        <v>2526DARIENZOSAB13.D</v>
      </c>
      <c r="S1043" s="711">
        <f>IFERROR(__xludf.DUMMYFUNCTION("""COMPUTED_VALUE"""),24.0)</f>
        <v>24</v>
      </c>
      <c r="T1043" s="722" t="str">
        <f>IFERROR(__xludf.DUMMYFUNCTION("""COMPUTED_VALUE"""),"2526DARIENZOSAB13.D")</f>
        <v>2526DARIENZOSAB13.D</v>
      </c>
      <c r="U1043" s="721"/>
      <c r="V1043" s="711"/>
      <c r="W1043" s="721"/>
      <c r="X1043" s="721"/>
      <c r="Y1043" s="48"/>
      <c r="Z1043" s="48"/>
      <c r="AA1043" s="48"/>
      <c r="AB1043" s="711"/>
      <c r="AC1043" s="711"/>
      <c r="AD1043" s="711"/>
      <c r="AE1043" s="711"/>
      <c r="AF1043" s="711"/>
      <c r="AG1043" s="711"/>
      <c r="AH1043" s="711"/>
    </row>
    <row r="1044">
      <c r="A1044" s="48"/>
      <c r="B1044" s="48"/>
      <c r="C1044" s="48"/>
      <c r="D1044" s="721"/>
      <c r="E1044" s="711"/>
      <c r="F1044" s="711"/>
      <c r="G1044" s="721"/>
      <c r="H1044" s="721"/>
      <c r="I1044" s="721"/>
      <c r="J1044" s="48"/>
      <c r="K1044" s="721"/>
      <c r="L1044" s="721"/>
      <c r="M1044" s="721"/>
      <c r="N1044" s="719"/>
      <c r="O1044" s="48"/>
      <c r="P1044" s="719"/>
      <c r="Q1044" s="48"/>
      <c r="R1044" s="714" t="str">
        <f>IFERROR(__xludf.DUMMYFUNCTION("""COMPUTED_VALUE"""),"2526PICCIRILLOSAB13.D")</f>
        <v>2526PICCIRILLOSAB13.D</v>
      </c>
      <c r="S1044" s="711">
        <f>IFERROR(__xludf.DUMMYFUNCTION("""COMPUTED_VALUE"""),30.0)</f>
        <v>30</v>
      </c>
      <c r="T1044" s="722" t="str">
        <f>IFERROR(__xludf.DUMMYFUNCTION("""COMPUTED_VALUE"""),"2526PICCIRILLOSAB13.D")</f>
        <v>2526PICCIRILLOSAB13.D</v>
      </c>
      <c r="U1044" s="721"/>
      <c r="V1044" s="711"/>
      <c r="W1044" s="721"/>
      <c r="X1044" s="721"/>
      <c r="Y1044" s="48"/>
      <c r="Z1044" s="48"/>
      <c r="AA1044" s="48"/>
      <c r="AB1044" s="711"/>
      <c r="AC1044" s="711"/>
      <c r="AD1044" s="711"/>
      <c r="AE1044" s="711"/>
      <c r="AF1044" s="711"/>
      <c r="AG1044" s="711"/>
      <c r="AH1044" s="711"/>
    </row>
    <row r="1045">
      <c r="A1045" s="48"/>
      <c r="B1045" s="48"/>
      <c r="C1045" s="48"/>
      <c r="D1045" s="721"/>
      <c r="E1045" s="711"/>
      <c r="F1045" s="711"/>
      <c r="G1045" s="721"/>
      <c r="H1045" s="721"/>
      <c r="I1045" s="721"/>
      <c r="J1045" s="48"/>
      <c r="K1045" s="721"/>
      <c r="L1045" s="721"/>
      <c r="M1045" s="721"/>
      <c r="N1045" s="719"/>
      <c r="O1045" s="48"/>
      <c r="P1045" s="719"/>
      <c r="Q1045" s="48"/>
      <c r="R1045" s="711" t="str">
        <f>IFERROR(__xludf.DUMMYFUNCTION("""COMPUTED_VALUE"""),"2526SEABRASAB13.Y")</f>
        <v>2526SEABRASAB13.Y</v>
      </c>
      <c r="S1045" s="711">
        <f>IFERROR(__xludf.DUMMYFUNCTION("""COMPUTED_VALUE"""),20.0)</f>
        <v>20</v>
      </c>
      <c r="T1045" s="721" t="str">
        <f>IFERROR(__xludf.DUMMYFUNCTION("""COMPUTED_VALUE"""),"2526SEABRASAB13.Y")</f>
        <v>2526SEABRASAB13.Y</v>
      </c>
      <c r="U1045" s="721"/>
      <c r="V1045" s="711"/>
      <c r="W1045" s="721"/>
      <c r="X1045" s="721"/>
      <c r="Y1045" s="48"/>
      <c r="Z1045" s="48"/>
      <c r="AA1045" s="48"/>
      <c r="AB1045" s="711"/>
      <c r="AC1045" s="711"/>
      <c r="AD1045" s="711"/>
      <c r="AE1045" s="711"/>
      <c r="AF1045" s="711"/>
      <c r="AG1045" s="711"/>
      <c r="AH1045" s="711"/>
    </row>
    <row r="1046">
      <c r="A1046" s="48"/>
      <c r="B1046" s="48"/>
      <c r="C1046" s="48"/>
      <c r="D1046" s="721"/>
      <c r="E1046" s="711"/>
      <c r="F1046" s="711"/>
      <c r="G1046" s="721"/>
      <c r="H1046" s="721"/>
      <c r="I1046" s="721"/>
      <c r="J1046" s="48"/>
      <c r="K1046" s="721"/>
      <c r="L1046" s="721"/>
      <c r="M1046" s="721"/>
      <c r="N1046" s="719"/>
      <c r="O1046" s="48"/>
      <c r="P1046" s="719"/>
      <c r="Q1046" s="48"/>
      <c r="R1046" s="714" t="str">
        <f>IFERROR(__xludf.DUMMYFUNCTION("""COMPUTED_VALUE"""),"2526ALMEIDASAB14.F")</f>
        <v>2526ALMEIDASAB14.F</v>
      </c>
      <c r="S1046" s="711">
        <f>IFERROR(__xludf.DUMMYFUNCTION("""COMPUTED_VALUE"""),15.0)</f>
        <v>15</v>
      </c>
      <c r="T1046" s="722" t="str">
        <f>IFERROR(__xludf.DUMMYFUNCTION("""COMPUTED_VALUE"""),"2526ALMEIDASAB14.F")</f>
        <v>2526ALMEIDASAB14.F</v>
      </c>
      <c r="U1046" s="721"/>
      <c r="V1046" s="711"/>
      <c r="W1046" s="721"/>
      <c r="X1046" s="721"/>
      <c r="Y1046" s="48"/>
      <c r="Z1046" s="48"/>
      <c r="AA1046" s="48"/>
      <c r="AB1046" s="711"/>
      <c r="AC1046" s="711"/>
      <c r="AD1046" s="711"/>
      <c r="AE1046" s="711"/>
      <c r="AF1046" s="711"/>
      <c r="AG1046" s="711"/>
      <c r="AH1046" s="711"/>
    </row>
    <row r="1047">
      <c r="A1047" s="48"/>
      <c r="B1047" s="48"/>
      <c r="C1047" s="48"/>
      <c r="D1047" s="721"/>
      <c r="E1047" s="711"/>
      <c r="F1047" s="711"/>
      <c r="G1047" s="721"/>
      <c r="H1047" s="721"/>
      <c r="I1047" s="721"/>
      <c r="J1047" s="48"/>
      <c r="K1047" s="721"/>
      <c r="L1047" s="721"/>
      <c r="M1047" s="721"/>
      <c r="N1047" s="719"/>
      <c r="O1047" s="48"/>
      <c r="P1047" s="719"/>
      <c r="Q1047" s="48"/>
      <c r="R1047" s="48"/>
      <c r="S1047" s="711" t="str">
        <f>IFERROR(__xludf.DUMMYFUNCTION("""COMPUTED_VALUE"""),"")</f>
        <v/>
      </c>
      <c r="T1047" s="721"/>
      <c r="U1047" s="721"/>
      <c r="V1047" s="711"/>
      <c r="W1047" s="721"/>
      <c r="X1047" s="721"/>
      <c r="Y1047" s="48"/>
      <c r="Z1047" s="48"/>
      <c r="AA1047" s="48"/>
      <c r="AB1047" s="711"/>
      <c r="AC1047" s="711"/>
      <c r="AD1047" s="711"/>
      <c r="AE1047" s="711"/>
      <c r="AF1047" s="711"/>
      <c r="AG1047" s="711"/>
      <c r="AH1047" s="711"/>
    </row>
    <row r="1048">
      <c r="A1048" s="48"/>
      <c r="B1048" s="48"/>
      <c r="C1048" s="48"/>
      <c r="D1048" s="721"/>
      <c r="E1048" s="711"/>
      <c r="F1048" s="711"/>
      <c r="G1048" s="721"/>
      <c r="H1048" s="721"/>
      <c r="I1048" s="721"/>
      <c r="J1048" s="48"/>
      <c r="K1048" s="721"/>
      <c r="L1048" s="721"/>
      <c r="M1048" s="721"/>
      <c r="N1048" s="719"/>
      <c r="O1048" s="48"/>
      <c r="P1048" s="719"/>
      <c r="Q1048" s="48"/>
      <c r="R1048" s="48"/>
      <c r="S1048" s="711" t="str">
        <f>IFERROR(__xludf.DUMMYFUNCTION("""COMPUTED_VALUE"""),"")</f>
        <v/>
      </c>
      <c r="T1048" s="721"/>
      <c r="U1048" s="721"/>
      <c r="V1048" s="711"/>
      <c r="W1048" s="721"/>
      <c r="X1048" s="721"/>
      <c r="Y1048" s="48"/>
      <c r="Z1048" s="48"/>
      <c r="AA1048" s="48"/>
      <c r="AB1048" s="711"/>
      <c r="AC1048" s="711"/>
      <c r="AD1048" s="711"/>
      <c r="AE1048" s="711"/>
      <c r="AF1048" s="711"/>
      <c r="AG1048" s="711"/>
      <c r="AH1048" s="711"/>
    </row>
    <row r="1049">
      <c r="A1049" s="48"/>
      <c r="B1049" s="48"/>
      <c r="C1049" s="48"/>
      <c r="D1049" s="721"/>
      <c r="E1049" s="711"/>
      <c r="F1049" s="711"/>
      <c r="G1049" s="721"/>
      <c r="H1049" s="721"/>
      <c r="I1049" s="721"/>
      <c r="J1049" s="48"/>
      <c r="K1049" s="721"/>
      <c r="L1049" s="721"/>
      <c r="M1049" s="721"/>
      <c r="N1049" s="719"/>
      <c r="O1049" s="48"/>
      <c r="P1049" s="719"/>
      <c r="Q1049" s="48"/>
      <c r="R1049" s="714" t="str">
        <f>IFERROR(__xludf.DUMMYFUNCTION("""COMPUTED_VALUE"""),"2526DUTTASAB14.D")</f>
        <v>2526DUTTASAB14.D</v>
      </c>
      <c r="S1049" s="711">
        <f>IFERROR(__xludf.DUMMYFUNCTION("""COMPUTED_VALUE"""),30.0)</f>
        <v>30</v>
      </c>
      <c r="T1049" s="722" t="str">
        <f>IFERROR(__xludf.DUMMYFUNCTION("""COMPUTED_VALUE"""),"2526DUTTASAB14.D")</f>
        <v>2526DUTTASAB14.D</v>
      </c>
      <c r="U1049" s="721"/>
      <c r="V1049" s="711"/>
      <c r="W1049" s="721"/>
      <c r="X1049" s="721"/>
      <c r="Y1049" s="48"/>
      <c r="Z1049" s="48"/>
      <c r="AA1049" s="48"/>
      <c r="AB1049" s="711"/>
      <c r="AC1049" s="711"/>
      <c r="AD1049" s="711"/>
      <c r="AE1049" s="711"/>
      <c r="AF1049" s="711"/>
      <c r="AG1049" s="711"/>
      <c r="AH1049" s="711"/>
    </row>
    <row r="1050">
      <c r="A1050" s="48"/>
      <c r="B1050" s="48"/>
      <c r="C1050" s="48"/>
      <c r="D1050" s="721"/>
      <c r="E1050" s="711"/>
      <c r="F1050" s="711"/>
      <c r="G1050" s="721"/>
      <c r="H1050" s="721"/>
      <c r="I1050" s="721"/>
      <c r="J1050" s="48"/>
      <c r="K1050" s="721"/>
      <c r="L1050" s="721"/>
      <c r="M1050" s="721"/>
      <c r="N1050" s="719"/>
      <c r="O1050" s="48"/>
      <c r="P1050" s="719"/>
      <c r="Q1050" s="48"/>
      <c r="R1050" s="714" t="str">
        <f>IFERROR(__xludf.DUMMYFUNCTION("""COMPUTED_VALUE"""),"2526VASSALLOSAB14.F")</f>
        <v>2526VASSALLOSAB14.F</v>
      </c>
      <c r="S1050" s="711">
        <f>IFERROR(__xludf.DUMMYFUNCTION("""COMPUTED_VALUE"""),15.0)</f>
        <v>15</v>
      </c>
      <c r="T1050" s="722" t="str">
        <f>IFERROR(__xludf.DUMMYFUNCTION("""COMPUTED_VALUE"""),"2526VASSALLOSAB14.F")</f>
        <v>2526VASSALLOSAB14.F</v>
      </c>
      <c r="U1050" s="721"/>
      <c r="V1050" s="711"/>
      <c r="W1050" s="721"/>
      <c r="X1050" s="721"/>
      <c r="Y1050" s="48"/>
      <c r="Z1050" s="48"/>
      <c r="AA1050" s="48"/>
      <c r="AB1050" s="711"/>
      <c r="AC1050" s="711"/>
      <c r="AD1050" s="711"/>
      <c r="AE1050" s="711"/>
      <c r="AF1050" s="711"/>
      <c r="AG1050" s="711"/>
      <c r="AH1050" s="711"/>
    </row>
    <row r="1051">
      <c r="A1051" s="48"/>
      <c r="B1051" s="48"/>
      <c r="C1051" s="48"/>
      <c r="D1051" s="721"/>
      <c r="E1051" s="711"/>
      <c r="F1051" s="711"/>
      <c r="G1051" s="721"/>
      <c r="H1051" s="721"/>
      <c r="I1051" s="721"/>
      <c r="J1051" s="48"/>
      <c r="K1051" s="721"/>
      <c r="L1051" s="721"/>
      <c r="M1051" s="721"/>
      <c r="N1051" s="719"/>
      <c r="O1051" s="48"/>
      <c r="P1051" s="719"/>
      <c r="Q1051" s="48"/>
      <c r="R1051" s="714" t="str">
        <f>IFERROR(__xludf.DUMMYFUNCTION("""COMPUTED_VALUE"""),"2526MAGARROSAB14.D")</f>
        <v>2526MAGARROSAB14.D</v>
      </c>
      <c r="S1051" s="711">
        <f>IFERROR(__xludf.DUMMYFUNCTION("""COMPUTED_VALUE"""),24.0)</f>
        <v>24</v>
      </c>
      <c r="T1051" s="722" t="str">
        <f>IFERROR(__xludf.DUMMYFUNCTION("""COMPUTED_VALUE"""),"2526MAGARROSAB14.D")</f>
        <v>2526MAGARROSAB14.D</v>
      </c>
      <c r="U1051" s="721"/>
      <c r="V1051" s="711"/>
      <c r="W1051" s="721"/>
      <c r="X1051" s="721"/>
      <c r="Y1051" s="48"/>
      <c r="Z1051" s="48"/>
      <c r="AA1051" s="48"/>
      <c r="AB1051" s="711"/>
      <c r="AC1051" s="711"/>
      <c r="AD1051" s="711"/>
      <c r="AE1051" s="711"/>
      <c r="AF1051" s="711"/>
      <c r="AG1051" s="711"/>
      <c r="AH1051" s="711"/>
    </row>
    <row r="1052">
      <c r="A1052" s="48"/>
      <c r="B1052" s="48"/>
      <c r="C1052" s="48"/>
      <c r="D1052" s="721"/>
      <c r="E1052" s="711"/>
      <c r="F1052" s="711"/>
      <c r="G1052" s="721"/>
      <c r="H1052" s="721"/>
      <c r="I1052" s="721"/>
      <c r="J1052" s="48"/>
      <c r="K1052" s="721"/>
      <c r="L1052" s="721"/>
      <c r="M1052" s="721"/>
      <c r="N1052" s="719"/>
      <c r="O1052" s="48"/>
      <c r="P1052" s="719"/>
      <c r="Q1052" s="48"/>
      <c r="R1052" s="711" t="str">
        <f>IFERROR(__xludf.DUMMYFUNCTION("""COMPUTED_VALUE"""),"2526MASSAGGISAB14.Y")</f>
        <v>2526MASSAGGISAB14.Y</v>
      </c>
      <c r="S1052" s="711">
        <f>IFERROR(__xludf.DUMMYFUNCTION("""COMPUTED_VALUE"""),30.0)</f>
        <v>30</v>
      </c>
      <c r="T1052" s="721" t="str">
        <f>IFERROR(__xludf.DUMMYFUNCTION("""COMPUTED_VALUE"""),"2526MASSAGGISAB14.Y")</f>
        <v>2526MASSAGGISAB14.Y</v>
      </c>
      <c r="U1052" s="721"/>
      <c r="V1052" s="711"/>
      <c r="W1052" s="721"/>
      <c r="X1052" s="721"/>
      <c r="Y1052" s="48"/>
      <c r="Z1052" s="48"/>
      <c r="AA1052" s="48"/>
      <c r="AB1052" s="711"/>
      <c r="AC1052" s="711"/>
      <c r="AD1052" s="711"/>
      <c r="AE1052" s="711"/>
      <c r="AF1052" s="711"/>
      <c r="AG1052" s="711"/>
      <c r="AH1052" s="711"/>
    </row>
    <row r="1053">
      <c r="A1053" s="48"/>
      <c r="B1053" s="48"/>
      <c r="C1053" s="48"/>
      <c r="D1053" s="721"/>
      <c r="E1053" s="711"/>
      <c r="F1053" s="711"/>
      <c r="G1053" s="721"/>
      <c r="H1053" s="721"/>
      <c r="I1053" s="721"/>
      <c r="J1053" s="48"/>
      <c r="K1053" s="721"/>
      <c r="L1053" s="721"/>
      <c r="M1053" s="721"/>
      <c r="N1053" s="719"/>
      <c r="O1053" s="48"/>
      <c r="P1053" s="719"/>
      <c r="Q1053" s="48"/>
      <c r="R1053" s="714" t="str">
        <f>IFERROR(__xludf.DUMMYFUNCTION("""COMPUTED_VALUE"""),"2526DARIENZOSAB14.D")</f>
        <v>2526DARIENZOSAB14.D</v>
      </c>
      <c r="S1053" s="711">
        <f>IFERROR(__xludf.DUMMYFUNCTION("""COMPUTED_VALUE"""),50.0)</f>
        <v>50</v>
      </c>
      <c r="T1053" s="722" t="str">
        <f>IFERROR(__xludf.DUMMYFUNCTION("""COMPUTED_VALUE"""),"2526DARIENZOSAB14.D")</f>
        <v>2526DARIENZOSAB14.D</v>
      </c>
      <c r="U1053" s="721"/>
      <c r="V1053" s="711"/>
      <c r="W1053" s="721"/>
      <c r="X1053" s="721"/>
      <c r="Y1053" s="48"/>
      <c r="Z1053" s="48"/>
      <c r="AA1053" s="48"/>
      <c r="AB1053" s="711"/>
      <c r="AC1053" s="711"/>
      <c r="AD1053" s="711"/>
      <c r="AE1053" s="711"/>
      <c r="AF1053" s="711"/>
      <c r="AG1053" s="711"/>
      <c r="AH1053" s="711"/>
    </row>
    <row r="1054">
      <c r="A1054" s="48"/>
      <c r="B1054" s="48"/>
      <c r="C1054" s="48"/>
      <c r="D1054" s="721"/>
      <c r="E1054" s="711"/>
      <c r="F1054" s="711"/>
      <c r="G1054" s="721"/>
      <c r="H1054" s="721"/>
      <c r="I1054" s="721"/>
      <c r="J1054" s="48"/>
      <c r="K1054" s="721"/>
      <c r="L1054" s="721"/>
      <c r="M1054" s="721"/>
      <c r="N1054" s="719"/>
      <c r="O1054" s="48"/>
      <c r="P1054" s="719"/>
      <c r="Q1054" s="48"/>
      <c r="R1054" s="48"/>
      <c r="S1054" s="711" t="str">
        <f>IFERROR(__xludf.DUMMYFUNCTION("""COMPUTED_VALUE"""),"")</f>
        <v/>
      </c>
      <c r="T1054" s="721"/>
      <c r="U1054" s="721"/>
      <c r="V1054" s="711"/>
      <c r="W1054" s="721"/>
      <c r="X1054" s="721"/>
      <c r="Y1054" s="48"/>
      <c r="Z1054" s="48"/>
      <c r="AA1054" s="48"/>
      <c r="AB1054" s="711"/>
      <c r="AC1054" s="711"/>
      <c r="AD1054" s="711"/>
      <c r="AE1054" s="711"/>
      <c r="AF1054" s="711"/>
      <c r="AG1054" s="711"/>
      <c r="AH1054" s="711"/>
    </row>
    <row r="1055">
      <c r="A1055" s="48"/>
      <c r="B1055" s="48"/>
      <c r="C1055" s="48"/>
      <c r="D1055" s="721"/>
      <c r="E1055" s="711"/>
      <c r="F1055" s="711"/>
      <c r="G1055" s="721"/>
      <c r="H1055" s="721"/>
      <c r="I1055" s="721"/>
      <c r="J1055" s="48"/>
      <c r="K1055" s="721"/>
      <c r="L1055" s="721"/>
      <c r="M1055" s="721"/>
      <c r="N1055" s="719"/>
      <c r="O1055" s="48"/>
      <c r="P1055" s="719"/>
      <c r="Q1055" s="48"/>
      <c r="R1055" s="714" t="str">
        <f>IFERROR(__xludf.DUMMYFUNCTION("""COMPUTED_VALUE"""),"2526TODISCOSAB14.C")</f>
        <v>2526TODISCOSAB14.C</v>
      </c>
      <c r="S1055" s="711">
        <f>IFERROR(__xludf.DUMMYFUNCTION("""COMPUTED_VALUE"""),30.0)</f>
        <v>30</v>
      </c>
      <c r="T1055" s="722" t="str">
        <f>IFERROR(__xludf.DUMMYFUNCTION("""COMPUTED_VALUE"""),"2526TODISCOSAB14.C")</f>
        <v>2526TODISCOSAB14.C</v>
      </c>
      <c r="U1055" s="721"/>
      <c r="V1055" s="711"/>
      <c r="W1055" s="721"/>
      <c r="X1055" s="721"/>
      <c r="Y1055" s="48"/>
      <c r="Z1055" s="48"/>
      <c r="AA1055" s="48"/>
      <c r="AB1055" s="711"/>
      <c r="AC1055" s="711"/>
      <c r="AD1055" s="711"/>
      <c r="AE1055" s="711"/>
      <c r="AF1055" s="711"/>
      <c r="AG1055" s="711"/>
      <c r="AH1055" s="711"/>
    </row>
    <row r="1056">
      <c r="A1056" s="48"/>
      <c r="B1056" s="48"/>
      <c r="C1056" s="48"/>
      <c r="D1056" s="721"/>
      <c r="E1056" s="711"/>
      <c r="F1056" s="711"/>
      <c r="G1056" s="721"/>
      <c r="H1056" s="721"/>
      <c r="I1056" s="721"/>
      <c r="J1056" s="48"/>
      <c r="K1056" s="721"/>
      <c r="L1056" s="721"/>
      <c r="M1056" s="721"/>
      <c r="N1056" s="719"/>
      <c r="O1056" s="48"/>
      <c r="P1056" s="719"/>
      <c r="Q1056" s="48"/>
      <c r="R1056" s="714" t="str">
        <f>IFERROR(__xludf.DUMMYFUNCTION("""COMPUTED_VALUE"""),"2526PICCIRILLOSAB14.D")</f>
        <v>2526PICCIRILLOSAB14.D</v>
      </c>
      <c r="S1056" s="711">
        <f>IFERROR(__xludf.DUMMYFUNCTION("""COMPUTED_VALUE"""),30.0)</f>
        <v>30</v>
      </c>
      <c r="T1056" s="722" t="str">
        <f>IFERROR(__xludf.DUMMYFUNCTION("""COMPUTED_VALUE"""),"2526PICCIRILLOSAB14.D")</f>
        <v>2526PICCIRILLOSAB14.D</v>
      </c>
      <c r="U1056" s="721"/>
      <c r="V1056" s="711"/>
      <c r="W1056" s="721"/>
      <c r="X1056" s="721"/>
      <c r="Y1056" s="48"/>
      <c r="Z1056" s="48"/>
      <c r="AA1056" s="48"/>
      <c r="AB1056" s="711"/>
      <c r="AC1056" s="711"/>
      <c r="AD1056" s="711"/>
      <c r="AE1056" s="711"/>
      <c r="AF1056" s="711"/>
      <c r="AG1056" s="711"/>
      <c r="AH1056" s="711"/>
    </row>
    <row r="1057">
      <c r="A1057" s="48"/>
      <c r="B1057" s="48"/>
      <c r="C1057" s="48"/>
      <c r="D1057" s="721"/>
      <c r="E1057" s="711"/>
      <c r="F1057" s="711"/>
      <c r="G1057" s="721"/>
      <c r="H1057" s="721"/>
      <c r="I1057" s="721"/>
      <c r="J1057" s="48"/>
      <c r="K1057" s="721"/>
      <c r="L1057" s="721"/>
      <c r="M1057" s="721"/>
      <c r="N1057" s="719"/>
      <c r="O1057" s="48"/>
      <c r="P1057" s="719"/>
      <c r="Q1057" s="48"/>
      <c r="R1057" s="711" t="str">
        <f>IFERROR(__xludf.DUMMYFUNCTION("""COMPUTED_VALUE"""),"2526SEABRASAB14.Y")</f>
        <v>2526SEABRASAB14.Y</v>
      </c>
      <c r="S1057" s="711">
        <f>IFERROR(__xludf.DUMMYFUNCTION("""COMPUTED_VALUE"""),20.0)</f>
        <v>20</v>
      </c>
      <c r="T1057" s="721" t="str">
        <f>IFERROR(__xludf.DUMMYFUNCTION("""COMPUTED_VALUE"""),"2526SEABRASAB14.Y")</f>
        <v>2526SEABRASAB14.Y</v>
      </c>
      <c r="U1057" s="721"/>
      <c r="V1057" s="711"/>
      <c r="W1057" s="721"/>
      <c r="X1057" s="721"/>
      <c r="Y1057" s="48"/>
      <c r="Z1057" s="48"/>
      <c r="AA1057" s="48"/>
      <c r="AB1057" s="711"/>
      <c r="AC1057" s="711"/>
      <c r="AD1057" s="711"/>
      <c r="AE1057" s="711"/>
      <c r="AF1057" s="711"/>
      <c r="AG1057" s="711"/>
      <c r="AH1057" s="711"/>
    </row>
    <row r="1058">
      <c r="A1058" s="48"/>
      <c r="B1058" s="48"/>
      <c r="C1058" s="48"/>
      <c r="D1058" s="721"/>
      <c r="E1058" s="711"/>
      <c r="F1058" s="711"/>
      <c r="G1058" s="721"/>
      <c r="H1058" s="721"/>
      <c r="I1058" s="721"/>
      <c r="J1058" s="48"/>
      <c r="K1058" s="721"/>
      <c r="L1058" s="721"/>
      <c r="M1058" s="721"/>
      <c r="N1058" s="719"/>
      <c r="O1058" s="48"/>
      <c r="P1058" s="719"/>
      <c r="Q1058" s="48"/>
      <c r="R1058" s="48"/>
      <c r="S1058" s="711" t="str">
        <f>IFERROR(__xludf.DUMMYFUNCTION("""COMPUTED_VALUE"""),"")</f>
        <v/>
      </c>
      <c r="T1058" s="721"/>
      <c r="U1058" s="721"/>
      <c r="V1058" s="711"/>
      <c r="W1058" s="721"/>
      <c r="X1058" s="721"/>
      <c r="Y1058" s="48"/>
      <c r="Z1058" s="48"/>
      <c r="AA1058" s="48"/>
      <c r="AB1058" s="711"/>
      <c r="AC1058" s="711"/>
      <c r="AD1058" s="711"/>
      <c r="AE1058" s="711"/>
      <c r="AF1058" s="711"/>
      <c r="AG1058" s="711"/>
      <c r="AH1058" s="711"/>
    </row>
    <row r="1059">
      <c r="A1059" s="48"/>
      <c r="B1059" s="48"/>
      <c r="C1059" s="48"/>
      <c r="D1059" s="721"/>
      <c r="E1059" s="711"/>
      <c r="F1059" s="711"/>
      <c r="G1059" s="721"/>
      <c r="H1059" s="721"/>
      <c r="I1059" s="721"/>
      <c r="J1059" s="48"/>
      <c r="K1059" s="721"/>
      <c r="L1059" s="721"/>
      <c r="M1059" s="721"/>
      <c r="N1059" s="719"/>
      <c r="O1059" s="48"/>
      <c r="P1059" s="719"/>
      <c r="Q1059" s="48"/>
      <c r="R1059" s="48"/>
      <c r="S1059" s="711" t="str">
        <f>IFERROR(__xludf.DUMMYFUNCTION("""COMPUTED_VALUE"""),"")</f>
        <v/>
      </c>
      <c r="T1059" s="721"/>
      <c r="U1059" s="721"/>
      <c r="V1059" s="711"/>
      <c r="W1059" s="721"/>
      <c r="X1059" s="721"/>
      <c r="Y1059" s="48"/>
      <c r="Z1059" s="48"/>
      <c r="AA1059" s="48"/>
      <c r="AB1059" s="711"/>
      <c r="AC1059" s="711"/>
      <c r="AD1059" s="711"/>
      <c r="AE1059" s="711"/>
      <c r="AF1059" s="711"/>
      <c r="AG1059" s="711"/>
      <c r="AH1059" s="711"/>
    </row>
    <row r="1060">
      <c r="A1060" s="48"/>
      <c r="B1060" s="48"/>
      <c r="C1060" s="48"/>
      <c r="D1060" s="721"/>
      <c r="E1060" s="711"/>
      <c r="F1060" s="711"/>
      <c r="G1060" s="721"/>
      <c r="H1060" s="721"/>
      <c r="I1060" s="721"/>
      <c r="J1060" s="48"/>
      <c r="K1060" s="721"/>
      <c r="L1060" s="721"/>
      <c r="M1060" s="721"/>
      <c r="N1060" s="719"/>
      <c r="O1060" s="48"/>
      <c r="P1060" s="719"/>
      <c r="Q1060" s="48"/>
      <c r="R1060" s="48"/>
      <c r="S1060" s="711" t="str">
        <f>IFERROR(__xludf.DUMMYFUNCTION("""COMPUTED_VALUE"""),"")</f>
        <v/>
      </c>
      <c r="T1060" s="721"/>
      <c r="U1060" s="721"/>
      <c r="V1060" s="711"/>
      <c r="W1060" s="721"/>
      <c r="X1060" s="721"/>
      <c r="Y1060" s="48"/>
      <c r="Z1060" s="48"/>
      <c r="AA1060" s="48"/>
      <c r="AB1060" s="711"/>
      <c r="AC1060" s="711"/>
      <c r="AD1060" s="711"/>
      <c r="AE1060" s="711"/>
      <c r="AF1060" s="711"/>
      <c r="AG1060" s="711"/>
      <c r="AH1060" s="711"/>
    </row>
    <row r="1061">
      <c r="A1061" s="48"/>
      <c r="B1061" s="48"/>
      <c r="C1061" s="48"/>
      <c r="D1061" s="721"/>
      <c r="E1061" s="711"/>
      <c r="F1061" s="711"/>
      <c r="G1061" s="721"/>
      <c r="H1061" s="721"/>
      <c r="I1061" s="721"/>
      <c r="J1061" s="48"/>
      <c r="K1061" s="721"/>
      <c r="L1061" s="721"/>
      <c r="M1061" s="721"/>
      <c r="N1061" s="719"/>
      <c r="O1061" s="48"/>
      <c r="P1061" s="719"/>
      <c r="Q1061" s="48"/>
      <c r="R1061" s="714" t="str">
        <f>IFERROR(__xludf.DUMMYFUNCTION("""COMPUTED_VALUE"""),"2526DUTTASAB15.D")</f>
        <v>2526DUTTASAB15.D</v>
      </c>
      <c r="S1061" s="711">
        <f>IFERROR(__xludf.DUMMYFUNCTION("""COMPUTED_VALUE"""),30.0)</f>
        <v>30</v>
      </c>
      <c r="T1061" s="722" t="str">
        <f>IFERROR(__xludf.DUMMYFUNCTION("""COMPUTED_VALUE"""),"2526DUTTASAB15.D")</f>
        <v>2526DUTTASAB15.D</v>
      </c>
      <c r="U1061" s="721"/>
      <c r="V1061" s="711"/>
      <c r="W1061" s="721"/>
      <c r="X1061" s="721"/>
      <c r="Y1061" s="48"/>
      <c r="Z1061" s="48"/>
      <c r="AA1061" s="48"/>
      <c r="AB1061" s="711"/>
      <c r="AC1061" s="711"/>
      <c r="AD1061" s="711"/>
      <c r="AE1061" s="711"/>
      <c r="AF1061" s="711"/>
      <c r="AG1061" s="711"/>
      <c r="AH1061" s="711"/>
    </row>
    <row r="1062">
      <c r="A1062" s="48"/>
      <c r="B1062" s="48"/>
      <c r="C1062" s="48"/>
      <c r="D1062" s="721"/>
      <c r="E1062" s="711"/>
      <c r="F1062" s="711"/>
      <c r="G1062" s="721"/>
      <c r="H1062" s="721"/>
      <c r="I1062" s="721"/>
      <c r="J1062" s="48"/>
      <c r="K1062" s="721"/>
      <c r="L1062" s="721"/>
      <c r="M1062" s="721"/>
      <c r="N1062" s="719"/>
      <c r="O1062" s="48"/>
      <c r="P1062" s="719"/>
      <c r="Q1062" s="48"/>
      <c r="R1062" s="714" t="str">
        <f>IFERROR(__xludf.DUMMYFUNCTION("""COMPUTED_VALUE"""),"2526FRANZINISAB15.F")</f>
        <v>2526FRANZINISAB15.F</v>
      </c>
      <c r="S1062" s="711">
        <f>IFERROR(__xludf.DUMMYFUNCTION("""COMPUTED_VALUE"""),26.0)</f>
        <v>26</v>
      </c>
      <c r="T1062" s="722" t="str">
        <f>IFERROR(__xludf.DUMMYFUNCTION("""COMPUTED_VALUE"""),"2526FRANZINISAB15.F")</f>
        <v>2526FRANZINISAB15.F</v>
      </c>
      <c r="U1062" s="721"/>
      <c r="V1062" s="711"/>
      <c r="W1062" s="721"/>
      <c r="X1062" s="721"/>
      <c r="Y1062" s="48"/>
      <c r="Z1062" s="48"/>
      <c r="AA1062" s="48"/>
      <c r="AB1062" s="711"/>
      <c r="AC1062" s="711"/>
      <c r="AD1062" s="711"/>
      <c r="AE1062" s="711"/>
      <c r="AF1062" s="711"/>
      <c r="AG1062" s="711"/>
      <c r="AH1062" s="711"/>
    </row>
    <row r="1063">
      <c r="A1063" s="48"/>
      <c r="B1063" s="48"/>
      <c r="C1063" s="48"/>
      <c r="D1063" s="721"/>
      <c r="E1063" s="711"/>
      <c r="F1063" s="711"/>
      <c r="G1063" s="721"/>
      <c r="H1063" s="721"/>
      <c r="I1063" s="721"/>
      <c r="J1063" s="48"/>
      <c r="K1063" s="721"/>
      <c r="L1063" s="721"/>
      <c r="M1063" s="721"/>
      <c r="N1063" s="719"/>
      <c r="O1063" s="48"/>
      <c r="P1063" s="719"/>
      <c r="Q1063" s="48"/>
      <c r="R1063" s="714" t="str">
        <f>IFERROR(__xludf.DUMMYFUNCTION("""COMPUTED_VALUE"""),"2526MAGARROSAB15.D")</f>
        <v>2526MAGARROSAB15.D</v>
      </c>
      <c r="S1063" s="711">
        <f>IFERROR(__xludf.DUMMYFUNCTION("""COMPUTED_VALUE"""),24.0)</f>
        <v>24</v>
      </c>
      <c r="T1063" s="722" t="str">
        <f>IFERROR(__xludf.DUMMYFUNCTION("""COMPUTED_VALUE"""),"2526MAGARROSAB15.D")</f>
        <v>2526MAGARROSAB15.D</v>
      </c>
      <c r="U1063" s="721"/>
      <c r="V1063" s="711"/>
      <c r="W1063" s="721"/>
      <c r="X1063" s="721"/>
      <c r="Y1063" s="48"/>
      <c r="Z1063" s="48"/>
      <c r="AA1063" s="48"/>
      <c r="AB1063" s="711"/>
      <c r="AC1063" s="711"/>
      <c r="AD1063" s="711"/>
      <c r="AE1063" s="711"/>
      <c r="AF1063" s="711"/>
      <c r="AG1063" s="711"/>
      <c r="AH1063" s="711"/>
    </row>
    <row r="1064">
      <c r="A1064" s="48"/>
      <c r="B1064" s="48"/>
      <c r="C1064" s="48"/>
      <c r="D1064" s="721"/>
      <c r="E1064" s="711"/>
      <c r="F1064" s="711"/>
      <c r="G1064" s="721"/>
      <c r="H1064" s="721"/>
      <c r="I1064" s="721"/>
      <c r="J1064" s="48"/>
      <c r="K1064" s="721"/>
      <c r="L1064" s="721"/>
      <c r="M1064" s="721"/>
      <c r="N1064" s="719"/>
      <c r="O1064" s="48"/>
      <c r="P1064" s="719"/>
      <c r="Q1064" s="48"/>
      <c r="R1064" s="711" t="str">
        <f>IFERROR(__xludf.DUMMYFUNCTION("""COMPUTED_VALUE"""),"2526MASSAGGISAB15.Y")</f>
        <v>2526MASSAGGISAB15.Y</v>
      </c>
      <c r="S1064" s="711">
        <f>IFERROR(__xludf.DUMMYFUNCTION("""COMPUTED_VALUE"""),30.0)</f>
        <v>30</v>
      </c>
      <c r="T1064" s="721" t="str">
        <f>IFERROR(__xludf.DUMMYFUNCTION("""COMPUTED_VALUE"""),"2526MASSAGGISAB15.Y")</f>
        <v>2526MASSAGGISAB15.Y</v>
      </c>
      <c r="U1064" s="721"/>
      <c r="V1064" s="711"/>
      <c r="W1064" s="721"/>
      <c r="X1064" s="721"/>
      <c r="Y1064" s="48"/>
      <c r="Z1064" s="48"/>
      <c r="AA1064" s="48"/>
      <c r="AB1064" s="711"/>
      <c r="AC1064" s="711"/>
      <c r="AD1064" s="711"/>
      <c r="AE1064" s="711"/>
      <c r="AF1064" s="711"/>
      <c r="AG1064" s="711"/>
      <c r="AH1064" s="711"/>
    </row>
    <row r="1065">
      <c r="A1065" s="48"/>
      <c r="B1065" s="48"/>
      <c r="C1065" s="48"/>
      <c r="D1065" s="721"/>
      <c r="E1065" s="711"/>
      <c r="F1065" s="711"/>
      <c r="G1065" s="721"/>
      <c r="H1065" s="721"/>
      <c r="I1065" s="721"/>
      <c r="J1065" s="48"/>
      <c r="K1065" s="721"/>
      <c r="L1065" s="721"/>
      <c r="M1065" s="721"/>
      <c r="N1065" s="719"/>
      <c r="O1065" s="48"/>
      <c r="P1065" s="719"/>
      <c r="Q1065" s="48"/>
      <c r="R1065" s="714" t="str">
        <f>IFERROR(__xludf.DUMMYFUNCTION("""COMPUTED_VALUE"""),"2526ROSSISAB15.C")</f>
        <v>2526ROSSISAB15.C</v>
      </c>
      <c r="S1065" s="711">
        <f>IFERROR(__xludf.DUMMYFUNCTION("""COMPUTED_VALUE"""),40.0)</f>
        <v>40</v>
      </c>
      <c r="T1065" s="722" t="str">
        <f>IFERROR(__xludf.DUMMYFUNCTION("""COMPUTED_VALUE"""),"2526ROSSISAB15.C")</f>
        <v>2526ROSSISAB15.C</v>
      </c>
      <c r="U1065" s="721"/>
      <c r="V1065" s="711"/>
      <c r="W1065" s="721"/>
      <c r="X1065" s="721"/>
      <c r="Y1065" s="48"/>
      <c r="Z1065" s="48"/>
      <c r="AA1065" s="48"/>
      <c r="AB1065" s="711"/>
      <c r="AC1065" s="711"/>
      <c r="AD1065" s="711"/>
      <c r="AE1065" s="711"/>
      <c r="AF1065" s="711"/>
      <c r="AG1065" s="711"/>
      <c r="AH1065" s="711"/>
    </row>
    <row r="1066">
      <c r="A1066" s="48"/>
      <c r="B1066" s="48"/>
      <c r="C1066" s="48"/>
      <c r="D1066" s="721"/>
      <c r="E1066" s="711"/>
      <c r="F1066" s="711"/>
      <c r="G1066" s="721"/>
      <c r="H1066" s="721"/>
      <c r="I1066" s="721"/>
      <c r="J1066" s="48"/>
      <c r="K1066" s="721"/>
      <c r="L1066" s="721"/>
      <c r="M1066" s="721"/>
      <c r="N1066" s="719"/>
      <c r="O1066" s="48"/>
      <c r="P1066" s="719"/>
      <c r="Q1066" s="48"/>
      <c r="R1066" s="48"/>
      <c r="S1066" s="711" t="str">
        <f>IFERROR(__xludf.DUMMYFUNCTION("""COMPUTED_VALUE"""),"")</f>
        <v/>
      </c>
      <c r="T1066" s="721"/>
      <c r="U1066" s="721"/>
      <c r="V1066" s="711"/>
      <c r="W1066" s="721"/>
      <c r="X1066" s="721"/>
      <c r="Y1066" s="48"/>
      <c r="Z1066" s="48"/>
      <c r="AA1066" s="48"/>
      <c r="AB1066" s="711"/>
      <c r="AC1066" s="711"/>
      <c r="AD1066" s="711"/>
      <c r="AE1066" s="711"/>
      <c r="AF1066" s="711"/>
      <c r="AG1066" s="711"/>
      <c r="AH1066" s="711"/>
    </row>
    <row r="1067">
      <c r="A1067" s="48"/>
      <c r="B1067" s="48"/>
      <c r="C1067" s="48"/>
      <c r="D1067" s="721"/>
      <c r="E1067" s="711"/>
      <c r="F1067" s="711"/>
      <c r="G1067" s="721"/>
      <c r="H1067" s="721"/>
      <c r="I1067" s="721"/>
      <c r="J1067" s="48"/>
      <c r="K1067" s="721"/>
      <c r="L1067" s="721"/>
      <c r="M1067" s="721"/>
      <c r="N1067" s="719"/>
      <c r="O1067" s="48"/>
      <c r="P1067" s="719"/>
      <c r="Q1067" s="48"/>
      <c r="R1067" s="714" t="str">
        <f>IFERROR(__xludf.DUMMYFUNCTION("""COMPUTED_VALUE"""),"2526DARIENZOSAB15.D")</f>
        <v>2526DARIENZOSAB15.D</v>
      </c>
      <c r="S1067" s="711">
        <f>IFERROR(__xludf.DUMMYFUNCTION("""COMPUTED_VALUE"""),30.0)</f>
        <v>30</v>
      </c>
      <c r="T1067" s="722" t="str">
        <f>IFERROR(__xludf.DUMMYFUNCTION("""COMPUTED_VALUE"""),"2526DARIENZOSAB15.D")</f>
        <v>2526DARIENZOSAB15.D</v>
      </c>
      <c r="U1067" s="721"/>
      <c r="V1067" s="711"/>
      <c r="W1067" s="721"/>
      <c r="X1067" s="721"/>
      <c r="Y1067" s="48"/>
      <c r="Z1067" s="48"/>
      <c r="AA1067" s="48"/>
      <c r="AB1067" s="711"/>
      <c r="AC1067" s="711"/>
      <c r="AD1067" s="711"/>
      <c r="AE1067" s="711"/>
      <c r="AF1067" s="711"/>
      <c r="AG1067" s="711"/>
      <c r="AH1067" s="711"/>
    </row>
    <row r="1068">
      <c r="A1068" s="48"/>
      <c r="B1068" s="48"/>
      <c r="C1068" s="48"/>
      <c r="D1068" s="721"/>
      <c r="E1068" s="711"/>
      <c r="F1068" s="711"/>
      <c r="G1068" s="721"/>
      <c r="H1068" s="721"/>
      <c r="I1068" s="721"/>
      <c r="J1068" s="48"/>
      <c r="K1068" s="721"/>
      <c r="L1068" s="721"/>
      <c r="M1068" s="721"/>
      <c r="N1068" s="719"/>
      <c r="O1068" s="48"/>
      <c r="P1068" s="719"/>
      <c r="Q1068" s="48"/>
      <c r="R1068" s="714" t="str">
        <f>IFERROR(__xludf.DUMMYFUNCTION("""COMPUTED_VALUE"""),"2526PICCIRILLOSAB15.D")</f>
        <v>2526PICCIRILLOSAB15.D</v>
      </c>
      <c r="S1068" s="711">
        <f>IFERROR(__xludf.DUMMYFUNCTION("""COMPUTED_VALUE"""),30.0)</f>
        <v>30</v>
      </c>
      <c r="T1068" s="722" t="str">
        <f>IFERROR(__xludf.DUMMYFUNCTION("""COMPUTED_VALUE"""),"2526PICCIRILLOSAB15.D")</f>
        <v>2526PICCIRILLOSAB15.D</v>
      </c>
      <c r="U1068" s="721"/>
      <c r="V1068" s="711"/>
      <c r="W1068" s="721"/>
      <c r="X1068" s="721"/>
      <c r="Y1068" s="48"/>
      <c r="Z1068" s="48"/>
      <c r="AA1068" s="48"/>
      <c r="AB1068" s="711"/>
      <c r="AC1068" s="711"/>
      <c r="AD1068" s="711"/>
      <c r="AE1068" s="711"/>
      <c r="AF1068" s="711"/>
      <c r="AG1068" s="711"/>
      <c r="AH1068" s="711"/>
    </row>
    <row r="1069">
      <c r="A1069" s="48"/>
      <c r="B1069" s="48"/>
      <c r="C1069" s="48"/>
      <c r="D1069" s="721"/>
      <c r="E1069" s="711"/>
      <c r="F1069" s="711"/>
      <c r="G1069" s="721"/>
      <c r="H1069" s="721"/>
      <c r="I1069" s="721"/>
      <c r="J1069" s="48"/>
      <c r="K1069" s="721"/>
      <c r="L1069" s="721"/>
      <c r="M1069" s="721"/>
      <c r="N1069" s="719"/>
      <c r="O1069" s="48"/>
      <c r="P1069" s="719"/>
      <c r="Q1069" s="48"/>
      <c r="R1069" s="711" t="str">
        <f>IFERROR(__xludf.DUMMYFUNCTION("""COMPUTED_VALUE"""),"2526SEABRASAB15.Y")</f>
        <v>2526SEABRASAB15.Y</v>
      </c>
      <c r="S1069" s="711">
        <f>IFERROR(__xludf.DUMMYFUNCTION("""COMPUTED_VALUE"""),20.0)</f>
        <v>20</v>
      </c>
      <c r="T1069" s="721" t="str">
        <f>IFERROR(__xludf.DUMMYFUNCTION("""COMPUTED_VALUE"""),"2526SEABRASAB15.Y")</f>
        <v>2526SEABRASAB15.Y</v>
      </c>
      <c r="U1069" s="721"/>
      <c r="V1069" s="711"/>
      <c r="W1069" s="721"/>
      <c r="X1069" s="721"/>
      <c r="Y1069" s="48"/>
      <c r="Z1069" s="48"/>
      <c r="AA1069" s="48"/>
      <c r="AB1069" s="711"/>
      <c r="AC1069" s="711"/>
      <c r="AD1069" s="711"/>
      <c r="AE1069" s="711"/>
      <c r="AF1069" s="711"/>
      <c r="AG1069" s="711"/>
      <c r="AH1069" s="711"/>
    </row>
    <row r="1070">
      <c r="A1070" s="48"/>
      <c r="B1070" s="48"/>
      <c r="C1070" s="48"/>
      <c r="D1070" s="721"/>
      <c r="E1070" s="711"/>
      <c r="F1070" s="711"/>
      <c r="G1070" s="721"/>
      <c r="H1070" s="721"/>
      <c r="I1070" s="721"/>
      <c r="J1070" s="48"/>
      <c r="K1070" s="721"/>
      <c r="L1070" s="721"/>
      <c r="M1070" s="721"/>
      <c r="N1070" s="719"/>
      <c r="O1070" s="48"/>
      <c r="P1070" s="719"/>
      <c r="Q1070" s="48"/>
      <c r="R1070" s="48"/>
      <c r="S1070" s="711" t="str">
        <f>IFERROR(__xludf.DUMMYFUNCTION("""COMPUTED_VALUE"""),"")</f>
        <v/>
      </c>
      <c r="T1070" s="721"/>
      <c r="U1070" s="721"/>
      <c r="V1070" s="711"/>
      <c r="W1070" s="721"/>
      <c r="X1070" s="721"/>
      <c r="Y1070" s="48"/>
      <c r="Z1070" s="48"/>
      <c r="AA1070" s="48"/>
      <c r="AB1070" s="711"/>
      <c r="AC1070" s="711"/>
      <c r="AD1070" s="711"/>
      <c r="AE1070" s="711"/>
      <c r="AF1070" s="711"/>
      <c r="AG1070" s="711"/>
      <c r="AH1070" s="711"/>
    </row>
    <row r="1071">
      <c r="A1071" s="48"/>
      <c r="B1071" s="48"/>
      <c r="C1071" s="48"/>
      <c r="D1071" s="721"/>
      <c r="E1071" s="711"/>
      <c r="F1071" s="711"/>
      <c r="G1071" s="721"/>
      <c r="H1071" s="721"/>
      <c r="I1071" s="721"/>
      <c r="J1071" s="48"/>
      <c r="K1071" s="721"/>
      <c r="L1071" s="721"/>
      <c r="M1071" s="721"/>
      <c r="N1071" s="719"/>
      <c r="O1071" s="48"/>
      <c r="P1071" s="719"/>
      <c r="Q1071" s="48"/>
      <c r="R1071" s="48"/>
      <c r="S1071" s="711" t="str">
        <f>IFERROR(__xludf.DUMMYFUNCTION("""COMPUTED_VALUE"""),"")</f>
        <v/>
      </c>
      <c r="T1071" s="721"/>
      <c r="U1071" s="721"/>
      <c r="V1071" s="711"/>
      <c r="W1071" s="721"/>
      <c r="X1071" s="721"/>
      <c r="Y1071" s="48"/>
      <c r="Z1071" s="48"/>
      <c r="AA1071" s="48"/>
      <c r="AB1071" s="711"/>
      <c r="AC1071" s="711"/>
      <c r="AD1071" s="711"/>
      <c r="AE1071" s="711"/>
      <c r="AF1071" s="711"/>
      <c r="AG1071" s="711"/>
      <c r="AH1071" s="711"/>
    </row>
    <row r="1072">
      <c r="A1072" s="48"/>
      <c r="B1072" s="48"/>
      <c r="C1072" s="48"/>
      <c r="D1072" s="721"/>
      <c r="E1072" s="711"/>
      <c r="F1072" s="711"/>
      <c r="G1072" s="721"/>
      <c r="H1072" s="721"/>
      <c r="I1072" s="721"/>
      <c r="J1072" s="48"/>
      <c r="K1072" s="721"/>
      <c r="L1072" s="721"/>
      <c r="M1072" s="721"/>
      <c r="N1072" s="719"/>
      <c r="O1072" s="48"/>
      <c r="P1072" s="719"/>
      <c r="Q1072" s="48"/>
      <c r="R1072" s="48"/>
      <c r="S1072" s="711" t="str">
        <f>IFERROR(__xludf.DUMMYFUNCTION("""COMPUTED_VALUE"""),"")</f>
        <v/>
      </c>
      <c r="T1072" s="721"/>
      <c r="U1072" s="721"/>
      <c r="V1072" s="711"/>
      <c r="W1072" s="721"/>
      <c r="X1072" s="721"/>
      <c r="Y1072" s="48"/>
      <c r="Z1072" s="48"/>
      <c r="AA1072" s="48"/>
      <c r="AB1072" s="711"/>
      <c r="AC1072" s="711"/>
      <c r="AD1072" s="711"/>
      <c r="AE1072" s="711"/>
      <c r="AF1072" s="711"/>
      <c r="AG1072" s="711"/>
      <c r="AH1072" s="711"/>
    </row>
    <row r="1073">
      <c r="A1073" s="48"/>
      <c r="B1073" s="48"/>
      <c r="C1073" s="48"/>
      <c r="D1073" s="721"/>
      <c r="E1073" s="711"/>
      <c r="F1073" s="711"/>
      <c r="G1073" s="721"/>
      <c r="H1073" s="721"/>
      <c r="I1073" s="721"/>
      <c r="J1073" s="48"/>
      <c r="K1073" s="721"/>
      <c r="L1073" s="721"/>
      <c r="M1073" s="721"/>
      <c r="N1073" s="719"/>
      <c r="O1073" s="48"/>
      <c r="P1073" s="719"/>
      <c r="Q1073" s="48"/>
      <c r="R1073" s="714" t="str">
        <f>IFERROR(__xludf.DUMMYFUNCTION("""COMPUTED_VALUE"""),"2526DUTTASAB16.D")</f>
        <v>2526DUTTASAB16.D</v>
      </c>
      <c r="S1073" s="711">
        <f>IFERROR(__xludf.DUMMYFUNCTION("""COMPUTED_VALUE"""),30.0)</f>
        <v>30</v>
      </c>
      <c r="T1073" s="722" t="str">
        <f>IFERROR(__xludf.DUMMYFUNCTION("""COMPUTED_VALUE"""),"2526DUTTASAB16.D")</f>
        <v>2526DUTTASAB16.D</v>
      </c>
      <c r="U1073" s="721"/>
      <c r="V1073" s="711"/>
      <c r="W1073" s="721"/>
      <c r="X1073" s="721"/>
      <c r="Y1073" s="48"/>
      <c r="Z1073" s="48"/>
      <c r="AA1073" s="48"/>
      <c r="AB1073" s="711"/>
      <c r="AC1073" s="711"/>
      <c r="AD1073" s="711"/>
      <c r="AE1073" s="711"/>
      <c r="AF1073" s="711"/>
      <c r="AG1073" s="711"/>
      <c r="AH1073" s="711"/>
    </row>
    <row r="1074">
      <c r="A1074" s="48"/>
      <c r="B1074" s="48"/>
      <c r="C1074" s="48"/>
      <c r="D1074" s="721"/>
      <c r="E1074" s="711"/>
      <c r="F1074" s="711"/>
      <c r="G1074" s="721"/>
      <c r="H1074" s="721"/>
      <c r="I1074" s="721"/>
      <c r="J1074" s="48"/>
      <c r="K1074" s="721"/>
      <c r="L1074" s="721"/>
      <c r="M1074" s="721"/>
      <c r="N1074" s="719"/>
      <c r="O1074" s="48"/>
      <c r="P1074" s="719"/>
      <c r="Q1074" s="48"/>
      <c r="R1074" s="714" t="str">
        <f>IFERROR(__xludf.DUMMYFUNCTION("""COMPUTED_VALUE"""),"2526FRANZINISAB16.D")</f>
        <v>2526FRANZINISAB16.D</v>
      </c>
      <c r="S1074" s="711">
        <f>IFERROR(__xludf.DUMMYFUNCTION("""COMPUTED_VALUE"""),26.0)</f>
        <v>26</v>
      </c>
      <c r="T1074" s="722" t="str">
        <f>IFERROR(__xludf.DUMMYFUNCTION("""COMPUTED_VALUE"""),"2526FRANZINISAB16.D")</f>
        <v>2526FRANZINISAB16.D</v>
      </c>
      <c r="U1074" s="721"/>
      <c r="V1074" s="711"/>
      <c r="W1074" s="721"/>
      <c r="X1074" s="721"/>
      <c r="Y1074" s="48"/>
      <c r="Z1074" s="48"/>
      <c r="AA1074" s="48"/>
      <c r="AB1074" s="711"/>
      <c r="AC1074" s="711"/>
      <c r="AD1074" s="711"/>
      <c r="AE1074" s="711"/>
      <c r="AF1074" s="711"/>
      <c r="AG1074" s="711"/>
      <c r="AH1074" s="711"/>
    </row>
    <row r="1075">
      <c r="A1075" s="48"/>
      <c r="B1075" s="48"/>
      <c r="C1075" s="48"/>
      <c r="D1075" s="721"/>
      <c r="E1075" s="711"/>
      <c r="F1075" s="711"/>
      <c r="G1075" s="721"/>
      <c r="H1075" s="721"/>
      <c r="I1075" s="721"/>
      <c r="J1075" s="48"/>
      <c r="K1075" s="721"/>
      <c r="L1075" s="721"/>
      <c r="M1075" s="721"/>
      <c r="N1075" s="719"/>
      <c r="O1075" s="48"/>
      <c r="P1075" s="719"/>
      <c r="Q1075" s="48"/>
      <c r="R1075" s="48"/>
      <c r="S1075" s="711" t="str">
        <f>IFERROR(__xludf.DUMMYFUNCTION("""COMPUTED_VALUE"""),"")</f>
        <v/>
      </c>
      <c r="T1075" s="721"/>
      <c r="U1075" s="721"/>
      <c r="V1075" s="711"/>
      <c r="W1075" s="721"/>
      <c r="X1075" s="721"/>
      <c r="Y1075" s="48"/>
      <c r="Z1075" s="48"/>
      <c r="AA1075" s="48"/>
      <c r="AB1075" s="711"/>
      <c r="AC1075" s="711"/>
      <c r="AD1075" s="711"/>
      <c r="AE1075" s="711"/>
      <c r="AF1075" s="711"/>
      <c r="AG1075" s="711"/>
      <c r="AH1075" s="711"/>
    </row>
    <row r="1076">
      <c r="A1076" s="48"/>
      <c r="B1076" s="48"/>
      <c r="C1076" s="48"/>
      <c r="D1076" s="721"/>
      <c r="E1076" s="711"/>
      <c r="F1076" s="711"/>
      <c r="G1076" s="721"/>
      <c r="H1076" s="721"/>
      <c r="I1076" s="721"/>
      <c r="J1076" s="48"/>
      <c r="K1076" s="721"/>
      <c r="L1076" s="721"/>
      <c r="M1076" s="721"/>
      <c r="N1076" s="719"/>
      <c r="O1076" s="48"/>
      <c r="P1076" s="719"/>
      <c r="Q1076" s="48"/>
      <c r="R1076" s="711" t="str">
        <f>IFERROR(__xludf.DUMMYFUNCTION("""COMPUTED_VALUE"""),"2526MASSAGGISAB16.Y")</f>
        <v>2526MASSAGGISAB16.Y</v>
      </c>
      <c r="S1076" s="711">
        <f>IFERROR(__xludf.DUMMYFUNCTION("""COMPUTED_VALUE"""),30.0)</f>
        <v>30</v>
      </c>
      <c r="T1076" s="721" t="str">
        <f>IFERROR(__xludf.DUMMYFUNCTION("""COMPUTED_VALUE"""),"2526MASSAGGISAB16.Y")</f>
        <v>2526MASSAGGISAB16.Y</v>
      </c>
      <c r="U1076" s="721"/>
      <c r="V1076" s="711"/>
      <c r="W1076" s="721"/>
      <c r="X1076" s="721"/>
      <c r="Y1076" s="48"/>
      <c r="Z1076" s="48"/>
      <c r="AA1076" s="48"/>
      <c r="AB1076" s="711"/>
      <c r="AC1076" s="711"/>
      <c r="AD1076" s="711"/>
      <c r="AE1076" s="711"/>
      <c r="AF1076" s="711"/>
      <c r="AG1076" s="711"/>
      <c r="AH1076" s="711"/>
    </row>
    <row r="1077">
      <c r="A1077" s="48"/>
      <c r="B1077" s="48"/>
      <c r="C1077" s="48"/>
      <c r="D1077" s="721"/>
      <c r="E1077" s="711"/>
      <c r="F1077" s="711"/>
      <c r="G1077" s="721"/>
      <c r="H1077" s="721"/>
      <c r="I1077" s="721"/>
      <c r="J1077" s="48"/>
      <c r="K1077" s="721"/>
      <c r="L1077" s="721"/>
      <c r="M1077" s="721"/>
      <c r="N1077" s="719"/>
      <c r="O1077" s="48"/>
      <c r="P1077" s="719"/>
      <c r="Q1077" s="48"/>
      <c r="R1077" s="714" t="str">
        <f>IFERROR(__xludf.DUMMYFUNCTION("""COMPUTED_VALUE"""),"2526ROSSISAB16.C")</f>
        <v>2526ROSSISAB16.C</v>
      </c>
      <c r="S1077" s="711">
        <f>IFERROR(__xludf.DUMMYFUNCTION("""COMPUTED_VALUE"""),40.0)</f>
        <v>40</v>
      </c>
      <c r="T1077" s="722" t="str">
        <f>IFERROR(__xludf.DUMMYFUNCTION("""COMPUTED_VALUE"""),"2526ROSSISAB16.C")</f>
        <v>2526ROSSISAB16.C</v>
      </c>
      <c r="U1077" s="721"/>
      <c r="V1077" s="711"/>
      <c r="W1077" s="721"/>
      <c r="X1077" s="721"/>
      <c r="Y1077" s="48"/>
      <c r="Z1077" s="48"/>
      <c r="AA1077" s="48"/>
      <c r="AB1077" s="711"/>
      <c r="AC1077" s="711"/>
      <c r="AD1077" s="711"/>
      <c r="AE1077" s="711"/>
      <c r="AF1077" s="711"/>
      <c r="AG1077" s="711"/>
      <c r="AH1077" s="711"/>
    </row>
    <row r="1078">
      <c r="A1078" s="48"/>
      <c r="B1078" s="48"/>
      <c r="C1078" s="48"/>
      <c r="D1078" s="721"/>
      <c r="E1078" s="711"/>
      <c r="F1078" s="711"/>
      <c r="G1078" s="721"/>
      <c r="H1078" s="721"/>
      <c r="I1078" s="721"/>
      <c r="J1078" s="48"/>
      <c r="K1078" s="721"/>
      <c r="L1078" s="721"/>
      <c r="M1078" s="721"/>
      <c r="N1078" s="719"/>
      <c r="O1078" s="48"/>
      <c r="P1078" s="719"/>
      <c r="Q1078" s="48"/>
      <c r="R1078" s="48"/>
      <c r="S1078" s="711" t="str">
        <f>IFERROR(__xludf.DUMMYFUNCTION("""COMPUTED_VALUE"""),"")</f>
        <v/>
      </c>
      <c r="T1078" s="721"/>
      <c r="U1078" s="721"/>
      <c r="V1078" s="711"/>
      <c r="W1078" s="721"/>
      <c r="X1078" s="721"/>
      <c r="Y1078" s="48"/>
      <c r="Z1078" s="48"/>
      <c r="AA1078" s="48"/>
      <c r="AB1078" s="711"/>
      <c r="AC1078" s="711"/>
      <c r="AD1078" s="711"/>
      <c r="AE1078" s="711"/>
      <c r="AF1078" s="711"/>
      <c r="AG1078" s="711"/>
      <c r="AH1078" s="711"/>
    </row>
    <row r="1079">
      <c r="A1079" s="48"/>
      <c r="B1079" s="48"/>
      <c r="C1079" s="48"/>
      <c r="D1079" s="721"/>
      <c r="E1079" s="711"/>
      <c r="F1079" s="711"/>
      <c r="G1079" s="721"/>
      <c r="H1079" s="721"/>
      <c r="I1079" s="721"/>
      <c r="J1079" s="48"/>
      <c r="K1079" s="721"/>
      <c r="L1079" s="721"/>
      <c r="M1079" s="721"/>
      <c r="N1079" s="719"/>
      <c r="O1079" s="48"/>
      <c r="P1079" s="719"/>
      <c r="Q1079" s="48"/>
      <c r="R1079" s="714" t="str">
        <f>IFERROR(__xludf.DUMMYFUNCTION("""COMPUTED_VALUE"""),"2526DARIENZOSAB16.D")</f>
        <v>2526DARIENZOSAB16.D</v>
      </c>
      <c r="S1079" s="711">
        <f>IFERROR(__xludf.DUMMYFUNCTION("""COMPUTED_VALUE"""),20.0)</f>
        <v>20</v>
      </c>
      <c r="T1079" s="722" t="str">
        <f>IFERROR(__xludf.DUMMYFUNCTION("""COMPUTED_VALUE"""),"2526DARIENZOSAB16.D")</f>
        <v>2526DARIENZOSAB16.D</v>
      </c>
      <c r="U1079" s="721"/>
      <c r="V1079" s="711"/>
      <c r="W1079" s="721"/>
      <c r="X1079" s="721"/>
      <c r="Y1079" s="48"/>
      <c r="Z1079" s="48"/>
      <c r="AA1079" s="48"/>
      <c r="AB1079" s="711"/>
      <c r="AC1079" s="711"/>
      <c r="AD1079" s="711"/>
      <c r="AE1079" s="711"/>
      <c r="AF1079" s="711"/>
      <c r="AG1079" s="711"/>
      <c r="AH1079" s="711"/>
    </row>
    <row r="1080">
      <c r="A1080" s="48"/>
      <c r="B1080" s="48"/>
      <c r="C1080" s="48"/>
      <c r="D1080" s="721"/>
      <c r="E1080" s="711"/>
      <c r="F1080" s="711"/>
      <c r="G1080" s="721"/>
      <c r="H1080" s="721"/>
      <c r="I1080" s="721"/>
      <c r="J1080" s="48"/>
      <c r="K1080" s="721"/>
      <c r="L1080" s="721"/>
      <c r="M1080" s="721"/>
      <c r="N1080" s="719"/>
      <c r="O1080" s="48"/>
      <c r="P1080" s="719"/>
      <c r="Q1080" s="48"/>
      <c r="R1080" s="714" t="str">
        <f>IFERROR(__xludf.DUMMYFUNCTION("""COMPUTED_VALUE"""),"2526PICCIRILLOSAB16.D")</f>
        <v>2526PICCIRILLOSAB16.D</v>
      </c>
      <c r="S1080" s="711">
        <f>IFERROR(__xludf.DUMMYFUNCTION("""COMPUTED_VALUE"""),30.0)</f>
        <v>30</v>
      </c>
      <c r="T1080" s="722" t="str">
        <f>IFERROR(__xludf.DUMMYFUNCTION("""COMPUTED_VALUE"""),"2526PICCIRILLOSAB16.D")</f>
        <v>2526PICCIRILLOSAB16.D</v>
      </c>
      <c r="U1080" s="721"/>
      <c r="V1080" s="711"/>
      <c r="W1080" s="721"/>
      <c r="X1080" s="721"/>
      <c r="Y1080" s="48"/>
      <c r="Z1080" s="48"/>
      <c r="AA1080" s="48"/>
      <c r="AB1080" s="711"/>
      <c r="AC1080" s="711"/>
      <c r="AD1080" s="711"/>
      <c r="AE1080" s="711"/>
      <c r="AF1080" s="711"/>
      <c r="AG1080" s="711"/>
      <c r="AH1080" s="711"/>
    </row>
    <row r="1081">
      <c r="A1081" s="48"/>
      <c r="B1081" s="48"/>
      <c r="C1081" s="48"/>
      <c r="D1081" s="721"/>
      <c r="E1081" s="711"/>
      <c r="F1081" s="711"/>
      <c r="G1081" s="721"/>
      <c r="H1081" s="721"/>
      <c r="I1081" s="721"/>
      <c r="J1081" s="48"/>
      <c r="K1081" s="721"/>
      <c r="L1081" s="721"/>
      <c r="M1081" s="721"/>
      <c r="N1081" s="719"/>
      <c r="O1081" s="48"/>
      <c r="P1081" s="719"/>
      <c r="Q1081" s="48"/>
      <c r="R1081" s="711" t="str">
        <f>IFERROR(__xludf.DUMMYFUNCTION("""COMPUTED_VALUE"""),"2526SEABRASAB16.Y")</f>
        <v>2526SEABRASAB16.Y</v>
      </c>
      <c r="S1081" s="711">
        <f>IFERROR(__xludf.DUMMYFUNCTION("""COMPUTED_VALUE"""),20.0)</f>
        <v>20</v>
      </c>
      <c r="T1081" s="721" t="str">
        <f>IFERROR(__xludf.DUMMYFUNCTION("""COMPUTED_VALUE"""),"2526SEABRASAB16.Y")</f>
        <v>2526SEABRASAB16.Y</v>
      </c>
      <c r="U1081" s="721"/>
      <c r="V1081" s="711"/>
      <c r="W1081" s="721"/>
      <c r="X1081" s="721"/>
      <c r="Y1081" s="48"/>
      <c r="Z1081" s="48"/>
      <c r="AA1081" s="48"/>
      <c r="AB1081" s="711"/>
      <c r="AC1081" s="711"/>
      <c r="AD1081" s="711"/>
      <c r="AE1081" s="711"/>
      <c r="AF1081" s="711"/>
      <c r="AG1081" s="711"/>
      <c r="AH1081" s="711"/>
    </row>
    <row r="1082">
      <c r="A1082" s="48"/>
      <c r="B1082" s="48"/>
      <c r="C1082" s="48"/>
      <c r="D1082" s="721"/>
      <c r="E1082" s="711"/>
      <c r="F1082" s="711"/>
      <c r="G1082" s="721"/>
      <c r="H1082" s="721"/>
      <c r="I1082" s="721"/>
      <c r="J1082" s="48"/>
      <c r="K1082" s="721"/>
      <c r="L1082" s="721"/>
      <c r="M1082" s="721"/>
      <c r="N1082" s="719"/>
      <c r="O1082" s="48"/>
      <c r="P1082" s="719"/>
      <c r="Q1082" s="48"/>
      <c r="R1082" s="48"/>
      <c r="S1082" s="711" t="str">
        <f>IFERROR(__xludf.DUMMYFUNCTION("""COMPUTED_VALUE"""),"")</f>
        <v/>
      </c>
      <c r="T1082" s="721"/>
      <c r="U1082" s="721"/>
      <c r="V1082" s="711"/>
      <c r="W1082" s="721"/>
      <c r="X1082" s="721"/>
      <c r="Y1082" s="48"/>
      <c r="Z1082" s="48"/>
      <c r="AA1082" s="48"/>
      <c r="AB1082" s="711"/>
      <c r="AC1082" s="711"/>
      <c r="AD1082" s="711"/>
      <c r="AE1082" s="711"/>
      <c r="AF1082" s="711"/>
      <c r="AG1082" s="711"/>
      <c r="AH1082" s="711"/>
    </row>
    <row r="1083">
      <c r="A1083" s="48"/>
      <c r="B1083" s="48"/>
      <c r="C1083" s="48"/>
      <c r="D1083" s="721"/>
      <c r="E1083" s="711"/>
      <c r="F1083" s="711"/>
      <c r="G1083" s="721"/>
      <c r="H1083" s="721"/>
      <c r="I1083" s="721"/>
      <c r="J1083" s="48"/>
      <c r="K1083" s="721"/>
      <c r="L1083" s="721"/>
      <c r="M1083" s="721"/>
      <c r="N1083" s="719"/>
      <c r="O1083" s="48"/>
      <c r="P1083" s="719"/>
      <c r="Q1083" s="48"/>
      <c r="R1083" s="48"/>
      <c r="S1083" s="711" t="str">
        <f>IFERROR(__xludf.DUMMYFUNCTION("""COMPUTED_VALUE"""),"")</f>
        <v/>
      </c>
      <c r="T1083" s="721"/>
      <c r="U1083" s="721"/>
      <c r="V1083" s="711"/>
      <c r="W1083" s="721"/>
      <c r="X1083" s="721"/>
      <c r="Y1083" s="48"/>
      <c r="Z1083" s="48"/>
      <c r="AA1083" s="48"/>
      <c r="AB1083" s="711"/>
      <c r="AC1083" s="711"/>
      <c r="AD1083" s="711"/>
      <c r="AE1083" s="711"/>
      <c r="AF1083" s="711"/>
      <c r="AG1083" s="711"/>
      <c r="AH1083" s="711"/>
    </row>
    <row r="1084">
      <c r="A1084" s="48"/>
      <c r="B1084" s="48"/>
      <c r="C1084" s="48"/>
      <c r="D1084" s="721"/>
      <c r="E1084" s="711"/>
      <c r="F1084" s="711"/>
      <c r="G1084" s="721"/>
      <c r="H1084" s="721"/>
      <c r="I1084" s="721"/>
      <c r="J1084" s="48"/>
      <c r="K1084" s="721"/>
      <c r="L1084" s="721"/>
      <c r="M1084" s="721"/>
      <c r="N1084" s="719"/>
      <c r="O1084" s="48"/>
      <c r="P1084" s="719"/>
      <c r="Q1084" s="48"/>
      <c r="R1084" s="48"/>
      <c r="S1084" s="711" t="str">
        <f>IFERROR(__xludf.DUMMYFUNCTION("""COMPUTED_VALUE"""),"")</f>
        <v/>
      </c>
      <c r="T1084" s="721"/>
      <c r="U1084" s="721"/>
      <c r="V1084" s="711"/>
      <c r="W1084" s="721"/>
      <c r="X1084" s="721"/>
      <c r="Y1084" s="48"/>
      <c r="Z1084" s="48"/>
      <c r="AA1084" s="48"/>
      <c r="AB1084" s="711"/>
      <c r="AC1084" s="711"/>
      <c r="AD1084" s="711"/>
      <c r="AE1084" s="711"/>
      <c r="AF1084" s="711"/>
      <c r="AG1084" s="711"/>
      <c r="AH1084" s="711"/>
    </row>
    <row r="1085">
      <c r="A1085" s="48"/>
      <c r="B1085" s="48"/>
      <c r="C1085" s="48"/>
      <c r="D1085" s="721"/>
      <c r="E1085" s="711"/>
      <c r="F1085" s="711"/>
      <c r="G1085" s="721"/>
      <c r="H1085" s="721"/>
      <c r="I1085" s="721"/>
      <c r="J1085" s="48"/>
      <c r="K1085" s="721"/>
      <c r="L1085" s="721"/>
      <c r="M1085" s="721"/>
      <c r="N1085" s="719"/>
      <c r="O1085" s="48"/>
      <c r="P1085" s="719"/>
      <c r="Q1085" s="48"/>
      <c r="R1085" s="48"/>
      <c r="S1085" s="711" t="str">
        <f>IFERROR(__xludf.DUMMYFUNCTION("""COMPUTED_VALUE"""),"")</f>
        <v/>
      </c>
      <c r="T1085" s="721"/>
      <c r="U1085" s="721"/>
      <c r="V1085" s="711"/>
      <c r="W1085" s="721"/>
      <c r="X1085" s="721"/>
      <c r="Y1085" s="48"/>
      <c r="Z1085" s="48"/>
      <c r="AA1085" s="48"/>
      <c r="AB1085" s="711"/>
      <c r="AC1085" s="711"/>
      <c r="AD1085" s="711"/>
      <c r="AE1085" s="711"/>
      <c r="AF1085" s="711"/>
      <c r="AG1085" s="711"/>
      <c r="AH1085" s="711"/>
    </row>
    <row r="1086">
      <c r="A1086" s="48"/>
      <c r="B1086" s="48"/>
      <c r="C1086" s="48"/>
      <c r="D1086" s="721"/>
      <c r="E1086" s="711"/>
      <c r="F1086" s="711"/>
      <c r="G1086" s="721"/>
      <c r="H1086" s="721"/>
      <c r="I1086" s="721"/>
      <c r="J1086" s="48"/>
      <c r="K1086" s="721"/>
      <c r="L1086" s="721"/>
      <c r="M1086" s="721"/>
      <c r="N1086" s="719"/>
      <c r="O1086" s="48"/>
      <c r="P1086" s="719"/>
      <c r="Q1086" s="48"/>
      <c r="R1086" s="48"/>
      <c r="S1086" s="711" t="str">
        <f>IFERROR(__xludf.DUMMYFUNCTION("""COMPUTED_VALUE"""),"")</f>
        <v/>
      </c>
      <c r="T1086" s="721"/>
      <c r="U1086" s="721"/>
      <c r="V1086" s="711"/>
      <c r="W1086" s="721"/>
      <c r="X1086" s="721"/>
      <c r="Y1086" s="48"/>
      <c r="Z1086" s="48"/>
      <c r="AA1086" s="48"/>
      <c r="AB1086" s="711"/>
      <c r="AC1086" s="711"/>
      <c r="AD1086" s="711"/>
      <c r="AE1086" s="711"/>
      <c r="AF1086" s="711"/>
      <c r="AG1086" s="711"/>
      <c r="AH1086" s="711"/>
    </row>
    <row r="1087">
      <c r="A1087" s="48"/>
      <c r="B1087" s="48"/>
      <c r="C1087" s="48"/>
      <c r="D1087" s="721"/>
      <c r="E1087" s="711"/>
      <c r="F1087" s="711"/>
      <c r="G1087" s="721"/>
      <c r="H1087" s="721"/>
      <c r="I1087" s="721"/>
      <c r="J1087" s="48"/>
      <c r="K1087" s="721"/>
      <c r="L1087" s="721"/>
      <c r="M1087" s="721"/>
      <c r="N1087" s="719"/>
      <c r="O1087" s="48"/>
      <c r="P1087" s="719"/>
      <c r="Q1087" s="48"/>
      <c r="R1087" s="48"/>
      <c r="S1087" s="711" t="str">
        <f>IFERROR(__xludf.DUMMYFUNCTION("""COMPUTED_VALUE"""),"")</f>
        <v/>
      </c>
      <c r="T1087" s="721"/>
      <c r="U1087" s="721"/>
      <c r="V1087" s="711"/>
      <c r="W1087" s="721"/>
      <c r="X1087" s="721"/>
      <c r="Y1087" s="48"/>
      <c r="Z1087" s="48"/>
      <c r="AA1087" s="48"/>
      <c r="AB1087" s="711"/>
      <c r="AC1087" s="711"/>
      <c r="AD1087" s="711"/>
      <c r="AE1087" s="711"/>
      <c r="AF1087" s="711"/>
      <c r="AG1087" s="711"/>
      <c r="AH1087" s="711"/>
    </row>
    <row r="1088">
      <c r="A1088" s="48"/>
      <c r="B1088" s="48"/>
      <c r="C1088" s="48"/>
      <c r="D1088" s="721"/>
      <c r="E1088" s="711"/>
      <c r="F1088" s="711"/>
      <c r="G1088" s="721"/>
      <c r="H1088" s="721"/>
      <c r="I1088" s="721"/>
      <c r="J1088" s="48"/>
      <c r="K1088" s="721"/>
      <c r="L1088" s="721"/>
      <c r="M1088" s="721"/>
      <c r="N1088" s="719"/>
      <c r="O1088" s="48"/>
      <c r="P1088" s="719"/>
      <c r="Q1088" s="48"/>
      <c r="R1088" s="48"/>
      <c r="S1088" s="711" t="str">
        <f>IFERROR(__xludf.DUMMYFUNCTION("""COMPUTED_VALUE"""),"")</f>
        <v/>
      </c>
      <c r="T1088" s="721"/>
      <c r="U1088" s="721"/>
      <c r="V1088" s="711"/>
      <c r="W1088" s="721"/>
      <c r="X1088" s="721"/>
      <c r="Y1088" s="48"/>
      <c r="Z1088" s="48"/>
      <c r="AA1088" s="48"/>
      <c r="AB1088" s="711"/>
      <c r="AC1088" s="711"/>
      <c r="AD1088" s="711"/>
      <c r="AE1088" s="711"/>
      <c r="AF1088" s="711"/>
      <c r="AG1088" s="711"/>
      <c r="AH1088" s="711"/>
    </row>
    <row r="1089">
      <c r="A1089" s="48"/>
      <c r="B1089" s="48"/>
      <c r="C1089" s="48"/>
      <c r="D1089" s="721"/>
      <c r="E1089" s="711"/>
      <c r="F1089" s="711"/>
      <c r="G1089" s="721"/>
      <c r="H1089" s="721"/>
      <c r="I1089" s="721"/>
      <c r="J1089" s="48"/>
      <c r="K1089" s="721"/>
      <c r="L1089" s="721"/>
      <c r="M1089" s="721"/>
      <c r="N1089" s="719"/>
      <c r="O1089" s="48"/>
      <c r="P1089" s="719"/>
      <c r="Q1089" s="48"/>
      <c r="R1089" s="48"/>
      <c r="S1089" s="711" t="str">
        <f>IFERROR(__xludf.DUMMYFUNCTION("""COMPUTED_VALUE"""),"")</f>
        <v/>
      </c>
      <c r="T1089" s="721"/>
      <c r="U1089" s="721"/>
      <c r="V1089" s="711"/>
      <c r="W1089" s="721"/>
      <c r="X1089" s="721"/>
      <c r="Y1089" s="48"/>
      <c r="Z1089" s="48"/>
      <c r="AA1089" s="48"/>
      <c r="AB1089" s="711"/>
      <c r="AC1089" s="711"/>
      <c r="AD1089" s="711"/>
      <c r="AE1089" s="711"/>
      <c r="AF1089" s="711"/>
      <c r="AG1089" s="711"/>
      <c r="AH1089" s="711"/>
    </row>
    <row r="1090">
      <c r="A1090" s="48"/>
      <c r="B1090" s="48"/>
      <c r="C1090" s="48"/>
      <c r="D1090" s="721"/>
      <c r="E1090" s="711"/>
      <c r="F1090" s="711"/>
      <c r="G1090" s="721"/>
      <c r="H1090" s="721"/>
      <c r="I1090" s="721"/>
      <c r="J1090" s="48"/>
      <c r="K1090" s="721"/>
      <c r="L1090" s="721"/>
      <c r="M1090" s="721"/>
      <c r="N1090" s="719"/>
      <c r="O1090" s="48"/>
      <c r="P1090" s="719"/>
      <c r="Q1090" s="48"/>
      <c r="R1090" s="48"/>
      <c r="S1090" s="711" t="str">
        <f>IFERROR(__xludf.DUMMYFUNCTION("""COMPUTED_VALUE"""),"")</f>
        <v/>
      </c>
      <c r="T1090" s="721"/>
      <c r="U1090" s="721"/>
      <c r="V1090" s="711"/>
      <c r="W1090" s="721"/>
      <c r="X1090" s="721"/>
      <c r="Y1090" s="48"/>
      <c r="Z1090" s="48"/>
      <c r="AA1090" s="48"/>
      <c r="AB1090" s="711"/>
      <c r="AC1090" s="711"/>
      <c r="AD1090" s="711"/>
      <c r="AE1090" s="711"/>
      <c r="AF1090" s="711"/>
      <c r="AG1090" s="711"/>
      <c r="AH1090" s="711"/>
    </row>
    <row r="1091">
      <c r="A1091" s="48"/>
      <c r="B1091" s="48"/>
      <c r="C1091" s="48"/>
      <c r="D1091" s="721"/>
      <c r="E1091" s="711"/>
      <c r="F1091" s="711"/>
      <c r="G1091" s="721"/>
      <c r="H1091" s="721"/>
      <c r="I1091" s="721"/>
      <c r="J1091" s="48"/>
      <c r="K1091" s="721"/>
      <c r="L1091" s="721"/>
      <c r="M1091" s="721"/>
      <c r="N1091" s="719"/>
      <c r="O1091" s="48"/>
      <c r="P1091" s="719"/>
      <c r="Q1091" s="48"/>
      <c r="R1091" s="48"/>
      <c r="S1091" s="711" t="str">
        <f>IFERROR(__xludf.DUMMYFUNCTION("""COMPUTED_VALUE"""),"")</f>
        <v/>
      </c>
      <c r="T1091" s="721"/>
      <c r="U1091" s="721"/>
      <c r="V1091" s="711"/>
      <c r="W1091" s="721"/>
      <c r="X1091" s="721"/>
      <c r="Y1091" s="48"/>
      <c r="Z1091" s="48"/>
      <c r="AA1091" s="48"/>
      <c r="AB1091" s="711"/>
      <c r="AC1091" s="711"/>
      <c r="AD1091" s="711"/>
      <c r="AE1091" s="711"/>
      <c r="AF1091" s="711"/>
      <c r="AG1091" s="711"/>
      <c r="AH1091" s="711"/>
    </row>
    <row r="1092">
      <c r="A1092" s="48"/>
      <c r="B1092" s="48"/>
      <c r="C1092" s="48"/>
      <c r="D1092" s="721"/>
      <c r="E1092" s="711"/>
      <c r="F1092" s="711"/>
      <c r="G1092" s="721"/>
      <c r="H1092" s="721"/>
      <c r="I1092" s="721"/>
      <c r="J1092" s="48"/>
      <c r="K1092" s="721"/>
      <c r="L1092" s="721"/>
      <c r="M1092" s="721"/>
      <c r="N1092" s="719"/>
      <c r="O1092" s="48"/>
      <c r="P1092" s="719"/>
      <c r="Q1092" s="48"/>
      <c r="R1092" s="48"/>
      <c r="S1092" s="711" t="str">
        <f>IFERROR(__xludf.DUMMYFUNCTION("""COMPUTED_VALUE"""),"")</f>
        <v/>
      </c>
      <c r="T1092" s="721"/>
      <c r="U1092" s="721"/>
      <c r="V1092" s="711"/>
      <c r="W1092" s="721"/>
      <c r="X1092" s="721"/>
      <c r="Y1092" s="48"/>
      <c r="Z1092" s="48"/>
      <c r="AA1092" s="48"/>
      <c r="AB1092" s="711"/>
      <c r="AC1092" s="711"/>
      <c r="AD1092" s="711"/>
      <c r="AE1092" s="711"/>
      <c r="AF1092" s="711"/>
      <c r="AG1092" s="711"/>
      <c r="AH1092" s="711"/>
    </row>
    <row r="1093">
      <c r="A1093" s="48"/>
      <c r="B1093" s="48"/>
      <c r="C1093" s="48"/>
      <c r="D1093" s="721"/>
      <c r="E1093" s="711"/>
      <c r="F1093" s="711"/>
      <c r="G1093" s="721"/>
      <c r="H1093" s="721"/>
      <c r="I1093" s="721"/>
      <c r="J1093" s="48"/>
      <c r="K1093" s="721"/>
      <c r="L1093" s="721"/>
      <c r="M1093" s="721"/>
      <c r="N1093" s="719"/>
      <c r="O1093" s="48"/>
      <c r="P1093" s="719"/>
      <c r="Q1093" s="48"/>
      <c r="R1093" s="48"/>
      <c r="S1093" s="711" t="str">
        <f>IFERROR(__xludf.DUMMYFUNCTION("""COMPUTED_VALUE"""),"")</f>
        <v/>
      </c>
      <c r="T1093" s="721"/>
      <c r="U1093" s="721"/>
      <c r="V1093" s="711"/>
      <c r="W1093" s="721"/>
      <c r="X1093" s="721"/>
      <c r="Y1093" s="48"/>
      <c r="Z1093" s="48"/>
      <c r="AA1093" s="48"/>
      <c r="AB1093" s="711"/>
      <c r="AC1093" s="711"/>
      <c r="AD1093" s="711"/>
      <c r="AE1093" s="711"/>
      <c r="AF1093" s="711"/>
      <c r="AG1093" s="711"/>
      <c r="AH1093" s="711"/>
    </row>
    <row r="1094">
      <c r="A1094" s="48"/>
      <c r="B1094" s="48"/>
      <c r="C1094" s="48"/>
      <c r="D1094" s="721"/>
      <c r="E1094" s="711"/>
      <c r="F1094" s="711"/>
      <c r="G1094" s="721"/>
      <c r="H1094" s="721"/>
      <c r="I1094" s="721"/>
      <c r="J1094" s="48"/>
      <c r="K1094" s="721"/>
      <c r="L1094" s="721"/>
      <c r="M1094" s="721"/>
      <c r="N1094" s="719"/>
      <c r="O1094" s="48"/>
      <c r="P1094" s="719"/>
      <c r="Q1094" s="48"/>
      <c r="R1094" s="48"/>
      <c r="S1094" s="711" t="str">
        <f>IFERROR(__xludf.DUMMYFUNCTION("""COMPUTED_VALUE"""),"")</f>
        <v/>
      </c>
      <c r="T1094" s="721"/>
      <c r="U1094" s="721"/>
      <c r="V1094" s="711"/>
      <c r="W1094" s="721"/>
      <c r="X1094" s="721"/>
      <c r="Y1094" s="48"/>
      <c r="Z1094" s="48"/>
      <c r="AA1094" s="48"/>
      <c r="AB1094" s="711"/>
      <c r="AC1094" s="711"/>
      <c r="AD1094" s="711"/>
      <c r="AE1094" s="711"/>
      <c r="AF1094" s="711"/>
      <c r="AG1094" s="711"/>
      <c r="AH1094" s="711"/>
    </row>
    <row r="1095">
      <c r="A1095" s="48"/>
      <c r="B1095" s="48"/>
      <c r="C1095" s="48"/>
      <c r="D1095" s="721"/>
      <c r="E1095" s="711"/>
      <c r="F1095" s="711"/>
      <c r="G1095" s="721"/>
      <c r="H1095" s="721"/>
      <c r="I1095" s="721"/>
      <c r="J1095" s="48"/>
      <c r="K1095" s="721"/>
      <c r="L1095" s="721"/>
      <c r="M1095" s="721"/>
      <c r="N1095" s="719"/>
      <c r="O1095" s="48"/>
      <c r="P1095" s="719"/>
      <c r="Q1095" s="48"/>
      <c r="R1095" s="48"/>
      <c r="S1095" s="711" t="str">
        <f>IFERROR(__xludf.DUMMYFUNCTION("""COMPUTED_VALUE"""),"")</f>
        <v/>
      </c>
      <c r="T1095" s="721"/>
      <c r="U1095" s="721"/>
      <c r="V1095" s="711"/>
      <c r="W1095" s="721"/>
      <c r="X1095" s="721"/>
      <c r="Y1095" s="48"/>
      <c r="Z1095" s="48"/>
      <c r="AA1095" s="48"/>
      <c r="AB1095" s="711"/>
      <c r="AC1095" s="711"/>
      <c r="AD1095" s="711"/>
      <c r="AE1095" s="711"/>
      <c r="AF1095" s="711"/>
      <c r="AG1095" s="711"/>
      <c r="AH1095" s="711"/>
    </row>
    <row r="1096">
      <c r="A1096" s="48"/>
      <c r="B1096" s="48"/>
      <c r="C1096" s="48"/>
      <c r="D1096" s="721"/>
      <c r="E1096" s="711"/>
      <c r="F1096" s="711"/>
      <c r="G1096" s="721"/>
      <c r="H1096" s="721"/>
      <c r="I1096" s="721"/>
      <c r="J1096" s="48"/>
      <c r="K1096" s="721"/>
      <c r="L1096" s="721"/>
      <c r="M1096" s="721"/>
      <c r="N1096" s="719"/>
      <c r="O1096" s="48"/>
      <c r="P1096" s="719"/>
      <c r="Q1096" s="48"/>
      <c r="R1096" s="48"/>
      <c r="S1096" s="711" t="str">
        <f>IFERROR(__xludf.DUMMYFUNCTION("""COMPUTED_VALUE"""),"")</f>
        <v/>
      </c>
      <c r="T1096" s="721"/>
      <c r="U1096" s="721"/>
      <c r="V1096" s="711"/>
      <c r="W1096" s="721"/>
      <c r="X1096" s="721"/>
      <c r="Y1096" s="48"/>
      <c r="Z1096" s="48"/>
      <c r="AA1096" s="48"/>
      <c r="AB1096" s="711"/>
      <c r="AC1096" s="711"/>
      <c r="AD1096" s="711"/>
      <c r="AE1096" s="711"/>
      <c r="AF1096" s="711"/>
      <c r="AG1096" s="711"/>
      <c r="AH1096" s="711"/>
    </row>
    <row r="1097">
      <c r="A1097" s="48"/>
      <c r="B1097" s="48"/>
      <c r="C1097" s="48"/>
      <c r="D1097" s="721"/>
      <c r="E1097" s="711"/>
      <c r="F1097" s="711"/>
      <c r="G1097" s="721"/>
      <c r="H1097" s="721"/>
      <c r="I1097" s="721"/>
      <c r="J1097" s="48"/>
      <c r="K1097" s="721"/>
      <c r="L1097" s="721"/>
      <c r="M1097" s="721"/>
      <c r="N1097" s="719"/>
      <c r="O1097" s="48"/>
      <c r="P1097" s="719"/>
      <c r="Q1097" s="48"/>
      <c r="R1097" s="48"/>
      <c r="S1097" s="711" t="str">
        <f>IFERROR(__xludf.DUMMYFUNCTION("""COMPUTED_VALUE"""),"")</f>
        <v/>
      </c>
      <c r="T1097" s="721"/>
      <c r="U1097" s="721"/>
      <c r="V1097" s="711"/>
      <c r="W1097" s="721"/>
      <c r="X1097" s="721"/>
      <c r="Y1097" s="48"/>
      <c r="Z1097" s="48"/>
      <c r="AA1097" s="48"/>
      <c r="AB1097" s="711"/>
      <c r="AC1097" s="711"/>
      <c r="AD1097" s="711"/>
      <c r="AE1097" s="711"/>
      <c r="AF1097" s="711"/>
      <c r="AG1097" s="711"/>
      <c r="AH1097" s="711"/>
    </row>
    <row r="1098">
      <c r="A1098" s="48"/>
      <c r="B1098" s="48"/>
      <c r="C1098" s="48"/>
      <c r="D1098" s="721"/>
      <c r="E1098" s="711"/>
      <c r="F1098" s="711"/>
      <c r="G1098" s="721"/>
      <c r="H1098" s="721"/>
      <c r="I1098" s="721"/>
      <c r="J1098" s="48"/>
      <c r="K1098" s="721"/>
      <c r="L1098" s="721"/>
      <c r="M1098" s="721"/>
      <c r="N1098" s="719"/>
      <c r="O1098" s="48"/>
      <c r="P1098" s="719"/>
      <c r="Q1098" s="48"/>
      <c r="R1098" s="48"/>
      <c r="S1098" s="711" t="str">
        <f>IFERROR(__xludf.DUMMYFUNCTION("""COMPUTED_VALUE"""),"")</f>
        <v/>
      </c>
      <c r="T1098" s="721"/>
      <c r="U1098" s="721"/>
      <c r="V1098" s="711"/>
      <c r="W1098" s="721"/>
      <c r="X1098" s="721"/>
      <c r="Y1098" s="48"/>
      <c r="Z1098" s="48"/>
      <c r="AA1098" s="48"/>
      <c r="AB1098" s="711"/>
      <c r="AC1098" s="711"/>
      <c r="AD1098" s="711"/>
      <c r="AE1098" s="711"/>
      <c r="AF1098" s="711"/>
      <c r="AG1098" s="711"/>
      <c r="AH1098" s="711"/>
    </row>
    <row r="1099">
      <c r="A1099" s="48"/>
      <c r="B1099" s="48"/>
      <c r="C1099" s="48"/>
      <c r="D1099" s="721"/>
      <c r="E1099" s="711"/>
      <c r="F1099" s="711"/>
      <c r="G1099" s="721"/>
      <c r="H1099" s="721"/>
      <c r="I1099" s="721"/>
      <c r="J1099" s="48"/>
      <c r="K1099" s="721"/>
      <c r="L1099" s="721"/>
      <c r="M1099" s="721"/>
      <c r="N1099" s="719"/>
      <c r="O1099" s="48"/>
      <c r="P1099" s="719"/>
      <c r="Q1099" s="48"/>
      <c r="R1099" s="48"/>
      <c r="S1099" s="711" t="str">
        <f>IFERROR(__xludf.DUMMYFUNCTION("""COMPUTED_VALUE"""),"")</f>
        <v/>
      </c>
      <c r="T1099" s="721"/>
      <c r="U1099" s="721"/>
      <c r="V1099" s="711"/>
      <c r="W1099" s="721"/>
      <c r="X1099" s="721"/>
      <c r="Y1099" s="48"/>
      <c r="Z1099" s="48"/>
      <c r="AA1099" s="48"/>
      <c r="AB1099" s="711"/>
      <c r="AC1099" s="711"/>
      <c r="AD1099" s="711"/>
      <c r="AE1099" s="711"/>
      <c r="AF1099" s="711"/>
      <c r="AG1099" s="711"/>
      <c r="AH1099" s="711"/>
    </row>
    <row r="1100">
      <c r="A1100" s="48"/>
      <c r="B1100" s="48"/>
      <c r="C1100" s="48"/>
      <c r="D1100" s="721"/>
      <c r="E1100" s="711"/>
      <c r="F1100" s="711"/>
      <c r="G1100" s="721"/>
      <c r="H1100" s="721"/>
      <c r="I1100" s="721"/>
      <c r="J1100" s="48"/>
      <c r="K1100" s="721"/>
      <c r="L1100" s="721"/>
      <c r="M1100" s="721"/>
      <c r="N1100" s="719"/>
      <c r="O1100" s="48"/>
      <c r="P1100" s="719"/>
      <c r="Q1100" s="48"/>
      <c r="R1100" s="48"/>
      <c r="S1100" s="711" t="str">
        <f>IFERROR(__xludf.DUMMYFUNCTION("""COMPUTED_VALUE"""),"")</f>
        <v/>
      </c>
      <c r="T1100" s="721"/>
      <c r="U1100" s="721"/>
      <c r="V1100" s="711"/>
      <c r="W1100" s="721"/>
      <c r="X1100" s="721"/>
      <c r="Y1100" s="48"/>
      <c r="Z1100" s="48"/>
      <c r="AA1100" s="48"/>
      <c r="AB1100" s="711"/>
      <c r="AC1100" s="711"/>
      <c r="AD1100" s="711"/>
      <c r="AE1100" s="711"/>
      <c r="AF1100" s="711"/>
      <c r="AG1100" s="711"/>
      <c r="AH1100" s="711"/>
    </row>
    <row r="1101">
      <c r="A1101" s="48"/>
      <c r="B1101" s="48"/>
      <c r="C1101" s="48"/>
      <c r="D1101" s="721"/>
      <c r="E1101" s="711"/>
      <c r="F1101" s="711"/>
      <c r="G1101" s="721"/>
      <c r="H1101" s="721"/>
      <c r="I1101" s="721"/>
      <c r="J1101" s="48"/>
      <c r="K1101" s="721"/>
      <c r="L1101" s="721"/>
      <c r="M1101" s="721"/>
      <c r="N1101" s="719"/>
      <c r="O1101" s="48"/>
      <c r="P1101" s="719"/>
      <c r="Q1101" s="48"/>
      <c r="R1101" s="48"/>
      <c r="S1101" s="711" t="str">
        <f>IFERROR(__xludf.DUMMYFUNCTION("""COMPUTED_VALUE"""),"")</f>
        <v/>
      </c>
      <c r="T1101" s="721"/>
      <c r="U1101" s="721"/>
      <c r="V1101" s="711"/>
      <c r="W1101" s="721"/>
      <c r="X1101" s="721"/>
      <c r="Y1101" s="48"/>
      <c r="Z1101" s="48"/>
      <c r="AA1101" s="48"/>
      <c r="AB1101" s="711"/>
      <c r="AC1101" s="711"/>
      <c r="AD1101" s="711"/>
      <c r="AE1101" s="711"/>
      <c r="AF1101" s="711"/>
      <c r="AG1101" s="711"/>
      <c r="AH1101" s="711"/>
    </row>
    <row r="1102">
      <c r="A1102" s="48"/>
      <c r="B1102" s="48"/>
      <c r="C1102" s="48"/>
      <c r="D1102" s="721"/>
      <c r="E1102" s="711"/>
      <c r="F1102" s="711"/>
      <c r="G1102" s="721"/>
      <c r="H1102" s="721"/>
      <c r="I1102" s="721"/>
      <c r="J1102" s="48"/>
      <c r="K1102" s="721"/>
      <c r="L1102" s="721"/>
      <c r="M1102" s="721"/>
      <c r="N1102" s="719"/>
      <c r="O1102" s="48"/>
      <c r="P1102" s="719"/>
      <c r="Q1102" s="48"/>
      <c r="R1102" s="48"/>
      <c r="S1102" s="711" t="str">
        <f>IFERROR(__xludf.DUMMYFUNCTION("""COMPUTED_VALUE"""),"")</f>
        <v/>
      </c>
      <c r="T1102" s="721"/>
      <c r="U1102" s="721"/>
      <c r="V1102" s="711"/>
      <c r="W1102" s="721"/>
      <c r="X1102" s="721"/>
      <c r="Y1102" s="48"/>
      <c r="Z1102" s="48"/>
      <c r="AA1102" s="48"/>
      <c r="AB1102" s="711"/>
      <c r="AC1102" s="711"/>
      <c r="AD1102" s="711"/>
      <c r="AE1102" s="711"/>
      <c r="AF1102" s="711"/>
      <c r="AG1102" s="711"/>
      <c r="AH1102" s="711"/>
    </row>
    <row r="1103">
      <c r="A1103" s="48"/>
      <c r="B1103" s="48"/>
      <c r="C1103" s="48"/>
      <c r="D1103" s="721"/>
      <c r="E1103" s="711"/>
      <c r="F1103" s="711"/>
      <c r="G1103" s="721"/>
      <c r="H1103" s="721"/>
      <c r="I1103" s="721"/>
      <c r="J1103" s="48"/>
      <c r="K1103" s="721"/>
      <c r="L1103" s="721"/>
      <c r="M1103" s="721"/>
      <c r="N1103" s="719"/>
      <c r="O1103" s="48"/>
      <c r="P1103" s="719"/>
      <c r="Q1103" s="48"/>
      <c r="R1103" s="48"/>
      <c r="S1103" s="711" t="str">
        <f>IFERROR(__xludf.DUMMYFUNCTION("""COMPUTED_VALUE"""),"")</f>
        <v/>
      </c>
      <c r="T1103" s="721"/>
      <c r="U1103" s="721"/>
      <c r="V1103" s="711"/>
      <c r="W1103" s="721"/>
      <c r="X1103" s="721"/>
      <c r="Y1103" s="48"/>
      <c r="Z1103" s="48"/>
      <c r="AA1103" s="48"/>
      <c r="AB1103" s="711"/>
      <c r="AC1103" s="711"/>
      <c r="AD1103" s="711"/>
      <c r="AE1103" s="711"/>
      <c r="AF1103" s="711"/>
      <c r="AG1103" s="711"/>
      <c r="AH1103" s="711"/>
    </row>
    <row r="1104">
      <c r="A1104" s="48"/>
      <c r="B1104" s="48"/>
      <c r="C1104" s="48"/>
      <c r="D1104" s="721"/>
      <c r="E1104" s="711"/>
      <c r="F1104" s="711"/>
      <c r="G1104" s="721"/>
      <c r="H1104" s="721"/>
      <c r="I1104" s="721"/>
      <c r="J1104" s="48"/>
      <c r="K1104" s="721"/>
      <c r="L1104" s="721"/>
      <c r="M1104" s="721"/>
      <c r="N1104" s="719"/>
      <c r="O1104" s="48"/>
      <c r="P1104" s="719"/>
      <c r="Q1104" s="48"/>
      <c r="R1104" s="48"/>
      <c r="S1104" s="711" t="str">
        <f>IFERROR(__xludf.DUMMYFUNCTION("""COMPUTED_VALUE"""),"")</f>
        <v/>
      </c>
      <c r="T1104" s="721"/>
      <c r="U1104" s="721"/>
      <c r="V1104" s="711"/>
      <c r="W1104" s="721"/>
      <c r="X1104" s="721"/>
      <c r="Y1104" s="48"/>
      <c r="Z1104" s="48"/>
      <c r="AA1104" s="48"/>
      <c r="AB1104" s="711"/>
      <c r="AC1104" s="711"/>
      <c r="AD1104" s="711"/>
      <c r="AE1104" s="711"/>
      <c r="AF1104" s="711"/>
      <c r="AG1104" s="711"/>
      <c r="AH1104" s="711"/>
    </row>
    <row r="1105">
      <c r="A1105" s="48"/>
      <c r="B1105" s="48"/>
      <c r="C1105" s="48"/>
      <c r="D1105" s="721"/>
      <c r="E1105" s="711"/>
      <c r="F1105" s="711"/>
      <c r="G1105" s="721"/>
      <c r="H1105" s="721"/>
      <c r="I1105" s="721"/>
      <c r="J1105" s="48"/>
      <c r="K1105" s="721"/>
      <c r="L1105" s="721"/>
      <c r="M1105" s="721"/>
      <c r="N1105" s="719"/>
      <c r="O1105" s="48"/>
      <c r="P1105" s="719"/>
      <c r="Q1105" s="48"/>
      <c r="R1105" s="48"/>
      <c r="S1105" s="711" t="str">
        <f>IFERROR(__xludf.DUMMYFUNCTION("""COMPUTED_VALUE"""),"")</f>
        <v/>
      </c>
      <c r="T1105" s="721"/>
      <c r="U1105" s="721"/>
      <c r="V1105" s="711"/>
      <c r="W1105" s="721"/>
      <c r="X1105" s="721"/>
      <c r="Y1105" s="48"/>
      <c r="Z1105" s="48"/>
      <c r="AA1105" s="48"/>
      <c r="AB1105" s="711"/>
      <c r="AC1105" s="711"/>
      <c r="AD1105" s="711"/>
      <c r="AE1105" s="711"/>
      <c r="AF1105" s="711"/>
      <c r="AG1105" s="711"/>
      <c r="AH1105" s="711"/>
    </row>
    <row r="1106">
      <c r="A1106" s="48"/>
      <c r="B1106" s="48"/>
      <c r="C1106" s="48"/>
      <c r="D1106" s="721"/>
      <c r="E1106" s="711"/>
      <c r="F1106" s="711"/>
      <c r="G1106" s="721"/>
      <c r="H1106" s="721"/>
      <c r="I1106" s="721"/>
      <c r="J1106" s="48"/>
      <c r="K1106" s="721"/>
      <c r="L1106" s="721"/>
      <c r="M1106" s="721"/>
      <c r="N1106" s="719"/>
      <c r="O1106" s="48"/>
      <c r="P1106" s="719"/>
      <c r="Q1106" s="48"/>
      <c r="R1106" s="48"/>
      <c r="S1106" s="711" t="str">
        <f>IFERROR(__xludf.DUMMYFUNCTION("""COMPUTED_VALUE"""),"")</f>
        <v/>
      </c>
      <c r="T1106" s="721"/>
      <c r="U1106" s="721"/>
      <c r="V1106" s="711"/>
      <c r="W1106" s="721"/>
      <c r="X1106" s="721"/>
      <c r="Y1106" s="48"/>
      <c r="Z1106" s="48"/>
      <c r="AA1106" s="48"/>
      <c r="AB1106" s="711"/>
      <c r="AC1106" s="711"/>
      <c r="AD1106" s="711"/>
      <c r="AE1106" s="711"/>
      <c r="AF1106" s="711"/>
      <c r="AG1106" s="711"/>
      <c r="AH1106" s="711"/>
    </row>
    <row r="1107">
      <c r="A1107" s="48"/>
      <c r="B1107" s="48"/>
      <c r="C1107" s="48"/>
      <c r="D1107" s="721"/>
      <c r="E1107" s="711"/>
      <c r="F1107" s="711"/>
      <c r="G1107" s="721"/>
      <c r="H1107" s="721"/>
      <c r="I1107" s="721"/>
      <c r="J1107" s="48"/>
      <c r="K1107" s="721"/>
      <c r="L1107" s="721"/>
      <c r="M1107" s="721"/>
      <c r="N1107" s="719"/>
      <c r="O1107" s="48"/>
      <c r="P1107" s="719"/>
      <c r="Q1107" s="48"/>
      <c r="R1107" s="48"/>
      <c r="S1107" s="711" t="str">
        <f>IFERROR(__xludf.DUMMYFUNCTION("""COMPUTED_VALUE"""),"")</f>
        <v/>
      </c>
      <c r="T1107" s="721"/>
      <c r="U1107" s="721"/>
      <c r="V1107" s="711"/>
      <c r="W1107" s="721"/>
      <c r="X1107" s="721"/>
      <c r="Y1107" s="48"/>
      <c r="Z1107" s="48"/>
      <c r="AA1107" s="48"/>
      <c r="AB1107" s="711"/>
      <c r="AC1107" s="711"/>
      <c r="AD1107" s="711"/>
      <c r="AE1107" s="711"/>
      <c r="AF1107" s="711"/>
      <c r="AG1107" s="711"/>
      <c r="AH1107" s="711"/>
    </row>
    <row r="1108">
      <c r="A1108" s="48"/>
      <c r="B1108" s="48"/>
      <c r="C1108" s="48"/>
      <c r="D1108" s="721"/>
      <c r="E1108" s="711"/>
      <c r="F1108" s="711"/>
      <c r="G1108" s="721"/>
      <c r="H1108" s="721"/>
      <c r="I1108" s="721"/>
      <c r="J1108" s="48"/>
      <c r="K1108" s="721"/>
      <c r="L1108" s="721"/>
      <c r="M1108" s="721"/>
      <c r="N1108" s="719"/>
      <c r="O1108" s="48"/>
      <c r="P1108" s="719"/>
      <c r="Q1108" s="48"/>
      <c r="R1108" s="48"/>
      <c r="S1108" s="711" t="str">
        <f>IFERROR(__xludf.DUMMYFUNCTION("""COMPUTED_VALUE"""),"")</f>
        <v/>
      </c>
      <c r="T1108" s="721"/>
      <c r="U1108" s="721"/>
      <c r="V1108" s="711"/>
      <c r="W1108" s="721"/>
      <c r="X1108" s="721"/>
      <c r="Y1108" s="48"/>
      <c r="Z1108" s="48"/>
      <c r="AA1108" s="48"/>
      <c r="AB1108" s="711"/>
      <c r="AC1108" s="711"/>
      <c r="AD1108" s="711"/>
      <c r="AE1108" s="711"/>
      <c r="AF1108" s="711"/>
      <c r="AG1108" s="711"/>
      <c r="AH1108" s="711"/>
    </row>
    <row r="1109">
      <c r="A1109" s="48"/>
      <c r="B1109" s="48"/>
      <c r="C1109" s="48"/>
      <c r="D1109" s="721"/>
      <c r="E1109" s="711"/>
      <c r="F1109" s="711"/>
      <c r="G1109" s="721"/>
      <c r="H1109" s="721"/>
      <c r="I1109" s="721"/>
      <c r="J1109" s="48"/>
      <c r="K1109" s="721"/>
      <c r="L1109" s="721"/>
      <c r="M1109" s="721"/>
      <c r="N1109" s="719"/>
      <c r="O1109" s="48"/>
      <c r="P1109" s="719"/>
      <c r="Q1109" s="48"/>
      <c r="R1109" s="48"/>
      <c r="S1109" s="711" t="str">
        <f>IFERROR(__xludf.DUMMYFUNCTION("""COMPUTED_VALUE"""),"")</f>
        <v/>
      </c>
      <c r="T1109" s="721"/>
      <c r="U1109" s="721"/>
      <c r="V1109" s="711"/>
      <c r="W1109" s="721"/>
      <c r="X1109" s="721"/>
      <c r="Y1109" s="48"/>
      <c r="Z1109" s="48"/>
      <c r="AA1109" s="48"/>
      <c r="AB1109" s="711"/>
      <c r="AC1109" s="711"/>
      <c r="AD1109" s="711"/>
      <c r="AE1109" s="711"/>
      <c r="AF1109" s="711"/>
      <c r="AG1109" s="711"/>
      <c r="AH1109" s="711"/>
    </row>
    <row r="1110">
      <c r="A1110" s="48"/>
      <c r="B1110" s="48"/>
      <c r="C1110" s="48"/>
      <c r="D1110" s="721"/>
      <c r="E1110" s="711"/>
      <c r="F1110" s="711"/>
      <c r="G1110" s="721"/>
      <c r="H1110" s="721"/>
      <c r="I1110" s="721"/>
      <c r="J1110" s="48"/>
      <c r="K1110" s="721"/>
      <c r="L1110" s="721"/>
      <c r="M1110" s="721"/>
      <c r="N1110" s="719"/>
      <c r="O1110" s="48"/>
      <c r="P1110" s="719"/>
      <c r="Q1110" s="48"/>
      <c r="R1110" s="48"/>
      <c r="S1110" s="711" t="str">
        <f>IFERROR(__xludf.DUMMYFUNCTION("""COMPUTED_VALUE"""),"")</f>
        <v/>
      </c>
      <c r="T1110" s="721"/>
      <c r="U1110" s="721"/>
      <c r="V1110" s="711"/>
      <c r="W1110" s="721"/>
      <c r="X1110" s="721"/>
      <c r="Y1110" s="48"/>
      <c r="Z1110" s="48"/>
      <c r="AA1110" s="48"/>
      <c r="AB1110" s="711"/>
      <c r="AC1110" s="711"/>
      <c r="AD1110" s="711"/>
      <c r="AE1110" s="711"/>
      <c r="AF1110" s="711"/>
      <c r="AG1110" s="711"/>
      <c r="AH1110" s="711"/>
    </row>
    <row r="1111">
      <c r="A1111" s="48"/>
      <c r="B1111" s="48"/>
      <c r="C1111" s="48"/>
      <c r="D1111" s="721"/>
      <c r="E1111" s="711"/>
      <c r="F1111" s="711"/>
      <c r="G1111" s="721"/>
      <c r="H1111" s="721"/>
      <c r="I1111" s="721"/>
      <c r="J1111" s="48"/>
      <c r="K1111" s="721"/>
      <c r="L1111" s="721"/>
      <c r="M1111" s="721"/>
      <c r="N1111" s="719"/>
      <c r="O1111" s="48"/>
      <c r="P1111" s="719"/>
      <c r="Q1111" s="48"/>
      <c r="R1111" s="48"/>
      <c r="S1111" s="711" t="str">
        <f>IFERROR(__xludf.DUMMYFUNCTION("""COMPUTED_VALUE"""),"")</f>
        <v/>
      </c>
      <c r="T1111" s="721"/>
      <c r="U1111" s="721"/>
      <c r="V1111" s="711"/>
      <c r="W1111" s="721"/>
      <c r="X1111" s="721"/>
      <c r="Y1111" s="48"/>
      <c r="Z1111" s="48"/>
      <c r="AA1111" s="48"/>
      <c r="AB1111" s="711"/>
      <c r="AC1111" s="711"/>
      <c r="AD1111" s="711"/>
      <c r="AE1111" s="711"/>
      <c r="AF1111" s="711"/>
      <c r="AG1111" s="711"/>
      <c r="AH1111" s="711"/>
    </row>
    <row r="1112">
      <c r="A1112" s="48"/>
      <c r="B1112" s="48"/>
      <c r="C1112" s="48"/>
      <c r="D1112" s="721"/>
      <c r="E1112" s="711"/>
      <c r="F1112" s="711"/>
      <c r="G1112" s="721"/>
      <c r="H1112" s="721"/>
      <c r="I1112" s="721"/>
      <c r="J1112" s="48"/>
      <c r="K1112" s="721"/>
      <c r="L1112" s="721"/>
      <c r="M1112" s="721"/>
      <c r="N1112" s="719"/>
      <c r="O1112" s="48"/>
      <c r="P1112" s="719"/>
      <c r="Q1112" s="48"/>
      <c r="R1112" s="48"/>
      <c r="S1112" s="711" t="str">
        <f>IFERROR(__xludf.DUMMYFUNCTION("""COMPUTED_VALUE"""),"")</f>
        <v/>
      </c>
      <c r="T1112" s="721"/>
      <c r="U1112" s="721"/>
      <c r="V1112" s="711"/>
      <c r="W1112" s="721"/>
      <c r="X1112" s="721"/>
      <c r="Y1112" s="48"/>
      <c r="Z1112" s="48"/>
      <c r="AA1112" s="48"/>
      <c r="AB1112" s="711"/>
      <c r="AC1112" s="711"/>
      <c r="AD1112" s="711"/>
      <c r="AE1112" s="711"/>
      <c r="AF1112" s="711"/>
      <c r="AG1112" s="711"/>
      <c r="AH1112" s="711"/>
    </row>
    <row r="1113">
      <c r="A1113" s="48"/>
      <c r="B1113" s="48"/>
      <c r="C1113" s="48"/>
      <c r="D1113" s="721"/>
      <c r="E1113" s="711"/>
      <c r="F1113" s="711"/>
      <c r="G1113" s="721"/>
      <c r="H1113" s="721"/>
      <c r="I1113" s="721"/>
      <c r="J1113" s="48"/>
      <c r="K1113" s="721"/>
      <c r="L1113" s="721"/>
      <c r="M1113" s="721"/>
      <c r="N1113" s="719"/>
      <c r="O1113" s="48"/>
      <c r="P1113" s="719"/>
      <c r="Q1113" s="48"/>
      <c r="R1113" s="48"/>
      <c r="S1113" s="711" t="str">
        <f>IFERROR(__xludf.DUMMYFUNCTION("""COMPUTED_VALUE"""),"")</f>
        <v/>
      </c>
      <c r="T1113" s="721"/>
      <c r="U1113" s="721"/>
      <c r="V1113" s="711"/>
      <c r="W1113" s="721"/>
      <c r="X1113" s="721"/>
      <c r="Y1113" s="48"/>
      <c r="Z1113" s="48"/>
      <c r="AA1113" s="48"/>
      <c r="AB1113" s="711"/>
      <c r="AC1113" s="711"/>
      <c r="AD1113" s="711"/>
      <c r="AE1113" s="711"/>
      <c r="AF1113" s="711"/>
      <c r="AG1113" s="711"/>
      <c r="AH1113" s="711"/>
    </row>
    <row r="1114">
      <c r="A1114" s="48"/>
      <c r="B1114" s="48"/>
      <c r="C1114" s="48"/>
      <c r="D1114" s="721"/>
      <c r="E1114" s="711"/>
      <c r="F1114" s="711"/>
      <c r="G1114" s="721"/>
      <c r="H1114" s="721"/>
      <c r="I1114" s="721"/>
      <c r="J1114" s="48"/>
      <c r="K1114" s="721"/>
      <c r="L1114" s="721"/>
      <c r="M1114" s="721"/>
      <c r="N1114" s="719"/>
      <c r="O1114" s="48"/>
      <c r="P1114" s="719"/>
      <c r="Q1114" s="48"/>
      <c r="R1114" s="48"/>
      <c r="S1114" s="711" t="str">
        <f>IFERROR(__xludf.DUMMYFUNCTION("""COMPUTED_VALUE"""),"")</f>
        <v/>
      </c>
      <c r="T1114" s="721"/>
      <c r="U1114" s="721"/>
      <c r="V1114" s="711"/>
      <c r="W1114" s="721"/>
      <c r="X1114" s="721"/>
      <c r="Y1114" s="48"/>
      <c r="Z1114" s="48"/>
      <c r="AA1114" s="48"/>
      <c r="AB1114" s="711"/>
      <c r="AC1114" s="711"/>
      <c r="AD1114" s="711"/>
      <c r="AE1114" s="711"/>
      <c r="AF1114" s="711"/>
      <c r="AG1114" s="711"/>
      <c r="AH1114" s="711"/>
    </row>
    <row r="1115">
      <c r="A1115" s="48"/>
      <c r="B1115" s="48"/>
      <c r="C1115" s="48"/>
      <c r="D1115" s="721"/>
      <c r="E1115" s="711"/>
      <c r="F1115" s="711"/>
      <c r="G1115" s="721"/>
      <c r="H1115" s="721"/>
      <c r="I1115" s="721"/>
      <c r="J1115" s="48"/>
      <c r="K1115" s="721"/>
      <c r="L1115" s="721"/>
      <c r="M1115" s="721"/>
      <c r="N1115" s="719"/>
      <c r="O1115" s="48"/>
      <c r="P1115" s="719"/>
      <c r="Q1115" s="48"/>
      <c r="R1115" s="48"/>
      <c r="S1115" s="711" t="str">
        <f>IFERROR(__xludf.DUMMYFUNCTION("""COMPUTED_VALUE"""),"")</f>
        <v/>
      </c>
      <c r="T1115" s="721"/>
      <c r="U1115" s="721"/>
      <c r="V1115" s="711"/>
      <c r="W1115" s="721"/>
      <c r="X1115" s="721"/>
      <c r="Y1115" s="48"/>
      <c r="Z1115" s="48"/>
      <c r="AA1115" s="48"/>
      <c r="AB1115" s="711"/>
      <c r="AC1115" s="711"/>
      <c r="AD1115" s="711"/>
      <c r="AE1115" s="711"/>
      <c r="AF1115" s="711"/>
      <c r="AG1115" s="711"/>
      <c r="AH1115" s="711"/>
    </row>
    <row r="1116">
      <c r="A1116" s="48"/>
      <c r="B1116" s="48"/>
      <c r="C1116" s="48"/>
      <c r="D1116" s="721"/>
      <c r="E1116" s="711"/>
      <c r="F1116" s="711"/>
      <c r="G1116" s="721"/>
      <c r="H1116" s="721"/>
      <c r="I1116" s="721"/>
      <c r="J1116" s="48"/>
      <c r="K1116" s="721"/>
      <c r="L1116" s="721"/>
      <c r="M1116" s="721"/>
      <c r="N1116" s="719"/>
      <c r="O1116" s="48"/>
      <c r="P1116" s="719"/>
      <c r="Q1116" s="48"/>
      <c r="R1116" s="48"/>
      <c r="S1116" s="711" t="str">
        <f>IFERROR(__xludf.DUMMYFUNCTION("""COMPUTED_VALUE"""),"")</f>
        <v/>
      </c>
      <c r="T1116" s="721"/>
      <c r="U1116" s="721"/>
      <c r="V1116" s="711"/>
      <c r="W1116" s="721"/>
      <c r="X1116" s="721"/>
      <c r="Y1116" s="48"/>
      <c r="Z1116" s="48"/>
      <c r="AA1116" s="48"/>
      <c r="AB1116" s="711"/>
      <c r="AC1116" s="711"/>
      <c r="AD1116" s="711"/>
      <c r="AE1116" s="711"/>
      <c r="AF1116" s="711"/>
      <c r="AG1116" s="711"/>
      <c r="AH1116" s="711"/>
    </row>
    <row r="1117">
      <c r="A1117" s="48"/>
      <c r="B1117" s="48"/>
      <c r="C1117" s="48"/>
      <c r="D1117" s="721"/>
      <c r="E1117" s="711"/>
      <c r="F1117" s="711"/>
      <c r="G1117" s="721"/>
      <c r="H1117" s="721"/>
      <c r="I1117" s="721"/>
      <c r="J1117" s="48"/>
      <c r="K1117" s="721"/>
      <c r="L1117" s="721"/>
      <c r="M1117" s="721"/>
      <c r="N1117" s="719"/>
      <c r="O1117" s="48"/>
      <c r="P1117" s="719"/>
      <c r="Q1117" s="48"/>
      <c r="R1117" s="48"/>
      <c r="S1117" s="711" t="str">
        <f>IFERROR(__xludf.DUMMYFUNCTION("""COMPUTED_VALUE"""),"")</f>
        <v/>
      </c>
      <c r="T1117" s="721"/>
      <c r="U1117" s="721"/>
      <c r="V1117" s="711"/>
      <c r="W1117" s="721"/>
      <c r="X1117" s="721"/>
      <c r="Y1117" s="48"/>
      <c r="Z1117" s="48"/>
      <c r="AA1117" s="48"/>
      <c r="AB1117" s="711"/>
      <c r="AC1117" s="711"/>
      <c r="AD1117" s="711"/>
      <c r="AE1117" s="711"/>
      <c r="AF1117" s="711"/>
      <c r="AG1117" s="711"/>
      <c r="AH1117" s="711"/>
    </row>
    <row r="1118">
      <c r="A1118" s="48"/>
      <c r="B1118" s="48"/>
      <c r="C1118" s="48"/>
      <c r="D1118" s="721"/>
      <c r="E1118" s="711"/>
      <c r="F1118" s="711"/>
      <c r="G1118" s="721"/>
      <c r="H1118" s="721"/>
      <c r="I1118" s="721"/>
      <c r="J1118" s="48"/>
      <c r="K1118" s="721"/>
      <c r="L1118" s="721"/>
      <c r="M1118" s="721"/>
      <c r="N1118" s="719"/>
      <c r="O1118" s="48"/>
      <c r="P1118" s="719"/>
      <c r="Q1118" s="48"/>
      <c r="R1118" s="48"/>
      <c r="S1118" s="711" t="str">
        <f>IFERROR(__xludf.DUMMYFUNCTION("""COMPUTED_VALUE"""),"")</f>
        <v/>
      </c>
      <c r="T1118" s="721"/>
      <c r="U1118" s="721"/>
      <c r="V1118" s="711"/>
      <c r="W1118" s="721"/>
      <c r="X1118" s="721"/>
      <c r="Y1118" s="48"/>
      <c r="Z1118" s="48"/>
      <c r="AA1118" s="48"/>
      <c r="AB1118" s="711"/>
      <c r="AC1118" s="711"/>
      <c r="AD1118" s="711"/>
      <c r="AE1118" s="711"/>
      <c r="AF1118" s="711"/>
      <c r="AG1118" s="711"/>
      <c r="AH1118" s="711"/>
    </row>
    <row r="1119">
      <c r="A1119" s="48"/>
      <c r="B1119" s="48"/>
      <c r="C1119" s="48"/>
      <c r="D1119" s="721"/>
      <c r="E1119" s="711"/>
      <c r="F1119" s="711"/>
      <c r="G1119" s="721"/>
      <c r="H1119" s="721"/>
      <c r="I1119" s="721"/>
      <c r="J1119" s="48"/>
      <c r="K1119" s="721"/>
      <c r="L1119" s="721"/>
      <c r="M1119" s="721"/>
      <c r="N1119" s="719"/>
      <c r="O1119" s="48"/>
      <c r="P1119" s="719"/>
      <c r="Q1119" s="48"/>
      <c r="R1119" s="48"/>
      <c r="S1119" s="711" t="str">
        <f>IFERROR(__xludf.DUMMYFUNCTION("""COMPUTED_VALUE"""),"")</f>
        <v/>
      </c>
      <c r="T1119" s="721"/>
      <c r="U1119" s="721"/>
      <c r="V1119" s="711"/>
      <c r="W1119" s="721"/>
      <c r="X1119" s="721"/>
      <c r="Y1119" s="48"/>
      <c r="Z1119" s="48"/>
      <c r="AA1119" s="48"/>
      <c r="AB1119" s="711"/>
      <c r="AC1119" s="711"/>
      <c r="AD1119" s="711"/>
      <c r="AE1119" s="711"/>
      <c r="AF1119" s="711"/>
      <c r="AG1119" s="711"/>
      <c r="AH1119" s="711"/>
    </row>
    <row r="1120">
      <c r="A1120" s="48"/>
      <c r="B1120" s="48"/>
      <c r="C1120" s="48"/>
      <c r="D1120" s="721"/>
      <c r="E1120" s="711"/>
      <c r="F1120" s="711"/>
      <c r="G1120" s="721"/>
      <c r="H1120" s="721"/>
      <c r="I1120" s="721"/>
      <c r="J1120" s="48"/>
      <c r="K1120" s="721"/>
      <c r="L1120" s="721"/>
      <c r="M1120" s="721"/>
      <c r="N1120" s="719"/>
      <c r="O1120" s="48"/>
      <c r="P1120" s="719"/>
      <c r="Q1120" s="48"/>
      <c r="R1120" s="48"/>
      <c r="S1120" s="711" t="str">
        <f>IFERROR(__xludf.DUMMYFUNCTION("""COMPUTED_VALUE"""),"")</f>
        <v/>
      </c>
      <c r="T1120" s="721"/>
      <c r="U1120" s="721"/>
      <c r="V1120" s="711"/>
      <c r="W1120" s="721"/>
      <c r="X1120" s="721"/>
      <c r="Y1120" s="48"/>
      <c r="Z1120" s="48"/>
      <c r="AA1120" s="48"/>
      <c r="AB1120" s="711"/>
      <c r="AC1120" s="711"/>
      <c r="AD1120" s="711"/>
      <c r="AE1120" s="711"/>
      <c r="AF1120" s="711"/>
      <c r="AG1120" s="711"/>
      <c r="AH1120" s="711"/>
    </row>
    <row r="1121">
      <c r="A1121" s="48"/>
      <c r="B1121" s="48"/>
      <c r="C1121" s="48"/>
      <c r="D1121" s="721"/>
      <c r="E1121" s="711"/>
      <c r="F1121" s="711"/>
      <c r="G1121" s="721"/>
      <c r="H1121" s="721"/>
      <c r="I1121" s="721"/>
      <c r="J1121" s="48"/>
      <c r="K1121" s="721"/>
      <c r="L1121" s="721"/>
      <c r="M1121" s="721"/>
      <c r="N1121" s="719"/>
      <c r="O1121" s="48"/>
      <c r="P1121" s="719"/>
      <c r="Q1121" s="48"/>
      <c r="R1121" s="48"/>
      <c r="S1121" s="711" t="str">
        <f>IFERROR(__xludf.DUMMYFUNCTION("""COMPUTED_VALUE"""),"")</f>
        <v/>
      </c>
      <c r="T1121" s="721"/>
      <c r="U1121" s="721"/>
      <c r="V1121" s="711"/>
      <c r="W1121" s="721"/>
      <c r="X1121" s="721"/>
      <c r="Y1121" s="48"/>
      <c r="Z1121" s="48"/>
      <c r="AA1121" s="48"/>
      <c r="AB1121" s="711"/>
      <c r="AC1121" s="711"/>
      <c r="AD1121" s="711"/>
      <c r="AE1121" s="711"/>
      <c r="AF1121" s="711"/>
      <c r="AG1121" s="711"/>
      <c r="AH1121" s="711"/>
    </row>
    <row r="1122">
      <c r="A1122" s="48"/>
      <c r="B1122" s="48"/>
      <c r="C1122" s="48"/>
      <c r="D1122" s="721"/>
      <c r="E1122" s="711"/>
      <c r="F1122" s="711"/>
      <c r="G1122" s="721"/>
      <c r="H1122" s="721"/>
      <c r="I1122" s="721"/>
      <c r="J1122" s="48"/>
      <c r="K1122" s="721"/>
      <c r="L1122" s="721"/>
      <c r="M1122" s="721"/>
      <c r="N1122" s="719"/>
      <c r="O1122" s="48"/>
      <c r="P1122" s="719"/>
      <c r="Q1122" s="48"/>
      <c r="R1122" s="48"/>
      <c r="S1122" s="711" t="str">
        <f>IFERROR(__xludf.DUMMYFUNCTION("""COMPUTED_VALUE"""),"")</f>
        <v/>
      </c>
      <c r="T1122" s="721"/>
      <c r="U1122" s="721"/>
      <c r="V1122" s="711"/>
      <c r="W1122" s="721"/>
      <c r="X1122" s="721"/>
      <c r="Y1122" s="48"/>
      <c r="Z1122" s="48"/>
      <c r="AA1122" s="48"/>
      <c r="AB1122" s="711"/>
      <c r="AC1122" s="711"/>
      <c r="AD1122" s="711"/>
      <c r="AE1122" s="711"/>
      <c r="AF1122" s="711"/>
      <c r="AG1122" s="711"/>
      <c r="AH1122" s="711"/>
    </row>
    <row r="1123">
      <c r="A1123" s="48"/>
      <c r="B1123" s="48"/>
      <c r="C1123" s="48"/>
      <c r="D1123" s="721"/>
      <c r="E1123" s="711"/>
      <c r="F1123" s="711"/>
      <c r="G1123" s="721"/>
      <c r="H1123" s="721"/>
      <c r="I1123" s="721"/>
      <c r="J1123" s="48"/>
      <c r="K1123" s="721"/>
      <c r="L1123" s="721"/>
      <c r="M1123" s="721"/>
      <c r="N1123" s="719"/>
      <c r="O1123" s="48"/>
      <c r="P1123" s="719"/>
      <c r="Q1123" s="48"/>
      <c r="R1123" s="48"/>
      <c r="S1123" s="711" t="str">
        <f>IFERROR(__xludf.DUMMYFUNCTION("""COMPUTED_VALUE"""),"")</f>
        <v/>
      </c>
      <c r="T1123" s="721"/>
      <c r="U1123" s="721"/>
      <c r="V1123" s="711"/>
      <c r="W1123" s="721"/>
      <c r="X1123" s="721"/>
      <c r="Y1123" s="48"/>
      <c r="Z1123" s="48"/>
      <c r="AA1123" s="48"/>
      <c r="AB1123" s="711"/>
      <c r="AC1123" s="711"/>
      <c r="AD1123" s="711"/>
      <c r="AE1123" s="711"/>
      <c r="AF1123" s="711"/>
      <c r="AG1123" s="711"/>
      <c r="AH1123" s="711"/>
    </row>
    <row r="1124">
      <c r="A1124" s="48"/>
      <c r="B1124" s="48"/>
      <c r="C1124" s="48"/>
      <c r="D1124" s="721"/>
      <c r="E1124" s="711"/>
      <c r="F1124" s="711"/>
      <c r="G1124" s="721"/>
      <c r="H1124" s="721"/>
      <c r="I1124" s="721"/>
      <c r="J1124" s="48"/>
      <c r="K1124" s="721"/>
      <c r="L1124" s="721"/>
      <c r="M1124" s="721"/>
      <c r="N1124" s="719"/>
      <c r="O1124" s="48"/>
      <c r="P1124" s="719"/>
      <c r="Q1124" s="48"/>
      <c r="R1124" s="48"/>
      <c r="S1124" s="711" t="str">
        <f>IFERROR(__xludf.DUMMYFUNCTION("""COMPUTED_VALUE"""),"")</f>
        <v/>
      </c>
      <c r="T1124" s="721"/>
      <c r="U1124" s="721"/>
      <c r="V1124" s="711"/>
      <c r="W1124" s="721"/>
      <c r="X1124" s="721"/>
      <c r="Y1124" s="48"/>
      <c r="Z1124" s="48"/>
      <c r="AA1124" s="48"/>
      <c r="AB1124" s="711"/>
      <c r="AC1124" s="711"/>
      <c r="AD1124" s="711"/>
      <c r="AE1124" s="711"/>
      <c r="AF1124" s="711"/>
      <c r="AG1124" s="711"/>
      <c r="AH1124" s="711"/>
    </row>
    <row r="1125">
      <c r="A1125" s="48"/>
      <c r="B1125" s="48"/>
      <c r="C1125" s="48"/>
      <c r="D1125" s="721"/>
      <c r="E1125" s="711"/>
      <c r="F1125" s="711"/>
      <c r="G1125" s="721"/>
      <c r="H1125" s="721"/>
      <c r="I1125" s="721"/>
      <c r="J1125" s="48"/>
      <c r="K1125" s="721"/>
      <c r="L1125" s="721"/>
      <c r="M1125" s="721"/>
      <c r="N1125" s="719"/>
      <c r="O1125" s="48"/>
      <c r="P1125" s="719"/>
      <c r="Q1125" s="48"/>
      <c r="R1125" s="48"/>
      <c r="S1125" s="711" t="str">
        <f>IFERROR(__xludf.DUMMYFUNCTION("""COMPUTED_VALUE"""),"")</f>
        <v/>
      </c>
      <c r="T1125" s="721"/>
      <c r="U1125" s="721"/>
      <c r="V1125" s="711"/>
      <c r="W1125" s="721"/>
      <c r="X1125" s="721"/>
      <c r="Y1125" s="48"/>
      <c r="Z1125" s="48"/>
      <c r="AA1125" s="48"/>
      <c r="AB1125" s="711"/>
      <c r="AC1125" s="711"/>
      <c r="AD1125" s="711"/>
      <c r="AE1125" s="711"/>
      <c r="AF1125" s="711"/>
      <c r="AG1125" s="711"/>
      <c r="AH1125" s="711"/>
    </row>
    <row r="1126">
      <c r="A1126" s="48"/>
      <c r="B1126" s="48"/>
      <c r="C1126" s="48"/>
      <c r="D1126" s="721"/>
      <c r="E1126" s="711"/>
      <c r="F1126" s="711"/>
      <c r="G1126" s="721"/>
      <c r="H1126" s="721"/>
      <c r="I1126" s="721"/>
      <c r="J1126" s="48"/>
      <c r="K1126" s="721"/>
      <c r="L1126" s="721"/>
      <c r="M1126" s="721"/>
      <c r="N1126" s="719"/>
      <c r="O1126" s="48"/>
      <c r="P1126" s="719"/>
      <c r="Q1126" s="48"/>
      <c r="R1126" s="48"/>
      <c r="S1126" s="711" t="str">
        <f>IFERROR(__xludf.DUMMYFUNCTION("""COMPUTED_VALUE"""),"")</f>
        <v/>
      </c>
      <c r="T1126" s="721"/>
      <c r="U1126" s="721"/>
      <c r="V1126" s="711"/>
      <c r="W1126" s="721"/>
      <c r="X1126" s="721"/>
      <c r="Y1126" s="48"/>
      <c r="Z1126" s="48"/>
      <c r="AA1126" s="48"/>
      <c r="AB1126" s="711"/>
      <c r="AC1126" s="711"/>
      <c r="AD1126" s="711"/>
      <c r="AE1126" s="711"/>
      <c r="AF1126" s="711"/>
      <c r="AG1126" s="711"/>
      <c r="AH1126" s="711"/>
    </row>
    <row r="1127">
      <c r="A1127" s="48"/>
      <c r="B1127" s="48"/>
      <c r="C1127" s="48"/>
      <c r="D1127" s="721"/>
      <c r="E1127" s="711"/>
      <c r="F1127" s="711"/>
      <c r="G1127" s="721"/>
      <c r="H1127" s="721"/>
      <c r="I1127" s="721"/>
      <c r="J1127" s="48"/>
      <c r="K1127" s="721"/>
      <c r="L1127" s="721"/>
      <c r="M1127" s="721"/>
      <c r="N1127" s="719"/>
      <c r="O1127" s="48"/>
      <c r="P1127" s="719"/>
      <c r="Q1127" s="48"/>
      <c r="R1127" s="48"/>
      <c r="S1127" s="711" t="str">
        <f>IFERROR(__xludf.DUMMYFUNCTION("""COMPUTED_VALUE"""),"")</f>
        <v/>
      </c>
      <c r="T1127" s="721"/>
      <c r="U1127" s="721"/>
      <c r="V1127" s="711"/>
      <c r="W1127" s="721"/>
      <c r="X1127" s="721"/>
      <c r="Y1127" s="48"/>
      <c r="Z1127" s="48"/>
      <c r="AA1127" s="48"/>
      <c r="AB1127" s="711"/>
      <c r="AC1127" s="711"/>
      <c r="AD1127" s="711"/>
      <c r="AE1127" s="711"/>
      <c r="AF1127" s="711"/>
      <c r="AG1127" s="711"/>
      <c r="AH1127" s="711"/>
    </row>
    <row r="1128">
      <c r="A1128" s="48"/>
      <c r="B1128" s="48"/>
      <c r="C1128" s="48"/>
      <c r="D1128" s="721"/>
      <c r="E1128" s="711"/>
      <c r="F1128" s="711"/>
      <c r="G1128" s="721"/>
      <c r="H1128" s="721"/>
      <c r="I1128" s="721"/>
      <c r="J1128" s="48"/>
      <c r="K1128" s="721"/>
      <c r="L1128" s="721"/>
      <c r="M1128" s="721"/>
      <c r="N1128" s="719"/>
      <c r="O1128" s="48"/>
      <c r="P1128" s="719"/>
      <c r="Q1128" s="48"/>
      <c r="R1128" s="48"/>
      <c r="S1128" s="711" t="str">
        <f>IFERROR(__xludf.DUMMYFUNCTION("""COMPUTED_VALUE"""),"")</f>
        <v/>
      </c>
      <c r="T1128" s="721"/>
      <c r="U1128" s="721"/>
      <c r="V1128" s="711"/>
      <c r="W1128" s="721"/>
      <c r="X1128" s="721"/>
      <c r="Y1128" s="48"/>
      <c r="Z1128" s="48"/>
      <c r="AA1128" s="48"/>
      <c r="AB1128" s="711"/>
      <c r="AC1128" s="711"/>
      <c r="AD1128" s="711"/>
      <c r="AE1128" s="711"/>
      <c r="AF1128" s="711"/>
      <c r="AG1128" s="711"/>
      <c r="AH1128" s="711"/>
    </row>
    <row r="1129">
      <c r="A1129" s="48"/>
      <c r="B1129" s="48"/>
      <c r="C1129" s="48"/>
      <c r="D1129" s="721"/>
      <c r="E1129" s="711"/>
      <c r="F1129" s="711"/>
      <c r="G1129" s="721"/>
      <c r="H1129" s="721"/>
      <c r="I1129" s="721"/>
      <c r="J1129" s="48"/>
      <c r="K1129" s="721"/>
      <c r="L1129" s="721"/>
      <c r="M1129" s="721"/>
      <c r="N1129" s="719"/>
      <c r="O1129" s="48"/>
      <c r="P1129" s="719"/>
      <c r="Q1129" s="48"/>
      <c r="R1129" s="48"/>
      <c r="S1129" s="711" t="str">
        <f>IFERROR(__xludf.DUMMYFUNCTION("""COMPUTED_VALUE"""),"")</f>
        <v/>
      </c>
      <c r="T1129" s="721"/>
      <c r="U1129" s="721"/>
      <c r="V1129" s="711"/>
      <c r="W1129" s="721"/>
      <c r="X1129" s="721"/>
      <c r="Y1129" s="48"/>
      <c r="Z1129" s="48"/>
      <c r="AA1129" s="48"/>
      <c r="AB1129" s="711"/>
      <c r="AC1129" s="711"/>
      <c r="AD1129" s="711"/>
      <c r="AE1129" s="711"/>
      <c r="AF1129" s="711"/>
      <c r="AG1129" s="711"/>
      <c r="AH1129" s="711"/>
    </row>
    <row r="1130">
      <c r="A1130" s="48"/>
      <c r="B1130" s="48"/>
      <c r="C1130" s="48"/>
      <c r="D1130" s="721"/>
      <c r="E1130" s="711"/>
      <c r="F1130" s="711"/>
      <c r="G1130" s="721"/>
      <c r="H1130" s="721"/>
      <c r="I1130" s="721"/>
      <c r="J1130" s="48"/>
      <c r="K1130" s="721"/>
      <c r="L1130" s="721"/>
      <c r="M1130" s="721"/>
      <c r="N1130" s="719"/>
      <c r="O1130" s="48"/>
      <c r="P1130" s="719"/>
      <c r="Q1130" s="48"/>
      <c r="R1130" s="48"/>
      <c r="S1130" s="711" t="str">
        <f>IFERROR(__xludf.DUMMYFUNCTION("""COMPUTED_VALUE"""),"")</f>
        <v/>
      </c>
      <c r="T1130" s="721"/>
      <c r="U1130" s="721"/>
      <c r="V1130" s="711"/>
      <c r="W1130" s="721"/>
      <c r="X1130" s="721"/>
      <c r="Y1130" s="48"/>
      <c r="Z1130" s="48"/>
      <c r="AA1130" s="48"/>
      <c r="AB1130" s="711"/>
      <c r="AC1130" s="711"/>
      <c r="AD1130" s="711"/>
      <c r="AE1130" s="711"/>
      <c r="AF1130" s="711"/>
      <c r="AG1130" s="711"/>
      <c r="AH1130" s="711"/>
    </row>
    <row r="1131">
      <c r="A1131" s="48"/>
      <c r="B1131" s="48"/>
      <c r="C1131" s="48"/>
      <c r="D1131" s="721"/>
      <c r="E1131" s="711"/>
      <c r="F1131" s="711"/>
      <c r="G1131" s="721"/>
      <c r="H1131" s="721"/>
      <c r="I1131" s="721"/>
      <c r="J1131" s="48"/>
      <c r="K1131" s="721"/>
      <c r="L1131" s="721"/>
      <c r="M1131" s="721"/>
      <c r="N1131" s="719"/>
      <c r="O1131" s="48"/>
      <c r="P1131" s="719"/>
      <c r="Q1131" s="48"/>
      <c r="R1131" s="48"/>
      <c r="S1131" s="711" t="str">
        <f>IFERROR(__xludf.DUMMYFUNCTION("""COMPUTED_VALUE"""),"")</f>
        <v/>
      </c>
      <c r="T1131" s="721"/>
      <c r="U1131" s="721"/>
      <c r="V1131" s="711"/>
      <c r="W1131" s="721"/>
      <c r="X1131" s="721"/>
      <c r="Y1131" s="48"/>
      <c r="Z1131" s="48"/>
      <c r="AA1131" s="48"/>
      <c r="AB1131" s="711"/>
      <c r="AC1131" s="711"/>
      <c r="AD1131" s="711"/>
      <c r="AE1131" s="711"/>
      <c r="AF1131" s="711"/>
      <c r="AG1131" s="711"/>
      <c r="AH1131" s="711"/>
    </row>
    <row r="1132">
      <c r="A1132" s="48"/>
      <c r="B1132" s="48"/>
      <c r="C1132" s="48"/>
      <c r="D1132" s="721"/>
      <c r="E1132" s="711"/>
      <c r="F1132" s="711"/>
      <c r="G1132" s="721"/>
      <c r="H1132" s="721"/>
      <c r="I1132" s="721"/>
      <c r="J1132" s="48"/>
      <c r="K1132" s="721"/>
      <c r="L1132" s="721"/>
      <c r="M1132" s="721"/>
      <c r="N1132" s="719"/>
      <c r="O1132" s="48"/>
      <c r="P1132" s="719"/>
      <c r="Q1132" s="48"/>
      <c r="R1132" s="48"/>
      <c r="S1132" s="711" t="str">
        <f>IFERROR(__xludf.DUMMYFUNCTION("""COMPUTED_VALUE"""),"")</f>
        <v/>
      </c>
      <c r="T1132" s="721"/>
      <c r="U1132" s="721"/>
      <c r="V1132" s="711"/>
      <c r="W1132" s="721"/>
      <c r="X1132" s="721"/>
      <c r="Y1132" s="48"/>
      <c r="Z1132" s="48"/>
      <c r="AA1132" s="48"/>
      <c r="AB1132" s="711"/>
      <c r="AC1132" s="711"/>
      <c r="AD1132" s="711"/>
      <c r="AE1132" s="711"/>
      <c r="AF1132" s="711"/>
      <c r="AG1132" s="711"/>
      <c r="AH1132" s="711"/>
    </row>
    <row r="1133">
      <c r="A1133" s="48"/>
      <c r="B1133" s="48"/>
      <c r="C1133" s="48"/>
      <c r="D1133" s="721"/>
      <c r="E1133" s="711"/>
      <c r="F1133" s="711"/>
      <c r="G1133" s="721"/>
      <c r="H1133" s="721"/>
      <c r="I1133" s="721"/>
      <c r="J1133" s="48"/>
      <c r="K1133" s="721"/>
      <c r="L1133" s="721"/>
      <c r="M1133" s="721"/>
      <c r="N1133" s="719"/>
      <c r="O1133" s="48"/>
      <c r="P1133" s="719"/>
      <c r="Q1133" s="48"/>
      <c r="R1133" s="48"/>
      <c r="S1133" s="711" t="str">
        <f>IFERROR(__xludf.DUMMYFUNCTION("""COMPUTED_VALUE"""),"")</f>
        <v/>
      </c>
      <c r="T1133" s="721"/>
      <c r="U1133" s="721"/>
      <c r="V1133" s="711"/>
      <c r="W1133" s="721"/>
      <c r="X1133" s="721"/>
      <c r="Y1133" s="48"/>
      <c r="Z1133" s="48"/>
      <c r="AA1133" s="48"/>
      <c r="AB1133" s="711"/>
      <c r="AC1133" s="711"/>
      <c r="AD1133" s="711"/>
      <c r="AE1133" s="711"/>
      <c r="AF1133" s="711"/>
      <c r="AG1133" s="711"/>
      <c r="AH1133" s="711"/>
    </row>
    <row r="1134">
      <c r="A1134" s="48"/>
      <c r="B1134" s="48"/>
      <c r="C1134" s="48"/>
      <c r="D1134" s="721"/>
      <c r="E1134" s="711"/>
      <c r="F1134" s="711"/>
      <c r="G1134" s="721"/>
      <c r="H1134" s="721"/>
      <c r="I1134" s="721"/>
      <c r="J1134" s="48"/>
      <c r="K1134" s="721"/>
      <c r="L1134" s="721"/>
      <c r="M1134" s="721"/>
      <c r="N1134" s="719"/>
      <c r="O1134" s="48"/>
      <c r="P1134" s="719"/>
      <c r="Q1134" s="48"/>
      <c r="R1134" s="48"/>
      <c r="S1134" s="711" t="str">
        <f>IFERROR(__xludf.DUMMYFUNCTION("""COMPUTED_VALUE"""),"")</f>
        <v/>
      </c>
      <c r="T1134" s="721"/>
      <c r="U1134" s="721"/>
      <c r="V1134" s="711"/>
      <c r="W1134" s="721"/>
      <c r="X1134" s="721"/>
      <c r="Y1134" s="48"/>
      <c r="Z1134" s="48"/>
      <c r="AA1134" s="48"/>
      <c r="AB1134" s="711"/>
      <c r="AC1134" s="711"/>
      <c r="AD1134" s="711"/>
      <c r="AE1134" s="711"/>
      <c r="AF1134" s="711"/>
      <c r="AG1134" s="711"/>
      <c r="AH1134" s="711"/>
    </row>
    <row r="1135">
      <c r="A1135" s="48"/>
      <c r="B1135" s="48"/>
      <c r="C1135" s="48"/>
      <c r="D1135" s="721"/>
      <c r="E1135" s="711"/>
      <c r="F1135" s="711"/>
      <c r="G1135" s="721"/>
      <c r="H1135" s="721"/>
      <c r="I1135" s="721"/>
      <c r="J1135" s="48"/>
      <c r="K1135" s="721"/>
      <c r="L1135" s="721"/>
      <c r="M1135" s="721"/>
      <c r="N1135" s="719"/>
      <c r="O1135" s="48"/>
      <c r="P1135" s="719"/>
      <c r="Q1135" s="48"/>
      <c r="R1135" s="48"/>
      <c r="S1135" s="711" t="str">
        <f>IFERROR(__xludf.DUMMYFUNCTION("""COMPUTED_VALUE"""),"")</f>
        <v/>
      </c>
      <c r="T1135" s="721"/>
      <c r="U1135" s="721"/>
      <c r="V1135" s="711"/>
      <c r="W1135" s="721"/>
      <c r="X1135" s="721"/>
      <c r="Y1135" s="48"/>
      <c r="Z1135" s="48"/>
      <c r="AA1135" s="48"/>
      <c r="AB1135" s="711"/>
      <c r="AC1135" s="711"/>
      <c r="AD1135" s="711"/>
      <c r="AE1135" s="711"/>
      <c r="AF1135" s="711"/>
      <c r="AG1135" s="711"/>
      <c r="AH1135" s="711"/>
    </row>
    <row r="1136">
      <c r="A1136" s="48"/>
      <c r="B1136" s="48"/>
      <c r="C1136" s="48"/>
      <c r="D1136" s="721"/>
      <c r="E1136" s="711"/>
      <c r="F1136" s="711"/>
      <c r="G1136" s="721"/>
      <c r="H1136" s="721"/>
      <c r="I1136" s="721"/>
      <c r="J1136" s="48"/>
      <c r="K1136" s="721"/>
      <c r="L1136" s="721"/>
      <c r="M1136" s="721"/>
      <c r="N1136" s="719"/>
      <c r="O1136" s="48"/>
      <c r="P1136" s="719"/>
      <c r="Q1136" s="48"/>
      <c r="R1136" s="48"/>
      <c r="S1136" s="711" t="str">
        <f>IFERROR(__xludf.DUMMYFUNCTION("""COMPUTED_VALUE"""),"")</f>
        <v/>
      </c>
      <c r="T1136" s="721"/>
      <c r="U1136" s="721"/>
      <c r="V1136" s="711"/>
      <c r="W1136" s="721"/>
      <c r="X1136" s="721"/>
      <c r="Y1136" s="48"/>
      <c r="Z1136" s="48"/>
      <c r="AA1136" s="48"/>
      <c r="AB1136" s="711"/>
      <c r="AC1136" s="711"/>
      <c r="AD1136" s="711"/>
      <c r="AE1136" s="711"/>
      <c r="AF1136" s="711"/>
      <c r="AG1136" s="711"/>
      <c r="AH1136" s="711"/>
    </row>
    <row r="1137">
      <c r="A1137" s="48"/>
      <c r="B1137" s="48"/>
      <c r="C1137" s="48"/>
      <c r="D1137" s="721"/>
      <c r="E1137" s="711"/>
      <c r="F1137" s="711"/>
      <c r="G1137" s="721"/>
      <c r="H1137" s="721"/>
      <c r="I1137" s="721"/>
      <c r="J1137" s="48"/>
      <c r="K1137" s="721"/>
      <c r="L1137" s="721"/>
      <c r="M1137" s="721"/>
      <c r="N1137" s="719"/>
      <c r="O1137" s="48"/>
      <c r="P1137" s="719"/>
      <c r="Q1137" s="48"/>
      <c r="R1137" s="48"/>
      <c r="S1137" s="711" t="str">
        <f>IFERROR(__xludf.DUMMYFUNCTION("""COMPUTED_VALUE"""),"")</f>
        <v/>
      </c>
      <c r="T1137" s="721"/>
      <c r="U1137" s="721"/>
      <c r="V1137" s="711"/>
      <c r="W1137" s="721"/>
      <c r="X1137" s="721"/>
      <c r="Y1137" s="48"/>
      <c r="Z1137" s="48"/>
      <c r="AA1137" s="48"/>
      <c r="AB1137" s="711"/>
      <c r="AC1137" s="711"/>
      <c r="AD1137" s="711"/>
      <c r="AE1137" s="711"/>
      <c r="AF1137" s="711"/>
      <c r="AG1137" s="711"/>
      <c r="AH1137" s="711"/>
    </row>
    <row r="1138">
      <c r="A1138" s="48"/>
      <c r="B1138" s="48"/>
      <c r="C1138" s="48"/>
      <c r="D1138" s="721"/>
      <c r="E1138" s="711"/>
      <c r="F1138" s="711"/>
      <c r="G1138" s="721"/>
      <c r="H1138" s="721"/>
      <c r="I1138" s="721"/>
      <c r="J1138" s="48"/>
      <c r="K1138" s="721"/>
      <c r="L1138" s="721"/>
      <c r="M1138" s="721"/>
      <c r="N1138" s="719"/>
      <c r="O1138" s="48"/>
      <c r="P1138" s="719"/>
      <c r="Q1138" s="48"/>
      <c r="R1138" s="48"/>
      <c r="S1138" s="711" t="str">
        <f>IFERROR(__xludf.DUMMYFUNCTION("""COMPUTED_VALUE"""),"")</f>
        <v/>
      </c>
      <c r="T1138" s="721"/>
      <c r="U1138" s="721"/>
      <c r="V1138" s="711"/>
      <c r="W1138" s="721"/>
      <c r="X1138" s="721"/>
      <c r="Y1138" s="48"/>
      <c r="Z1138" s="48"/>
      <c r="AA1138" s="48"/>
      <c r="AB1138" s="711"/>
      <c r="AC1138" s="711"/>
      <c r="AD1138" s="711"/>
      <c r="AE1138" s="711"/>
      <c r="AF1138" s="711"/>
      <c r="AG1138" s="711"/>
      <c r="AH1138" s="711"/>
    </row>
    <row r="1139">
      <c r="A1139" s="48"/>
      <c r="B1139" s="48"/>
      <c r="C1139" s="48"/>
      <c r="D1139" s="721"/>
      <c r="E1139" s="711"/>
      <c r="F1139" s="711"/>
      <c r="G1139" s="721"/>
      <c r="H1139" s="721"/>
      <c r="I1139" s="721"/>
      <c r="J1139" s="48"/>
      <c r="K1139" s="721"/>
      <c r="L1139" s="721"/>
      <c r="M1139" s="721"/>
      <c r="N1139" s="719"/>
      <c r="O1139" s="48"/>
      <c r="P1139" s="719"/>
      <c r="Q1139" s="48"/>
      <c r="R1139" s="48"/>
      <c r="S1139" s="711" t="str">
        <f>IFERROR(__xludf.DUMMYFUNCTION("""COMPUTED_VALUE"""),"")</f>
        <v/>
      </c>
      <c r="T1139" s="721"/>
      <c r="U1139" s="721"/>
      <c r="V1139" s="711"/>
      <c r="W1139" s="721"/>
      <c r="X1139" s="721"/>
      <c r="Y1139" s="48"/>
      <c r="Z1139" s="48"/>
      <c r="AA1139" s="48"/>
      <c r="AB1139" s="711"/>
      <c r="AC1139" s="711"/>
      <c r="AD1139" s="711"/>
      <c r="AE1139" s="711"/>
      <c r="AF1139" s="711"/>
      <c r="AG1139" s="711"/>
      <c r="AH1139" s="711"/>
    </row>
    <row r="1140">
      <c r="A1140" s="48"/>
      <c r="B1140" s="48"/>
      <c r="C1140" s="48"/>
      <c r="D1140" s="721"/>
      <c r="E1140" s="711"/>
      <c r="F1140" s="711"/>
      <c r="G1140" s="721"/>
      <c r="H1140" s="721"/>
      <c r="I1140" s="721"/>
      <c r="J1140" s="48"/>
      <c r="K1140" s="721"/>
      <c r="L1140" s="721"/>
      <c r="M1140" s="721"/>
      <c r="N1140" s="719"/>
      <c r="O1140" s="48"/>
      <c r="P1140" s="719"/>
      <c r="Q1140" s="48"/>
      <c r="R1140" s="48"/>
      <c r="S1140" s="711" t="str">
        <f>IFERROR(__xludf.DUMMYFUNCTION("""COMPUTED_VALUE"""),"")</f>
        <v/>
      </c>
      <c r="T1140" s="721"/>
      <c r="U1140" s="721"/>
      <c r="V1140" s="711"/>
      <c r="W1140" s="721"/>
      <c r="X1140" s="721"/>
      <c r="Y1140" s="48"/>
      <c r="Z1140" s="48"/>
      <c r="AA1140" s="48"/>
      <c r="AB1140" s="711"/>
      <c r="AC1140" s="711"/>
      <c r="AD1140" s="711"/>
      <c r="AE1140" s="711"/>
      <c r="AF1140" s="711"/>
      <c r="AG1140" s="711"/>
      <c r="AH1140" s="711"/>
    </row>
    <row r="1141">
      <c r="A1141" s="48"/>
      <c r="B1141" s="48"/>
      <c r="C1141" s="48"/>
      <c r="D1141" s="721"/>
      <c r="E1141" s="711"/>
      <c r="F1141" s="711"/>
      <c r="G1141" s="721"/>
      <c r="H1141" s="721"/>
      <c r="I1141" s="721"/>
      <c r="J1141" s="48"/>
      <c r="K1141" s="721"/>
      <c r="L1141" s="721"/>
      <c r="M1141" s="721"/>
      <c r="N1141" s="719"/>
      <c r="O1141" s="48"/>
      <c r="P1141" s="719"/>
      <c r="Q1141" s="48"/>
      <c r="R1141" s="48"/>
      <c r="S1141" s="711" t="str">
        <f>IFERROR(__xludf.DUMMYFUNCTION("""COMPUTED_VALUE"""),"")</f>
        <v/>
      </c>
      <c r="T1141" s="721"/>
      <c r="U1141" s="721"/>
      <c r="V1141" s="711"/>
      <c r="W1141" s="721"/>
      <c r="X1141" s="721"/>
      <c r="Y1141" s="48"/>
      <c r="Z1141" s="48"/>
      <c r="AA1141" s="48"/>
      <c r="AB1141" s="711"/>
      <c r="AC1141" s="711"/>
      <c r="AD1141" s="711"/>
      <c r="AE1141" s="711"/>
      <c r="AF1141" s="711"/>
      <c r="AG1141" s="711"/>
      <c r="AH1141" s="711"/>
    </row>
    <row r="1142">
      <c r="A1142" s="48"/>
      <c r="B1142" s="48"/>
      <c r="C1142" s="48"/>
      <c r="D1142" s="721"/>
      <c r="E1142" s="711"/>
      <c r="F1142" s="711"/>
      <c r="G1142" s="721"/>
      <c r="H1142" s="721"/>
      <c r="I1142" s="721"/>
      <c r="J1142" s="48"/>
      <c r="K1142" s="721"/>
      <c r="L1142" s="721"/>
      <c r="M1142" s="721"/>
      <c r="N1142" s="719"/>
      <c r="O1142" s="48"/>
      <c r="P1142" s="719"/>
      <c r="Q1142" s="48"/>
      <c r="R1142" s="48"/>
      <c r="S1142" s="711" t="str">
        <f>IFERROR(__xludf.DUMMYFUNCTION("""COMPUTED_VALUE"""),"")</f>
        <v/>
      </c>
      <c r="T1142" s="721"/>
      <c r="U1142" s="721"/>
      <c r="V1142" s="711"/>
      <c r="W1142" s="721"/>
      <c r="X1142" s="721"/>
      <c r="Y1142" s="48"/>
      <c r="Z1142" s="48"/>
      <c r="AA1142" s="48"/>
      <c r="AB1142" s="711"/>
      <c r="AC1142" s="711"/>
      <c r="AD1142" s="711"/>
      <c r="AE1142" s="711"/>
      <c r="AF1142" s="711"/>
      <c r="AG1142" s="711"/>
      <c r="AH1142" s="711"/>
    </row>
    <row r="1143">
      <c r="A1143" s="48"/>
      <c r="B1143" s="48"/>
      <c r="C1143" s="48"/>
      <c r="D1143" s="721"/>
      <c r="E1143" s="711"/>
      <c r="F1143" s="711"/>
      <c r="G1143" s="721"/>
      <c r="H1143" s="721"/>
      <c r="I1143" s="721"/>
      <c r="J1143" s="48"/>
      <c r="K1143" s="721"/>
      <c r="L1143" s="721"/>
      <c r="M1143" s="721"/>
      <c r="N1143" s="719"/>
      <c r="O1143" s="48"/>
      <c r="P1143" s="719"/>
      <c r="Q1143" s="48"/>
      <c r="R1143" s="48"/>
      <c r="S1143" s="711" t="str">
        <f>IFERROR(__xludf.DUMMYFUNCTION("""COMPUTED_VALUE"""),"")</f>
        <v/>
      </c>
      <c r="T1143" s="721"/>
      <c r="U1143" s="721"/>
      <c r="V1143" s="711"/>
      <c r="W1143" s="721"/>
      <c r="X1143" s="721"/>
      <c r="Y1143" s="48"/>
      <c r="Z1143" s="48"/>
      <c r="AA1143" s="48"/>
      <c r="AB1143" s="711"/>
      <c r="AC1143" s="711"/>
      <c r="AD1143" s="711"/>
      <c r="AE1143" s="711"/>
      <c r="AF1143" s="711"/>
      <c r="AG1143" s="711"/>
      <c r="AH1143" s="711"/>
    </row>
    <row r="1144">
      <c r="A1144" s="48"/>
      <c r="B1144" s="48"/>
      <c r="C1144" s="48"/>
      <c r="D1144" s="721"/>
      <c r="E1144" s="711"/>
      <c r="F1144" s="711"/>
      <c r="G1144" s="721"/>
      <c r="H1144" s="721"/>
      <c r="I1144" s="721"/>
      <c r="J1144" s="48"/>
      <c r="K1144" s="721"/>
      <c r="L1144" s="721"/>
      <c r="M1144" s="721"/>
      <c r="N1144" s="719"/>
      <c r="O1144" s="48"/>
      <c r="P1144" s="719"/>
      <c r="Q1144" s="48"/>
      <c r="R1144" s="48"/>
      <c r="S1144" s="711" t="str">
        <f>IFERROR(__xludf.DUMMYFUNCTION("""COMPUTED_VALUE"""),"")</f>
        <v/>
      </c>
      <c r="T1144" s="721"/>
      <c r="U1144" s="721"/>
      <c r="V1144" s="711"/>
      <c r="W1144" s="721"/>
      <c r="X1144" s="721"/>
      <c r="Y1144" s="48"/>
      <c r="Z1144" s="48"/>
      <c r="AA1144" s="48"/>
      <c r="AB1144" s="711"/>
      <c r="AC1144" s="711"/>
      <c r="AD1144" s="711"/>
      <c r="AE1144" s="711"/>
      <c r="AF1144" s="711"/>
      <c r="AG1144" s="711"/>
      <c r="AH1144" s="711"/>
    </row>
    <row r="1145">
      <c r="A1145" s="48"/>
      <c r="B1145" s="48"/>
      <c r="C1145" s="48"/>
      <c r="D1145" s="721"/>
      <c r="E1145" s="711"/>
      <c r="F1145" s="711"/>
      <c r="G1145" s="721"/>
      <c r="H1145" s="721"/>
      <c r="I1145" s="721"/>
      <c r="J1145" s="48"/>
      <c r="K1145" s="721"/>
      <c r="L1145" s="721"/>
      <c r="M1145" s="721"/>
      <c r="N1145" s="719"/>
      <c r="O1145" s="48"/>
      <c r="P1145" s="719"/>
      <c r="Q1145" s="48"/>
      <c r="R1145" s="48"/>
      <c r="S1145" s="711" t="str">
        <f>IFERROR(__xludf.DUMMYFUNCTION("""COMPUTED_VALUE"""),"")</f>
        <v/>
      </c>
      <c r="T1145" s="721"/>
      <c r="U1145" s="721"/>
      <c r="V1145" s="711"/>
      <c r="W1145" s="721"/>
      <c r="X1145" s="721"/>
      <c r="Y1145" s="48"/>
      <c r="Z1145" s="48"/>
      <c r="AA1145" s="48"/>
      <c r="AB1145" s="711"/>
      <c r="AC1145" s="711"/>
      <c r="AD1145" s="711"/>
      <c r="AE1145" s="711"/>
      <c r="AF1145" s="711"/>
      <c r="AG1145" s="711"/>
      <c r="AH1145" s="711"/>
    </row>
    <row r="1146">
      <c r="A1146" s="48"/>
      <c r="B1146" s="48"/>
      <c r="C1146" s="48"/>
      <c r="D1146" s="721"/>
      <c r="E1146" s="711"/>
      <c r="F1146" s="711"/>
      <c r="G1146" s="721"/>
      <c r="H1146" s="721"/>
      <c r="I1146" s="721"/>
      <c r="J1146" s="48"/>
      <c r="K1146" s="721"/>
      <c r="L1146" s="721"/>
      <c r="M1146" s="721"/>
      <c r="N1146" s="719"/>
      <c r="O1146" s="48"/>
      <c r="P1146" s="719"/>
      <c r="Q1146" s="48"/>
      <c r="R1146" s="48"/>
      <c r="S1146" s="711" t="str">
        <f>IFERROR(__xludf.DUMMYFUNCTION("""COMPUTED_VALUE"""),"")</f>
        <v/>
      </c>
      <c r="T1146" s="721"/>
      <c r="U1146" s="721"/>
      <c r="V1146" s="711"/>
      <c r="W1146" s="721"/>
      <c r="X1146" s="721"/>
      <c r="Y1146" s="48"/>
      <c r="Z1146" s="48"/>
      <c r="AA1146" s="48"/>
      <c r="AB1146" s="711"/>
      <c r="AC1146" s="711"/>
      <c r="AD1146" s="711"/>
      <c r="AE1146" s="711"/>
      <c r="AF1146" s="711"/>
      <c r="AG1146" s="711"/>
      <c r="AH1146" s="711"/>
    </row>
    <row r="1147">
      <c r="A1147" s="48"/>
      <c r="B1147" s="48"/>
      <c r="C1147" s="48"/>
      <c r="D1147" s="721"/>
      <c r="E1147" s="711"/>
      <c r="F1147" s="711"/>
      <c r="G1147" s="721"/>
      <c r="H1147" s="721"/>
      <c r="I1147" s="721"/>
      <c r="J1147" s="48"/>
      <c r="K1147" s="721"/>
      <c r="L1147" s="721"/>
      <c r="M1147" s="721"/>
      <c r="N1147" s="719"/>
      <c r="O1147" s="48"/>
      <c r="P1147" s="719"/>
      <c r="Q1147" s="48"/>
      <c r="R1147" s="48"/>
      <c r="S1147" s="711" t="str">
        <f>IFERROR(__xludf.DUMMYFUNCTION("""COMPUTED_VALUE"""),"")</f>
        <v/>
      </c>
      <c r="T1147" s="721"/>
      <c r="U1147" s="721"/>
      <c r="V1147" s="711"/>
      <c r="W1147" s="721"/>
      <c r="X1147" s="721"/>
      <c r="Y1147" s="48"/>
      <c r="Z1147" s="48"/>
      <c r="AA1147" s="48"/>
      <c r="AB1147" s="711"/>
      <c r="AC1147" s="711"/>
      <c r="AD1147" s="711"/>
      <c r="AE1147" s="711"/>
      <c r="AF1147" s="711"/>
      <c r="AG1147" s="711"/>
      <c r="AH1147" s="711"/>
    </row>
    <row r="1148">
      <c r="A1148" s="48"/>
      <c r="B1148" s="48"/>
      <c r="C1148" s="48"/>
      <c r="D1148" s="721"/>
      <c r="E1148" s="711"/>
      <c r="F1148" s="711"/>
      <c r="G1148" s="721"/>
      <c r="H1148" s="721"/>
      <c r="I1148" s="721"/>
      <c r="J1148" s="48"/>
      <c r="K1148" s="721"/>
      <c r="L1148" s="721"/>
      <c r="M1148" s="721"/>
      <c r="N1148" s="719"/>
      <c r="O1148" s="48"/>
      <c r="P1148" s="719"/>
      <c r="Q1148" s="48"/>
      <c r="R1148" s="48"/>
      <c r="S1148" s="711" t="str">
        <f>IFERROR(__xludf.DUMMYFUNCTION("""COMPUTED_VALUE"""),"")</f>
        <v/>
      </c>
      <c r="T1148" s="721"/>
      <c r="U1148" s="721"/>
      <c r="V1148" s="711"/>
      <c r="W1148" s="721"/>
      <c r="X1148" s="721"/>
      <c r="Y1148" s="48"/>
      <c r="Z1148" s="48"/>
      <c r="AA1148" s="48"/>
      <c r="AB1148" s="711"/>
      <c r="AC1148" s="711"/>
      <c r="AD1148" s="711"/>
      <c r="AE1148" s="711"/>
      <c r="AF1148" s="711"/>
      <c r="AG1148" s="711"/>
      <c r="AH1148" s="711"/>
    </row>
    <row r="1149">
      <c r="A1149" s="48"/>
      <c r="B1149" s="48"/>
      <c r="C1149" s="48"/>
      <c r="D1149" s="721"/>
      <c r="E1149" s="711"/>
      <c r="F1149" s="711"/>
      <c r="G1149" s="721"/>
      <c r="H1149" s="721"/>
      <c r="I1149" s="721"/>
      <c r="J1149" s="48"/>
      <c r="K1149" s="721"/>
      <c r="L1149" s="721"/>
      <c r="M1149" s="721"/>
      <c r="N1149" s="719"/>
      <c r="O1149" s="48"/>
      <c r="P1149" s="719"/>
      <c r="Q1149" s="48"/>
      <c r="R1149" s="48"/>
      <c r="S1149" s="711" t="str">
        <f>IFERROR(__xludf.DUMMYFUNCTION("""COMPUTED_VALUE"""),"")</f>
        <v/>
      </c>
      <c r="T1149" s="721"/>
      <c r="U1149" s="721"/>
      <c r="V1149" s="711"/>
      <c r="W1149" s="721"/>
      <c r="X1149" s="721"/>
      <c r="Y1149" s="48"/>
      <c r="Z1149" s="48"/>
      <c r="AA1149" s="48"/>
      <c r="AB1149" s="711"/>
      <c r="AC1149" s="711"/>
      <c r="AD1149" s="711"/>
      <c r="AE1149" s="711"/>
      <c r="AF1149" s="711"/>
      <c r="AG1149" s="711"/>
      <c r="AH1149" s="711"/>
    </row>
    <row r="1150">
      <c r="A1150" s="48"/>
      <c r="B1150" s="48"/>
      <c r="C1150" s="48"/>
      <c r="D1150" s="721"/>
      <c r="E1150" s="711"/>
      <c r="F1150" s="711"/>
      <c r="G1150" s="721"/>
      <c r="H1150" s="721"/>
      <c r="I1150" s="721"/>
      <c r="J1150" s="48"/>
      <c r="K1150" s="721"/>
      <c r="L1150" s="721"/>
      <c r="M1150" s="721"/>
      <c r="N1150" s="719"/>
      <c r="O1150" s="48"/>
      <c r="P1150" s="719"/>
      <c r="Q1150" s="48"/>
      <c r="R1150" s="48"/>
      <c r="S1150" s="711" t="str">
        <f>IFERROR(__xludf.DUMMYFUNCTION("""COMPUTED_VALUE"""),"")</f>
        <v/>
      </c>
      <c r="T1150" s="721"/>
      <c r="U1150" s="721"/>
      <c r="V1150" s="711"/>
      <c r="W1150" s="721"/>
      <c r="X1150" s="721"/>
      <c r="Y1150" s="48"/>
      <c r="Z1150" s="48"/>
      <c r="AA1150" s="48"/>
      <c r="AB1150" s="711"/>
      <c r="AC1150" s="711"/>
      <c r="AD1150" s="711"/>
      <c r="AE1150" s="711"/>
      <c r="AF1150" s="711"/>
      <c r="AG1150" s="711"/>
      <c r="AH1150" s="711"/>
    </row>
    <row r="1151">
      <c r="A1151" s="48"/>
      <c r="B1151" s="48"/>
      <c r="C1151" s="48"/>
      <c r="D1151" s="721"/>
      <c r="E1151" s="711"/>
      <c r="F1151" s="711"/>
      <c r="G1151" s="721"/>
      <c r="H1151" s="721"/>
      <c r="I1151" s="721"/>
      <c r="J1151" s="48"/>
      <c r="K1151" s="721"/>
      <c r="L1151" s="721"/>
      <c r="M1151" s="721"/>
      <c r="N1151" s="719"/>
      <c r="O1151" s="48"/>
      <c r="P1151" s="719"/>
      <c r="Q1151" s="48"/>
      <c r="R1151" s="48"/>
      <c r="S1151" s="711" t="str">
        <f>IFERROR(__xludf.DUMMYFUNCTION("""COMPUTED_VALUE"""),"")</f>
        <v/>
      </c>
      <c r="T1151" s="721"/>
      <c r="U1151" s="721"/>
      <c r="V1151" s="711"/>
      <c r="W1151" s="721"/>
      <c r="X1151" s="721"/>
      <c r="Y1151" s="48"/>
      <c r="Z1151" s="48"/>
      <c r="AA1151" s="48"/>
      <c r="AB1151" s="711"/>
      <c r="AC1151" s="711"/>
      <c r="AD1151" s="711"/>
      <c r="AE1151" s="711"/>
      <c r="AF1151" s="711"/>
      <c r="AG1151" s="711"/>
      <c r="AH1151" s="711"/>
    </row>
    <row r="1152">
      <c r="A1152" s="48"/>
      <c r="B1152" s="48"/>
      <c r="C1152" s="48"/>
      <c r="D1152" s="721"/>
      <c r="E1152" s="711"/>
      <c r="F1152" s="711"/>
      <c r="G1152" s="721"/>
      <c r="H1152" s="721"/>
      <c r="I1152" s="721"/>
      <c r="J1152" s="48"/>
      <c r="K1152" s="721"/>
      <c r="L1152" s="721"/>
      <c r="M1152" s="721"/>
      <c r="N1152" s="719"/>
      <c r="O1152" s="48"/>
      <c r="P1152" s="719"/>
      <c r="Q1152" s="48"/>
      <c r="R1152" s="48"/>
      <c r="S1152" s="711" t="str">
        <f>IFERROR(__xludf.DUMMYFUNCTION("""COMPUTED_VALUE"""),"")</f>
        <v/>
      </c>
      <c r="T1152" s="721"/>
      <c r="U1152" s="721"/>
      <c r="V1152" s="711"/>
      <c r="W1152" s="721"/>
      <c r="X1152" s="721"/>
      <c r="Y1152" s="48"/>
      <c r="Z1152" s="48"/>
      <c r="AA1152" s="48"/>
      <c r="AB1152" s="711"/>
      <c r="AC1152" s="711"/>
      <c r="AD1152" s="711"/>
      <c r="AE1152" s="711"/>
      <c r="AF1152" s="711"/>
      <c r="AG1152" s="711"/>
      <c r="AH1152" s="711"/>
    </row>
    <row r="1153">
      <c r="A1153" s="48"/>
      <c r="B1153" s="48"/>
      <c r="C1153" s="48"/>
      <c r="D1153" s="721"/>
      <c r="E1153" s="711"/>
      <c r="F1153" s="711"/>
      <c r="G1153" s="721"/>
      <c r="H1153" s="721"/>
      <c r="I1153" s="721"/>
      <c r="J1153" s="48"/>
      <c r="K1153" s="721"/>
      <c r="L1153" s="721"/>
      <c r="M1153" s="721"/>
      <c r="N1153" s="719"/>
      <c r="O1153" s="48"/>
      <c r="P1153" s="719"/>
      <c r="Q1153" s="48"/>
      <c r="R1153" s="48"/>
      <c r="S1153" s="711" t="str">
        <f>IFERROR(__xludf.DUMMYFUNCTION("""COMPUTED_VALUE"""),"")</f>
        <v/>
      </c>
      <c r="T1153" s="721"/>
      <c r="U1153" s="721"/>
      <c r="V1153" s="711"/>
      <c r="W1153" s="721"/>
      <c r="X1153" s="721"/>
      <c r="Y1153" s="48"/>
      <c r="Z1153" s="48"/>
      <c r="AA1153" s="48"/>
      <c r="AB1153" s="711"/>
      <c r="AC1153" s="711"/>
      <c r="AD1153" s="711"/>
      <c r="AE1153" s="711"/>
      <c r="AF1153" s="711"/>
      <c r="AG1153" s="711"/>
      <c r="AH1153" s="711"/>
    </row>
    <row r="1154">
      <c r="A1154" s="48"/>
      <c r="B1154" s="48"/>
      <c r="C1154" s="48"/>
      <c r="D1154" s="721"/>
      <c r="E1154" s="711"/>
      <c r="F1154" s="711"/>
      <c r="G1154" s="721"/>
      <c r="H1154" s="721"/>
      <c r="I1154" s="721"/>
      <c r="J1154" s="48"/>
      <c r="K1154" s="721"/>
      <c r="L1154" s="721"/>
      <c r="M1154" s="721"/>
      <c r="N1154" s="719"/>
      <c r="O1154" s="48"/>
      <c r="P1154" s="719"/>
      <c r="Q1154" s="48"/>
      <c r="R1154" s="48"/>
      <c r="S1154" s="711" t="str">
        <f>IFERROR(__xludf.DUMMYFUNCTION("""COMPUTED_VALUE"""),"")</f>
        <v/>
      </c>
      <c r="T1154" s="721"/>
      <c r="U1154" s="721"/>
      <c r="V1154" s="711"/>
      <c r="W1154" s="721"/>
      <c r="X1154" s="721"/>
      <c r="Y1154" s="48"/>
      <c r="Z1154" s="48"/>
      <c r="AA1154" s="48"/>
      <c r="AB1154" s="711"/>
      <c r="AC1154" s="711"/>
      <c r="AD1154" s="711"/>
      <c r="AE1154" s="711"/>
      <c r="AF1154" s="711"/>
      <c r="AG1154" s="711"/>
      <c r="AH1154" s="711"/>
    </row>
    <row r="1155">
      <c r="A1155" s="48"/>
      <c r="B1155" s="48"/>
      <c r="C1155" s="48"/>
      <c r="D1155" s="721"/>
      <c r="E1155" s="711"/>
      <c r="F1155" s="711"/>
      <c r="G1155" s="721"/>
      <c r="H1155" s="721"/>
      <c r="I1155" s="721"/>
      <c r="J1155" s="48"/>
      <c r="K1155" s="721"/>
      <c r="L1155" s="721"/>
      <c r="M1155" s="721"/>
      <c r="N1155" s="719"/>
      <c r="O1155" s="48"/>
      <c r="P1155" s="719"/>
      <c r="Q1155" s="48"/>
      <c r="R1155" s="48"/>
      <c r="S1155" s="711" t="str">
        <f>IFERROR(__xludf.DUMMYFUNCTION("""COMPUTED_VALUE"""),"")</f>
        <v/>
      </c>
      <c r="T1155" s="721"/>
      <c r="U1155" s="721"/>
      <c r="V1155" s="711"/>
      <c r="W1155" s="721"/>
      <c r="X1155" s="721"/>
      <c r="Y1155" s="48"/>
      <c r="Z1155" s="48"/>
      <c r="AA1155" s="48"/>
      <c r="AB1155" s="711"/>
      <c r="AC1155" s="711"/>
      <c r="AD1155" s="711"/>
      <c r="AE1155" s="711"/>
      <c r="AF1155" s="711"/>
      <c r="AG1155" s="711"/>
      <c r="AH1155" s="711"/>
    </row>
    <row r="1156">
      <c r="A1156" s="48"/>
      <c r="B1156" s="48"/>
      <c r="C1156" s="48"/>
      <c r="D1156" s="721"/>
      <c r="E1156" s="711"/>
      <c r="F1156" s="711"/>
      <c r="G1156" s="721"/>
      <c r="H1156" s="721"/>
      <c r="I1156" s="721"/>
      <c r="J1156" s="48"/>
      <c r="K1156" s="721"/>
      <c r="L1156" s="721"/>
      <c r="M1156" s="721"/>
      <c r="N1156" s="719"/>
      <c r="O1156" s="48"/>
      <c r="P1156" s="719"/>
      <c r="Q1156" s="48"/>
      <c r="R1156" s="48"/>
      <c r="S1156" s="711" t="str">
        <f>IFERROR(__xludf.DUMMYFUNCTION("""COMPUTED_VALUE"""),"")</f>
        <v/>
      </c>
      <c r="T1156" s="721"/>
      <c r="U1156" s="721"/>
      <c r="V1156" s="711"/>
      <c r="W1156" s="721"/>
      <c r="X1156" s="721"/>
      <c r="Y1156" s="48"/>
      <c r="Z1156" s="48"/>
      <c r="AA1156" s="48"/>
      <c r="AB1156" s="711"/>
      <c r="AC1156" s="711"/>
      <c r="AD1156" s="711"/>
      <c r="AE1156" s="711"/>
      <c r="AF1156" s="711"/>
      <c r="AG1156" s="711"/>
      <c r="AH1156" s="711"/>
    </row>
    <row r="1157">
      <c r="A1157" s="48"/>
      <c r="B1157" s="48"/>
      <c r="C1157" s="48"/>
      <c r="D1157" s="721"/>
      <c r="E1157" s="711"/>
      <c r="F1157" s="711"/>
      <c r="G1157" s="721"/>
      <c r="H1157" s="721"/>
      <c r="I1157" s="721"/>
      <c r="J1157" s="48"/>
      <c r="K1157" s="721"/>
      <c r="L1157" s="721"/>
      <c r="M1157" s="721"/>
      <c r="N1157" s="719"/>
      <c r="O1157" s="48"/>
      <c r="P1157" s="719"/>
      <c r="Q1157" s="48"/>
      <c r="R1157" s="48"/>
      <c r="S1157" s="711" t="str">
        <f>IFERROR(__xludf.DUMMYFUNCTION("""COMPUTED_VALUE"""),"")</f>
        <v/>
      </c>
      <c r="T1157" s="721"/>
      <c r="U1157" s="721"/>
      <c r="V1157" s="711"/>
      <c r="W1157" s="721"/>
      <c r="X1157" s="721"/>
      <c r="Y1157" s="48"/>
      <c r="Z1157" s="48"/>
      <c r="AA1157" s="48"/>
      <c r="AB1157" s="711"/>
      <c r="AC1157" s="711"/>
      <c r="AD1157" s="711"/>
      <c r="AE1157" s="711"/>
      <c r="AF1157" s="711"/>
      <c r="AG1157" s="711"/>
      <c r="AH1157" s="711"/>
    </row>
    <row r="1158">
      <c r="A1158" s="48"/>
      <c r="B1158" s="48"/>
      <c r="C1158" s="48"/>
      <c r="D1158" s="721"/>
      <c r="E1158" s="711"/>
      <c r="F1158" s="711"/>
      <c r="G1158" s="721"/>
      <c r="H1158" s="721"/>
      <c r="I1158" s="721"/>
      <c r="J1158" s="48"/>
      <c r="K1158" s="721"/>
      <c r="L1158" s="721"/>
      <c r="M1158" s="721"/>
      <c r="N1158" s="719"/>
      <c r="O1158" s="48"/>
      <c r="P1158" s="719"/>
      <c r="Q1158" s="48"/>
      <c r="R1158" s="48"/>
      <c r="S1158" s="711" t="str">
        <f>IFERROR(__xludf.DUMMYFUNCTION("""COMPUTED_VALUE"""),"")</f>
        <v/>
      </c>
      <c r="T1158" s="721"/>
      <c r="U1158" s="721"/>
      <c r="V1158" s="711"/>
      <c r="W1158" s="721"/>
      <c r="X1158" s="721"/>
      <c r="Y1158" s="48"/>
      <c r="Z1158" s="48"/>
      <c r="AA1158" s="48"/>
      <c r="AB1158" s="711"/>
      <c r="AC1158" s="711"/>
      <c r="AD1158" s="711"/>
      <c r="AE1158" s="711"/>
      <c r="AF1158" s="711"/>
      <c r="AG1158" s="711"/>
      <c r="AH1158" s="711"/>
    </row>
    <row r="1159">
      <c r="A1159" s="48"/>
      <c r="B1159" s="48"/>
      <c r="C1159" s="48"/>
      <c r="D1159" s="721"/>
      <c r="E1159" s="711"/>
      <c r="F1159" s="711"/>
      <c r="G1159" s="721"/>
      <c r="H1159" s="721"/>
      <c r="I1159" s="721"/>
      <c r="J1159" s="48"/>
      <c r="K1159" s="721"/>
      <c r="L1159" s="721"/>
      <c r="M1159" s="721"/>
      <c r="N1159" s="719"/>
      <c r="O1159" s="48"/>
      <c r="P1159" s="719"/>
      <c r="Q1159" s="48"/>
      <c r="R1159" s="48"/>
      <c r="S1159" s="711" t="str">
        <f>IFERROR(__xludf.DUMMYFUNCTION("""COMPUTED_VALUE"""),"")</f>
        <v/>
      </c>
      <c r="T1159" s="721"/>
      <c r="U1159" s="721"/>
      <c r="V1159" s="711"/>
      <c r="W1159" s="721"/>
      <c r="X1159" s="721"/>
      <c r="Y1159" s="48"/>
      <c r="Z1159" s="48"/>
      <c r="AA1159" s="48"/>
      <c r="AB1159" s="711"/>
      <c r="AC1159" s="711"/>
      <c r="AD1159" s="711"/>
      <c r="AE1159" s="711"/>
      <c r="AF1159" s="711"/>
      <c r="AG1159" s="711"/>
      <c r="AH1159" s="711"/>
    </row>
    <row r="1160">
      <c r="A1160" s="48"/>
      <c r="B1160" s="48"/>
      <c r="C1160" s="48"/>
      <c r="D1160" s="721"/>
      <c r="E1160" s="711"/>
      <c r="F1160" s="711"/>
      <c r="G1160" s="721"/>
      <c r="H1160" s="721"/>
      <c r="I1160" s="721"/>
      <c r="J1160" s="48"/>
      <c r="K1160" s="721"/>
      <c r="L1160" s="721"/>
      <c r="M1160" s="721"/>
      <c r="N1160" s="719"/>
      <c r="O1160" s="48"/>
      <c r="P1160" s="719"/>
      <c r="Q1160" s="48"/>
      <c r="R1160" s="48"/>
      <c r="S1160" s="711" t="str">
        <f>IFERROR(__xludf.DUMMYFUNCTION("""COMPUTED_VALUE"""),"")</f>
        <v/>
      </c>
      <c r="T1160" s="721"/>
      <c r="U1160" s="721"/>
      <c r="V1160" s="711"/>
      <c r="W1160" s="721"/>
      <c r="X1160" s="721"/>
      <c r="Y1160" s="48"/>
      <c r="Z1160" s="48"/>
      <c r="AA1160" s="48"/>
      <c r="AB1160" s="711"/>
      <c r="AC1160" s="711"/>
      <c r="AD1160" s="711"/>
      <c r="AE1160" s="711"/>
      <c r="AF1160" s="711"/>
      <c r="AG1160" s="711"/>
      <c r="AH1160" s="711"/>
    </row>
    <row r="1161">
      <c r="A1161" s="48"/>
      <c r="B1161" s="48"/>
      <c r="C1161" s="48"/>
      <c r="D1161" s="721"/>
      <c r="E1161" s="711"/>
      <c r="F1161" s="711"/>
      <c r="G1161" s="721"/>
      <c r="H1161" s="721"/>
      <c r="I1161" s="721"/>
      <c r="J1161" s="48"/>
      <c r="K1161" s="721"/>
      <c r="L1161" s="721"/>
      <c r="M1161" s="721"/>
      <c r="N1161" s="719"/>
      <c r="O1161" s="48"/>
      <c r="P1161" s="719"/>
      <c r="Q1161" s="48"/>
      <c r="R1161" s="48"/>
      <c r="S1161" s="711" t="str">
        <f>IFERROR(__xludf.DUMMYFUNCTION("""COMPUTED_VALUE"""),"")</f>
        <v/>
      </c>
      <c r="T1161" s="721"/>
      <c r="U1161" s="721"/>
      <c r="V1161" s="711"/>
      <c r="W1161" s="721"/>
      <c r="X1161" s="721"/>
      <c r="Y1161" s="48"/>
      <c r="Z1161" s="48"/>
      <c r="AA1161" s="48"/>
      <c r="AB1161" s="711"/>
      <c r="AC1161" s="711"/>
      <c r="AD1161" s="711"/>
      <c r="AE1161" s="711"/>
      <c r="AF1161" s="711"/>
      <c r="AG1161" s="711"/>
      <c r="AH1161" s="711"/>
    </row>
    <row r="1162">
      <c r="A1162" s="48"/>
      <c r="B1162" s="48"/>
      <c r="C1162" s="48"/>
      <c r="D1162" s="721"/>
      <c r="E1162" s="711"/>
      <c r="F1162" s="711"/>
      <c r="G1162" s="721"/>
      <c r="H1162" s="721"/>
      <c r="I1162" s="721"/>
      <c r="J1162" s="48"/>
      <c r="K1162" s="721"/>
      <c r="L1162" s="721"/>
      <c r="M1162" s="721"/>
      <c r="N1162" s="719"/>
      <c r="O1162" s="48"/>
      <c r="P1162" s="719"/>
      <c r="Q1162" s="48"/>
      <c r="R1162" s="48"/>
      <c r="S1162" s="711" t="str">
        <f>IFERROR(__xludf.DUMMYFUNCTION("""COMPUTED_VALUE"""),"")</f>
        <v/>
      </c>
      <c r="T1162" s="721"/>
      <c r="U1162" s="721"/>
      <c r="V1162" s="711"/>
      <c r="W1162" s="721"/>
      <c r="X1162" s="721"/>
      <c r="Y1162" s="48"/>
      <c r="Z1162" s="48"/>
      <c r="AA1162" s="48"/>
      <c r="AB1162" s="711"/>
      <c r="AC1162" s="711"/>
      <c r="AD1162" s="711"/>
      <c r="AE1162" s="711"/>
      <c r="AF1162" s="711"/>
      <c r="AG1162" s="711"/>
      <c r="AH1162" s="711"/>
    </row>
    <row r="1163">
      <c r="A1163" s="48"/>
      <c r="B1163" s="48"/>
      <c r="C1163" s="48"/>
      <c r="D1163" s="721"/>
      <c r="E1163" s="711"/>
      <c r="F1163" s="711"/>
      <c r="G1163" s="721"/>
      <c r="H1163" s="721"/>
      <c r="I1163" s="721"/>
      <c r="J1163" s="48"/>
      <c r="K1163" s="721"/>
      <c r="L1163" s="721"/>
      <c r="M1163" s="721"/>
      <c r="N1163" s="719"/>
      <c r="O1163" s="48"/>
      <c r="P1163" s="719"/>
      <c r="Q1163" s="48"/>
      <c r="R1163" s="48"/>
      <c r="S1163" s="711" t="str">
        <f>IFERROR(__xludf.DUMMYFUNCTION("""COMPUTED_VALUE"""),"")</f>
        <v/>
      </c>
      <c r="T1163" s="721"/>
      <c r="U1163" s="721"/>
      <c r="V1163" s="711"/>
      <c r="W1163" s="721"/>
      <c r="X1163" s="721"/>
      <c r="Y1163" s="48"/>
      <c r="Z1163" s="48"/>
      <c r="AA1163" s="48"/>
      <c r="AB1163" s="711"/>
      <c r="AC1163" s="711"/>
      <c r="AD1163" s="711"/>
      <c r="AE1163" s="711"/>
      <c r="AF1163" s="711"/>
      <c r="AG1163" s="711"/>
      <c r="AH1163" s="711"/>
    </row>
    <row r="1164">
      <c r="A1164" s="48"/>
      <c r="B1164" s="48"/>
      <c r="C1164" s="48"/>
      <c r="D1164" s="721"/>
      <c r="E1164" s="711"/>
      <c r="F1164" s="711"/>
      <c r="G1164" s="721"/>
      <c r="H1164" s="721"/>
      <c r="I1164" s="721"/>
      <c r="J1164" s="48"/>
      <c r="K1164" s="721"/>
      <c r="L1164" s="721"/>
      <c r="M1164" s="721"/>
      <c r="N1164" s="719"/>
      <c r="O1164" s="48"/>
      <c r="P1164" s="719"/>
      <c r="Q1164" s="48"/>
      <c r="R1164" s="48"/>
      <c r="S1164" s="711" t="str">
        <f>IFERROR(__xludf.DUMMYFUNCTION("""COMPUTED_VALUE"""),"")</f>
        <v/>
      </c>
      <c r="T1164" s="721"/>
      <c r="U1164" s="721"/>
      <c r="V1164" s="711"/>
      <c r="W1164" s="721"/>
      <c r="X1164" s="721"/>
      <c r="Y1164" s="48"/>
      <c r="Z1164" s="48"/>
      <c r="AA1164" s="48"/>
      <c r="AB1164" s="711"/>
      <c r="AC1164" s="711"/>
      <c r="AD1164" s="711"/>
      <c r="AE1164" s="711"/>
      <c r="AF1164" s="711"/>
      <c r="AG1164" s="711"/>
      <c r="AH1164" s="711"/>
    </row>
    <row r="1165">
      <c r="A1165" s="48"/>
      <c r="B1165" s="48"/>
      <c r="C1165" s="48"/>
      <c r="D1165" s="721"/>
      <c r="E1165" s="711"/>
      <c r="F1165" s="711"/>
      <c r="G1165" s="721"/>
      <c r="H1165" s="721"/>
      <c r="I1165" s="721"/>
      <c r="J1165" s="48"/>
      <c r="K1165" s="721"/>
      <c r="L1165" s="721"/>
      <c r="M1165" s="721"/>
      <c r="N1165" s="719"/>
      <c r="O1165" s="48"/>
      <c r="P1165" s="719"/>
      <c r="Q1165" s="48"/>
      <c r="R1165" s="48"/>
      <c r="S1165" s="711" t="str">
        <f>IFERROR(__xludf.DUMMYFUNCTION("""COMPUTED_VALUE"""),"")</f>
        <v/>
      </c>
      <c r="T1165" s="721"/>
      <c r="U1165" s="721"/>
      <c r="V1165" s="711"/>
      <c r="W1165" s="721"/>
      <c r="X1165" s="721"/>
      <c r="Y1165" s="48"/>
      <c r="Z1165" s="48"/>
      <c r="AA1165" s="48"/>
      <c r="AB1165" s="711"/>
      <c r="AC1165" s="711"/>
      <c r="AD1165" s="711"/>
      <c r="AE1165" s="711"/>
      <c r="AF1165" s="711"/>
      <c r="AG1165" s="711"/>
      <c r="AH1165" s="711"/>
    </row>
    <row r="1166">
      <c r="A1166" s="48"/>
      <c r="B1166" s="48"/>
      <c r="C1166" s="48"/>
      <c r="D1166" s="721"/>
      <c r="E1166" s="711"/>
      <c r="F1166" s="711"/>
      <c r="G1166" s="721"/>
      <c r="H1166" s="721"/>
      <c r="I1166" s="721"/>
      <c r="J1166" s="48"/>
      <c r="K1166" s="721"/>
      <c r="L1166" s="721"/>
      <c r="M1166" s="721"/>
      <c r="N1166" s="719"/>
      <c r="O1166" s="48"/>
      <c r="P1166" s="719"/>
      <c r="Q1166" s="48"/>
      <c r="R1166" s="48"/>
      <c r="S1166" s="711" t="str">
        <f>IFERROR(__xludf.DUMMYFUNCTION("""COMPUTED_VALUE"""),"")</f>
        <v/>
      </c>
      <c r="T1166" s="721"/>
      <c r="U1166" s="721"/>
      <c r="V1166" s="711"/>
      <c r="W1166" s="721"/>
      <c r="X1166" s="721"/>
      <c r="Y1166" s="48"/>
      <c r="Z1166" s="48"/>
      <c r="AA1166" s="48"/>
      <c r="AB1166" s="711"/>
      <c r="AC1166" s="711"/>
      <c r="AD1166" s="711"/>
      <c r="AE1166" s="711"/>
      <c r="AF1166" s="711"/>
      <c r="AG1166" s="711"/>
      <c r="AH1166" s="711"/>
    </row>
    <row r="1167">
      <c r="A1167" s="48"/>
      <c r="B1167" s="48"/>
      <c r="C1167" s="48"/>
      <c r="D1167" s="721"/>
      <c r="E1167" s="711"/>
      <c r="F1167" s="711"/>
      <c r="G1167" s="721"/>
      <c r="H1167" s="721"/>
      <c r="I1167" s="721"/>
      <c r="J1167" s="48"/>
      <c r="K1167" s="721"/>
      <c r="L1167" s="721"/>
      <c r="M1167" s="721"/>
      <c r="N1167" s="719"/>
      <c r="O1167" s="48"/>
      <c r="P1167" s="719"/>
      <c r="Q1167" s="48"/>
      <c r="R1167" s="48"/>
      <c r="S1167" s="711" t="str">
        <f>IFERROR(__xludf.DUMMYFUNCTION("""COMPUTED_VALUE"""),"")</f>
        <v/>
      </c>
      <c r="T1167" s="721"/>
      <c r="U1167" s="721"/>
      <c r="V1167" s="711"/>
      <c r="W1167" s="721"/>
      <c r="X1167" s="721"/>
      <c r="Y1167" s="48"/>
      <c r="Z1167" s="48"/>
      <c r="AA1167" s="48"/>
      <c r="AB1167" s="711"/>
      <c r="AC1167" s="711"/>
      <c r="AD1167" s="711"/>
      <c r="AE1167" s="711"/>
      <c r="AF1167" s="711"/>
      <c r="AG1167" s="711"/>
      <c r="AH1167" s="711"/>
    </row>
    <row r="1168">
      <c r="A1168" s="48"/>
      <c r="B1168" s="48"/>
      <c r="C1168" s="48"/>
      <c r="D1168" s="721"/>
      <c r="E1168" s="711"/>
      <c r="F1168" s="711"/>
      <c r="G1168" s="721"/>
      <c r="H1168" s="721"/>
      <c r="I1168" s="721"/>
      <c r="J1168" s="48"/>
      <c r="K1168" s="721"/>
      <c r="L1168" s="721"/>
      <c r="M1168" s="721"/>
      <c r="N1168" s="719"/>
      <c r="O1168" s="48"/>
      <c r="P1168" s="719"/>
      <c r="Q1168" s="48"/>
      <c r="R1168" s="48"/>
      <c r="S1168" s="711" t="str">
        <f>IFERROR(__xludf.DUMMYFUNCTION("""COMPUTED_VALUE"""),"")</f>
        <v/>
      </c>
      <c r="T1168" s="721"/>
      <c r="U1168" s="721"/>
      <c r="V1168" s="711"/>
      <c r="W1168" s="721"/>
      <c r="X1168" s="721"/>
      <c r="Y1168" s="48"/>
      <c r="Z1168" s="48"/>
      <c r="AA1168" s="48"/>
      <c r="AB1168" s="711"/>
      <c r="AC1168" s="711"/>
      <c r="AD1168" s="711"/>
      <c r="AE1168" s="711"/>
      <c r="AF1168" s="711"/>
      <c r="AG1168" s="711"/>
      <c r="AH1168" s="711"/>
    </row>
    <row r="1169">
      <c r="A1169" s="48"/>
      <c r="B1169" s="48"/>
      <c r="C1169" s="48"/>
      <c r="D1169" s="721"/>
      <c r="E1169" s="711"/>
      <c r="F1169" s="711"/>
      <c r="G1169" s="721"/>
      <c r="H1169" s="721"/>
      <c r="I1169" s="721"/>
      <c r="J1169" s="48"/>
      <c r="K1169" s="721"/>
      <c r="L1169" s="721"/>
      <c r="M1169" s="721"/>
      <c r="N1169" s="719"/>
      <c r="O1169" s="48"/>
      <c r="P1169" s="719"/>
      <c r="Q1169" s="48"/>
      <c r="R1169" s="48"/>
      <c r="S1169" s="711" t="str">
        <f>IFERROR(__xludf.DUMMYFUNCTION("""COMPUTED_VALUE"""),"")</f>
        <v/>
      </c>
      <c r="T1169" s="721"/>
      <c r="U1169" s="721"/>
      <c r="V1169" s="711"/>
      <c r="W1169" s="721"/>
      <c r="X1169" s="721"/>
      <c r="Y1169" s="48"/>
      <c r="Z1169" s="48"/>
      <c r="AA1169" s="48"/>
      <c r="AB1169" s="711"/>
      <c r="AC1169" s="711"/>
      <c r="AD1169" s="711"/>
      <c r="AE1169" s="711"/>
      <c r="AF1169" s="711"/>
      <c r="AG1169" s="711"/>
      <c r="AH1169" s="711"/>
    </row>
    <row r="1170">
      <c r="A1170" s="48"/>
      <c r="B1170" s="48"/>
      <c r="C1170" s="48"/>
      <c r="D1170" s="721"/>
      <c r="E1170" s="711"/>
      <c r="F1170" s="711"/>
      <c r="G1170" s="721"/>
      <c r="H1170" s="721"/>
      <c r="I1170" s="721"/>
      <c r="J1170" s="48"/>
      <c r="K1170" s="721"/>
      <c r="L1170" s="721"/>
      <c r="M1170" s="721"/>
      <c r="N1170" s="719"/>
      <c r="O1170" s="48"/>
      <c r="P1170" s="719"/>
      <c r="Q1170" s="48"/>
      <c r="R1170" s="48"/>
      <c r="S1170" s="711" t="str">
        <f>IFERROR(__xludf.DUMMYFUNCTION("""COMPUTED_VALUE"""),"")</f>
        <v/>
      </c>
      <c r="T1170" s="721"/>
      <c r="U1170" s="721"/>
      <c r="V1170" s="711"/>
      <c r="W1170" s="721"/>
      <c r="X1170" s="721"/>
      <c r="Y1170" s="48"/>
      <c r="Z1170" s="48"/>
      <c r="AA1170" s="48"/>
      <c r="AB1170" s="711"/>
      <c r="AC1170" s="711"/>
      <c r="AD1170" s="711"/>
      <c r="AE1170" s="711"/>
      <c r="AF1170" s="711"/>
      <c r="AG1170" s="711"/>
      <c r="AH1170" s="711"/>
    </row>
    <row r="1171">
      <c r="A1171" s="48"/>
      <c r="B1171" s="48"/>
      <c r="C1171" s="48"/>
      <c r="D1171" s="721"/>
      <c r="E1171" s="711"/>
      <c r="F1171" s="711"/>
      <c r="G1171" s="721"/>
      <c r="H1171" s="721"/>
      <c r="I1171" s="721"/>
      <c r="J1171" s="48"/>
      <c r="K1171" s="721"/>
      <c r="L1171" s="721"/>
      <c r="M1171" s="721"/>
      <c r="N1171" s="719"/>
      <c r="O1171" s="48"/>
      <c r="P1171" s="719"/>
      <c r="Q1171" s="48"/>
      <c r="R1171" s="48"/>
      <c r="S1171" s="711" t="str">
        <f>IFERROR(__xludf.DUMMYFUNCTION("""COMPUTED_VALUE"""),"")</f>
        <v/>
      </c>
      <c r="T1171" s="721"/>
      <c r="U1171" s="721"/>
      <c r="V1171" s="711"/>
      <c r="W1171" s="721"/>
      <c r="X1171" s="721"/>
      <c r="Y1171" s="48"/>
      <c r="Z1171" s="48"/>
      <c r="AA1171" s="48"/>
      <c r="AB1171" s="711"/>
      <c r="AC1171" s="711"/>
      <c r="AD1171" s="711"/>
      <c r="AE1171" s="711"/>
      <c r="AF1171" s="711"/>
      <c r="AG1171" s="711"/>
      <c r="AH1171" s="711"/>
    </row>
    <row r="1172">
      <c r="A1172" s="48"/>
      <c r="B1172" s="48"/>
      <c r="C1172" s="48"/>
      <c r="D1172" s="721"/>
      <c r="E1172" s="711"/>
      <c r="F1172" s="711"/>
      <c r="G1172" s="721"/>
      <c r="H1172" s="721"/>
      <c r="I1172" s="721"/>
      <c r="J1172" s="48"/>
      <c r="K1172" s="721"/>
      <c r="L1172" s="721"/>
      <c r="M1172" s="721"/>
      <c r="N1172" s="719"/>
      <c r="O1172" s="48"/>
      <c r="P1172" s="719"/>
      <c r="Q1172" s="48"/>
      <c r="R1172" s="48"/>
      <c r="S1172" s="711" t="str">
        <f>IFERROR(__xludf.DUMMYFUNCTION("""COMPUTED_VALUE"""),"")</f>
        <v/>
      </c>
      <c r="T1172" s="721"/>
      <c r="U1172" s="721"/>
      <c r="V1172" s="711"/>
      <c r="W1172" s="721"/>
      <c r="X1172" s="721"/>
      <c r="Y1172" s="48"/>
      <c r="Z1172" s="48"/>
      <c r="AA1172" s="48"/>
      <c r="AB1172" s="711"/>
      <c r="AC1172" s="711"/>
      <c r="AD1172" s="711"/>
      <c r="AE1172" s="711"/>
      <c r="AF1172" s="711"/>
      <c r="AG1172" s="711"/>
      <c r="AH1172" s="711"/>
    </row>
    <row r="1173">
      <c r="A1173" s="48"/>
      <c r="B1173" s="48"/>
      <c r="C1173" s="48"/>
      <c r="D1173" s="721"/>
      <c r="E1173" s="711"/>
      <c r="F1173" s="711"/>
      <c r="G1173" s="721"/>
      <c r="H1173" s="721"/>
      <c r="I1173" s="721"/>
      <c r="J1173" s="48"/>
      <c r="K1173" s="721"/>
      <c r="L1173" s="721"/>
      <c r="M1173" s="721"/>
      <c r="N1173" s="719"/>
      <c r="O1173" s="48"/>
      <c r="P1173" s="719"/>
      <c r="Q1173" s="48"/>
      <c r="R1173" s="48"/>
      <c r="S1173" s="711" t="str">
        <f>IFERROR(__xludf.DUMMYFUNCTION("""COMPUTED_VALUE"""),"")</f>
        <v/>
      </c>
      <c r="T1173" s="721"/>
      <c r="U1173" s="721"/>
      <c r="V1173" s="711"/>
      <c r="W1173" s="721"/>
      <c r="X1173" s="721"/>
      <c r="Y1173" s="48"/>
      <c r="Z1173" s="48"/>
      <c r="AA1173" s="48"/>
      <c r="AB1173" s="711"/>
      <c r="AC1173" s="711"/>
      <c r="AD1173" s="711"/>
      <c r="AE1173" s="711"/>
      <c r="AF1173" s="711"/>
      <c r="AG1173" s="711"/>
      <c r="AH1173" s="711"/>
    </row>
    <row r="1174">
      <c r="A1174" s="48"/>
      <c r="B1174" s="48"/>
      <c r="C1174" s="48"/>
      <c r="D1174" s="721"/>
      <c r="E1174" s="711"/>
      <c r="F1174" s="711"/>
      <c r="G1174" s="721"/>
      <c r="H1174" s="721"/>
      <c r="I1174" s="721"/>
      <c r="J1174" s="48"/>
      <c r="K1174" s="721"/>
      <c r="L1174" s="721"/>
      <c r="M1174" s="721"/>
      <c r="N1174" s="719"/>
      <c r="O1174" s="48"/>
      <c r="P1174" s="719"/>
      <c r="Q1174" s="48"/>
      <c r="R1174" s="48"/>
      <c r="S1174" s="711" t="str">
        <f>IFERROR(__xludf.DUMMYFUNCTION("""COMPUTED_VALUE"""),"")</f>
        <v/>
      </c>
      <c r="T1174" s="721"/>
      <c r="U1174" s="721"/>
      <c r="V1174" s="711"/>
      <c r="W1174" s="721"/>
      <c r="X1174" s="721"/>
      <c r="Y1174" s="48"/>
      <c r="Z1174" s="48"/>
      <c r="AA1174" s="48"/>
      <c r="AB1174" s="711"/>
      <c r="AC1174" s="711"/>
      <c r="AD1174" s="711"/>
      <c r="AE1174" s="711"/>
      <c r="AF1174" s="711"/>
      <c r="AG1174" s="711"/>
      <c r="AH1174" s="711"/>
    </row>
    <row r="1175">
      <c r="A1175" s="48"/>
      <c r="B1175" s="48"/>
      <c r="C1175" s="48"/>
      <c r="D1175" s="721"/>
      <c r="E1175" s="711"/>
      <c r="F1175" s="711"/>
      <c r="G1175" s="721"/>
      <c r="H1175" s="721"/>
      <c r="I1175" s="721"/>
      <c r="J1175" s="48"/>
      <c r="K1175" s="721"/>
      <c r="L1175" s="721"/>
      <c r="M1175" s="721"/>
      <c r="N1175" s="719"/>
      <c r="O1175" s="48"/>
      <c r="P1175" s="719"/>
      <c r="Q1175" s="48"/>
      <c r="R1175" s="48"/>
      <c r="S1175" s="711" t="str">
        <f>IFERROR(__xludf.DUMMYFUNCTION("""COMPUTED_VALUE"""),"")</f>
        <v/>
      </c>
      <c r="T1175" s="721"/>
      <c r="U1175" s="721"/>
      <c r="V1175" s="711"/>
      <c r="W1175" s="721"/>
      <c r="X1175" s="721"/>
      <c r="Y1175" s="48"/>
      <c r="Z1175" s="48"/>
      <c r="AA1175" s="48"/>
      <c r="AB1175" s="711"/>
      <c r="AC1175" s="711"/>
      <c r="AD1175" s="711"/>
      <c r="AE1175" s="711"/>
      <c r="AF1175" s="711"/>
      <c r="AG1175" s="711"/>
      <c r="AH1175" s="711"/>
    </row>
    <row r="1176">
      <c r="A1176" s="48"/>
      <c r="B1176" s="48"/>
      <c r="C1176" s="48"/>
      <c r="D1176" s="721"/>
      <c r="E1176" s="711"/>
      <c r="F1176" s="711"/>
      <c r="G1176" s="721"/>
      <c r="H1176" s="721"/>
      <c r="I1176" s="721"/>
      <c r="J1176" s="48"/>
      <c r="K1176" s="721"/>
      <c r="L1176" s="721"/>
      <c r="M1176" s="721"/>
      <c r="N1176" s="719"/>
      <c r="O1176" s="48"/>
      <c r="P1176" s="719"/>
      <c r="Q1176" s="48"/>
      <c r="R1176" s="48"/>
      <c r="S1176" s="711" t="str">
        <f>IFERROR(__xludf.DUMMYFUNCTION("""COMPUTED_VALUE"""),"")</f>
        <v/>
      </c>
      <c r="T1176" s="721"/>
      <c r="U1176" s="721"/>
      <c r="V1176" s="711"/>
      <c r="W1176" s="721"/>
      <c r="X1176" s="721"/>
      <c r="Y1176" s="48"/>
      <c r="Z1176" s="48"/>
      <c r="AA1176" s="48"/>
      <c r="AB1176" s="711"/>
      <c r="AC1176" s="711"/>
      <c r="AD1176" s="711"/>
      <c r="AE1176" s="711"/>
      <c r="AF1176" s="711"/>
      <c r="AG1176" s="711"/>
      <c r="AH1176" s="711"/>
    </row>
    <row r="1177">
      <c r="A1177" s="48"/>
      <c r="B1177" s="48"/>
      <c r="C1177" s="48"/>
      <c r="D1177" s="721"/>
      <c r="E1177" s="711"/>
      <c r="F1177" s="711"/>
      <c r="G1177" s="721"/>
      <c r="H1177" s="721"/>
      <c r="I1177" s="721"/>
      <c r="J1177" s="48"/>
      <c r="K1177" s="721"/>
      <c r="L1177" s="721"/>
      <c r="M1177" s="721"/>
      <c r="N1177" s="719"/>
      <c r="O1177" s="48"/>
      <c r="P1177" s="719"/>
      <c r="Q1177" s="48"/>
      <c r="R1177" s="48"/>
      <c r="S1177" s="711" t="str">
        <f>IFERROR(__xludf.DUMMYFUNCTION("""COMPUTED_VALUE"""),"")</f>
        <v/>
      </c>
      <c r="T1177" s="721"/>
      <c r="U1177" s="721"/>
      <c r="V1177" s="711"/>
      <c r="W1177" s="721"/>
      <c r="X1177" s="721"/>
      <c r="Y1177" s="48"/>
      <c r="Z1177" s="48"/>
      <c r="AA1177" s="48"/>
      <c r="AB1177" s="711"/>
      <c r="AC1177" s="711"/>
      <c r="AD1177" s="711"/>
      <c r="AE1177" s="711"/>
      <c r="AF1177" s="711"/>
      <c r="AG1177" s="711"/>
      <c r="AH1177" s="711"/>
    </row>
    <row r="1178">
      <c r="A1178" s="48"/>
      <c r="B1178" s="48"/>
      <c r="C1178" s="48"/>
      <c r="D1178" s="721"/>
      <c r="E1178" s="711"/>
      <c r="F1178" s="711"/>
      <c r="G1178" s="721"/>
      <c r="H1178" s="721"/>
      <c r="I1178" s="721"/>
      <c r="J1178" s="48"/>
      <c r="K1178" s="721"/>
      <c r="L1178" s="721"/>
      <c r="M1178" s="721"/>
      <c r="N1178" s="719"/>
      <c r="O1178" s="48"/>
      <c r="P1178" s="719"/>
      <c r="Q1178" s="48"/>
      <c r="R1178" s="48"/>
      <c r="S1178" s="711" t="str">
        <f>IFERROR(__xludf.DUMMYFUNCTION("""COMPUTED_VALUE"""),"")</f>
        <v/>
      </c>
      <c r="T1178" s="721"/>
      <c r="U1178" s="721"/>
      <c r="V1178" s="711"/>
      <c r="W1178" s="721"/>
      <c r="X1178" s="721"/>
      <c r="Y1178" s="48"/>
      <c r="Z1178" s="48"/>
      <c r="AA1178" s="48"/>
      <c r="AB1178" s="711"/>
      <c r="AC1178" s="711"/>
      <c r="AD1178" s="711"/>
      <c r="AE1178" s="711"/>
      <c r="AF1178" s="711"/>
      <c r="AG1178" s="711"/>
      <c r="AH1178" s="711"/>
    </row>
    <row r="1179">
      <c r="A1179" s="48"/>
      <c r="B1179" s="48"/>
      <c r="C1179" s="48"/>
      <c r="D1179" s="721"/>
      <c r="E1179" s="711"/>
      <c r="F1179" s="711"/>
      <c r="G1179" s="721"/>
      <c r="H1179" s="721"/>
      <c r="I1179" s="721"/>
      <c r="J1179" s="48"/>
      <c r="K1179" s="721"/>
      <c r="L1179" s="721"/>
      <c r="M1179" s="721"/>
      <c r="N1179" s="719"/>
      <c r="O1179" s="48"/>
      <c r="P1179" s="719"/>
      <c r="Q1179" s="48"/>
      <c r="R1179" s="48"/>
      <c r="S1179" s="711" t="str">
        <f>IFERROR(__xludf.DUMMYFUNCTION("""COMPUTED_VALUE"""),"")</f>
        <v/>
      </c>
      <c r="T1179" s="721"/>
      <c r="U1179" s="721"/>
      <c r="V1179" s="711"/>
      <c r="W1179" s="721"/>
      <c r="X1179" s="721"/>
      <c r="Y1179" s="48"/>
      <c r="Z1179" s="48"/>
      <c r="AA1179" s="48"/>
      <c r="AB1179" s="711"/>
      <c r="AC1179" s="711"/>
      <c r="AD1179" s="711"/>
      <c r="AE1179" s="711"/>
      <c r="AF1179" s="711"/>
      <c r="AG1179" s="711"/>
      <c r="AH1179" s="711"/>
    </row>
    <row r="1180">
      <c r="A1180" s="48"/>
      <c r="B1180" s="48"/>
      <c r="C1180" s="48"/>
      <c r="D1180" s="721"/>
      <c r="E1180" s="711"/>
      <c r="F1180" s="711"/>
      <c r="G1180" s="721"/>
      <c r="H1180" s="721"/>
      <c r="I1180" s="721"/>
      <c r="J1180" s="48"/>
      <c r="K1180" s="721"/>
      <c r="L1180" s="721"/>
      <c r="M1180" s="721"/>
      <c r="N1180" s="719"/>
      <c r="O1180" s="48"/>
      <c r="P1180" s="719"/>
      <c r="Q1180" s="48"/>
      <c r="R1180" s="48"/>
      <c r="S1180" s="711" t="str">
        <f>IFERROR(__xludf.DUMMYFUNCTION("""COMPUTED_VALUE"""),"")</f>
        <v/>
      </c>
      <c r="T1180" s="721"/>
      <c r="U1180" s="721"/>
      <c r="V1180" s="711"/>
      <c r="W1180" s="721"/>
      <c r="X1180" s="721"/>
      <c r="Y1180" s="48"/>
      <c r="Z1180" s="48"/>
      <c r="AA1180" s="48"/>
      <c r="AB1180" s="711"/>
      <c r="AC1180" s="711"/>
      <c r="AD1180" s="711"/>
      <c r="AE1180" s="711"/>
      <c r="AF1180" s="711"/>
      <c r="AG1180" s="711"/>
      <c r="AH1180" s="711"/>
    </row>
    <row r="1181">
      <c r="A1181" s="48"/>
      <c r="B1181" s="48"/>
      <c r="C1181" s="48"/>
      <c r="D1181" s="721"/>
      <c r="E1181" s="711"/>
      <c r="F1181" s="711"/>
      <c r="G1181" s="721"/>
      <c r="H1181" s="721"/>
      <c r="I1181" s="721"/>
      <c r="J1181" s="48"/>
      <c r="K1181" s="721"/>
      <c r="L1181" s="721"/>
      <c r="M1181" s="721"/>
      <c r="N1181" s="719"/>
      <c r="O1181" s="48"/>
      <c r="P1181" s="719"/>
      <c r="Q1181" s="48"/>
      <c r="R1181" s="48"/>
      <c r="S1181" s="711" t="str">
        <f>IFERROR(__xludf.DUMMYFUNCTION("""COMPUTED_VALUE"""),"")</f>
        <v/>
      </c>
      <c r="T1181" s="721"/>
      <c r="U1181" s="721"/>
      <c r="V1181" s="711"/>
      <c r="W1181" s="721"/>
      <c r="X1181" s="721"/>
      <c r="Y1181" s="48"/>
      <c r="Z1181" s="48"/>
      <c r="AA1181" s="48"/>
      <c r="AB1181" s="711"/>
      <c r="AC1181" s="711"/>
      <c r="AD1181" s="711"/>
      <c r="AE1181" s="711"/>
      <c r="AF1181" s="711"/>
      <c r="AG1181" s="711"/>
      <c r="AH1181" s="711"/>
    </row>
    <row r="1182">
      <c r="A1182" s="48"/>
      <c r="B1182" s="48"/>
      <c r="C1182" s="48"/>
      <c r="D1182" s="721"/>
      <c r="E1182" s="711"/>
      <c r="F1182" s="711"/>
      <c r="G1182" s="721"/>
      <c r="H1182" s="721"/>
      <c r="I1182" s="721"/>
      <c r="J1182" s="48"/>
      <c r="K1182" s="721"/>
      <c r="L1182" s="721"/>
      <c r="M1182" s="721"/>
      <c r="N1182" s="719"/>
      <c r="O1182" s="48"/>
      <c r="P1182" s="719"/>
      <c r="Q1182" s="48"/>
      <c r="R1182" s="48"/>
      <c r="S1182" s="711" t="str">
        <f>IFERROR(__xludf.DUMMYFUNCTION("""COMPUTED_VALUE"""),"")</f>
        <v/>
      </c>
      <c r="T1182" s="721"/>
      <c r="U1182" s="721"/>
      <c r="V1182" s="711"/>
      <c r="W1182" s="721"/>
      <c r="X1182" s="721"/>
      <c r="Y1182" s="48"/>
      <c r="Z1182" s="48"/>
      <c r="AA1182" s="48"/>
      <c r="AB1182" s="711"/>
      <c r="AC1182" s="711"/>
      <c r="AD1182" s="711"/>
      <c r="AE1182" s="711"/>
      <c r="AF1182" s="711"/>
      <c r="AG1182" s="711"/>
      <c r="AH1182" s="711"/>
    </row>
    <row r="1183">
      <c r="A1183" s="48"/>
      <c r="B1183" s="48"/>
      <c r="C1183" s="48"/>
      <c r="D1183" s="721"/>
      <c r="E1183" s="711"/>
      <c r="F1183" s="711"/>
      <c r="G1183" s="721"/>
      <c r="H1183" s="721"/>
      <c r="I1183" s="721"/>
      <c r="J1183" s="48"/>
      <c r="K1183" s="721"/>
      <c r="L1183" s="721"/>
      <c r="M1183" s="721"/>
      <c r="N1183" s="719"/>
      <c r="O1183" s="48"/>
      <c r="P1183" s="719"/>
      <c r="Q1183" s="48"/>
      <c r="R1183" s="48"/>
      <c r="S1183" s="711" t="str">
        <f>IFERROR(__xludf.DUMMYFUNCTION("""COMPUTED_VALUE"""),"")</f>
        <v/>
      </c>
      <c r="T1183" s="721"/>
      <c r="U1183" s="721"/>
      <c r="V1183" s="711"/>
      <c r="W1183" s="721"/>
      <c r="X1183" s="721"/>
      <c r="Y1183" s="48"/>
      <c r="Z1183" s="48"/>
      <c r="AA1183" s="48"/>
      <c r="AB1183" s="711"/>
      <c r="AC1183" s="711"/>
      <c r="AD1183" s="711"/>
      <c r="AE1183" s="711"/>
      <c r="AF1183" s="711"/>
      <c r="AG1183" s="711"/>
      <c r="AH1183" s="711"/>
    </row>
    <row r="1184">
      <c r="A1184" s="48"/>
      <c r="B1184" s="48"/>
      <c r="C1184" s="48"/>
      <c r="D1184" s="721"/>
      <c r="E1184" s="711"/>
      <c r="F1184" s="711"/>
      <c r="G1184" s="721"/>
      <c r="H1184" s="721"/>
      <c r="I1184" s="721"/>
      <c r="J1184" s="48"/>
      <c r="K1184" s="721"/>
      <c r="L1184" s="721"/>
      <c r="M1184" s="721"/>
      <c r="N1184" s="719"/>
      <c r="O1184" s="48"/>
      <c r="P1184" s="719"/>
      <c r="Q1184" s="48"/>
      <c r="R1184" s="48"/>
      <c r="S1184" s="711" t="str">
        <f>IFERROR(__xludf.DUMMYFUNCTION("""COMPUTED_VALUE"""),"")</f>
        <v/>
      </c>
      <c r="T1184" s="721"/>
      <c r="U1184" s="721"/>
      <c r="V1184" s="711"/>
      <c r="W1184" s="721"/>
      <c r="X1184" s="721"/>
      <c r="Y1184" s="48"/>
      <c r="Z1184" s="48"/>
      <c r="AA1184" s="48"/>
      <c r="AB1184" s="711"/>
      <c r="AC1184" s="711"/>
      <c r="AD1184" s="711"/>
      <c r="AE1184" s="711"/>
      <c r="AF1184" s="711"/>
      <c r="AG1184" s="711"/>
      <c r="AH1184" s="711"/>
    </row>
    <row r="1185">
      <c r="A1185" s="48"/>
      <c r="B1185" s="48"/>
      <c r="C1185" s="48"/>
      <c r="D1185" s="721"/>
      <c r="E1185" s="711"/>
      <c r="F1185" s="711"/>
      <c r="G1185" s="721"/>
      <c r="H1185" s="721"/>
      <c r="I1185" s="721"/>
      <c r="J1185" s="48"/>
      <c r="K1185" s="721"/>
      <c r="L1185" s="721"/>
      <c r="M1185" s="721"/>
      <c r="N1185" s="719"/>
      <c r="O1185" s="48"/>
      <c r="P1185" s="719"/>
      <c r="Q1185" s="48"/>
      <c r="R1185" s="48"/>
      <c r="S1185" s="711" t="str">
        <f>IFERROR(__xludf.DUMMYFUNCTION("""COMPUTED_VALUE"""),"")</f>
        <v/>
      </c>
      <c r="T1185" s="721"/>
      <c r="U1185" s="721"/>
      <c r="V1185" s="711"/>
      <c r="W1185" s="721"/>
      <c r="X1185" s="721"/>
      <c r="Y1185" s="48"/>
      <c r="Z1185" s="48"/>
      <c r="AA1185" s="48"/>
      <c r="AB1185" s="711"/>
      <c r="AC1185" s="711"/>
      <c r="AD1185" s="711"/>
      <c r="AE1185" s="711"/>
      <c r="AF1185" s="711"/>
      <c r="AG1185" s="711"/>
      <c r="AH1185" s="711"/>
    </row>
    <row r="1186">
      <c r="A1186" s="48"/>
      <c r="B1186" s="48"/>
      <c r="C1186" s="48"/>
      <c r="D1186" s="721"/>
      <c r="E1186" s="711"/>
      <c r="F1186" s="711"/>
      <c r="G1186" s="721"/>
      <c r="H1186" s="721"/>
      <c r="I1186" s="721"/>
      <c r="J1186" s="48"/>
      <c r="K1186" s="721"/>
      <c r="L1186" s="721"/>
      <c r="M1186" s="721"/>
      <c r="N1186" s="719"/>
      <c r="O1186" s="48"/>
      <c r="P1186" s="719"/>
      <c r="Q1186" s="48"/>
      <c r="R1186" s="48"/>
      <c r="S1186" s="711" t="str">
        <f>IFERROR(__xludf.DUMMYFUNCTION("""COMPUTED_VALUE"""),"")</f>
        <v/>
      </c>
      <c r="T1186" s="721"/>
      <c r="U1186" s="721"/>
      <c r="V1186" s="711"/>
      <c r="W1186" s="721"/>
      <c r="X1186" s="721"/>
      <c r="Y1186" s="48"/>
      <c r="Z1186" s="48"/>
      <c r="AA1186" s="48"/>
      <c r="AB1186" s="711"/>
      <c r="AC1186" s="711"/>
      <c r="AD1186" s="711"/>
      <c r="AE1186" s="711"/>
      <c r="AF1186" s="711"/>
      <c r="AG1186" s="711"/>
      <c r="AH1186" s="711"/>
    </row>
    <row r="1187">
      <c r="A1187" s="48"/>
      <c r="B1187" s="48"/>
      <c r="C1187" s="48"/>
      <c r="D1187" s="721"/>
      <c r="E1187" s="711"/>
      <c r="F1187" s="711"/>
      <c r="G1187" s="721"/>
      <c r="H1187" s="721"/>
      <c r="I1187" s="721"/>
      <c r="J1187" s="48"/>
      <c r="K1187" s="721"/>
      <c r="L1187" s="721"/>
      <c r="M1187" s="721"/>
      <c r="N1187" s="719"/>
      <c r="O1187" s="48"/>
      <c r="P1187" s="719"/>
      <c r="Q1187" s="48"/>
      <c r="R1187" s="48"/>
      <c r="S1187" s="711" t="str">
        <f>IFERROR(__xludf.DUMMYFUNCTION("""COMPUTED_VALUE"""),"")</f>
        <v/>
      </c>
      <c r="T1187" s="721"/>
      <c r="U1187" s="721"/>
      <c r="V1187" s="711"/>
      <c r="W1187" s="721"/>
      <c r="X1187" s="721"/>
      <c r="Y1187" s="48"/>
      <c r="Z1187" s="48"/>
      <c r="AA1187" s="48"/>
      <c r="AB1187" s="711"/>
      <c r="AC1187" s="711"/>
      <c r="AD1187" s="711"/>
      <c r="AE1187" s="711"/>
      <c r="AF1187" s="711"/>
      <c r="AG1187" s="711"/>
      <c r="AH1187" s="711"/>
    </row>
    <row r="1188">
      <c r="A1188" s="48"/>
      <c r="B1188" s="48"/>
      <c r="C1188" s="48"/>
      <c r="D1188" s="721"/>
      <c r="E1188" s="711"/>
      <c r="F1188" s="711"/>
      <c r="G1188" s="721"/>
      <c r="H1188" s="721"/>
      <c r="I1188" s="721"/>
      <c r="J1188" s="48"/>
      <c r="K1188" s="721"/>
      <c r="L1188" s="721"/>
      <c r="M1188" s="721"/>
      <c r="N1188" s="719"/>
      <c r="O1188" s="48"/>
      <c r="P1188" s="719"/>
      <c r="Q1188" s="48"/>
      <c r="R1188" s="48"/>
      <c r="S1188" s="711" t="str">
        <f>IFERROR(__xludf.DUMMYFUNCTION("""COMPUTED_VALUE"""),"")</f>
        <v/>
      </c>
      <c r="T1188" s="721"/>
      <c r="U1188" s="721"/>
      <c r="V1188" s="711"/>
      <c r="W1188" s="721"/>
      <c r="X1188" s="721"/>
      <c r="Y1188" s="48"/>
      <c r="Z1188" s="48"/>
      <c r="AA1188" s="48"/>
      <c r="AB1188" s="711"/>
      <c r="AC1188" s="711"/>
      <c r="AD1188" s="711"/>
      <c r="AE1188" s="711"/>
      <c r="AF1188" s="711"/>
      <c r="AG1188" s="711"/>
      <c r="AH1188" s="711"/>
    </row>
    <row r="1189">
      <c r="A1189" s="48"/>
      <c r="B1189" s="48"/>
      <c r="C1189" s="48"/>
      <c r="D1189" s="721"/>
      <c r="E1189" s="711"/>
      <c r="F1189" s="711"/>
      <c r="G1189" s="721"/>
      <c r="H1189" s="721"/>
      <c r="I1189" s="721"/>
      <c r="J1189" s="48"/>
      <c r="K1189" s="721"/>
      <c r="L1189" s="721"/>
      <c r="M1189" s="721"/>
      <c r="N1189" s="719"/>
      <c r="O1189" s="48"/>
      <c r="P1189" s="719"/>
      <c r="Q1189" s="48"/>
      <c r="R1189" s="48"/>
      <c r="S1189" s="711" t="str">
        <f>IFERROR(__xludf.DUMMYFUNCTION("""COMPUTED_VALUE"""),"")</f>
        <v/>
      </c>
      <c r="T1189" s="721"/>
      <c r="U1189" s="721"/>
      <c r="V1189" s="711"/>
      <c r="W1189" s="721"/>
      <c r="X1189" s="721"/>
      <c r="Y1189" s="48"/>
      <c r="Z1189" s="48"/>
      <c r="AA1189" s="48"/>
      <c r="AB1189" s="711"/>
      <c r="AC1189" s="711"/>
      <c r="AD1189" s="711"/>
      <c r="AE1189" s="711"/>
      <c r="AF1189" s="711"/>
      <c r="AG1189" s="711"/>
      <c r="AH1189" s="711"/>
    </row>
    <row r="1190">
      <c r="A1190" s="48"/>
      <c r="B1190" s="48"/>
      <c r="C1190" s="48"/>
      <c r="D1190" s="721"/>
      <c r="E1190" s="711"/>
      <c r="F1190" s="711"/>
      <c r="G1190" s="721"/>
      <c r="H1190" s="721"/>
      <c r="I1190" s="721"/>
      <c r="J1190" s="48"/>
      <c r="K1190" s="721"/>
      <c r="L1190" s="721"/>
      <c r="M1190" s="721"/>
      <c r="N1190" s="719"/>
      <c r="O1190" s="48"/>
      <c r="P1190" s="719"/>
      <c r="Q1190" s="48"/>
      <c r="R1190" s="48"/>
      <c r="S1190" s="711" t="str">
        <f>IFERROR(__xludf.DUMMYFUNCTION("""COMPUTED_VALUE"""),"")</f>
        <v/>
      </c>
      <c r="T1190" s="721"/>
      <c r="U1190" s="721"/>
      <c r="V1190" s="711"/>
      <c r="W1190" s="721"/>
      <c r="X1190" s="721"/>
      <c r="Y1190" s="48"/>
      <c r="Z1190" s="48"/>
      <c r="AA1190" s="48"/>
      <c r="AB1190" s="711"/>
      <c r="AC1190" s="711"/>
      <c r="AD1190" s="711"/>
      <c r="AE1190" s="711"/>
      <c r="AF1190" s="711"/>
      <c r="AG1190" s="711"/>
      <c r="AH1190" s="711"/>
    </row>
    <row r="1191">
      <c r="A1191" s="48"/>
      <c r="B1191" s="48"/>
      <c r="C1191" s="48"/>
      <c r="D1191" s="721"/>
      <c r="E1191" s="711"/>
      <c r="F1191" s="711"/>
      <c r="G1191" s="721"/>
      <c r="H1191" s="721"/>
      <c r="I1191" s="721"/>
      <c r="J1191" s="48"/>
      <c r="K1191" s="721"/>
      <c r="L1191" s="721"/>
      <c r="M1191" s="721"/>
      <c r="N1191" s="719"/>
      <c r="O1191" s="48"/>
      <c r="P1191" s="719"/>
      <c r="Q1191" s="48"/>
      <c r="R1191" s="48"/>
      <c r="S1191" s="711" t="str">
        <f>IFERROR(__xludf.DUMMYFUNCTION("""COMPUTED_VALUE"""),"")</f>
        <v/>
      </c>
      <c r="T1191" s="721"/>
      <c r="U1191" s="721"/>
      <c r="V1191" s="711"/>
      <c r="W1191" s="721"/>
      <c r="X1191" s="721"/>
      <c r="Y1191" s="48"/>
      <c r="Z1191" s="48"/>
      <c r="AA1191" s="48"/>
      <c r="AB1191" s="711"/>
      <c r="AC1191" s="711"/>
      <c r="AD1191" s="711"/>
      <c r="AE1191" s="711"/>
      <c r="AF1191" s="711"/>
      <c r="AG1191" s="711"/>
      <c r="AH1191" s="711"/>
    </row>
    <row r="1192">
      <c r="A1192" s="48"/>
      <c r="B1192" s="48"/>
      <c r="C1192" s="48"/>
      <c r="D1192" s="721"/>
      <c r="E1192" s="711"/>
      <c r="F1192" s="711"/>
      <c r="G1192" s="721"/>
      <c r="H1192" s="721"/>
      <c r="I1192" s="721"/>
      <c r="J1192" s="48"/>
      <c r="K1192" s="721"/>
      <c r="L1192" s="721"/>
      <c r="M1192" s="721"/>
      <c r="N1192" s="719"/>
      <c r="O1192" s="48"/>
      <c r="P1192" s="719"/>
      <c r="Q1192" s="48"/>
      <c r="R1192" s="48"/>
      <c r="S1192" s="711" t="str">
        <f>IFERROR(__xludf.DUMMYFUNCTION("""COMPUTED_VALUE"""),"")</f>
        <v/>
      </c>
      <c r="T1192" s="721"/>
      <c r="U1192" s="721"/>
      <c r="V1192" s="711"/>
      <c r="W1192" s="721"/>
      <c r="X1192" s="721"/>
      <c r="Y1192" s="48"/>
      <c r="Z1192" s="48"/>
      <c r="AA1192" s="48"/>
      <c r="AB1192" s="711"/>
      <c r="AC1192" s="711"/>
      <c r="AD1192" s="711"/>
      <c r="AE1192" s="711"/>
      <c r="AF1192" s="711"/>
      <c r="AG1192" s="711"/>
      <c r="AH1192" s="711"/>
    </row>
    <row r="1193">
      <c r="A1193" s="48"/>
      <c r="B1193" s="48"/>
      <c r="C1193" s="48"/>
      <c r="D1193" s="721"/>
      <c r="E1193" s="711"/>
      <c r="F1193" s="711"/>
      <c r="G1193" s="721"/>
      <c r="H1193" s="721"/>
      <c r="I1193" s="721"/>
      <c r="J1193" s="48"/>
      <c r="K1193" s="721"/>
      <c r="L1193" s="721"/>
      <c r="M1193" s="721"/>
      <c r="N1193" s="719"/>
      <c r="O1193" s="48"/>
      <c r="P1193" s="719"/>
      <c r="Q1193" s="48"/>
      <c r="R1193" s="48"/>
      <c r="S1193" s="711" t="str">
        <f>IFERROR(__xludf.DUMMYFUNCTION("""COMPUTED_VALUE"""),"")</f>
        <v/>
      </c>
      <c r="T1193" s="721"/>
      <c r="U1193" s="721"/>
      <c r="V1193" s="711"/>
      <c r="W1193" s="721"/>
      <c r="X1193" s="721"/>
      <c r="Y1193" s="48"/>
      <c r="Z1193" s="48"/>
      <c r="AA1193" s="48"/>
      <c r="AB1193" s="711"/>
      <c r="AC1193" s="711"/>
      <c r="AD1193" s="711"/>
      <c r="AE1193" s="711"/>
      <c r="AF1193" s="711"/>
      <c r="AG1193" s="711"/>
      <c r="AH1193" s="711"/>
    </row>
    <row r="1194">
      <c r="A1194" s="48"/>
      <c r="B1194" s="48"/>
      <c r="C1194" s="48"/>
      <c r="D1194" s="721"/>
      <c r="E1194" s="711"/>
      <c r="F1194" s="711"/>
      <c r="G1194" s="721"/>
      <c r="H1194" s="721"/>
      <c r="I1194" s="721"/>
      <c r="J1194" s="48"/>
      <c r="K1194" s="721"/>
      <c r="L1194" s="721"/>
      <c r="M1194" s="721"/>
      <c r="N1194" s="719"/>
      <c r="O1194" s="48"/>
      <c r="P1194" s="719"/>
      <c r="Q1194" s="48"/>
      <c r="R1194" s="48"/>
      <c r="S1194" s="711" t="str">
        <f>IFERROR(__xludf.DUMMYFUNCTION("""COMPUTED_VALUE"""),"")</f>
        <v/>
      </c>
      <c r="T1194" s="721"/>
      <c r="U1194" s="721"/>
      <c r="V1194" s="711"/>
      <c r="W1194" s="721"/>
      <c r="X1194" s="721"/>
      <c r="Y1194" s="48"/>
      <c r="Z1194" s="48"/>
      <c r="AA1194" s="48"/>
      <c r="AB1194" s="711"/>
      <c r="AC1194" s="711"/>
      <c r="AD1194" s="711"/>
      <c r="AE1194" s="711"/>
      <c r="AF1194" s="711"/>
      <c r="AG1194" s="711"/>
      <c r="AH1194" s="711"/>
    </row>
    <row r="1195">
      <c r="A1195" s="48"/>
      <c r="B1195" s="48"/>
      <c r="C1195" s="48"/>
      <c r="D1195" s="721"/>
      <c r="E1195" s="711"/>
      <c r="F1195" s="711"/>
      <c r="G1195" s="721"/>
      <c r="H1195" s="721"/>
      <c r="I1195" s="721"/>
      <c r="J1195" s="48"/>
      <c r="K1195" s="721"/>
      <c r="L1195" s="721"/>
      <c r="M1195" s="721"/>
      <c r="N1195" s="719"/>
      <c r="O1195" s="48"/>
      <c r="P1195" s="719"/>
      <c r="Q1195" s="48"/>
      <c r="R1195" s="48"/>
      <c r="S1195" s="711" t="str">
        <f>IFERROR(__xludf.DUMMYFUNCTION("""COMPUTED_VALUE"""),"")</f>
        <v/>
      </c>
      <c r="T1195" s="721"/>
      <c r="U1195" s="721"/>
      <c r="V1195" s="711"/>
      <c r="W1195" s="721"/>
      <c r="X1195" s="721"/>
      <c r="Y1195" s="48"/>
      <c r="Z1195" s="48"/>
      <c r="AA1195" s="48"/>
      <c r="AB1195" s="711"/>
      <c r="AC1195" s="711"/>
      <c r="AD1195" s="711"/>
      <c r="AE1195" s="711"/>
      <c r="AF1195" s="711"/>
      <c r="AG1195" s="711"/>
      <c r="AH1195" s="711"/>
    </row>
    <row r="1196">
      <c r="A1196" s="48"/>
      <c r="B1196" s="48"/>
      <c r="C1196" s="48"/>
      <c r="D1196" s="721"/>
      <c r="E1196" s="711"/>
      <c r="F1196" s="711"/>
      <c r="G1196" s="721"/>
      <c r="H1196" s="721"/>
      <c r="I1196" s="721"/>
      <c r="J1196" s="48"/>
      <c r="K1196" s="721"/>
      <c r="L1196" s="721"/>
      <c r="M1196" s="721"/>
      <c r="N1196" s="719"/>
      <c r="O1196" s="48"/>
      <c r="P1196" s="719"/>
      <c r="Q1196" s="48"/>
      <c r="R1196" s="48"/>
      <c r="S1196" s="711" t="str">
        <f>IFERROR(__xludf.DUMMYFUNCTION("""COMPUTED_VALUE"""),"")</f>
        <v/>
      </c>
      <c r="T1196" s="721"/>
      <c r="U1196" s="721"/>
      <c r="V1196" s="711"/>
      <c r="W1196" s="721"/>
      <c r="X1196" s="721"/>
      <c r="Y1196" s="48"/>
      <c r="Z1196" s="48"/>
      <c r="AA1196" s="48"/>
      <c r="AB1196" s="711"/>
      <c r="AC1196" s="711"/>
      <c r="AD1196" s="711"/>
      <c r="AE1196" s="711"/>
      <c r="AF1196" s="711"/>
      <c r="AG1196" s="711"/>
      <c r="AH1196" s="711"/>
    </row>
    <row r="1197">
      <c r="A1197" s="48"/>
      <c r="B1197" s="48"/>
      <c r="C1197" s="48"/>
      <c r="D1197" s="721"/>
      <c r="E1197" s="711"/>
      <c r="F1197" s="711"/>
      <c r="G1197" s="721"/>
      <c r="H1197" s="721"/>
      <c r="I1197" s="721"/>
      <c r="J1197" s="48"/>
      <c r="K1197" s="721"/>
      <c r="L1197" s="721"/>
      <c r="M1197" s="721"/>
      <c r="N1197" s="719"/>
      <c r="O1197" s="48"/>
      <c r="P1197" s="719"/>
      <c r="Q1197" s="48"/>
      <c r="R1197" s="48"/>
      <c r="S1197" s="711" t="str">
        <f>IFERROR(__xludf.DUMMYFUNCTION("""COMPUTED_VALUE"""),"")</f>
        <v/>
      </c>
      <c r="T1197" s="721"/>
      <c r="U1197" s="721"/>
      <c r="V1197" s="711"/>
      <c r="W1197" s="721"/>
      <c r="X1197" s="721"/>
      <c r="Y1197" s="48"/>
      <c r="Z1197" s="48"/>
      <c r="AA1197" s="48"/>
      <c r="AB1197" s="711"/>
      <c r="AC1197" s="711"/>
      <c r="AD1197" s="711"/>
      <c r="AE1197" s="711"/>
      <c r="AF1197" s="711"/>
      <c r="AG1197" s="711"/>
      <c r="AH1197" s="711"/>
    </row>
    <row r="1198">
      <c r="A1198" s="48"/>
      <c r="B1198" s="48"/>
      <c r="C1198" s="48"/>
      <c r="D1198" s="721"/>
      <c r="E1198" s="711"/>
      <c r="F1198" s="711"/>
      <c r="G1198" s="721"/>
      <c r="H1198" s="721"/>
      <c r="I1198" s="721"/>
      <c r="J1198" s="48"/>
      <c r="K1198" s="721"/>
      <c r="L1198" s="721"/>
      <c r="M1198" s="721"/>
      <c r="N1198" s="719"/>
      <c r="O1198" s="48"/>
      <c r="P1198" s="719"/>
      <c r="Q1198" s="48"/>
      <c r="R1198" s="48"/>
      <c r="S1198" s="711" t="str">
        <f>IFERROR(__xludf.DUMMYFUNCTION("""COMPUTED_VALUE"""),"")</f>
        <v/>
      </c>
      <c r="T1198" s="721"/>
      <c r="U1198" s="721"/>
      <c r="V1198" s="711"/>
      <c r="W1198" s="721"/>
      <c r="X1198" s="721"/>
      <c r="Y1198" s="48"/>
      <c r="Z1198" s="48"/>
      <c r="AA1198" s="48"/>
      <c r="AB1198" s="711"/>
      <c r="AC1198" s="711"/>
      <c r="AD1198" s="711"/>
      <c r="AE1198" s="711"/>
      <c r="AF1198" s="711"/>
      <c r="AG1198" s="711"/>
      <c r="AH1198" s="711"/>
    </row>
    <row r="1199">
      <c r="A1199" s="48"/>
      <c r="B1199" s="48"/>
      <c r="C1199" s="48"/>
      <c r="D1199" s="721"/>
      <c r="E1199" s="711"/>
      <c r="F1199" s="711"/>
      <c r="G1199" s="721"/>
      <c r="H1199" s="721"/>
      <c r="I1199" s="721"/>
      <c r="J1199" s="48"/>
      <c r="K1199" s="721"/>
      <c r="L1199" s="721"/>
      <c r="M1199" s="721"/>
      <c r="N1199" s="719"/>
      <c r="O1199" s="48"/>
      <c r="P1199" s="719"/>
      <c r="Q1199" s="48"/>
      <c r="R1199" s="48"/>
      <c r="S1199" s="711" t="str">
        <f>IFERROR(__xludf.DUMMYFUNCTION("""COMPUTED_VALUE"""),"")</f>
        <v/>
      </c>
      <c r="T1199" s="721"/>
      <c r="U1199" s="721"/>
      <c r="V1199" s="711"/>
      <c r="W1199" s="721"/>
      <c r="X1199" s="721"/>
      <c r="Y1199" s="48"/>
      <c r="Z1199" s="48"/>
      <c r="AA1199" s="48"/>
      <c r="AB1199" s="711"/>
      <c r="AC1199" s="711"/>
      <c r="AD1199" s="711"/>
      <c r="AE1199" s="711"/>
      <c r="AF1199" s="711"/>
      <c r="AG1199" s="711"/>
      <c r="AH1199" s="711"/>
    </row>
    <row r="1200">
      <c r="A1200" s="48"/>
      <c r="B1200" s="48"/>
      <c r="C1200" s="48"/>
      <c r="D1200" s="721"/>
      <c r="E1200" s="711"/>
      <c r="F1200" s="711"/>
      <c r="G1200" s="721"/>
      <c r="H1200" s="721"/>
      <c r="I1200" s="721"/>
      <c r="J1200" s="48"/>
      <c r="K1200" s="721"/>
      <c r="L1200" s="721"/>
      <c r="M1200" s="721"/>
      <c r="N1200" s="719"/>
      <c r="O1200" s="48"/>
      <c r="P1200" s="719"/>
      <c r="Q1200" s="48"/>
      <c r="R1200" s="48"/>
      <c r="S1200" s="711" t="str">
        <f>IFERROR(__xludf.DUMMYFUNCTION("""COMPUTED_VALUE"""),"")</f>
        <v/>
      </c>
      <c r="T1200" s="721"/>
      <c r="U1200" s="721"/>
      <c r="V1200" s="711"/>
      <c r="W1200" s="721"/>
      <c r="X1200" s="721"/>
      <c r="Y1200" s="48"/>
      <c r="Z1200" s="48"/>
      <c r="AA1200" s="48"/>
      <c r="AB1200" s="711"/>
      <c r="AC1200" s="711"/>
      <c r="AD1200" s="711"/>
      <c r="AE1200" s="711"/>
      <c r="AF1200" s="711"/>
      <c r="AG1200" s="711"/>
      <c r="AH1200" s="711"/>
    </row>
    <row r="1201">
      <c r="A1201" s="48"/>
      <c r="B1201" s="48"/>
      <c r="C1201" s="48"/>
      <c r="D1201" s="721"/>
      <c r="E1201" s="711"/>
      <c r="F1201" s="711"/>
      <c r="G1201" s="721"/>
      <c r="H1201" s="721"/>
      <c r="I1201" s="721"/>
      <c r="J1201" s="48"/>
      <c r="K1201" s="721"/>
      <c r="L1201" s="721"/>
      <c r="M1201" s="721"/>
      <c r="N1201" s="719"/>
      <c r="O1201" s="48"/>
      <c r="P1201" s="719"/>
      <c r="Q1201" s="48"/>
      <c r="R1201" s="48"/>
      <c r="S1201" s="711" t="str">
        <f>IFERROR(__xludf.DUMMYFUNCTION("""COMPUTED_VALUE"""),"")</f>
        <v/>
      </c>
      <c r="T1201" s="721"/>
      <c r="U1201" s="721"/>
      <c r="V1201" s="711"/>
      <c r="W1201" s="721"/>
      <c r="X1201" s="721"/>
      <c r="Y1201" s="48"/>
      <c r="Z1201" s="48"/>
      <c r="AA1201" s="48"/>
      <c r="AB1201" s="711"/>
      <c r="AC1201" s="711"/>
      <c r="AD1201" s="711"/>
      <c r="AE1201" s="711"/>
      <c r="AF1201" s="711"/>
      <c r="AG1201" s="711"/>
      <c r="AH1201" s="711"/>
    </row>
    <row r="1202">
      <c r="A1202" s="48"/>
      <c r="B1202" s="48"/>
      <c r="C1202" s="48"/>
      <c r="D1202" s="721"/>
      <c r="E1202" s="711"/>
      <c r="F1202" s="711"/>
      <c r="G1202" s="721"/>
      <c r="H1202" s="721"/>
      <c r="I1202" s="721"/>
      <c r="J1202" s="48"/>
      <c r="K1202" s="721"/>
      <c r="L1202" s="721"/>
      <c r="M1202" s="721"/>
      <c r="N1202" s="719"/>
      <c r="O1202" s="48"/>
      <c r="P1202" s="719"/>
      <c r="Q1202" s="48"/>
      <c r="R1202" s="48"/>
      <c r="S1202" s="711" t="str">
        <f>IFERROR(__xludf.DUMMYFUNCTION("""COMPUTED_VALUE"""),"")</f>
        <v/>
      </c>
      <c r="T1202" s="721"/>
      <c r="U1202" s="721"/>
      <c r="V1202" s="711"/>
      <c r="W1202" s="721"/>
      <c r="X1202" s="721"/>
      <c r="Y1202" s="48"/>
      <c r="Z1202" s="48"/>
      <c r="AA1202" s="48"/>
      <c r="AB1202" s="711"/>
      <c r="AC1202" s="711"/>
      <c r="AD1202" s="711"/>
      <c r="AE1202" s="711"/>
      <c r="AF1202" s="711"/>
      <c r="AG1202" s="711"/>
      <c r="AH1202" s="711"/>
    </row>
    <row r="1203">
      <c r="A1203" s="48"/>
      <c r="B1203" s="48"/>
      <c r="C1203" s="48"/>
      <c r="D1203" s="721"/>
      <c r="E1203" s="711"/>
      <c r="F1203" s="711"/>
      <c r="G1203" s="721"/>
      <c r="H1203" s="721"/>
      <c r="I1203" s="721"/>
      <c r="J1203" s="48"/>
      <c r="K1203" s="721"/>
      <c r="L1203" s="721"/>
      <c r="M1203" s="721"/>
      <c r="N1203" s="719"/>
      <c r="O1203" s="48"/>
      <c r="P1203" s="719"/>
      <c r="Q1203" s="48"/>
      <c r="R1203" s="48"/>
      <c r="S1203" s="711" t="str">
        <f>IFERROR(__xludf.DUMMYFUNCTION("""COMPUTED_VALUE"""),"")</f>
        <v/>
      </c>
      <c r="T1203" s="721"/>
      <c r="U1203" s="721"/>
      <c r="V1203" s="711"/>
      <c r="W1203" s="721"/>
      <c r="X1203" s="721"/>
      <c r="Y1203" s="48"/>
      <c r="Z1203" s="48"/>
      <c r="AA1203" s="48"/>
      <c r="AB1203" s="711"/>
      <c r="AC1203" s="711"/>
      <c r="AD1203" s="711"/>
      <c r="AE1203" s="711"/>
      <c r="AF1203" s="711"/>
      <c r="AG1203" s="711"/>
      <c r="AH1203" s="711"/>
    </row>
    <row r="1204">
      <c r="A1204" s="48"/>
      <c r="B1204" s="48"/>
      <c r="C1204" s="48"/>
      <c r="D1204" s="721"/>
      <c r="E1204" s="711"/>
      <c r="F1204" s="711"/>
      <c r="G1204" s="721"/>
      <c r="H1204" s="721"/>
      <c r="I1204" s="721"/>
      <c r="J1204" s="48"/>
      <c r="K1204" s="721"/>
      <c r="L1204" s="721"/>
      <c r="M1204" s="721"/>
      <c r="N1204" s="719"/>
      <c r="O1204" s="48"/>
      <c r="P1204" s="719"/>
      <c r="Q1204" s="48"/>
      <c r="R1204" s="48"/>
      <c r="S1204" s="711" t="str">
        <f>IFERROR(__xludf.DUMMYFUNCTION("""COMPUTED_VALUE"""),"")</f>
        <v/>
      </c>
      <c r="T1204" s="721"/>
      <c r="U1204" s="721"/>
      <c r="V1204" s="711"/>
      <c r="W1204" s="721"/>
      <c r="X1204" s="721"/>
      <c r="Y1204" s="48"/>
      <c r="Z1204" s="48"/>
      <c r="AA1204" s="48"/>
      <c r="AB1204" s="711"/>
      <c r="AC1204" s="711"/>
      <c r="AD1204" s="711"/>
      <c r="AE1204" s="711"/>
      <c r="AF1204" s="711"/>
      <c r="AG1204" s="711"/>
      <c r="AH1204" s="711"/>
    </row>
    <row r="1205">
      <c r="A1205" s="48"/>
      <c r="B1205" s="48"/>
      <c r="C1205" s="48"/>
      <c r="D1205" s="721"/>
      <c r="E1205" s="711"/>
      <c r="F1205" s="711"/>
      <c r="G1205" s="721"/>
      <c r="H1205" s="721"/>
      <c r="I1205" s="721"/>
      <c r="J1205" s="48"/>
      <c r="K1205" s="721"/>
      <c r="L1205" s="721"/>
      <c r="M1205" s="721"/>
      <c r="N1205" s="719"/>
      <c r="O1205" s="48"/>
      <c r="P1205" s="719"/>
      <c r="Q1205" s="48"/>
      <c r="R1205" s="48"/>
      <c r="S1205" s="711" t="str">
        <f>IFERROR(__xludf.DUMMYFUNCTION("""COMPUTED_VALUE"""),"")</f>
        <v/>
      </c>
      <c r="T1205" s="721"/>
      <c r="U1205" s="721"/>
      <c r="V1205" s="711"/>
      <c r="W1205" s="721"/>
      <c r="X1205" s="721"/>
      <c r="Y1205" s="48"/>
      <c r="Z1205" s="48"/>
      <c r="AA1205" s="48"/>
      <c r="AB1205" s="711"/>
      <c r="AC1205" s="711"/>
      <c r="AD1205" s="711"/>
      <c r="AE1205" s="711"/>
      <c r="AF1205" s="711"/>
      <c r="AG1205" s="711"/>
      <c r="AH1205" s="711"/>
    </row>
    <row r="1206">
      <c r="A1206" s="48"/>
      <c r="B1206" s="48"/>
      <c r="C1206" s="48"/>
      <c r="D1206" s="721"/>
      <c r="E1206" s="711"/>
      <c r="F1206" s="711"/>
      <c r="G1206" s="721"/>
      <c r="H1206" s="721"/>
      <c r="I1206" s="721"/>
      <c r="J1206" s="48"/>
      <c r="K1206" s="721"/>
      <c r="L1206" s="721"/>
      <c r="M1206" s="721"/>
      <c r="N1206" s="719"/>
      <c r="O1206" s="48"/>
      <c r="P1206" s="719"/>
      <c r="Q1206" s="48"/>
      <c r="R1206" s="48"/>
      <c r="S1206" s="711" t="str">
        <f>IFERROR(__xludf.DUMMYFUNCTION("""COMPUTED_VALUE"""),"")</f>
        <v/>
      </c>
      <c r="T1206" s="721"/>
      <c r="U1206" s="721"/>
      <c r="V1206" s="711"/>
      <c r="W1206" s="721"/>
      <c r="X1206" s="721"/>
      <c r="Y1206" s="48"/>
      <c r="Z1206" s="48"/>
      <c r="AA1206" s="48"/>
      <c r="AB1206" s="711"/>
      <c r="AC1206" s="711"/>
      <c r="AD1206" s="711"/>
      <c r="AE1206" s="711"/>
      <c r="AF1206" s="711"/>
      <c r="AG1206" s="711"/>
      <c r="AH1206" s="711"/>
    </row>
    <row r="1207">
      <c r="A1207" s="48"/>
      <c r="B1207" s="48"/>
      <c r="C1207" s="48"/>
      <c r="D1207" s="721"/>
      <c r="E1207" s="711"/>
      <c r="F1207" s="711"/>
      <c r="G1207" s="721"/>
      <c r="H1207" s="721"/>
      <c r="I1207" s="721"/>
      <c r="J1207" s="48"/>
      <c r="K1207" s="721"/>
      <c r="L1207" s="721"/>
      <c r="M1207" s="721"/>
      <c r="N1207" s="719"/>
      <c r="O1207" s="48"/>
      <c r="P1207" s="719"/>
      <c r="Q1207" s="48"/>
      <c r="R1207" s="48"/>
      <c r="S1207" s="711" t="str">
        <f>IFERROR(__xludf.DUMMYFUNCTION("""COMPUTED_VALUE"""),"")</f>
        <v/>
      </c>
      <c r="T1207" s="721"/>
      <c r="U1207" s="721"/>
      <c r="V1207" s="711"/>
      <c r="W1207" s="721"/>
      <c r="X1207" s="721"/>
      <c r="Y1207" s="48"/>
      <c r="Z1207" s="48"/>
      <c r="AA1207" s="48"/>
      <c r="AB1207" s="711"/>
      <c r="AC1207" s="711"/>
      <c r="AD1207" s="711"/>
      <c r="AE1207" s="711"/>
      <c r="AF1207" s="711"/>
      <c r="AG1207" s="711"/>
      <c r="AH1207" s="711"/>
    </row>
    <row r="1208">
      <c r="A1208" s="48"/>
      <c r="B1208" s="48"/>
      <c r="C1208" s="48"/>
      <c r="D1208" s="721"/>
      <c r="E1208" s="711"/>
      <c r="F1208" s="711"/>
      <c r="G1208" s="721"/>
      <c r="H1208" s="721"/>
      <c r="I1208" s="721"/>
      <c r="J1208" s="48"/>
      <c r="K1208" s="721"/>
      <c r="L1208" s="721"/>
      <c r="M1208" s="721"/>
      <c r="N1208" s="719"/>
      <c r="O1208" s="48"/>
      <c r="P1208" s="719"/>
      <c r="Q1208" s="48"/>
      <c r="R1208" s="48"/>
      <c r="S1208" s="711" t="str">
        <f>IFERROR(__xludf.DUMMYFUNCTION("""COMPUTED_VALUE"""),"")</f>
        <v/>
      </c>
      <c r="T1208" s="721"/>
      <c r="U1208" s="721"/>
      <c r="V1208" s="711"/>
      <c r="W1208" s="721"/>
      <c r="X1208" s="721"/>
      <c r="Y1208" s="48"/>
      <c r="Z1208" s="48"/>
      <c r="AA1208" s="48"/>
      <c r="AB1208" s="711"/>
      <c r="AC1208" s="711"/>
      <c r="AD1208" s="711"/>
      <c r="AE1208" s="711"/>
      <c r="AF1208" s="711"/>
      <c r="AG1208" s="711"/>
      <c r="AH1208" s="711"/>
    </row>
    <row r="1209">
      <c r="A1209" s="48"/>
      <c r="B1209" s="48"/>
      <c r="C1209" s="48"/>
      <c r="D1209" s="721"/>
      <c r="E1209" s="711"/>
      <c r="F1209" s="711"/>
      <c r="G1209" s="721"/>
      <c r="H1209" s="721"/>
      <c r="I1209" s="721"/>
      <c r="J1209" s="48"/>
      <c r="K1209" s="721"/>
      <c r="L1209" s="721"/>
      <c r="M1209" s="721"/>
      <c r="N1209" s="719"/>
      <c r="O1209" s="48"/>
      <c r="P1209" s="719"/>
      <c r="Q1209" s="48"/>
      <c r="R1209" s="48"/>
      <c r="S1209" s="711" t="str">
        <f>IFERROR(__xludf.DUMMYFUNCTION("""COMPUTED_VALUE"""),"")</f>
        <v/>
      </c>
      <c r="T1209" s="721"/>
      <c r="U1209" s="721"/>
      <c r="V1209" s="711"/>
      <c r="W1209" s="721"/>
      <c r="X1209" s="721"/>
      <c r="Y1209" s="48"/>
      <c r="Z1209" s="48"/>
      <c r="AA1209" s="48"/>
      <c r="AB1209" s="711"/>
      <c r="AC1209" s="711"/>
      <c r="AD1209" s="711"/>
      <c r="AE1209" s="711"/>
      <c r="AF1209" s="711"/>
      <c r="AG1209" s="711"/>
      <c r="AH1209" s="711"/>
    </row>
    <row r="1210">
      <c r="A1210" s="48"/>
      <c r="B1210" s="48"/>
      <c r="C1210" s="48"/>
      <c r="D1210" s="721"/>
      <c r="E1210" s="711"/>
      <c r="F1210" s="711"/>
      <c r="G1210" s="721"/>
      <c r="H1210" s="721"/>
      <c r="I1210" s="721"/>
      <c r="J1210" s="48"/>
      <c r="K1210" s="721"/>
      <c r="L1210" s="721"/>
      <c r="M1210" s="721"/>
      <c r="N1210" s="719"/>
      <c r="O1210" s="48"/>
      <c r="P1210" s="719"/>
      <c r="Q1210" s="48"/>
      <c r="R1210" s="48"/>
      <c r="S1210" s="711" t="str">
        <f>IFERROR(__xludf.DUMMYFUNCTION("""COMPUTED_VALUE"""),"")</f>
        <v/>
      </c>
      <c r="T1210" s="721"/>
      <c r="U1210" s="721"/>
      <c r="V1210" s="711"/>
      <c r="W1210" s="721"/>
      <c r="X1210" s="721"/>
      <c r="Y1210" s="48"/>
      <c r="Z1210" s="48"/>
      <c r="AA1210" s="48"/>
      <c r="AB1210" s="711"/>
      <c r="AC1210" s="711"/>
      <c r="AD1210" s="711"/>
      <c r="AE1210" s="711"/>
      <c r="AF1210" s="711"/>
      <c r="AG1210" s="711"/>
      <c r="AH1210" s="711"/>
    </row>
    <row r="1211">
      <c r="A1211" s="48"/>
      <c r="B1211" s="48"/>
      <c r="C1211" s="48"/>
      <c r="D1211" s="721"/>
      <c r="E1211" s="711"/>
      <c r="F1211" s="711"/>
      <c r="G1211" s="721"/>
      <c r="H1211" s="721"/>
      <c r="I1211" s="721"/>
      <c r="J1211" s="48"/>
      <c r="K1211" s="721"/>
      <c r="L1211" s="721"/>
      <c r="M1211" s="721"/>
      <c r="N1211" s="719"/>
      <c r="O1211" s="48"/>
      <c r="P1211" s="719"/>
      <c r="Q1211" s="48"/>
      <c r="R1211" s="48"/>
      <c r="S1211" s="711" t="str">
        <f>IFERROR(__xludf.DUMMYFUNCTION("""COMPUTED_VALUE"""),"")</f>
        <v/>
      </c>
      <c r="T1211" s="721"/>
      <c r="U1211" s="721"/>
      <c r="V1211" s="711"/>
      <c r="W1211" s="721"/>
      <c r="X1211" s="721"/>
      <c r="Y1211" s="48"/>
      <c r="Z1211" s="48"/>
      <c r="AA1211" s="48"/>
      <c r="AB1211" s="711"/>
      <c r="AC1211" s="711"/>
      <c r="AD1211" s="711"/>
      <c r="AE1211" s="711"/>
      <c r="AF1211" s="711"/>
      <c r="AG1211" s="711"/>
      <c r="AH1211" s="711"/>
    </row>
    <row r="1212">
      <c r="A1212" s="48"/>
      <c r="B1212" s="48"/>
      <c r="C1212" s="48"/>
      <c r="D1212" s="721"/>
      <c r="E1212" s="711"/>
      <c r="F1212" s="711"/>
      <c r="G1212" s="721"/>
      <c r="H1212" s="721"/>
      <c r="I1212" s="721"/>
      <c r="J1212" s="48"/>
      <c r="K1212" s="721"/>
      <c r="L1212" s="721"/>
      <c r="M1212" s="721"/>
      <c r="N1212" s="719"/>
      <c r="O1212" s="48"/>
      <c r="P1212" s="719"/>
      <c r="Q1212" s="48"/>
      <c r="R1212" s="48"/>
      <c r="S1212" s="711" t="str">
        <f>IFERROR(__xludf.DUMMYFUNCTION("""COMPUTED_VALUE"""),"")</f>
        <v/>
      </c>
      <c r="T1212" s="721"/>
      <c r="U1212" s="721"/>
      <c r="V1212" s="711"/>
      <c r="W1212" s="721"/>
      <c r="X1212" s="721"/>
      <c r="Y1212" s="48"/>
      <c r="Z1212" s="48"/>
      <c r="AA1212" s="48"/>
      <c r="AB1212" s="711"/>
      <c r="AC1212" s="711"/>
      <c r="AD1212" s="711"/>
      <c r="AE1212" s="711"/>
      <c r="AF1212" s="711"/>
      <c r="AG1212" s="711"/>
      <c r="AH1212" s="711"/>
    </row>
    <row r="1213">
      <c r="A1213" s="48"/>
      <c r="B1213" s="48"/>
      <c r="C1213" s="48"/>
      <c r="D1213" s="721"/>
      <c r="E1213" s="711"/>
      <c r="F1213" s="711"/>
      <c r="G1213" s="721"/>
      <c r="H1213" s="721"/>
      <c r="I1213" s="721"/>
      <c r="J1213" s="48"/>
      <c r="K1213" s="721"/>
      <c r="L1213" s="721"/>
      <c r="M1213" s="721"/>
      <c r="N1213" s="719"/>
      <c r="O1213" s="48"/>
      <c r="P1213" s="719"/>
      <c r="Q1213" s="48"/>
      <c r="R1213" s="48"/>
      <c r="S1213" s="711" t="str">
        <f>IFERROR(__xludf.DUMMYFUNCTION("""COMPUTED_VALUE"""),"")</f>
        <v/>
      </c>
      <c r="T1213" s="721"/>
      <c r="U1213" s="721"/>
      <c r="V1213" s="711"/>
      <c r="W1213" s="721"/>
      <c r="X1213" s="721"/>
      <c r="Y1213" s="48"/>
      <c r="Z1213" s="48"/>
      <c r="AA1213" s="48"/>
      <c r="AB1213" s="711"/>
      <c r="AC1213" s="711"/>
      <c r="AD1213" s="711"/>
      <c r="AE1213" s="711"/>
      <c r="AF1213" s="711"/>
      <c r="AG1213" s="711"/>
      <c r="AH1213" s="711"/>
    </row>
    <row r="1214">
      <c r="A1214" s="48"/>
      <c r="B1214" s="48"/>
      <c r="C1214" s="48"/>
      <c r="D1214" s="721"/>
      <c r="E1214" s="711"/>
      <c r="F1214" s="711"/>
      <c r="G1214" s="721"/>
      <c r="H1214" s="721"/>
      <c r="I1214" s="721"/>
      <c r="J1214" s="48"/>
      <c r="K1214" s="721"/>
      <c r="L1214" s="721"/>
      <c r="M1214" s="721"/>
      <c r="N1214" s="719"/>
      <c r="O1214" s="48"/>
      <c r="P1214" s="719"/>
      <c r="Q1214" s="48"/>
      <c r="R1214" s="48"/>
      <c r="S1214" s="711" t="str">
        <f>IFERROR(__xludf.DUMMYFUNCTION("""COMPUTED_VALUE"""),"")</f>
        <v/>
      </c>
      <c r="T1214" s="721"/>
      <c r="U1214" s="721"/>
      <c r="V1214" s="711"/>
      <c r="W1214" s="721"/>
      <c r="X1214" s="721"/>
      <c r="Y1214" s="48"/>
      <c r="Z1214" s="48"/>
      <c r="AA1214" s="48"/>
      <c r="AB1214" s="711"/>
      <c r="AC1214" s="711"/>
      <c r="AD1214" s="711"/>
      <c r="AE1214" s="711"/>
      <c r="AF1214" s="711"/>
      <c r="AG1214" s="711"/>
      <c r="AH1214" s="711"/>
    </row>
    <row r="1215">
      <c r="A1215" s="48"/>
      <c r="B1215" s="48"/>
      <c r="C1215" s="48"/>
      <c r="D1215" s="721"/>
      <c r="E1215" s="711"/>
      <c r="F1215" s="711"/>
      <c r="G1215" s="721"/>
      <c r="H1215" s="721"/>
      <c r="I1215" s="721"/>
      <c r="J1215" s="48"/>
      <c r="K1215" s="721"/>
      <c r="L1215" s="721"/>
      <c r="M1215" s="721"/>
      <c r="N1215" s="719"/>
      <c r="O1215" s="48"/>
      <c r="P1215" s="719"/>
      <c r="Q1215" s="48"/>
      <c r="R1215" s="48"/>
      <c r="S1215" s="711" t="str">
        <f>IFERROR(__xludf.DUMMYFUNCTION("""COMPUTED_VALUE"""),"")</f>
        <v/>
      </c>
      <c r="T1215" s="721"/>
      <c r="U1215" s="721"/>
      <c r="V1215" s="711"/>
      <c r="W1215" s="721"/>
      <c r="X1215" s="721"/>
      <c r="Y1215" s="48"/>
      <c r="Z1215" s="48"/>
      <c r="AA1215" s="48"/>
      <c r="AB1215" s="711"/>
      <c r="AC1215" s="711"/>
      <c r="AD1215" s="711"/>
      <c r="AE1215" s="711"/>
      <c r="AF1215" s="711"/>
      <c r="AG1215" s="711"/>
      <c r="AH1215" s="711"/>
    </row>
    <row r="1216">
      <c r="A1216" s="48"/>
      <c r="B1216" s="48"/>
      <c r="C1216" s="48"/>
      <c r="D1216" s="721"/>
      <c r="E1216" s="711"/>
      <c r="F1216" s="711"/>
      <c r="G1216" s="721"/>
      <c r="H1216" s="721"/>
      <c r="I1216" s="721"/>
      <c r="J1216" s="48"/>
      <c r="K1216" s="721"/>
      <c r="L1216" s="721"/>
      <c r="M1216" s="721"/>
      <c r="N1216" s="719"/>
      <c r="O1216" s="48"/>
      <c r="P1216" s="719"/>
      <c r="Q1216" s="48"/>
      <c r="R1216" s="48"/>
      <c r="S1216" s="711" t="str">
        <f>IFERROR(__xludf.DUMMYFUNCTION("""COMPUTED_VALUE"""),"")</f>
        <v/>
      </c>
      <c r="T1216" s="721"/>
      <c r="U1216" s="721"/>
      <c r="V1216" s="711"/>
      <c r="W1216" s="721"/>
      <c r="X1216" s="721"/>
      <c r="Y1216" s="48"/>
      <c r="Z1216" s="48"/>
      <c r="AA1216" s="48"/>
      <c r="AB1216" s="711"/>
      <c r="AC1216" s="711"/>
      <c r="AD1216" s="711"/>
      <c r="AE1216" s="711"/>
      <c r="AF1216" s="711"/>
      <c r="AG1216" s="711"/>
      <c r="AH1216" s="711"/>
    </row>
    <row r="1217">
      <c r="A1217" s="48"/>
      <c r="B1217" s="48"/>
      <c r="C1217" s="48"/>
      <c r="D1217" s="721"/>
      <c r="E1217" s="711"/>
      <c r="F1217" s="711"/>
      <c r="G1217" s="721"/>
      <c r="H1217" s="721"/>
      <c r="I1217" s="721"/>
      <c r="J1217" s="48"/>
      <c r="K1217" s="721"/>
      <c r="L1217" s="721"/>
      <c r="M1217" s="721"/>
      <c r="N1217" s="719"/>
      <c r="O1217" s="48"/>
      <c r="P1217" s="719"/>
      <c r="Q1217" s="48"/>
      <c r="R1217" s="48"/>
      <c r="S1217" s="711" t="str">
        <f>IFERROR(__xludf.DUMMYFUNCTION("""COMPUTED_VALUE"""),"")</f>
        <v/>
      </c>
      <c r="T1217" s="721"/>
      <c r="U1217" s="721"/>
      <c r="V1217" s="711"/>
      <c r="W1217" s="721"/>
      <c r="X1217" s="721"/>
      <c r="Y1217" s="48"/>
      <c r="Z1217" s="48"/>
      <c r="AA1217" s="48"/>
      <c r="AB1217" s="711"/>
      <c r="AC1217" s="711"/>
      <c r="AD1217" s="711"/>
      <c r="AE1217" s="711"/>
      <c r="AF1217" s="711"/>
      <c r="AG1217" s="711"/>
      <c r="AH1217" s="711"/>
    </row>
    <row r="1218">
      <c r="A1218" s="48"/>
      <c r="B1218" s="48"/>
      <c r="C1218" s="48"/>
      <c r="D1218" s="721"/>
      <c r="E1218" s="711"/>
      <c r="F1218" s="711"/>
      <c r="G1218" s="721"/>
      <c r="H1218" s="721"/>
      <c r="I1218" s="721"/>
      <c r="J1218" s="48"/>
      <c r="K1218" s="721"/>
      <c r="L1218" s="721"/>
      <c r="M1218" s="721"/>
      <c r="N1218" s="719"/>
      <c r="O1218" s="48"/>
      <c r="P1218" s="719"/>
      <c r="Q1218" s="48"/>
      <c r="R1218" s="48"/>
      <c r="S1218" s="711" t="str">
        <f>IFERROR(__xludf.DUMMYFUNCTION("""COMPUTED_VALUE"""),"")</f>
        <v/>
      </c>
      <c r="T1218" s="721"/>
      <c r="U1218" s="721"/>
      <c r="V1218" s="711"/>
      <c r="W1218" s="721"/>
      <c r="X1218" s="721"/>
      <c r="Y1218" s="48"/>
      <c r="Z1218" s="48"/>
      <c r="AA1218" s="48"/>
      <c r="AB1218" s="711"/>
      <c r="AC1218" s="711"/>
      <c r="AD1218" s="711"/>
      <c r="AE1218" s="711"/>
      <c r="AF1218" s="711"/>
      <c r="AG1218" s="711"/>
      <c r="AH1218" s="711"/>
    </row>
    <row r="1219">
      <c r="A1219" s="48"/>
      <c r="B1219" s="48"/>
      <c r="C1219" s="48"/>
      <c r="D1219" s="721"/>
      <c r="E1219" s="711"/>
      <c r="F1219" s="711"/>
      <c r="G1219" s="721"/>
      <c r="H1219" s="721"/>
      <c r="I1219" s="721"/>
      <c r="J1219" s="48"/>
      <c r="K1219" s="721"/>
      <c r="L1219" s="721"/>
      <c r="M1219" s="721"/>
      <c r="N1219" s="719"/>
      <c r="O1219" s="48"/>
      <c r="P1219" s="719"/>
      <c r="Q1219" s="48"/>
      <c r="R1219" s="48"/>
      <c r="S1219" s="711" t="str">
        <f>IFERROR(__xludf.DUMMYFUNCTION("""COMPUTED_VALUE"""),"")</f>
        <v/>
      </c>
      <c r="T1219" s="721"/>
      <c r="U1219" s="721"/>
      <c r="V1219" s="711"/>
      <c r="W1219" s="721"/>
      <c r="X1219" s="721"/>
      <c r="Y1219" s="48"/>
      <c r="Z1219" s="48"/>
      <c r="AA1219" s="48"/>
      <c r="AB1219" s="711"/>
      <c r="AC1219" s="711"/>
      <c r="AD1219" s="711"/>
      <c r="AE1219" s="711"/>
      <c r="AF1219" s="711"/>
      <c r="AG1219" s="711"/>
      <c r="AH1219" s="711"/>
    </row>
    <row r="1220">
      <c r="A1220" s="48"/>
      <c r="B1220" s="48"/>
      <c r="C1220" s="48"/>
      <c r="D1220" s="721"/>
      <c r="E1220" s="711"/>
      <c r="F1220" s="711"/>
      <c r="G1220" s="721"/>
      <c r="H1220" s="721"/>
      <c r="I1220" s="721"/>
      <c r="J1220" s="48"/>
      <c r="K1220" s="721"/>
      <c r="L1220" s="721"/>
      <c r="M1220" s="721"/>
      <c r="N1220" s="719"/>
      <c r="O1220" s="48"/>
      <c r="P1220" s="719"/>
      <c r="Q1220" s="48"/>
      <c r="R1220" s="48"/>
      <c r="S1220" s="711" t="str">
        <f>IFERROR(__xludf.DUMMYFUNCTION("""COMPUTED_VALUE"""),"")</f>
        <v/>
      </c>
      <c r="T1220" s="721"/>
      <c r="U1220" s="721"/>
      <c r="V1220" s="711"/>
      <c r="W1220" s="721"/>
      <c r="X1220" s="721"/>
      <c r="Y1220" s="48"/>
      <c r="Z1220" s="48"/>
      <c r="AA1220" s="48"/>
      <c r="AB1220" s="711"/>
      <c r="AC1220" s="711"/>
      <c r="AD1220" s="711"/>
      <c r="AE1220" s="711"/>
      <c r="AF1220" s="711"/>
      <c r="AG1220" s="711"/>
      <c r="AH1220" s="711"/>
    </row>
    <row r="1221">
      <c r="A1221" s="48"/>
      <c r="B1221" s="48"/>
      <c r="C1221" s="48"/>
      <c r="D1221" s="721"/>
      <c r="E1221" s="711"/>
      <c r="F1221" s="711"/>
      <c r="G1221" s="721"/>
      <c r="H1221" s="721"/>
      <c r="I1221" s="721"/>
      <c r="J1221" s="48"/>
      <c r="K1221" s="721"/>
      <c r="L1221" s="721"/>
      <c r="M1221" s="721"/>
      <c r="N1221" s="719"/>
      <c r="O1221" s="48"/>
      <c r="P1221" s="719"/>
      <c r="Q1221" s="48"/>
      <c r="R1221" s="48"/>
      <c r="S1221" s="711" t="str">
        <f>IFERROR(__xludf.DUMMYFUNCTION("""COMPUTED_VALUE"""),"")</f>
        <v/>
      </c>
      <c r="T1221" s="721"/>
      <c r="U1221" s="721"/>
      <c r="V1221" s="711"/>
      <c r="W1221" s="721"/>
      <c r="X1221" s="721"/>
      <c r="Y1221" s="48"/>
      <c r="Z1221" s="48"/>
      <c r="AA1221" s="48"/>
      <c r="AB1221" s="711"/>
      <c r="AC1221" s="711"/>
      <c r="AD1221" s="711"/>
      <c r="AE1221" s="711"/>
      <c r="AF1221" s="711"/>
      <c r="AG1221" s="711"/>
      <c r="AH1221" s="711"/>
    </row>
    <row r="1222">
      <c r="A1222" s="48"/>
      <c r="B1222" s="48"/>
      <c r="C1222" s="48"/>
      <c r="D1222" s="721"/>
      <c r="E1222" s="711"/>
      <c r="F1222" s="711"/>
      <c r="G1222" s="721"/>
      <c r="H1222" s="721"/>
      <c r="I1222" s="721"/>
      <c r="J1222" s="48"/>
      <c r="K1222" s="721"/>
      <c r="L1222" s="721"/>
      <c r="M1222" s="721"/>
      <c r="N1222" s="719"/>
      <c r="O1222" s="48"/>
      <c r="P1222" s="719"/>
      <c r="Q1222" s="48"/>
      <c r="R1222" s="48"/>
      <c r="S1222" s="711" t="str">
        <f>IFERROR(__xludf.DUMMYFUNCTION("""COMPUTED_VALUE"""),"")</f>
        <v/>
      </c>
      <c r="T1222" s="721"/>
      <c r="U1222" s="721"/>
      <c r="V1222" s="711"/>
      <c r="W1222" s="721"/>
      <c r="X1222" s="721"/>
      <c r="Y1222" s="48"/>
      <c r="Z1222" s="48"/>
      <c r="AA1222" s="48"/>
      <c r="AB1222" s="711"/>
      <c r="AC1222" s="711"/>
      <c r="AD1222" s="711"/>
      <c r="AE1222" s="711"/>
      <c r="AF1222" s="711"/>
      <c r="AG1222" s="711"/>
      <c r="AH1222" s="711"/>
    </row>
    <row r="1223">
      <c r="A1223" s="48"/>
      <c r="B1223" s="48"/>
      <c r="C1223" s="48"/>
      <c r="D1223" s="721"/>
      <c r="E1223" s="711"/>
      <c r="F1223" s="711"/>
      <c r="G1223" s="721"/>
      <c r="H1223" s="721"/>
      <c r="I1223" s="721"/>
      <c r="J1223" s="48"/>
      <c r="K1223" s="721"/>
      <c r="L1223" s="721"/>
      <c r="M1223" s="721"/>
      <c r="N1223" s="719"/>
      <c r="O1223" s="48"/>
      <c r="P1223" s="719"/>
      <c r="Q1223" s="48"/>
      <c r="R1223" s="48"/>
      <c r="S1223" s="711" t="str">
        <f>IFERROR(__xludf.DUMMYFUNCTION("""COMPUTED_VALUE"""),"")</f>
        <v/>
      </c>
      <c r="T1223" s="721"/>
      <c r="U1223" s="721"/>
      <c r="V1223" s="711"/>
      <c r="W1223" s="721"/>
      <c r="X1223" s="721"/>
      <c r="Y1223" s="48"/>
      <c r="Z1223" s="48"/>
      <c r="AA1223" s="48"/>
      <c r="AB1223" s="711"/>
      <c r="AC1223" s="711"/>
      <c r="AD1223" s="711"/>
      <c r="AE1223" s="711"/>
      <c r="AF1223" s="711"/>
      <c r="AG1223" s="711"/>
      <c r="AH1223" s="711"/>
    </row>
    <row r="1224">
      <c r="A1224" s="48"/>
      <c r="B1224" s="48"/>
      <c r="C1224" s="48"/>
      <c r="D1224" s="721"/>
      <c r="E1224" s="711"/>
      <c r="F1224" s="711"/>
      <c r="G1224" s="721"/>
      <c r="H1224" s="721"/>
      <c r="I1224" s="721"/>
      <c r="J1224" s="48"/>
      <c r="K1224" s="721"/>
      <c r="L1224" s="721"/>
      <c r="M1224" s="721"/>
      <c r="N1224" s="719"/>
      <c r="O1224" s="48"/>
      <c r="P1224" s="719"/>
      <c r="Q1224" s="48"/>
      <c r="R1224" s="48"/>
      <c r="S1224" s="711" t="str">
        <f>IFERROR(__xludf.DUMMYFUNCTION("""COMPUTED_VALUE"""),"")</f>
        <v/>
      </c>
      <c r="T1224" s="721"/>
      <c r="U1224" s="721"/>
      <c r="V1224" s="711"/>
      <c r="W1224" s="721"/>
      <c r="X1224" s="721"/>
      <c r="Y1224" s="48"/>
      <c r="Z1224" s="48"/>
      <c r="AA1224" s="48"/>
      <c r="AB1224" s="711"/>
      <c r="AC1224" s="711"/>
      <c r="AD1224" s="711"/>
      <c r="AE1224" s="711"/>
      <c r="AF1224" s="711"/>
      <c r="AG1224" s="711"/>
      <c r="AH1224" s="711"/>
    </row>
    <row r="1225">
      <c r="A1225" s="48"/>
      <c r="B1225" s="48"/>
      <c r="C1225" s="48"/>
      <c r="D1225" s="721"/>
      <c r="E1225" s="711"/>
      <c r="F1225" s="711"/>
      <c r="G1225" s="721"/>
      <c r="H1225" s="721"/>
      <c r="I1225" s="721"/>
      <c r="J1225" s="48"/>
      <c r="K1225" s="721"/>
      <c r="L1225" s="721"/>
      <c r="M1225" s="721"/>
      <c r="N1225" s="719"/>
      <c r="O1225" s="48"/>
      <c r="P1225" s="719"/>
      <c r="Q1225" s="48"/>
      <c r="R1225" s="48"/>
      <c r="S1225" s="711" t="str">
        <f>IFERROR(__xludf.DUMMYFUNCTION("""COMPUTED_VALUE"""),"")</f>
        <v/>
      </c>
      <c r="T1225" s="721"/>
      <c r="U1225" s="721"/>
      <c r="V1225" s="711"/>
      <c r="W1225" s="721"/>
      <c r="X1225" s="721"/>
      <c r="Y1225" s="48"/>
      <c r="Z1225" s="48"/>
      <c r="AA1225" s="48"/>
      <c r="AB1225" s="711"/>
      <c r="AC1225" s="711"/>
      <c r="AD1225" s="711"/>
      <c r="AE1225" s="711"/>
      <c r="AF1225" s="711"/>
      <c r="AG1225" s="711"/>
      <c r="AH1225" s="711"/>
    </row>
    <row r="1226">
      <c r="A1226" s="48"/>
      <c r="B1226" s="48"/>
      <c r="C1226" s="48"/>
      <c r="D1226" s="721"/>
      <c r="E1226" s="711"/>
      <c r="F1226" s="711"/>
      <c r="G1226" s="721"/>
      <c r="H1226" s="721"/>
      <c r="I1226" s="721"/>
      <c r="J1226" s="48"/>
      <c r="K1226" s="721"/>
      <c r="L1226" s="721"/>
      <c r="M1226" s="721"/>
      <c r="N1226" s="719"/>
      <c r="O1226" s="48"/>
      <c r="P1226" s="719"/>
      <c r="Q1226" s="48"/>
      <c r="R1226" s="48"/>
      <c r="S1226" s="711" t="str">
        <f>IFERROR(__xludf.DUMMYFUNCTION("""COMPUTED_VALUE"""),"")</f>
        <v/>
      </c>
      <c r="T1226" s="721"/>
      <c r="U1226" s="721"/>
      <c r="V1226" s="711"/>
      <c r="W1226" s="721"/>
      <c r="X1226" s="721"/>
      <c r="Y1226" s="48"/>
      <c r="Z1226" s="48"/>
      <c r="AA1226" s="48"/>
      <c r="AB1226" s="711"/>
      <c r="AC1226" s="711"/>
      <c r="AD1226" s="711"/>
      <c r="AE1226" s="711"/>
      <c r="AF1226" s="711"/>
      <c r="AG1226" s="711"/>
      <c r="AH1226" s="711"/>
    </row>
    <row r="1227">
      <c r="A1227" s="48"/>
      <c r="B1227" s="48"/>
      <c r="C1227" s="48"/>
      <c r="D1227" s="721"/>
      <c r="E1227" s="711"/>
      <c r="F1227" s="711"/>
      <c r="G1227" s="721"/>
      <c r="H1227" s="721"/>
      <c r="I1227" s="721"/>
      <c r="J1227" s="48"/>
      <c r="K1227" s="721"/>
      <c r="L1227" s="721"/>
      <c r="M1227" s="721"/>
      <c r="N1227" s="719"/>
      <c r="O1227" s="48"/>
      <c r="P1227" s="719"/>
      <c r="Q1227" s="48"/>
      <c r="R1227" s="48"/>
      <c r="S1227" s="711" t="str">
        <f>IFERROR(__xludf.DUMMYFUNCTION("""COMPUTED_VALUE"""),"")</f>
        <v/>
      </c>
      <c r="T1227" s="721"/>
      <c r="U1227" s="721"/>
      <c r="V1227" s="711"/>
      <c r="W1227" s="721"/>
      <c r="X1227" s="721"/>
      <c r="Y1227" s="48"/>
      <c r="Z1227" s="48"/>
      <c r="AA1227" s="48"/>
      <c r="AB1227" s="711"/>
      <c r="AC1227" s="711"/>
      <c r="AD1227" s="711"/>
      <c r="AE1227" s="711"/>
      <c r="AF1227" s="711"/>
      <c r="AG1227" s="711"/>
      <c r="AH1227" s="711"/>
    </row>
    <row r="1228">
      <c r="A1228" s="48"/>
      <c r="B1228" s="48"/>
      <c r="C1228" s="48"/>
      <c r="D1228" s="721"/>
      <c r="E1228" s="711"/>
      <c r="F1228" s="711"/>
      <c r="G1228" s="721"/>
      <c r="H1228" s="721"/>
      <c r="I1228" s="721"/>
      <c r="J1228" s="48"/>
      <c r="K1228" s="721"/>
      <c r="L1228" s="721"/>
      <c r="M1228" s="721"/>
      <c r="N1228" s="719"/>
      <c r="O1228" s="48"/>
      <c r="P1228" s="719"/>
      <c r="Q1228" s="48"/>
      <c r="R1228" s="48"/>
      <c r="S1228" s="711" t="str">
        <f>IFERROR(__xludf.DUMMYFUNCTION("""COMPUTED_VALUE"""),"")</f>
        <v/>
      </c>
      <c r="T1228" s="721"/>
      <c r="U1228" s="721"/>
      <c r="V1228" s="711"/>
      <c r="W1228" s="721"/>
      <c r="X1228" s="721"/>
      <c r="Y1228" s="48"/>
      <c r="Z1228" s="48"/>
      <c r="AA1228" s="48"/>
      <c r="AB1228" s="711"/>
      <c r="AC1228" s="711"/>
      <c r="AD1228" s="711"/>
      <c r="AE1228" s="711"/>
      <c r="AF1228" s="711"/>
      <c r="AG1228" s="711"/>
      <c r="AH1228" s="711"/>
    </row>
    <row r="1229">
      <c r="A1229" s="48"/>
      <c r="B1229" s="48"/>
      <c r="C1229" s="48"/>
      <c r="D1229" s="721"/>
      <c r="E1229" s="711"/>
      <c r="F1229" s="711"/>
      <c r="G1229" s="721"/>
      <c r="H1229" s="721"/>
      <c r="I1229" s="721"/>
      <c r="J1229" s="48"/>
      <c r="K1229" s="721"/>
      <c r="L1229" s="721"/>
      <c r="M1229" s="721"/>
      <c r="N1229" s="719"/>
      <c r="O1229" s="48"/>
      <c r="P1229" s="719"/>
      <c r="Q1229" s="48"/>
      <c r="R1229" s="48"/>
      <c r="S1229" s="711" t="str">
        <f>IFERROR(__xludf.DUMMYFUNCTION("""COMPUTED_VALUE"""),"")</f>
        <v/>
      </c>
      <c r="T1229" s="721"/>
      <c r="U1229" s="721"/>
      <c r="V1229" s="711"/>
      <c r="W1229" s="721"/>
      <c r="X1229" s="721"/>
      <c r="Y1229" s="48"/>
      <c r="Z1229" s="48"/>
      <c r="AA1229" s="48"/>
      <c r="AB1229" s="711"/>
      <c r="AC1229" s="711"/>
      <c r="AD1229" s="711"/>
      <c r="AE1229" s="711"/>
      <c r="AF1229" s="711"/>
      <c r="AG1229" s="711"/>
      <c r="AH1229" s="711"/>
    </row>
    <row r="1230">
      <c r="A1230" s="48"/>
      <c r="B1230" s="48"/>
      <c r="C1230" s="48"/>
      <c r="D1230" s="721"/>
      <c r="E1230" s="711"/>
      <c r="F1230" s="711"/>
      <c r="G1230" s="721"/>
      <c r="H1230" s="721"/>
      <c r="I1230" s="721"/>
      <c r="J1230" s="48"/>
      <c r="K1230" s="721"/>
      <c r="L1230" s="721"/>
      <c r="M1230" s="721"/>
      <c r="N1230" s="719"/>
      <c r="O1230" s="48"/>
      <c r="P1230" s="719"/>
      <c r="Q1230" s="48"/>
      <c r="R1230" s="48"/>
      <c r="S1230" s="711" t="str">
        <f>IFERROR(__xludf.DUMMYFUNCTION("""COMPUTED_VALUE"""),"")</f>
        <v/>
      </c>
      <c r="T1230" s="721"/>
      <c r="U1230" s="721"/>
      <c r="V1230" s="711"/>
      <c r="W1230" s="721"/>
      <c r="X1230" s="721"/>
      <c r="Y1230" s="48"/>
      <c r="Z1230" s="48"/>
      <c r="AA1230" s="48"/>
      <c r="AB1230" s="711"/>
      <c r="AC1230" s="711"/>
      <c r="AD1230" s="711"/>
      <c r="AE1230" s="711"/>
      <c r="AF1230" s="711"/>
      <c r="AG1230" s="711"/>
      <c r="AH1230" s="711"/>
    </row>
    <row r="1231">
      <c r="A1231" s="48"/>
      <c r="B1231" s="48"/>
      <c r="C1231" s="48"/>
      <c r="D1231" s="721"/>
      <c r="E1231" s="711"/>
      <c r="F1231" s="711"/>
      <c r="G1231" s="721"/>
      <c r="H1231" s="721"/>
      <c r="I1231" s="721"/>
      <c r="J1231" s="48"/>
      <c r="K1231" s="721"/>
      <c r="L1231" s="721"/>
      <c r="M1231" s="721"/>
      <c r="N1231" s="719"/>
      <c r="O1231" s="48"/>
      <c r="P1231" s="719"/>
      <c r="Q1231" s="48"/>
      <c r="R1231" s="48"/>
      <c r="S1231" s="711" t="str">
        <f>IFERROR(__xludf.DUMMYFUNCTION("""COMPUTED_VALUE"""),"")</f>
        <v/>
      </c>
      <c r="T1231" s="721"/>
      <c r="U1231" s="721"/>
      <c r="V1231" s="711"/>
      <c r="W1231" s="721"/>
      <c r="X1231" s="721"/>
      <c r="Y1231" s="48"/>
      <c r="Z1231" s="48"/>
      <c r="AA1231" s="48"/>
      <c r="AB1231" s="711"/>
      <c r="AC1231" s="711"/>
      <c r="AD1231" s="711"/>
      <c r="AE1231" s="711"/>
      <c r="AF1231" s="711"/>
      <c r="AG1231" s="711"/>
      <c r="AH1231" s="711"/>
    </row>
    <row r="1232">
      <c r="A1232" s="48"/>
      <c r="B1232" s="48"/>
      <c r="C1232" s="48"/>
      <c r="D1232" s="721"/>
      <c r="E1232" s="711"/>
      <c r="F1232" s="711"/>
      <c r="G1232" s="721"/>
      <c r="H1232" s="721"/>
      <c r="I1232" s="721"/>
      <c r="J1232" s="48"/>
      <c r="K1232" s="721"/>
      <c r="L1232" s="721"/>
      <c r="M1232" s="721"/>
      <c r="N1232" s="719"/>
      <c r="O1232" s="48"/>
      <c r="P1232" s="719"/>
      <c r="Q1232" s="48"/>
      <c r="R1232" s="48"/>
      <c r="S1232" s="711" t="str">
        <f>IFERROR(__xludf.DUMMYFUNCTION("""COMPUTED_VALUE"""),"")</f>
        <v/>
      </c>
      <c r="T1232" s="721"/>
      <c r="U1232" s="721"/>
      <c r="V1232" s="711"/>
      <c r="W1232" s="721"/>
      <c r="X1232" s="721"/>
      <c r="Y1232" s="48"/>
      <c r="Z1232" s="48"/>
      <c r="AA1232" s="48"/>
      <c r="AB1232" s="711"/>
      <c r="AC1232" s="711"/>
      <c r="AD1232" s="711"/>
      <c r="AE1232" s="711"/>
      <c r="AF1232" s="711"/>
      <c r="AG1232" s="711"/>
      <c r="AH1232" s="711"/>
    </row>
    <row r="1233">
      <c r="A1233" s="48"/>
      <c r="B1233" s="48"/>
      <c r="C1233" s="48"/>
      <c r="D1233" s="721"/>
      <c r="E1233" s="711"/>
      <c r="F1233" s="711"/>
      <c r="G1233" s="721"/>
      <c r="H1233" s="721"/>
      <c r="I1233" s="721"/>
      <c r="J1233" s="48"/>
      <c r="K1233" s="721"/>
      <c r="L1233" s="721"/>
      <c r="M1233" s="721"/>
      <c r="N1233" s="719"/>
      <c r="O1233" s="48"/>
      <c r="P1233" s="719"/>
      <c r="Q1233" s="48"/>
      <c r="R1233" s="48"/>
      <c r="S1233" s="711" t="str">
        <f>IFERROR(__xludf.DUMMYFUNCTION("""COMPUTED_VALUE"""),"")</f>
        <v/>
      </c>
      <c r="T1233" s="721"/>
      <c r="U1233" s="721"/>
      <c r="V1233" s="711"/>
      <c r="W1233" s="721"/>
      <c r="X1233" s="721"/>
      <c r="Y1233" s="48"/>
      <c r="Z1233" s="48"/>
      <c r="AA1233" s="48"/>
      <c r="AB1233" s="711"/>
      <c r="AC1233" s="711"/>
      <c r="AD1233" s="711"/>
      <c r="AE1233" s="711"/>
      <c r="AF1233" s="711"/>
      <c r="AG1233" s="711"/>
      <c r="AH1233" s="711"/>
    </row>
    <row r="1234">
      <c r="A1234" s="48"/>
      <c r="B1234" s="48"/>
      <c r="C1234" s="48"/>
      <c r="D1234" s="721"/>
      <c r="E1234" s="711"/>
      <c r="F1234" s="711"/>
      <c r="G1234" s="721"/>
      <c r="H1234" s="721"/>
      <c r="I1234" s="721"/>
      <c r="J1234" s="48"/>
      <c r="K1234" s="721"/>
      <c r="L1234" s="721"/>
      <c r="M1234" s="721"/>
      <c r="N1234" s="719"/>
      <c r="O1234" s="48"/>
      <c r="P1234" s="719"/>
      <c r="Q1234" s="48"/>
      <c r="R1234" s="48"/>
      <c r="S1234" s="711" t="str">
        <f>IFERROR(__xludf.DUMMYFUNCTION("""COMPUTED_VALUE"""),"")</f>
        <v/>
      </c>
      <c r="T1234" s="721"/>
      <c r="U1234" s="721"/>
      <c r="V1234" s="711"/>
      <c r="W1234" s="721"/>
      <c r="X1234" s="721"/>
      <c r="Y1234" s="48"/>
      <c r="Z1234" s="48"/>
      <c r="AA1234" s="48"/>
      <c r="AB1234" s="711"/>
      <c r="AC1234" s="711"/>
      <c r="AD1234" s="711"/>
      <c r="AE1234" s="711"/>
      <c r="AF1234" s="711"/>
      <c r="AG1234" s="711"/>
      <c r="AH1234" s="711"/>
    </row>
    <row r="1235">
      <c r="A1235" s="48"/>
      <c r="B1235" s="48"/>
      <c r="C1235" s="48"/>
      <c r="D1235" s="721"/>
      <c r="E1235" s="711"/>
      <c r="F1235" s="711"/>
      <c r="G1235" s="721"/>
      <c r="H1235" s="721"/>
      <c r="I1235" s="721"/>
      <c r="J1235" s="48"/>
      <c r="K1235" s="721"/>
      <c r="L1235" s="721"/>
      <c r="M1235" s="721"/>
      <c r="N1235" s="719"/>
      <c r="O1235" s="48"/>
      <c r="P1235" s="719"/>
      <c r="Q1235" s="48"/>
      <c r="R1235" s="48"/>
      <c r="S1235" s="711" t="str">
        <f>IFERROR(__xludf.DUMMYFUNCTION("""COMPUTED_VALUE"""),"")</f>
        <v/>
      </c>
      <c r="T1235" s="721"/>
      <c r="U1235" s="721"/>
      <c r="V1235" s="711"/>
      <c r="W1235" s="721"/>
      <c r="X1235" s="721"/>
      <c r="Y1235" s="48"/>
      <c r="Z1235" s="48"/>
      <c r="AA1235" s="48"/>
      <c r="AB1235" s="711"/>
      <c r="AC1235" s="711"/>
      <c r="AD1235" s="711"/>
      <c r="AE1235" s="711"/>
      <c r="AF1235" s="711"/>
      <c r="AG1235" s="711"/>
      <c r="AH1235" s="711"/>
    </row>
    <row r="1236">
      <c r="A1236" s="48"/>
      <c r="B1236" s="48"/>
      <c r="C1236" s="48"/>
      <c r="D1236" s="721"/>
      <c r="E1236" s="711"/>
      <c r="F1236" s="711"/>
      <c r="G1236" s="721"/>
      <c r="H1236" s="721"/>
      <c r="I1236" s="721"/>
      <c r="J1236" s="48"/>
      <c r="K1236" s="721"/>
      <c r="L1236" s="721"/>
      <c r="M1236" s="721"/>
      <c r="N1236" s="719"/>
      <c r="O1236" s="48"/>
      <c r="P1236" s="719"/>
      <c r="Q1236" s="48"/>
      <c r="R1236" s="48"/>
      <c r="S1236" s="711" t="str">
        <f>IFERROR(__xludf.DUMMYFUNCTION("""COMPUTED_VALUE"""),"")</f>
        <v/>
      </c>
      <c r="T1236" s="721"/>
      <c r="U1236" s="721"/>
      <c r="V1236" s="711"/>
      <c r="W1236" s="721"/>
      <c r="X1236" s="721"/>
      <c r="Y1236" s="48"/>
      <c r="Z1236" s="48"/>
      <c r="AA1236" s="48"/>
      <c r="AB1236" s="711"/>
      <c r="AC1236" s="711"/>
      <c r="AD1236" s="711"/>
      <c r="AE1236" s="711"/>
      <c r="AF1236" s="711"/>
      <c r="AG1236" s="711"/>
      <c r="AH1236" s="711"/>
    </row>
    <row r="1237">
      <c r="A1237" s="48"/>
      <c r="B1237" s="48"/>
      <c r="C1237" s="48"/>
      <c r="D1237" s="721"/>
      <c r="E1237" s="711"/>
      <c r="F1237" s="711"/>
      <c r="G1237" s="721"/>
      <c r="H1237" s="721"/>
      <c r="I1237" s="721"/>
      <c r="J1237" s="48"/>
      <c r="K1237" s="721"/>
      <c r="L1237" s="721"/>
      <c r="M1237" s="721"/>
      <c r="N1237" s="719"/>
      <c r="O1237" s="48"/>
      <c r="P1237" s="719"/>
      <c r="Q1237" s="48"/>
      <c r="R1237" s="48"/>
      <c r="S1237" s="711" t="str">
        <f>IFERROR(__xludf.DUMMYFUNCTION("""COMPUTED_VALUE"""),"")</f>
        <v/>
      </c>
      <c r="T1237" s="721"/>
      <c r="U1237" s="721"/>
      <c r="V1237" s="711"/>
      <c r="W1237" s="721"/>
      <c r="X1237" s="721"/>
      <c r="Y1237" s="48"/>
      <c r="Z1237" s="48"/>
      <c r="AA1237" s="48"/>
      <c r="AB1237" s="711"/>
      <c r="AC1237" s="711"/>
      <c r="AD1237" s="711"/>
      <c r="AE1237" s="711"/>
      <c r="AF1237" s="711"/>
      <c r="AG1237" s="711"/>
      <c r="AH1237" s="711"/>
    </row>
    <row r="1238">
      <c r="A1238" s="48"/>
      <c r="B1238" s="48"/>
      <c r="C1238" s="48"/>
      <c r="D1238" s="721"/>
      <c r="E1238" s="711"/>
      <c r="F1238" s="711"/>
      <c r="G1238" s="721"/>
      <c r="H1238" s="721"/>
      <c r="I1238" s="721"/>
      <c r="J1238" s="48"/>
      <c r="K1238" s="721"/>
      <c r="L1238" s="721"/>
      <c r="M1238" s="721"/>
      <c r="N1238" s="719"/>
      <c r="O1238" s="48"/>
      <c r="P1238" s="719"/>
      <c r="Q1238" s="48"/>
      <c r="R1238" s="48"/>
      <c r="S1238" s="711" t="str">
        <f>IFERROR(__xludf.DUMMYFUNCTION("""COMPUTED_VALUE"""),"")</f>
        <v/>
      </c>
      <c r="T1238" s="721"/>
      <c r="U1238" s="721"/>
      <c r="V1238" s="711"/>
      <c r="W1238" s="721"/>
      <c r="X1238" s="721"/>
      <c r="Y1238" s="48"/>
      <c r="Z1238" s="48"/>
      <c r="AA1238" s="48"/>
      <c r="AB1238" s="711"/>
      <c r="AC1238" s="711"/>
      <c r="AD1238" s="711"/>
      <c r="AE1238" s="711"/>
      <c r="AF1238" s="711"/>
      <c r="AG1238" s="711"/>
      <c r="AH1238" s="711"/>
    </row>
    <row r="1239">
      <c r="A1239" s="48"/>
      <c r="B1239" s="48"/>
      <c r="C1239" s="48"/>
      <c r="D1239" s="721"/>
      <c r="E1239" s="711"/>
      <c r="F1239" s="711"/>
      <c r="G1239" s="721"/>
      <c r="H1239" s="721"/>
      <c r="I1239" s="721"/>
      <c r="J1239" s="48"/>
      <c r="K1239" s="721"/>
      <c r="L1239" s="721"/>
      <c r="M1239" s="721"/>
      <c r="N1239" s="719"/>
      <c r="O1239" s="48"/>
      <c r="P1239" s="719"/>
      <c r="Q1239" s="48"/>
      <c r="R1239" s="48"/>
      <c r="S1239" s="711" t="str">
        <f>IFERROR(__xludf.DUMMYFUNCTION("""COMPUTED_VALUE"""),"")</f>
        <v/>
      </c>
      <c r="T1239" s="721"/>
      <c r="U1239" s="721"/>
      <c r="V1239" s="711"/>
      <c r="W1239" s="721"/>
      <c r="X1239" s="721"/>
      <c r="Y1239" s="48"/>
      <c r="Z1239" s="48"/>
      <c r="AA1239" s="48"/>
      <c r="AB1239" s="711"/>
      <c r="AC1239" s="711"/>
      <c r="AD1239" s="711"/>
      <c r="AE1239" s="711"/>
      <c r="AF1239" s="711"/>
      <c r="AG1239" s="711"/>
      <c r="AH1239" s="711"/>
    </row>
    <row r="1240">
      <c r="A1240" s="48"/>
      <c r="B1240" s="48"/>
      <c r="C1240" s="48"/>
      <c r="D1240" s="721"/>
      <c r="E1240" s="711"/>
      <c r="F1240" s="711"/>
      <c r="G1240" s="721"/>
      <c r="H1240" s="721"/>
      <c r="I1240" s="721"/>
      <c r="J1240" s="48"/>
      <c r="K1240" s="721"/>
      <c r="L1240" s="721"/>
      <c r="M1240" s="721"/>
      <c r="N1240" s="719"/>
      <c r="O1240" s="48"/>
      <c r="P1240" s="719"/>
      <c r="Q1240" s="48"/>
      <c r="R1240" s="48"/>
      <c r="S1240" s="711" t="str">
        <f>IFERROR(__xludf.DUMMYFUNCTION("""COMPUTED_VALUE"""),"")</f>
        <v/>
      </c>
      <c r="T1240" s="721"/>
      <c r="U1240" s="721"/>
      <c r="V1240" s="711"/>
      <c r="W1240" s="721"/>
      <c r="X1240" s="721"/>
      <c r="Y1240" s="48"/>
      <c r="Z1240" s="48"/>
      <c r="AA1240" s="48"/>
      <c r="AB1240" s="711"/>
      <c r="AC1240" s="711"/>
      <c r="AD1240" s="711"/>
      <c r="AE1240" s="711"/>
      <c r="AF1240" s="711"/>
      <c r="AG1240" s="711"/>
      <c r="AH1240" s="711"/>
    </row>
    <row r="1241">
      <c r="A1241" s="48"/>
      <c r="B1241" s="48"/>
      <c r="C1241" s="48"/>
      <c r="D1241" s="721"/>
      <c r="E1241" s="711"/>
      <c r="F1241" s="711"/>
      <c r="G1241" s="721"/>
      <c r="H1241" s="721"/>
      <c r="I1241" s="721"/>
      <c r="J1241" s="48"/>
      <c r="K1241" s="721"/>
      <c r="L1241" s="721"/>
      <c r="M1241" s="721"/>
      <c r="N1241" s="719"/>
      <c r="O1241" s="48"/>
      <c r="P1241" s="719"/>
      <c r="Q1241" s="48"/>
      <c r="R1241" s="48"/>
      <c r="S1241" s="711" t="str">
        <f>IFERROR(__xludf.DUMMYFUNCTION("""COMPUTED_VALUE"""),"")</f>
        <v/>
      </c>
      <c r="T1241" s="721"/>
      <c r="U1241" s="721"/>
      <c r="V1241" s="711"/>
      <c r="W1241" s="721"/>
      <c r="X1241" s="721"/>
      <c r="Y1241" s="48"/>
      <c r="Z1241" s="48"/>
      <c r="AA1241" s="48"/>
      <c r="AB1241" s="711"/>
      <c r="AC1241" s="711"/>
      <c r="AD1241" s="711"/>
      <c r="AE1241" s="711"/>
      <c r="AF1241" s="711"/>
      <c r="AG1241" s="711"/>
      <c r="AH1241" s="711"/>
    </row>
    <row r="1242">
      <c r="A1242" s="48"/>
      <c r="B1242" s="48"/>
      <c r="C1242" s="48"/>
      <c r="D1242" s="721"/>
      <c r="E1242" s="711"/>
      <c r="F1242" s="711"/>
      <c r="G1242" s="721"/>
      <c r="H1242" s="721"/>
      <c r="I1242" s="721"/>
      <c r="J1242" s="48"/>
      <c r="K1242" s="721"/>
      <c r="L1242" s="721"/>
      <c r="M1242" s="721"/>
      <c r="N1242" s="719"/>
      <c r="O1242" s="48"/>
      <c r="P1242" s="719"/>
      <c r="Q1242" s="48"/>
      <c r="R1242" s="48"/>
      <c r="S1242" s="711" t="str">
        <f>IFERROR(__xludf.DUMMYFUNCTION("""COMPUTED_VALUE"""),"")</f>
        <v/>
      </c>
      <c r="T1242" s="721"/>
      <c r="U1242" s="721"/>
      <c r="V1242" s="711"/>
      <c r="W1242" s="721"/>
      <c r="X1242" s="721"/>
      <c r="Y1242" s="48"/>
      <c r="Z1242" s="48"/>
      <c r="AA1242" s="48"/>
      <c r="AB1242" s="711"/>
      <c r="AC1242" s="711"/>
      <c r="AD1242" s="711"/>
      <c r="AE1242" s="711"/>
      <c r="AF1242" s="711"/>
      <c r="AG1242" s="711"/>
      <c r="AH1242" s="711"/>
    </row>
    <row r="1243">
      <c r="A1243" s="48"/>
      <c r="B1243" s="48"/>
      <c r="C1243" s="48"/>
      <c r="D1243" s="721"/>
      <c r="E1243" s="711"/>
      <c r="F1243" s="711"/>
      <c r="G1243" s="721"/>
      <c r="H1243" s="721"/>
      <c r="I1243" s="721"/>
      <c r="J1243" s="48"/>
      <c r="K1243" s="721"/>
      <c r="L1243" s="721"/>
      <c r="M1243" s="721"/>
      <c r="N1243" s="719"/>
      <c r="O1243" s="48"/>
      <c r="P1243" s="719"/>
      <c r="Q1243" s="48"/>
      <c r="R1243" s="48"/>
      <c r="S1243" s="711" t="str">
        <f>IFERROR(__xludf.DUMMYFUNCTION("""COMPUTED_VALUE"""),"")</f>
        <v/>
      </c>
      <c r="T1243" s="721"/>
      <c r="U1243" s="721"/>
      <c r="V1243" s="711"/>
      <c r="W1243" s="721"/>
      <c r="X1243" s="721"/>
      <c r="Y1243" s="48"/>
      <c r="Z1243" s="48"/>
      <c r="AA1243" s="48"/>
      <c r="AB1243" s="711"/>
      <c r="AC1243" s="711"/>
      <c r="AD1243" s="711"/>
      <c r="AE1243" s="711"/>
      <c r="AF1243" s="711"/>
      <c r="AG1243" s="711"/>
      <c r="AH1243" s="711"/>
    </row>
    <row r="1244">
      <c r="A1244" s="48"/>
      <c r="B1244" s="48"/>
      <c r="C1244" s="48"/>
      <c r="D1244" s="721"/>
      <c r="E1244" s="711"/>
      <c r="F1244" s="711"/>
      <c r="G1244" s="721"/>
      <c r="H1244" s="721"/>
      <c r="I1244" s="721"/>
      <c r="J1244" s="48"/>
      <c r="K1244" s="721"/>
      <c r="L1244" s="721"/>
      <c r="M1244" s="721"/>
      <c r="N1244" s="719"/>
      <c r="O1244" s="48"/>
      <c r="P1244" s="719"/>
      <c r="Q1244" s="48"/>
      <c r="R1244" s="48"/>
      <c r="S1244" s="711" t="str">
        <f>IFERROR(__xludf.DUMMYFUNCTION("""COMPUTED_VALUE"""),"")</f>
        <v/>
      </c>
      <c r="T1244" s="721"/>
      <c r="U1244" s="721"/>
      <c r="V1244" s="711"/>
      <c r="W1244" s="721"/>
      <c r="X1244" s="721"/>
      <c r="Y1244" s="48"/>
      <c r="Z1244" s="48"/>
      <c r="AA1244" s="48"/>
      <c r="AB1244" s="711"/>
      <c r="AC1244" s="711"/>
      <c r="AD1244" s="711"/>
      <c r="AE1244" s="711"/>
      <c r="AF1244" s="711"/>
      <c r="AG1244" s="711"/>
      <c r="AH1244" s="711"/>
    </row>
    <row r="1245">
      <c r="A1245" s="48"/>
      <c r="B1245" s="48"/>
      <c r="C1245" s="48"/>
      <c r="D1245" s="721"/>
      <c r="E1245" s="711"/>
      <c r="F1245" s="711"/>
      <c r="G1245" s="721"/>
      <c r="H1245" s="721"/>
      <c r="I1245" s="721"/>
      <c r="J1245" s="48"/>
      <c r="K1245" s="721"/>
      <c r="L1245" s="721"/>
      <c r="M1245" s="721"/>
      <c r="N1245" s="719"/>
      <c r="O1245" s="48"/>
      <c r="P1245" s="719"/>
      <c r="Q1245" s="48"/>
      <c r="R1245" s="48"/>
      <c r="S1245" s="711" t="str">
        <f>IFERROR(__xludf.DUMMYFUNCTION("""COMPUTED_VALUE"""),"")</f>
        <v/>
      </c>
      <c r="T1245" s="721"/>
      <c r="U1245" s="721"/>
      <c r="V1245" s="711"/>
      <c r="W1245" s="721"/>
      <c r="X1245" s="721"/>
      <c r="Y1245" s="48"/>
      <c r="Z1245" s="48"/>
      <c r="AA1245" s="48"/>
      <c r="AB1245" s="711"/>
      <c r="AC1245" s="711"/>
      <c r="AD1245" s="711"/>
      <c r="AE1245" s="711"/>
      <c r="AF1245" s="711"/>
      <c r="AG1245" s="711"/>
      <c r="AH1245" s="711"/>
    </row>
    <row r="1246">
      <c r="A1246" s="48"/>
      <c r="B1246" s="48"/>
      <c r="C1246" s="48"/>
      <c r="D1246" s="721"/>
      <c r="E1246" s="711"/>
      <c r="F1246" s="711"/>
      <c r="G1246" s="721"/>
      <c r="H1246" s="721"/>
      <c r="I1246" s="721"/>
      <c r="J1246" s="48"/>
      <c r="K1246" s="721"/>
      <c r="L1246" s="721"/>
      <c r="M1246" s="721"/>
      <c r="N1246" s="719"/>
      <c r="O1246" s="48"/>
      <c r="P1246" s="719"/>
      <c r="Q1246" s="48"/>
      <c r="R1246" s="48"/>
      <c r="S1246" s="711" t="str">
        <f>IFERROR(__xludf.DUMMYFUNCTION("""COMPUTED_VALUE"""),"")</f>
        <v/>
      </c>
      <c r="T1246" s="721"/>
      <c r="U1246" s="721"/>
      <c r="V1246" s="711"/>
      <c r="W1246" s="721"/>
      <c r="X1246" s="721"/>
      <c r="Y1246" s="48"/>
      <c r="Z1246" s="48"/>
      <c r="AA1246" s="48"/>
      <c r="AB1246" s="711"/>
      <c r="AC1246" s="711"/>
      <c r="AD1246" s="711"/>
      <c r="AE1246" s="711"/>
      <c r="AF1246" s="711"/>
      <c r="AG1246" s="711"/>
      <c r="AH1246" s="711"/>
    </row>
    <row r="1247">
      <c r="A1247" s="48"/>
      <c r="B1247" s="48"/>
      <c r="C1247" s="48"/>
      <c r="D1247" s="721"/>
      <c r="E1247" s="711"/>
      <c r="F1247" s="711"/>
      <c r="G1247" s="721"/>
      <c r="H1247" s="721"/>
      <c r="I1247" s="721"/>
      <c r="J1247" s="48"/>
      <c r="K1247" s="721"/>
      <c r="L1247" s="721"/>
      <c r="M1247" s="721"/>
      <c r="N1247" s="719"/>
      <c r="O1247" s="48"/>
      <c r="P1247" s="719"/>
      <c r="Q1247" s="48"/>
      <c r="R1247" s="48"/>
      <c r="S1247" s="711" t="str">
        <f>IFERROR(__xludf.DUMMYFUNCTION("""COMPUTED_VALUE"""),"")</f>
        <v/>
      </c>
      <c r="T1247" s="721"/>
      <c r="U1247" s="721"/>
      <c r="V1247" s="711"/>
      <c r="W1247" s="721"/>
      <c r="X1247" s="721"/>
      <c r="Y1247" s="48"/>
      <c r="Z1247" s="48"/>
      <c r="AA1247" s="48"/>
      <c r="AB1247" s="711"/>
      <c r="AC1247" s="711"/>
      <c r="AD1247" s="711"/>
      <c r="AE1247" s="711"/>
      <c r="AF1247" s="711"/>
      <c r="AG1247" s="711"/>
      <c r="AH1247" s="711"/>
    </row>
    <row r="1248">
      <c r="A1248" s="48"/>
      <c r="B1248" s="48"/>
      <c r="C1248" s="48"/>
      <c r="D1248" s="721"/>
      <c r="E1248" s="711"/>
      <c r="F1248" s="711"/>
      <c r="G1248" s="721"/>
      <c r="H1248" s="721"/>
      <c r="I1248" s="721"/>
      <c r="J1248" s="48"/>
      <c r="K1248" s="721"/>
      <c r="L1248" s="721"/>
      <c r="M1248" s="721"/>
      <c r="N1248" s="719"/>
      <c r="O1248" s="48"/>
      <c r="P1248" s="719"/>
      <c r="Q1248" s="48"/>
      <c r="R1248" s="48"/>
      <c r="S1248" s="711" t="str">
        <f>IFERROR(__xludf.DUMMYFUNCTION("""COMPUTED_VALUE"""),"")</f>
        <v/>
      </c>
      <c r="T1248" s="721"/>
      <c r="U1248" s="721"/>
      <c r="V1248" s="711"/>
      <c r="W1248" s="721"/>
      <c r="X1248" s="721"/>
      <c r="Y1248" s="48"/>
      <c r="Z1248" s="48"/>
      <c r="AA1248" s="48"/>
      <c r="AB1248" s="711"/>
      <c r="AC1248" s="711"/>
      <c r="AD1248" s="711"/>
      <c r="AE1248" s="711"/>
      <c r="AF1248" s="711"/>
      <c r="AG1248" s="711"/>
      <c r="AH1248" s="711"/>
    </row>
    <row r="1249">
      <c r="A1249" s="48"/>
      <c r="B1249" s="48"/>
      <c r="C1249" s="48"/>
      <c r="D1249" s="721"/>
      <c r="E1249" s="711"/>
      <c r="F1249" s="711"/>
      <c r="G1249" s="721"/>
      <c r="H1249" s="721"/>
      <c r="I1249" s="721"/>
      <c r="J1249" s="48"/>
      <c r="K1249" s="721"/>
      <c r="L1249" s="721"/>
      <c r="M1249" s="721"/>
      <c r="N1249" s="719"/>
      <c r="O1249" s="48"/>
      <c r="P1249" s="719"/>
      <c r="Q1249" s="48"/>
      <c r="R1249" s="48"/>
      <c r="S1249" s="711" t="str">
        <f>IFERROR(__xludf.DUMMYFUNCTION("""COMPUTED_VALUE"""),"")</f>
        <v/>
      </c>
      <c r="T1249" s="721"/>
      <c r="U1249" s="721"/>
      <c r="V1249" s="711"/>
      <c r="W1249" s="721"/>
      <c r="X1249" s="721"/>
      <c r="Y1249" s="48"/>
      <c r="Z1249" s="48"/>
      <c r="AA1249" s="48"/>
      <c r="AB1249" s="711"/>
      <c r="AC1249" s="711"/>
      <c r="AD1249" s="711"/>
      <c r="AE1249" s="711"/>
      <c r="AF1249" s="711"/>
      <c r="AG1249" s="711"/>
      <c r="AH1249" s="711"/>
    </row>
    <row r="1250">
      <c r="A1250" s="48"/>
      <c r="B1250" s="48"/>
      <c r="C1250" s="48"/>
      <c r="D1250" s="721"/>
      <c r="E1250" s="711"/>
      <c r="F1250" s="711"/>
      <c r="G1250" s="721"/>
      <c r="H1250" s="721"/>
      <c r="I1250" s="721"/>
      <c r="J1250" s="48"/>
      <c r="K1250" s="721"/>
      <c r="L1250" s="721"/>
      <c r="M1250" s="721"/>
      <c r="N1250" s="719"/>
      <c r="O1250" s="48"/>
      <c r="P1250" s="719"/>
      <c r="Q1250" s="48"/>
      <c r="R1250" s="48"/>
      <c r="S1250" s="711" t="str">
        <f>IFERROR(__xludf.DUMMYFUNCTION("""COMPUTED_VALUE"""),"")</f>
        <v/>
      </c>
      <c r="T1250" s="721"/>
      <c r="U1250" s="721"/>
      <c r="V1250" s="711"/>
      <c r="W1250" s="721"/>
      <c r="X1250" s="721"/>
      <c r="Y1250" s="48"/>
      <c r="Z1250" s="48"/>
      <c r="AA1250" s="48"/>
      <c r="AB1250" s="711"/>
      <c r="AC1250" s="711"/>
      <c r="AD1250" s="711"/>
      <c r="AE1250" s="711"/>
      <c r="AF1250" s="711"/>
      <c r="AG1250" s="711"/>
      <c r="AH1250" s="711"/>
    </row>
    <row r="1251">
      <c r="A1251" s="48"/>
      <c r="B1251" s="48"/>
      <c r="C1251" s="48"/>
      <c r="D1251" s="721"/>
      <c r="E1251" s="711"/>
      <c r="F1251" s="711"/>
      <c r="G1251" s="721"/>
      <c r="H1251" s="721"/>
      <c r="I1251" s="721"/>
      <c r="J1251" s="48"/>
      <c r="K1251" s="721"/>
      <c r="L1251" s="721"/>
      <c r="M1251" s="721"/>
      <c r="N1251" s="719"/>
      <c r="O1251" s="48"/>
      <c r="P1251" s="719"/>
      <c r="Q1251" s="48"/>
      <c r="R1251" s="48"/>
      <c r="S1251" s="711" t="str">
        <f>IFERROR(__xludf.DUMMYFUNCTION("""COMPUTED_VALUE"""),"")</f>
        <v/>
      </c>
      <c r="T1251" s="721"/>
      <c r="U1251" s="721"/>
      <c r="V1251" s="711"/>
      <c r="W1251" s="721"/>
      <c r="X1251" s="721"/>
      <c r="Y1251" s="48"/>
      <c r="Z1251" s="48"/>
      <c r="AA1251" s="48"/>
      <c r="AB1251" s="711"/>
      <c r="AC1251" s="711"/>
      <c r="AD1251" s="711"/>
      <c r="AE1251" s="711"/>
      <c r="AF1251" s="711"/>
      <c r="AG1251" s="711"/>
      <c r="AH1251" s="711"/>
    </row>
    <row r="1252">
      <c r="A1252" s="48"/>
      <c r="B1252" s="48"/>
      <c r="C1252" s="48"/>
      <c r="D1252" s="721"/>
      <c r="E1252" s="711"/>
      <c r="F1252" s="711"/>
      <c r="G1252" s="721"/>
      <c r="H1252" s="721"/>
      <c r="I1252" s="721"/>
      <c r="J1252" s="48"/>
      <c r="K1252" s="721"/>
      <c r="L1252" s="721"/>
      <c r="M1252" s="721"/>
      <c r="N1252" s="719"/>
      <c r="O1252" s="48"/>
      <c r="P1252" s="719"/>
      <c r="Q1252" s="48"/>
      <c r="R1252" s="48"/>
      <c r="S1252" s="711" t="str">
        <f>IFERROR(__xludf.DUMMYFUNCTION("""COMPUTED_VALUE"""),"")</f>
        <v/>
      </c>
      <c r="T1252" s="721"/>
      <c r="U1252" s="721"/>
      <c r="V1252" s="711"/>
      <c r="W1252" s="721"/>
      <c r="X1252" s="721"/>
      <c r="Y1252" s="48"/>
      <c r="Z1252" s="48"/>
      <c r="AA1252" s="48"/>
      <c r="AB1252" s="711"/>
      <c r="AC1252" s="711"/>
      <c r="AD1252" s="711"/>
      <c r="AE1252" s="711"/>
      <c r="AF1252" s="711"/>
      <c r="AG1252" s="711"/>
      <c r="AH1252" s="711"/>
    </row>
    <row r="1253">
      <c r="A1253" s="48"/>
      <c r="B1253" s="48"/>
      <c r="C1253" s="48"/>
      <c r="D1253" s="721"/>
      <c r="E1253" s="711"/>
      <c r="F1253" s="711"/>
      <c r="G1253" s="721"/>
      <c r="H1253" s="721"/>
      <c r="I1253" s="721"/>
      <c r="J1253" s="48"/>
      <c r="K1253" s="721"/>
      <c r="L1253" s="721"/>
      <c r="M1253" s="721"/>
      <c r="N1253" s="719"/>
      <c r="O1253" s="48"/>
      <c r="P1253" s="719"/>
      <c r="Q1253" s="48"/>
      <c r="R1253" s="48"/>
      <c r="S1253" s="711" t="str">
        <f>IFERROR(__xludf.DUMMYFUNCTION("""COMPUTED_VALUE"""),"")</f>
        <v/>
      </c>
      <c r="T1253" s="721"/>
      <c r="U1253" s="721"/>
      <c r="V1253" s="711"/>
      <c r="W1253" s="721"/>
      <c r="X1253" s="721"/>
      <c r="Y1253" s="48"/>
      <c r="Z1253" s="48"/>
      <c r="AA1253" s="48"/>
      <c r="AB1253" s="711"/>
      <c r="AC1253" s="711"/>
      <c r="AD1253" s="711"/>
      <c r="AE1253" s="711"/>
      <c r="AF1253" s="711"/>
      <c r="AG1253" s="711"/>
      <c r="AH1253" s="711"/>
    </row>
    <row r="1254">
      <c r="A1254" s="48"/>
      <c r="B1254" s="48"/>
      <c r="C1254" s="48"/>
      <c r="D1254" s="721"/>
      <c r="E1254" s="711"/>
      <c r="F1254" s="711"/>
      <c r="G1254" s="721"/>
      <c r="H1254" s="721"/>
      <c r="I1254" s="721"/>
      <c r="J1254" s="48"/>
      <c r="K1254" s="721"/>
      <c r="L1254" s="721"/>
      <c r="M1254" s="721"/>
      <c r="N1254" s="719"/>
      <c r="O1254" s="48"/>
      <c r="P1254" s="719"/>
      <c r="Q1254" s="48"/>
      <c r="R1254" s="48"/>
      <c r="S1254" s="711" t="str">
        <f>IFERROR(__xludf.DUMMYFUNCTION("""COMPUTED_VALUE"""),"")</f>
        <v/>
      </c>
      <c r="T1254" s="721"/>
      <c r="U1254" s="721"/>
      <c r="V1254" s="711"/>
      <c r="W1254" s="721"/>
      <c r="X1254" s="721"/>
      <c r="Y1254" s="48"/>
      <c r="Z1254" s="48"/>
      <c r="AA1254" s="48"/>
      <c r="AB1254" s="711"/>
      <c r="AC1254" s="711"/>
      <c r="AD1254" s="711"/>
      <c r="AE1254" s="711"/>
      <c r="AF1254" s="711"/>
      <c r="AG1254" s="711"/>
      <c r="AH1254" s="711"/>
    </row>
    <row r="1255">
      <c r="A1255" s="48"/>
      <c r="B1255" s="48"/>
      <c r="C1255" s="48"/>
      <c r="D1255" s="721"/>
      <c r="E1255" s="711"/>
      <c r="F1255" s="711"/>
      <c r="G1255" s="721"/>
      <c r="H1255" s="721"/>
      <c r="I1255" s="721"/>
      <c r="J1255" s="48"/>
      <c r="K1255" s="721"/>
      <c r="L1255" s="721"/>
      <c r="M1255" s="721"/>
      <c r="N1255" s="719"/>
      <c r="O1255" s="48"/>
      <c r="P1255" s="719"/>
      <c r="Q1255" s="48"/>
      <c r="R1255" s="48"/>
      <c r="S1255" s="711" t="str">
        <f>IFERROR(__xludf.DUMMYFUNCTION("""COMPUTED_VALUE"""),"")</f>
        <v/>
      </c>
      <c r="T1255" s="721"/>
      <c r="U1255" s="721"/>
      <c r="V1255" s="711"/>
      <c r="W1255" s="721"/>
      <c r="X1255" s="721"/>
      <c r="Y1255" s="48"/>
      <c r="Z1255" s="48"/>
      <c r="AA1255" s="48"/>
      <c r="AB1255" s="711"/>
      <c r="AC1255" s="711"/>
      <c r="AD1255" s="711"/>
      <c r="AE1255" s="711"/>
      <c r="AF1255" s="711"/>
      <c r="AG1255" s="711"/>
      <c r="AH1255" s="711"/>
    </row>
    <row r="1256">
      <c r="A1256" s="48"/>
      <c r="B1256" s="48"/>
      <c r="C1256" s="48"/>
      <c r="D1256" s="721"/>
      <c r="E1256" s="711"/>
      <c r="F1256" s="711"/>
      <c r="G1256" s="721"/>
      <c r="H1256" s="721"/>
      <c r="I1256" s="721"/>
      <c r="J1256" s="48"/>
      <c r="K1256" s="721"/>
      <c r="L1256" s="721"/>
      <c r="M1256" s="721"/>
      <c r="N1256" s="719"/>
      <c r="O1256" s="48"/>
      <c r="P1256" s="719"/>
      <c r="Q1256" s="48"/>
      <c r="R1256" s="48"/>
      <c r="S1256" s="711" t="str">
        <f>IFERROR(__xludf.DUMMYFUNCTION("""COMPUTED_VALUE"""),"")</f>
        <v/>
      </c>
      <c r="T1256" s="721"/>
      <c r="U1256" s="721"/>
      <c r="V1256" s="711"/>
      <c r="W1256" s="721"/>
      <c r="X1256" s="721"/>
      <c r="Y1256" s="48"/>
      <c r="Z1256" s="48"/>
      <c r="AA1256" s="48"/>
      <c r="AB1256" s="711"/>
      <c r="AC1256" s="711"/>
      <c r="AD1256" s="711"/>
      <c r="AE1256" s="711"/>
      <c r="AF1256" s="711"/>
      <c r="AG1256" s="711"/>
      <c r="AH1256" s="711"/>
    </row>
    <row r="1257">
      <c r="A1257" s="48"/>
      <c r="B1257" s="48"/>
      <c r="C1257" s="48"/>
      <c r="D1257" s="721"/>
      <c r="E1257" s="711"/>
      <c r="F1257" s="711"/>
      <c r="G1257" s="721"/>
      <c r="H1257" s="721"/>
      <c r="I1257" s="721"/>
      <c r="J1257" s="48"/>
      <c r="K1257" s="721"/>
      <c r="L1257" s="721"/>
      <c r="M1257" s="721"/>
      <c r="N1257" s="719"/>
      <c r="O1257" s="48"/>
      <c r="P1257" s="719"/>
      <c r="Q1257" s="48"/>
      <c r="R1257" s="48"/>
      <c r="S1257" s="711" t="str">
        <f>IFERROR(__xludf.DUMMYFUNCTION("""COMPUTED_VALUE"""),"")</f>
        <v/>
      </c>
      <c r="T1257" s="721"/>
      <c r="U1257" s="721"/>
      <c r="V1257" s="711"/>
      <c r="W1257" s="721"/>
      <c r="X1257" s="721"/>
      <c r="Y1257" s="48"/>
      <c r="Z1257" s="48"/>
      <c r="AA1257" s="48"/>
      <c r="AB1257" s="711"/>
      <c r="AC1257" s="711"/>
      <c r="AD1257" s="711"/>
      <c r="AE1257" s="711"/>
      <c r="AF1257" s="711"/>
      <c r="AG1257" s="711"/>
      <c r="AH1257" s="711"/>
    </row>
    <row r="1258">
      <c r="A1258" s="48"/>
      <c r="B1258" s="48"/>
      <c r="C1258" s="48"/>
      <c r="D1258" s="721"/>
      <c r="E1258" s="711"/>
      <c r="F1258" s="711"/>
      <c r="G1258" s="721"/>
      <c r="H1258" s="721"/>
      <c r="I1258" s="721"/>
      <c r="J1258" s="48"/>
      <c r="K1258" s="721"/>
      <c r="L1258" s="721"/>
      <c r="M1258" s="721"/>
      <c r="N1258" s="719"/>
      <c r="O1258" s="48"/>
      <c r="P1258" s="719"/>
      <c r="Q1258" s="48"/>
      <c r="R1258" s="48"/>
      <c r="S1258" s="711" t="str">
        <f>IFERROR(__xludf.DUMMYFUNCTION("""COMPUTED_VALUE"""),"")</f>
        <v/>
      </c>
      <c r="T1258" s="721"/>
      <c r="U1258" s="721"/>
      <c r="V1258" s="711"/>
      <c r="W1258" s="721"/>
      <c r="X1258" s="721"/>
      <c r="Y1258" s="48"/>
      <c r="Z1258" s="48"/>
      <c r="AA1258" s="48"/>
      <c r="AB1258" s="711"/>
      <c r="AC1258" s="711"/>
      <c r="AD1258" s="711"/>
      <c r="AE1258" s="711"/>
      <c r="AF1258" s="711"/>
      <c r="AG1258" s="711"/>
      <c r="AH1258" s="711"/>
    </row>
    <row r="1259">
      <c r="A1259" s="48"/>
      <c r="B1259" s="48"/>
      <c r="C1259" s="48"/>
      <c r="D1259" s="721"/>
      <c r="E1259" s="711"/>
      <c r="F1259" s="711"/>
      <c r="G1259" s="721"/>
      <c r="H1259" s="721"/>
      <c r="I1259" s="721"/>
      <c r="J1259" s="48"/>
      <c r="K1259" s="721"/>
      <c r="L1259" s="721"/>
      <c r="M1259" s="721"/>
      <c r="N1259" s="719"/>
      <c r="O1259" s="48"/>
      <c r="P1259" s="719"/>
      <c r="Q1259" s="48"/>
      <c r="R1259" s="48"/>
      <c r="S1259" s="711" t="str">
        <f>IFERROR(__xludf.DUMMYFUNCTION("""COMPUTED_VALUE"""),"")</f>
        <v/>
      </c>
      <c r="T1259" s="721"/>
      <c r="U1259" s="721"/>
      <c r="V1259" s="711"/>
      <c r="W1259" s="721"/>
      <c r="X1259" s="721"/>
      <c r="Y1259" s="48"/>
      <c r="Z1259" s="48"/>
      <c r="AA1259" s="48"/>
      <c r="AB1259" s="711"/>
      <c r="AC1259" s="711"/>
      <c r="AD1259" s="711"/>
      <c r="AE1259" s="711"/>
      <c r="AF1259" s="711"/>
      <c r="AG1259" s="711"/>
      <c r="AH1259" s="711"/>
    </row>
    <row r="1260">
      <c r="A1260" s="48"/>
      <c r="B1260" s="48"/>
      <c r="C1260" s="48"/>
      <c r="D1260" s="721"/>
      <c r="E1260" s="711"/>
      <c r="F1260" s="711"/>
      <c r="G1260" s="721"/>
      <c r="H1260" s="721"/>
      <c r="I1260" s="721"/>
      <c r="J1260" s="48"/>
      <c r="K1260" s="721"/>
      <c r="L1260" s="721"/>
      <c r="M1260" s="721"/>
      <c r="N1260" s="719"/>
      <c r="O1260" s="48"/>
      <c r="P1260" s="719"/>
      <c r="Q1260" s="48"/>
      <c r="R1260" s="48"/>
      <c r="S1260" s="711" t="str">
        <f>IFERROR(__xludf.DUMMYFUNCTION("""COMPUTED_VALUE"""),"")</f>
        <v/>
      </c>
      <c r="T1260" s="721"/>
      <c r="U1260" s="721"/>
      <c r="V1260" s="711"/>
      <c r="W1260" s="721"/>
      <c r="X1260" s="721"/>
      <c r="Y1260" s="48"/>
      <c r="Z1260" s="48"/>
      <c r="AA1260" s="48"/>
      <c r="AB1260" s="711"/>
      <c r="AC1260" s="711"/>
      <c r="AD1260" s="711"/>
      <c r="AE1260" s="711"/>
      <c r="AF1260" s="711"/>
      <c r="AG1260" s="711"/>
      <c r="AH1260" s="711"/>
    </row>
    <row r="1261">
      <c r="A1261" s="48"/>
      <c r="B1261" s="48"/>
      <c r="C1261" s="48"/>
      <c r="D1261" s="721"/>
      <c r="E1261" s="711"/>
      <c r="F1261" s="711"/>
      <c r="G1261" s="721"/>
      <c r="H1261" s="721"/>
      <c r="I1261" s="721"/>
      <c r="J1261" s="48"/>
      <c r="K1261" s="721"/>
      <c r="L1261" s="721"/>
      <c r="M1261" s="721"/>
      <c r="N1261" s="719"/>
      <c r="O1261" s="48"/>
      <c r="P1261" s="719"/>
      <c r="Q1261" s="48"/>
      <c r="R1261" s="48"/>
      <c r="S1261" s="711" t="str">
        <f>IFERROR(__xludf.DUMMYFUNCTION("""COMPUTED_VALUE"""),"")</f>
        <v/>
      </c>
      <c r="T1261" s="721"/>
      <c r="U1261" s="721"/>
      <c r="V1261" s="711"/>
      <c r="W1261" s="721"/>
      <c r="X1261" s="721"/>
      <c r="Y1261" s="48"/>
      <c r="Z1261" s="48"/>
      <c r="AA1261" s="48"/>
      <c r="AB1261" s="711"/>
      <c r="AC1261" s="711"/>
      <c r="AD1261" s="711"/>
      <c r="AE1261" s="711"/>
      <c r="AF1261" s="711"/>
      <c r="AG1261" s="711"/>
      <c r="AH1261" s="711"/>
    </row>
    <row r="1262">
      <c r="A1262" s="48"/>
      <c r="B1262" s="48"/>
      <c r="C1262" s="48"/>
      <c r="D1262" s="721"/>
      <c r="E1262" s="711"/>
      <c r="F1262" s="711"/>
      <c r="G1262" s="721"/>
      <c r="H1262" s="721"/>
      <c r="I1262" s="721"/>
      <c r="J1262" s="48"/>
      <c r="K1262" s="721"/>
      <c r="L1262" s="721"/>
      <c r="M1262" s="721"/>
      <c r="N1262" s="719"/>
      <c r="O1262" s="48"/>
      <c r="P1262" s="719"/>
      <c r="Q1262" s="48"/>
      <c r="R1262" s="48"/>
      <c r="S1262" s="711" t="str">
        <f>IFERROR(__xludf.DUMMYFUNCTION("""COMPUTED_VALUE"""),"")</f>
        <v/>
      </c>
      <c r="T1262" s="721"/>
      <c r="U1262" s="721"/>
      <c r="V1262" s="711"/>
      <c r="W1262" s="721"/>
      <c r="X1262" s="721"/>
      <c r="Y1262" s="48"/>
      <c r="Z1262" s="48"/>
      <c r="AA1262" s="48"/>
      <c r="AB1262" s="711"/>
      <c r="AC1262" s="711"/>
      <c r="AD1262" s="711"/>
      <c r="AE1262" s="711"/>
      <c r="AF1262" s="711"/>
      <c r="AG1262" s="711"/>
      <c r="AH1262" s="711"/>
    </row>
    <row r="1263">
      <c r="A1263" s="48"/>
      <c r="B1263" s="48"/>
      <c r="C1263" s="48"/>
      <c r="D1263" s="721"/>
      <c r="E1263" s="711"/>
      <c r="F1263" s="711"/>
      <c r="G1263" s="721"/>
      <c r="H1263" s="721"/>
      <c r="I1263" s="721"/>
      <c r="J1263" s="48"/>
      <c r="K1263" s="721"/>
      <c r="L1263" s="721"/>
      <c r="M1263" s="721"/>
      <c r="N1263" s="719"/>
      <c r="O1263" s="48"/>
      <c r="P1263" s="719"/>
      <c r="Q1263" s="48"/>
      <c r="R1263" s="48"/>
      <c r="S1263" s="711" t="str">
        <f>IFERROR(__xludf.DUMMYFUNCTION("""COMPUTED_VALUE"""),"")</f>
        <v/>
      </c>
      <c r="T1263" s="721"/>
      <c r="U1263" s="721"/>
      <c r="V1263" s="711"/>
      <c r="W1263" s="721"/>
      <c r="X1263" s="721"/>
      <c r="Y1263" s="48"/>
      <c r="Z1263" s="48"/>
      <c r="AA1263" s="48"/>
      <c r="AB1263" s="711"/>
      <c r="AC1263" s="711"/>
      <c r="AD1263" s="711"/>
      <c r="AE1263" s="711"/>
      <c r="AF1263" s="711"/>
      <c r="AG1263" s="711"/>
      <c r="AH1263" s="711"/>
    </row>
    <row r="1264">
      <c r="A1264" s="48"/>
      <c r="B1264" s="48"/>
      <c r="C1264" s="48"/>
      <c r="D1264" s="721"/>
      <c r="E1264" s="711"/>
      <c r="F1264" s="711"/>
      <c r="G1264" s="721"/>
      <c r="H1264" s="721"/>
      <c r="I1264" s="721"/>
      <c r="J1264" s="48"/>
      <c r="K1264" s="721"/>
      <c r="L1264" s="721"/>
      <c r="M1264" s="721"/>
      <c r="N1264" s="719"/>
      <c r="O1264" s="48"/>
      <c r="P1264" s="719"/>
      <c r="Q1264" s="48"/>
      <c r="R1264" s="48"/>
      <c r="S1264" s="711" t="str">
        <f>IFERROR(__xludf.DUMMYFUNCTION("""COMPUTED_VALUE"""),"")</f>
        <v/>
      </c>
      <c r="T1264" s="721"/>
      <c r="U1264" s="721"/>
      <c r="V1264" s="711"/>
      <c r="W1264" s="721"/>
      <c r="X1264" s="721"/>
      <c r="Y1264" s="48"/>
      <c r="Z1264" s="48"/>
      <c r="AA1264" s="48"/>
      <c r="AB1264" s="711"/>
      <c r="AC1264" s="711"/>
      <c r="AD1264" s="711"/>
      <c r="AE1264" s="711"/>
      <c r="AF1264" s="711"/>
      <c r="AG1264" s="711"/>
      <c r="AH1264" s="711"/>
    </row>
    <row r="1265">
      <c r="A1265" s="48"/>
      <c r="B1265" s="48"/>
      <c r="C1265" s="48"/>
      <c r="D1265" s="721"/>
      <c r="E1265" s="711"/>
      <c r="F1265" s="711"/>
      <c r="G1265" s="721"/>
      <c r="H1265" s="721"/>
      <c r="I1265" s="721"/>
      <c r="J1265" s="48"/>
      <c r="K1265" s="721"/>
      <c r="L1265" s="721"/>
      <c r="M1265" s="721"/>
      <c r="N1265" s="719"/>
      <c r="O1265" s="48"/>
      <c r="P1265" s="719"/>
      <c r="Q1265" s="48"/>
      <c r="R1265" s="48"/>
      <c r="S1265" s="711" t="str">
        <f>IFERROR(__xludf.DUMMYFUNCTION("""COMPUTED_VALUE"""),"")</f>
        <v/>
      </c>
      <c r="T1265" s="721"/>
      <c r="U1265" s="721"/>
      <c r="V1265" s="711"/>
      <c r="W1265" s="721"/>
      <c r="X1265" s="721"/>
      <c r="Y1265" s="48"/>
      <c r="Z1265" s="48"/>
      <c r="AA1265" s="48"/>
      <c r="AB1265" s="711"/>
      <c r="AC1265" s="711"/>
      <c r="AD1265" s="711"/>
      <c r="AE1265" s="711"/>
      <c r="AF1265" s="711"/>
      <c r="AG1265" s="711"/>
      <c r="AH1265" s="711"/>
    </row>
    <row r="1266">
      <c r="A1266" s="48"/>
      <c r="B1266" s="48"/>
      <c r="C1266" s="48"/>
      <c r="D1266" s="721"/>
      <c r="E1266" s="711"/>
      <c r="F1266" s="711"/>
      <c r="G1266" s="721"/>
      <c r="H1266" s="721"/>
      <c r="I1266" s="721"/>
      <c r="J1266" s="48"/>
      <c r="K1266" s="721"/>
      <c r="L1266" s="721"/>
      <c r="M1266" s="721"/>
      <c r="N1266" s="719"/>
      <c r="O1266" s="48"/>
      <c r="P1266" s="719"/>
      <c r="Q1266" s="48"/>
      <c r="R1266" s="48"/>
      <c r="S1266" s="711" t="str">
        <f>IFERROR(__xludf.DUMMYFUNCTION("""COMPUTED_VALUE"""),"")</f>
        <v/>
      </c>
      <c r="T1266" s="721"/>
      <c r="U1266" s="721"/>
      <c r="V1266" s="711"/>
      <c r="W1266" s="721"/>
      <c r="X1266" s="721"/>
      <c r="Y1266" s="48"/>
      <c r="Z1266" s="48"/>
      <c r="AA1266" s="48"/>
      <c r="AB1266" s="711"/>
      <c r="AC1266" s="711"/>
      <c r="AD1266" s="711"/>
      <c r="AE1266" s="711"/>
      <c r="AF1266" s="711"/>
      <c r="AG1266" s="711"/>
      <c r="AH1266" s="711"/>
    </row>
    <row r="1267">
      <c r="A1267" s="48"/>
      <c r="B1267" s="48"/>
      <c r="C1267" s="48"/>
      <c r="D1267" s="721"/>
      <c r="E1267" s="711"/>
      <c r="F1267" s="711"/>
      <c r="G1267" s="721"/>
      <c r="H1267" s="721"/>
      <c r="I1267" s="721"/>
      <c r="J1267" s="48"/>
      <c r="K1267" s="721"/>
      <c r="L1267" s="721"/>
      <c r="M1267" s="721"/>
      <c r="N1267" s="719"/>
      <c r="O1267" s="48"/>
      <c r="P1267" s="719"/>
      <c r="Q1267" s="48"/>
      <c r="R1267" s="48"/>
      <c r="S1267" s="711" t="str">
        <f>IFERROR(__xludf.DUMMYFUNCTION("""COMPUTED_VALUE"""),"")</f>
        <v/>
      </c>
      <c r="T1267" s="721"/>
      <c r="U1267" s="721"/>
      <c r="V1267" s="711"/>
      <c r="W1267" s="721"/>
      <c r="X1267" s="721"/>
      <c r="Y1267" s="48"/>
      <c r="Z1267" s="48"/>
      <c r="AA1267" s="48"/>
      <c r="AB1267" s="711"/>
      <c r="AC1267" s="711"/>
      <c r="AD1267" s="711"/>
      <c r="AE1267" s="711"/>
      <c r="AF1267" s="711"/>
      <c r="AG1267" s="711"/>
      <c r="AH1267" s="711"/>
    </row>
    <row r="1268">
      <c r="A1268" s="48"/>
      <c r="B1268" s="48"/>
      <c r="C1268" s="48"/>
      <c r="D1268" s="721"/>
      <c r="E1268" s="711"/>
      <c r="F1268" s="711"/>
      <c r="G1268" s="721"/>
      <c r="H1268" s="721"/>
      <c r="I1268" s="721"/>
      <c r="J1268" s="48"/>
      <c r="K1268" s="721"/>
      <c r="L1268" s="721"/>
      <c r="M1268" s="721"/>
      <c r="N1268" s="719"/>
      <c r="O1268" s="48"/>
      <c r="P1268" s="719"/>
      <c r="Q1268" s="48"/>
      <c r="R1268" s="48"/>
      <c r="S1268" s="711" t="str">
        <f>IFERROR(__xludf.DUMMYFUNCTION("""COMPUTED_VALUE"""),"")</f>
        <v/>
      </c>
      <c r="T1268" s="721"/>
      <c r="U1268" s="721"/>
      <c r="V1268" s="711"/>
      <c r="W1268" s="721"/>
      <c r="X1268" s="721"/>
      <c r="Y1268" s="48"/>
      <c r="Z1268" s="48"/>
      <c r="AA1268" s="48"/>
      <c r="AB1268" s="711"/>
      <c r="AC1268" s="711"/>
      <c r="AD1268" s="711"/>
      <c r="AE1268" s="711"/>
      <c r="AF1268" s="711"/>
      <c r="AG1268" s="711"/>
      <c r="AH1268" s="711"/>
    </row>
    <row r="1269">
      <c r="A1269" s="48"/>
      <c r="B1269" s="48"/>
      <c r="C1269" s="48"/>
      <c r="D1269" s="721"/>
      <c r="E1269" s="711"/>
      <c r="F1269" s="711"/>
      <c r="G1269" s="721"/>
      <c r="H1269" s="721"/>
      <c r="I1269" s="721"/>
      <c r="J1269" s="48"/>
      <c r="K1269" s="721"/>
      <c r="L1269" s="721"/>
      <c r="M1269" s="721"/>
      <c r="N1269" s="719"/>
      <c r="O1269" s="48"/>
      <c r="P1269" s="719"/>
      <c r="Q1269" s="48"/>
      <c r="R1269" s="48"/>
      <c r="S1269" s="711" t="str">
        <f>IFERROR(__xludf.DUMMYFUNCTION("""COMPUTED_VALUE"""),"")</f>
        <v/>
      </c>
      <c r="T1269" s="721"/>
      <c r="U1269" s="721"/>
      <c r="V1269" s="711"/>
      <c r="W1269" s="721"/>
      <c r="X1269" s="721"/>
      <c r="Y1269" s="48"/>
      <c r="Z1269" s="48"/>
      <c r="AA1269" s="48"/>
      <c r="AB1269" s="711"/>
      <c r="AC1269" s="711"/>
      <c r="AD1269" s="711"/>
      <c r="AE1269" s="711"/>
      <c r="AF1269" s="711"/>
      <c r="AG1269" s="711"/>
      <c r="AH1269" s="711"/>
    </row>
    <row r="1270">
      <c r="A1270" s="48"/>
      <c r="B1270" s="48"/>
      <c r="C1270" s="48"/>
      <c r="D1270" s="721"/>
      <c r="E1270" s="711"/>
      <c r="F1270" s="711"/>
      <c r="G1270" s="721"/>
      <c r="H1270" s="721"/>
      <c r="I1270" s="721"/>
      <c r="J1270" s="48"/>
      <c r="K1270" s="721"/>
      <c r="L1270" s="721"/>
      <c r="M1270" s="721"/>
      <c r="N1270" s="719"/>
      <c r="O1270" s="48"/>
      <c r="P1270" s="719"/>
      <c r="Q1270" s="48"/>
      <c r="R1270" s="48"/>
      <c r="S1270" s="711" t="str">
        <f>IFERROR(__xludf.DUMMYFUNCTION("""COMPUTED_VALUE"""),"")</f>
        <v/>
      </c>
      <c r="T1270" s="721"/>
      <c r="U1270" s="721"/>
      <c r="V1270" s="711"/>
      <c r="W1270" s="721"/>
      <c r="X1270" s="721"/>
      <c r="Y1270" s="48"/>
      <c r="Z1270" s="48"/>
      <c r="AA1270" s="48"/>
      <c r="AB1270" s="711"/>
      <c r="AC1270" s="711"/>
      <c r="AD1270" s="711"/>
      <c r="AE1270" s="711"/>
      <c r="AF1270" s="711"/>
      <c r="AG1270" s="711"/>
      <c r="AH1270" s="711"/>
    </row>
    <row r="1271">
      <c r="A1271" s="48"/>
      <c r="B1271" s="48"/>
      <c r="C1271" s="48"/>
      <c r="D1271" s="721"/>
      <c r="E1271" s="711"/>
      <c r="F1271" s="711"/>
      <c r="G1271" s="721"/>
      <c r="H1271" s="721"/>
      <c r="I1271" s="721"/>
      <c r="J1271" s="48"/>
      <c r="K1271" s="721"/>
      <c r="L1271" s="721"/>
      <c r="M1271" s="721"/>
      <c r="N1271" s="719"/>
      <c r="O1271" s="48"/>
      <c r="P1271" s="719"/>
      <c r="Q1271" s="48"/>
      <c r="R1271" s="48"/>
      <c r="S1271" s="711" t="str">
        <f>IFERROR(__xludf.DUMMYFUNCTION("""COMPUTED_VALUE"""),"")</f>
        <v/>
      </c>
      <c r="T1271" s="721"/>
      <c r="U1271" s="721"/>
      <c r="V1271" s="711"/>
      <c r="W1271" s="721"/>
      <c r="X1271" s="721"/>
      <c r="Y1271" s="48"/>
      <c r="Z1271" s="48"/>
      <c r="AA1271" s="48"/>
      <c r="AB1271" s="711"/>
      <c r="AC1271" s="711"/>
      <c r="AD1271" s="711"/>
      <c r="AE1271" s="711"/>
      <c r="AF1271" s="711"/>
      <c r="AG1271" s="711"/>
      <c r="AH1271" s="711"/>
    </row>
    <row r="1272">
      <c r="A1272" s="48"/>
      <c r="B1272" s="48"/>
      <c r="C1272" s="48"/>
      <c r="D1272" s="721"/>
      <c r="E1272" s="711"/>
      <c r="F1272" s="711"/>
      <c r="G1272" s="721"/>
      <c r="H1272" s="721"/>
      <c r="I1272" s="721"/>
      <c r="J1272" s="48"/>
      <c r="K1272" s="721"/>
      <c r="L1272" s="721"/>
      <c r="M1272" s="721"/>
      <c r="N1272" s="719"/>
      <c r="O1272" s="48"/>
      <c r="P1272" s="719"/>
      <c r="Q1272" s="48"/>
      <c r="R1272" s="48"/>
      <c r="S1272" s="711" t="str">
        <f>IFERROR(__xludf.DUMMYFUNCTION("""COMPUTED_VALUE"""),"")</f>
        <v/>
      </c>
      <c r="T1272" s="721"/>
      <c r="U1272" s="721"/>
      <c r="V1272" s="711"/>
      <c r="W1272" s="721"/>
      <c r="X1272" s="721"/>
      <c r="Y1272" s="48"/>
      <c r="Z1272" s="48"/>
      <c r="AA1272" s="48"/>
      <c r="AB1272" s="711"/>
      <c r="AC1272" s="711"/>
      <c r="AD1272" s="711"/>
      <c r="AE1272" s="711"/>
      <c r="AF1272" s="711"/>
      <c r="AG1272" s="711"/>
      <c r="AH1272" s="711"/>
    </row>
    <row r="1273">
      <c r="A1273" s="48"/>
      <c r="B1273" s="48"/>
      <c r="C1273" s="48"/>
      <c r="D1273" s="721"/>
      <c r="E1273" s="711"/>
      <c r="F1273" s="711"/>
      <c r="G1273" s="721"/>
      <c r="H1273" s="721"/>
      <c r="I1273" s="721"/>
      <c r="J1273" s="48"/>
      <c r="K1273" s="721"/>
      <c r="L1273" s="721"/>
      <c r="M1273" s="721"/>
      <c r="N1273" s="719"/>
      <c r="O1273" s="48"/>
      <c r="P1273" s="719"/>
      <c r="Q1273" s="48"/>
      <c r="R1273" s="48"/>
      <c r="S1273" s="711" t="str">
        <f>IFERROR(__xludf.DUMMYFUNCTION("""COMPUTED_VALUE"""),"")</f>
        <v/>
      </c>
      <c r="T1273" s="721"/>
      <c r="U1273" s="721"/>
      <c r="V1273" s="711"/>
      <c r="W1273" s="721"/>
      <c r="X1273" s="721"/>
      <c r="Y1273" s="48"/>
      <c r="Z1273" s="48"/>
      <c r="AA1273" s="48"/>
      <c r="AB1273" s="711"/>
      <c r="AC1273" s="711"/>
      <c r="AD1273" s="711"/>
      <c r="AE1273" s="711"/>
      <c r="AF1273" s="711"/>
      <c r="AG1273" s="711"/>
      <c r="AH1273" s="711"/>
    </row>
    <row r="1274">
      <c r="A1274" s="48"/>
      <c r="B1274" s="48"/>
      <c r="C1274" s="48"/>
      <c r="D1274" s="721"/>
      <c r="E1274" s="711"/>
      <c r="F1274" s="711"/>
      <c r="G1274" s="721"/>
      <c r="H1274" s="721"/>
      <c r="I1274" s="721"/>
      <c r="J1274" s="48"/>
      <c r="K1274" s="721"/>
      <c r="L1274" s="721"/>
      <c r="M1274" s="721"/>
      <c r="N1274" s="719"/>
      <c r="O1274" s="48"/>
      <c r="P1274" s="719"/>
      <c r="Q1274" s="48"/>
      <c r="R1274" s="48"/>
      <c r="S1274" s="711" t="str">
        <f>IFERROR(__xludf.DUMMYFUNCTION("""COMPUTED_VALUE"""),"")</f>
        <v/>
      </c>
      <c r="T1274" s="721"/>
      <c r="U1274" s="721"/>
      <c r="V1274" s="711"/>
      <c r="W1274" s="721"/>
      <c r="X1274" s="721"/>
      <c r="Y1274" s="48"/>
      <c r="Z1274" s="48"/>
      <c r="AA1274" s="48"/>
      <c r="AB1274" s="711"/>
      <c r="AC1274" s="711"/>
      <c r="AD1274" s="711"/>
      <c r="AE1274" s="711"/>
      <c r="AF1274" s="711"/>
      <c r="AG1274" s="711"/>
      <c r="AH1274" s="711"/>
    </row>
    <row r="1275">
      <c r="A1275" s="48"/>
      <c r="B1275" s="48"/>
      <c r="C1275" s="48"/>
      <c r="D1275" s="721"/>
      <c r="E1275" s="711"/>
      <c r="F1275" s="711"/>
      <c r="G1275" s="721"/>
      <c r="H1275" s="721"/>
      <c r="I1275" s="721"/>
      <c r="J1275" s="48"/>
      <c r="K1275" s="721"/>
      <c r="L1275" s="721"/>
      <c r="M1275" s="721"/>
      <c r="N1275" s="719"/>
      <c r="O1275" s="48"/>
      <c r="P1275" s="719"/>
      <c r="Q1275" s="48"/>
      <c r="R1275" s="48"/>
      <c r="S1275" s="711" t="str">
        <f>IFERROR(__xludf.DUMMYFUNCTION("""COMPUTED_VALUE"""),"")</f>
        <v/>
      </c>
      <c r="T1275" s="721"/>
      <c r="U1275" s="721"/>
      <c r="V1275" s="711"/>
      <c r="W1275" s="721"/>
      <c r="X1275" s="721"/>
      <c r="Y1275" s="48"/>
      <c r="Z1275" s="48"/>
      <c r="AA1275" s="48"/>
      <c r="AB1275" s="711"/>
      <c r="AC1275" s="711"/>
      <c r="AD1275" s="711"/>
      <c r="AE1275" s="711"/>
      <c r="AF1275" s="711"/>
      <c r="AG1275" s="711"/>
      <c r="AH1275" s="711"/>
    </row>
    <row r="1276">
      <c r="A1276" s="48"/>
      <c r="B1276" s="48"/>
      <c r="C1276" s="48"/>
      <c r="D1276" s="721"/>
      <c r="E1276" s="711"/>
      <c r="F1276" s="711"/>
      <c r="G1276" s="721"/>
      <c r="H1276" s="721"/>
      <c r="I1276" s="721"/>
      <c r="J1276" s="48"/>
      <c r="K1276" s="721"/>
      <c r="L1276" s="721"/>
      <c r="M1276" s="721"/>
      <c r="N1276" s="719"/>
      <c r="O1276" s="48"/>
      <c r="P1276" s="719"/>
      <c r="Q1276" s="48"/>
      <c r="R1276" s="48"/>
      <c r="S1276" s="711" t="str">
        <f>IFERROR(__xludf.DUMMYFUNCTION("""COMPUTED_VALUE"""),"")</f>
        <v/>
      </c>
      <c r="T1276" s="721"/>
      <c r="U1276" s="721"/>
      <c r="V1276" s="711"/>
      <c r="W1276" s="721"/>
      <c r="X1276" s="721"/>
      <c r="Y1276" s="48"/>
      <c r="Z1276" s="48"/>
      <c r="AA1276" s="48"/>
      <c r="AB1276" s="711"/>
      <c r="AC1276" s="711"/>
      <c r="AD1276" s="711"/>
      <c r="AE1276" s="711"/>
      <c r="AF1276" s="711"/>
      <c r="AG1276" s="711"/>
      <c r="AH1276" s="711"/>
    </row>
    <row r="1277">
      <c r="A1277" s="48"/>
      <c r="B1277" s="48"/>
      <c r="C1277" s="48"/>
      <c r="D1277" s="721"/>
      <c r="E1277" s="711"/>
      <c r="F1277" s="711"/>
      <c r="G1277" s="721"/>
      <c r="H1277" s="721"/>
      <c r="I1277" s="721"/>
      <c r="J1277" s="48"/>
      <c r="K1277" s="721"/>
      <c r="L1277" s="721"/>
      <c r="M1277" s="721"/>
      <c r="N1277" s="719"/>
      <c r="O1277" s="48"/>
      <c r="P1277" s="719"/>
      <c r="Q1277" s="48"/>
      <c r="R1277" s="48"/>
      <c r="S1277" s="711" t="str">
        <f>IFERROR(__xludf.DUMMYFUNCTION("""COMPUTED_VALUE"""),"")</f>
        <v/>
      </c>
      <c r="T1277" s="721"/>
      <c r="U1277" s="721"/>
      <c r="V1277" s="711"/>
      <c r="W1277" s="721"/>
      <c r="X1277" s="721"/>
      <c r="Y1277" s="48"/>
      <c r="Z1277" s="48"/>
      <c r="AA1277" s="48"/>
      <c r="AB1277" s="711"/>
      <c r="AC1277" s="711"/>
      <c r="AD1277" s="711"/>
      <c r="AE1277" s="711"/>
      <c r="AF1277" s="711"/>
      <c r="AG1277" s="711"/>
      <c r="AH1277" s="711"/>
    </row>
    <row r="1278">
      <c r="A1278" s="48"/>
      <c r="B1278" s="48"/>
      <c r="C1278" s="48"/>
      <c r="D1278" s="721"/>
      <c r="E1278" s="711"/>
      <c r="F1278" s="711"/>
      <c r="G1278" s="721"/>
      <c r="H1278" s="721"/>
      <c r="I1278" s="721"/>
      <c r="J1278" s="48"/>
      <c r="K1278" s="721"/>
      <c r="L1278" s="721"/>
      <c r="M1278" s="721"/>
      <c r="N1278" s="719"/>
      <c r="O1278" s="48"/>
      <c r="P1278" s="719"/>
      <c r="Q1278" s="48"/>
      <c r="R1278" s="48"/>
      <c r="S1278" s="711" t="str">
        <f>IFERROR(__xludf.DUMMYFUNCTION("""COMPUTED_VALUE"""),"")</f>
        <v/>
      </c>
      <c r="T1278" s="721"/>
      <c r="U1278" s="721"/>
      <c r="V1278" s="711"/>
      <c r="W1278" s="721"/>
      <c r="X1278" s="721"/>
      <c r="Y1278" s="48"/>
      <c r="Z1278" s="48"/>
      <c r="AA1278" s="48"/>
      <c r="AB1278" s="711"/>
      <c r="AC1278" s="711"/>
      <c r="AD1278" s="711"/>
      <c r="AE1278" s="711"/>
      <c r="AF1278" s="711"/>
      <c r="AG1278" s="711"/>
      <c r="AH1278" s="711"/>
    </row>
    <row r="1279">
      <c r="A1279" s="48"/>
      <c r="B1279" s="48"/>
      <c r="C1279" s="48"/>
      <c r="D1279" s="721"/>
      <c r="E1279" s="711"/>
      <c r="F1279" s="711"/>
      <c r="G1279" s="721"/>
      <c r="H1279" s="721"/>
      <c r="I1279" s="721"/>
      <c r="J1279" s="48"/>
      <c r="K1279" s="721"/>
      <c r="L1279" s="721"/>
      <c r="M1279" s="721"/>
      <c r="N1279" s="719"/>
      <c r="O1279" s="48"/>
      <c r="P1279" s="719"/>
      <c r="Q1279" s="48"/>
      <c r="R1279" s="48"/>
      <c r="S1279" s="711" t="str">
        <f>IFERROR(__xludf.DUMMYFUNCTION("""COMPUTED_VALUE"""),"")</f>
        <v/>
      </c>
      <c r="T1279" s="721"/>
      <c r="U1279" s="721"/>
      <c r="V1279" s="711"/>
      <c r="W1279" s="721"/>
      <c r="X1279" s="721"/>
      <c r="Y1279" s="48"/>
      <c r="Z1279" s="48"/>
      <c r="AA1279" s="48"/>
      <c r="AB1279" s="711"/>
      <c r="AC1279" s="711"/>
      <c r="AD1279" s="711"/>
      <c r="AE1279" s="711"/>
      <c r="AF1279" s="711"/>
      <c r="AG1279" s="711"/>
      <c r="AH1279" s="711"/>
    </row>
    <row r="1280">
      <c r="A1280" s="48"/>
      <c r="B1280" s="48"/>
      <c r="C1280" s="48"/>
      <c r="D1280" s="721"/>
      <c r="E1280" s="711"/>
      <c r="F1280" s="711"/>
      <c r="G1280" s="721"/>
      <c r="H1280" s="721"/>
      <c r="I1280" s="721"/>
      <c r="J1280" s="48"/>
      <c r="K1280" s="721"/>
      <c r="L1280" s="721"/>
      <c r="M1280" s="721"/>
      <c r="N1280" s="719"/>
      <c r="O1280" s="48"/>
      <c r="P1280" s="719"/>
      <c r="Q1280" s="48"/>
      <c r="R1280" s="48"/>
      <c r="S1280" s="711" t="str">
        <f>IFERROR(__xludf.DUMMYFUNCTION("""COMPUTED_VALUE"""),"")</f>
        <v/>
      </c>
      <c r="T1280" s="721"/>
      <c r="U1280" s="721"/>
      <c r="V1280" s="711"/>
      <c r="W1280" s="721"/>
      <c r="X1280" s="721"/>
      <c r="Y1280" s="48"/>
      <c r="Z1280" s="48"/>
      <c r="AA1280" s="48"/>
      <c r="AB1280" s="711"/>
      <c r="AC1280" s="711"/>
      <c r="AD1280" s="711"/>
      <c r="AE1280" s="711"/>
      <c r="AF1280" s="711"/>
      <c r="AG1280" s="711"/>
      <c r="AH1280" s="711"/>
    </row>
    <row r="1281">
      <c r="A1281" s="48"/>
      <c r="B1281" s="48"/>
      <c r="C1281" s="48"/>
      <c r="D1281" s="721"/>
      <c r="E1281" s="711"/>
      <c r="F1281" s="711"/>
      <c r="G1281" s="721"/>
      <c r="H1281" s="721"/>
      <c r="I1281" s="721"/>
      <c r="J1281" s="48"/>
      <c r="K1281" s="721"/>
      <c r="L1281" s="721"/>
      <c r="M1281" s="721"/>
      <c r="N1281" s="719"/>
      <c r="O1281" s="48"/>
      <c r="P1281" s="719"/>
      <c r="Q1281" s="48"/>
      <c r="R1281" s="48"/>
      <c r="S1281" s="711" t="str">
        <f>IFERROR(__xludf.DUMMYFUNCTION("""COMPUTED_VALUE"""),"")</f>
        <v/>
      </c>
      <c r="T1281" s="721"/>
      <c r="U1281" s="721"/>
      <c r="V1281" s="711"/>
      <c r="W1281" s="721"/>
      <c r="X1281" s="721"/>
      <c r="Y1281" s="48"/>
      <c r="Z1281" s="48"/>
      <c r="AA1281" s="48"/>
      <c r="AB1281" s="711"/>
      <c r="AC1281" s="711"/>
      <c r="AD1281" s="711"/>
      <c r="AE1281" s="711"/>
      <c r="AF1281" s="711"/>
      <c r="AG1281" s="711"/>
      <c r="AH1281" s="711"/>
    </row>
    <row r="1282">
      <c r="A1282" s="48"/>
      <c r="B1282" s="48"/>
      <c r="C1282" s="48"/>
      <c r="D1282" s="721"/>
      <c r="E1282" s="711"/>
      <c r="F1282" s="711"/>
      <c r="G1282" s="721"/>
      <c r="H1282" s="721"/>
      <c r="I1282" s="721"/>
      <c r="J1282" s="48"/>
      <c r="K1282" s="721"/>
      <c r="L1282" s="721"/>
      <c r="M1282" s="721"/>
      <c r="N1282" s="719"/>
      <c r="O1282" s="48"/>
      <c r="P1282" s="719"/>
      <c r="Q1282" s="48"/>
      <c r="R1282" s="48"/>
      <c r="S1282" s="711" t="str">
        <f>IFERROR(__xludf.DUMMYFUNCTION("""COMPUTED_VALUE"""),"")</f>
        <v/>
      </c>
      <c r="T1282" s="721"/>
      <c r="U1282" s="721"/>
      <c r="V1282" s="711"/>
      <c r="W1282" s="721"/>
      <c r="X1282" s="721"/>
      <c r="Y1282" s="48"/>
      <c r="Z1282" s="48"/>
      <c r="AA1282" s="48"/>
      <c r="AB1282" s="711"/>
      <c r="AC1282" s="711"/>
      <c r="AD1282" s="711"/>
      <c r="AE1282" s="711"/>
      <c r="AF1282" s="711"/>
      <c r="AG1282" s="711"/>
      <c r="AH1282" s="711"/>
    </row>
    <row r="1283">
      <c r="A1283" s="48"/>
      <c r="B1283" s="48"/>
      <c r="C1283" s="48"/>
      <c r="D1283" s="721"/>
      <c r="E1283" s="711"/>
      <c r="F1283" s="711"/>
      <c r="G1283" s="721"/>
      <c r="H1283" s="721"/>
      <c r="I1283" s="721"/>
      <c r="J1283" s="48"/>
      <c r="K1283" s="721"/>
      <c r="L1283" s="721"/>
      <c r="M1283" s="721"/>
      <c r="N1283" s="719"/>
      <c r="O1283" s="48"/>
      <c r="P1283" s="719"/>
      <c r="Q1283" s="48"/>
      <c r="R1283" s="48"/>
      <c r="S1283" s="711" t="str">
        <f>IFERROR(__xludf.DUMMYFUNCTION("""COMPUTED_VALUE"""),"")</f>
        <v/>
      </c>
      <c r="T1283" s="721"/>
      <c r="U1283" s="721"/>
      <c r="V1283" s="711"/>
      <c r="W1283" s="721"/>
      <c r="X1283" s="721"/>
      <c r="Y1283" s="48"/>
      <c r="Z1283" s="48"/>
      <c r="AA1283" s="48"/>
      <c r="AB1283" s="711"/>
      <c r="AC1283" s="711"/>
      <c r="AD1283" s="711"/>
      <c r="AE1283" s="711"/>
      <c r="AF1283" s="711"/>
      <c r="AG1283" s="711"/>
      <c r="AH1283" s="711"/>
    </row>
    <row r="1284">
      <c r="A1284" s="48"/>
      <c r="B1284" s="48"/>
      <c r="C1284" s="48"/>
      <c r="D1284" s="721"/>
      <c r="E1284" s="711"/>
      <c r="F1284" s="711"/>
      <c r="G1284" s="721"/>
      <c r="H1284" s="721"/>
      <c r="I1284" s="721"/>
      <c r="J1284" s="48"/>
      <c r="K1284" s="721"/>
      <c r="L1284" s="721"/>
      <c r="M1284" s="721"/>
      <c r="N1284" s="719"/>
      <c r="O1284" s="48"/>
      <c r="P1284" s="719"/>
      <c r="Q1284" s="48"/>
      <c r="R1284" s="48"/>
      <c r="S1284" s="711" t="str">
        <f>IFERROR(__xludf.DUMMYFUNCTION("""COMPUTED_VALUE"""),"")</f>
        <v/>
      </c>
      <c r="T1284" s="721"/>
      <c r="U1284" s="721"/>
      <c r="V1284" s="711"/>
      <c r="W1284" s="721"/>
      <c r="X1284" s="721"/>
      <c r="Y1284" s="48"/>
      <c r="Z1284" s="48"/>
      <c r="AA1284" s="48"/>
      <c r="AB1284" s="711"/>
      <c r="AC1284" s="711"/>
      <c r="AD1284" s="711"/>
      <c r="AE1284" s="711"/>
      <c r="AF1284" s="711"/>
      <c r="AG1284" s="711"/>
      <c r="AH1284" s="711"/>
    </row>
    <row r="1285">
      <c r="A1285" s="48"/>
      <c r="B1285" s="48"/>
      <c r="C1285" s="48"/>
      <c r="D1285" s="721"/>
      <c r="E1285" s="711"/>
      <c r="F1285" s="711"/>
      <c r="G1285" s="721"/>
      <c r="H1285" s="721"/>
      <c r="I1285" s="721"/>
      <c r="J1285" s="48"/>
      <c r="K1285" s="721"/>
      <c r="L1285" s="721"/>
      <c r="M1285" s="721"/>
      <c r="N1285" s="719"/>
      <c r="O1285" s="48"/>
      <c r="P1285" s="719"/>
      <c r="Q1285" s="48"/>
      <c r="R1285" s="48"/>
      <c r="S1285" s="711" t="str">
        <f>IFERROR(__xludf.DUMMYFUNCTION("""COMPUTED_VALUE"""),"")</f>
        <v/>
      </c>
      <c r="T1285" s="721"/>
      <c r="U1285" s="721"/>
      <c r="V1285" s="711"/>
      <c r="W1285" s="721"/>
      <c r="X1285" s="721"/>
      <c r="Y1285" s="48"/>
      <c r="Z1285" s="48"/>
      <c r="AA1285" s="48"/>
      <c r="AB1285" s="711"/>
      <c r="AC1285" s="711"/>
      <c r="AD1285" s="711"/>
      <c r="AE1285" s="711"/>
      <c r="AF1285" s="711"/>
      <c r="AG1285" s="711"/>
      <c r="AH1285" s="711"/>
    </row>
    <row r="1286">
      <c r="A1286" s="48"/>
      <c r="B1286" s="48"/>
      <c r="C1286" s="48"/>
      <c r="D1286" s="721"/>
      <c r="E1286" s="711"/>
      <c r="F1286" s="711"/>
      <c r="G1286" s="721"/>
      <c r="H1286" s="721"/>
      <c r="I1286" s="721"/>
      <c r="J1286" s="48"/>
      <c r="K1286" s="721"/>
      <c r="L1286" s="721"/>
      <c r="M1286" s="721"/>
      <c r="N1286" s="719"/>
      <c r="O1286" s="48"/>
      <c r="P1286" s="719"/>
      <c r="Q1286" s="48"/>
      <c r="R1286" s="48"/>
      <c r="S1286" s="711" t="str">
        <f>IFERROR(__xludf.DUMMYFUNCTION("""COMPUTED_VALUE"""),"")</f>
        <v/>
      </c>
      <c r="T1286" s="721"/>
      <c r="U1286" s="721"/>
      <c r="V1286" s="711"/>
      <c r="W1286" s="721"/>
      <c r="X1286" s="721"/>
      <c r="Y1286" s="48"/>
      <c r="Z1286" s="48"/>
      <c r="AA1286" s="48"/>
      <c r="AB1286" s="711"/>
      <c r="AC1286" s="711"/>
      <c r="AD1286" s="711"/>
      <c r="AE1286" s="711"/>
      <c r="AF1286" s="711"/>
      <c r="AG1286" s="711"/>
      <c r="AH1286" s="711"/>
    </row>
    <row r="1287">
      <c r="A1287" s="48"/>
      <c r="B1287" s="48"/>
      <c r="C1287" s="48"/>
      <c r="D1287" s="721"/>
      <c r="E1287" s="711"/>
      <c r="F1287" s="711"/>
      <c r="G1287" s="721"/>
      <c r="H1287" s="721"/>
      <c r="I1287" s="721"/>
      <c r="J1287" s="48"/>
      <c r="K1287" s="721"/>
      <c r="L1287" s="721"/>
      <c r="M1287" s="721"/>
      <c r="N1287" s="719"/>
      <c r="O1287" s="48"/>
      <c r="P1287" s="719"/>
      <c r="Q1287" s="48"/>
      <c r="R1287" s="48"/>
      <c r="S1287" s="711" t="str">
        <f>IFERROR(__xludf.DUMMYFUNCTION("""COMPUTED_VALUE"""),"")</f>
        <v/>
      </c>
      <c r="T1287" s="721"/>
      <c r="U1287" s="721"/>
      <c r="V1287" s="711"/>
      <c r="W1287" s="721"/>
      <c r="X1287" s="721"/>
      <c r="Y1287" s="48"/>
      <c r="Z1287" s="48"/>
      <c r="AA1287" s="48"/>
      <c r="AB1287" s="711"/>
      <c r="AC1287" s="711"/>
      <c r="AD1287" s="711"/>
      <c r="AE1287" s="711"/>
      <c r="AF1287" s="711"/>
      <c r="AG1287" s="711"/>
      <c r="AH1287" s="711"/>
    </row>
    <row r="1288">
      <c r="A1288" s="48"/>
      <c r="B1288" s="48"/>
      <c r="C1288" s="48"/>
      <c r="D1288" s="721"/>
      <c r="E1288" s="711"/>
      <c r="F1288" s="711"/>
      <c r="G1288" s="721"/>
      <c r="H1288" s="721"/>
      <c r="I1288" s="721"/>
      <c r="J1288" s="48"/>
      <c r="K1288" s="721"/>
      <c r="L1288" s="721"/>
      <c r="M1288" s="721"/>
      <c r="N1288" s="719"/>
      <c r="O1288" s="48"/>
      <c r="P1288" s="719"/>
      <c r="Q1288" s="48"/>
      <c r="R1288" s="48"/>
      <c r="S1288" s="711" t="str">
        <f>IFERROR(__xludf.DUMMYFUNCTION("""COMPUTED_VALUE"""),"")</f>
        <v/>
      </c>
      <c r="T1288" s="721"/>
      <c r="U1288" s="721"/>
      <c r="V1288" s="711"/>
      <c r="W1288" s="721"/>
      <c r="X1288" s="721"/>
      <c r="Y1288" s="48"/>
      <c r="Z1288" s="48"/>
      <c r="AA1288" s="48"/>
      <c r="AB1288" s="711"/>
      <c r="AC1288" s="711"/>
      <c r="AD1288" s="711"/>
      <c r="AE1288" s="711"/>
      <c r="AF1288" s="711"/>
      <c r="AG1288" s="711"/>
      <c r="AH1288" s="711"/>
    </row>
    <row r="1289">
      <c r="A1289" s="48"/>
      <c r="B1289" s="48"/>
      <c r="C1289" s="48"/>
      <c r="D1289" s="721"/>
      <c r="E1289" s="711"/>
      <c r="F1289" s="711"/>
      <c r="G1289" s="721"/>
      <c r="H1289" s="721"/>
      <c r="I1289" s="721"/>
      <c r="J1289" s="48"/>
      <c r="K1289" s="721"/>
      <c r="L1289" s="721"/>
      <c r="M1289" s="721"/>
      <c r="N1289" s="719"/>
      <c r="O1289" s="48"/>
      <c r="P1289" s="719"/>
      <c r="Q1289" s="48"/>
      <c r="R1289" s="48"/>
      <c r="S1289" s="711" t="str">
        <f>IFERROR(__xludf.DUMMYFUNCTION("""COMPUTED_VALUE"""),"")</f>
        <v/>
      </c>
      <c r="T1289" s="721"/>
      <c r="U1289" s="721"/>
      <c r="V1289" s="711"/>
      <c r="W1289" s="721"/>
      <c r="X1289" s="721"/>
      <c r="Y1289" s="48"/>
      <c r="Z1289" s="48"/>
      <c r="AA1289" s="48"/>
      <c r="AB1289" s="711"/>
      <c r="AC1289" s="711"/>
      <c r="AD1289" s="711"/>
      <c r="AE1289" s="711"/>
      <c r="AF1289" s="711"/>
      <c r="AG1289" s="711"/>
      <c r="AH1289" s="711"/>
    </row>
    <row r="1290">
      <c r="A1290" s="48"/>
      <c r="B1290" s="48"/>
      <c r="C1290" s="48"/>
      <c r="D1290" s="721"/>
      <c r="E1290" s="711"/>
      <c r="F1290" s="711"/>
      <c r="G1290" s="721"/>
      <c r="H1290" s="721"/>
      <c r="I1290" s="721"/>
      <c r="J1290" s="48"/>
      <c r="K1290" s="721"/>
      <c r="L1290" s="721"/>
      <c r="M1290" s="721"/>
      <c r="N1290" s="719"/>
      <c r="O1290" s="48"/>
      <c r="P1290" s="719"/>
      <c r="Q1290" s="48"/>
      <c r="R1290" s="48"/>
      <c r="S1290" s="711" t="str">
        <f>IFERROR(__xludf.DUMMYFUNCTION("""COMPUTED_VALUE"""),"")</f>
        <v/>
      </c>
      <c r="T1290" s="721"/>
      <c r="U1290" s="721"/>
      <c r="V1290" s="711"/>
      <c r="W1290" s="721"/>
      <c r="X1290" s="721"/>
      <c r="Y1290" s="48"/>
      <c r="Z1290" s="48"/>
      <c r="AA1290" s="48"/>
      <c r="AB1290" s="711"/>
      <c r="AC1290" s="711"/>
      <c r="AD1290" s="711"/>
      <c r="AE1290" s="711"/>
      <c r="AF1290" s="711"/>
      <c r="AG1290" s="711"/>
      <c r="AH1290" s="711"/>
    </row>
    <row r="1291">
      <c r="A1291" s="48"/>
      <c r="B1291" s="48"/>
      <c r="C1291" s="48"/>
      <c r="D1291" s="721"/>
      <c r="E1291" s="711"/>
      <c r="F1291" s="711"/>
      <c r="G1291" s="721"/>
      <c r="H1291" s="721"/>
      <c r="I1291" s="721"/>
      <c r="J1291" s="48"/>
      <c r="K1291" s="721"/>
      <c r="L1291" s="721"/>
      <c r="M1291" s="721"/>
      <c r="N1291" s="719"/>
      <c r="O1291" s="48"/>
      <c r="P1291" s="719"/>
      <c r="Q1291" s="48"/>
      <c r="R1291" s="48"/>
      <c r="S1291" s="711" t="str">
        <f>IFERROR(__xludf.DUMMYFUNCTION("""COMPUTED_VALUE"""),"")</f>
        <v/>
      </c>
      <c r="T1291" s="721"/>
      <c r="U1291" s="721"/>
      <c r="V1291" s="711"/>
      <c r="W1291" s="721"/>
      <c r="X1291" s="721"/>
      <c r="Y1291" s="48"/>
      <c r="Z1291" s="48"/>
      <c r="AA1291" s="48"/>
      <c r="AB1291" s="711"/>
      <c r="AC1291" s="711"/>
      <c r="AD1291" s="711"/>
      <c r="AE1291" s="711"/>
      <c r="AF1291" s="711"/>
      <c r="AG1291" s="711"/>
      <c r="AH1291" s="711"/>
    </row>
    <row r="1292">
      <c r="A1292" s="48"/>
      <c r="B1292" s="48"/>
      <c r="C1292" s="48"/>
      <c r="D1292" s="721"/>
      <c r="E1292" s="711"/>
      <c r="F1292" s="711"/>
      <c r="G1292" s="721"/>
      <c r="H1292" s="721"/>
      <c r="I1292" s="721"/>
      <c r="J1292" s="48"/>
      <c r="K1292" s="721"/>
      <c r="L1292" s="721"/>
      <c r="M1292" s="721"/>
      <c r="N1292" s="719"/>
      <c r="O1292" s="48"/>
      <c r="P1292" s="719"/>
      <c r="Q1292" s="48"/>
      <c r="R1292" s="48"/>
      <c r="S1292" s="711" t="str">
        <f>IFERROR(__xludf.DUMMYFUNCTION("""COMPUTED_VALUE"""),"")</f>
        <v/>
      </c>
      <c r="T1292" s="721"/>
      <c r="U1292" s="721"/>
      <c r="V1292" s="711"/>
      <c r="W1292" s="721"/>
      <c r="X1292" s="721"/>
      <c r="Y1292" s="48"/>
      <c r="Z1292" s="48"/>
      <c r="AA1292" s="48"/>
      <c r="AB1292" s="711"/>
      <c r="AC1292" s="711"/>
      <c r="AD1292" s="711"/>
      <c r="AE1292" s="711"/>
      <c r="AF1292" s="711"/>
      <c r="AG1292" s="711"/>
      <c r="AH1292" s="711"/>
    </row>
    <row r="1293">
      <c r="A1293" s="48"/>
      <c r="B1293" s="48"/>
      <c r="C1293" s="48"/>
      <c r="D1293" s="721"/>
      <c r="E1293" s="711"/>
      <c r="F1293" s="711"/>
      <c r="G1293" s="721"/>
      <c r="H1293" s="721"/>
      <c r="I1293" s="721"/>
      <c r="J1293" s="48"/>
      <c r="K1293" s="721"/>
      <c r="L1293" s="721"/>
      <c r="M1293" s="721"/>
      <c r="N1293" s="719"/>
      <c r="O1293" s="48"/>
      <c r="P1293" s="719"/>
      <c r="Q1293" s="48"/>
      <c r="R1293" s="48"/>
      <c r="S1293" s="711" t="str">
        <f>IFERROR(__xludf.DUMMYFUNCTION("""COMPUTED_VALUE"""),"")</f>
        <v/>
      </c>
      <c r="T1293" s="721"/>
      <c r="U1293" s="721"/>
      <c r="V1293" s="711"/>
      <c r="W1293" s="721"/>
      <c r="X1293" s="721"/>
      <c r="Y1293" s="48"/>
      <c r="Z1293" s="48"/>
      <c r="AA1293" s="48"/>
      <c r="AB1293" s="711"/>
      <c r="AC1293" s="711"/>
      <c r="AD1293" s="711"/>
      <c r="AE1293" s="711"/>
      <c r="AF1293" s="711"/>
      <c r="AG1293" s="711"/>
      <c r="AH1293" s="711"/>
    </row>
    <row r="1294">
      <c r="A1294" s="48"/>
      <c r="B1294" s="48"/>
      <c r="C1294" s="48"/>
      <c r="D1294" s="721"/>
      <c r="E1294" s="711"/>
      <c r="F1294" s="711"/>
      <c r="G1294" s="721"/>
      <c r="H1294" s="721"/>
      <c r="I1294" s="721"/>
      <c r="J1294" s="48"/>
      <c r="K1294" s="721"/>
      <c r="L1294" s="721"/>
      <c r="M1294" s="721"/>
      <c r="N1294" s="719"/>
      <c r="O1294" s="48"/>
      <c r="P1294" s="719"/>
      <c r="Q1294" s="48"/>
      <c r="R1294" s="48"/>
      <c r="S1294" s="711" t="str">
        <f>IFERROR(__xludf.DUMMYFUNCTION("""COMPUTED_VALUE"""),"")</f>
        <v/>
      </c>
      <c r="T1294" s="721"/>
      <c r="U1294" s="721"/>
      <c r="V1294" s="711"/>
      <c r="W1294" s="721"/>
      <c r="X1294" s="721"/>
      <c r="Y1294" s="48"/>
      <c r="Z1294" s="48"/>
      <c r="AA1294" s="48"/>
      <c r="AB1294" s="711"/>
      <c r="AC1294" s="711"/>
      <c r="AD1294" s="711"/>
      <c r="AE1294" s="711"/>
      <c r="AF1294" s="711"/>
      <c r="AG1294" s="711"/>
      <c r="AH1294" s="711"/>
    </row>
    <row r="1295">
      <c r="A1295" s="48"/>
      <c r="B1295" s="48"/>
      <c r="C1295" s="48"/>
      <c r="D1295" s="721"/>
      <c r="E1295" s="711"/>
      <c r="F1295" s="711"/>
      <c r="G1295" s="721"/>
      <c r="H1295" s="721"/>
      <c r="I1295" s="721"/>
      <c r="J1295" s="48"/>
      <c r="K1295" s="721"/>
      <c r="L1295" s="721"/>
      <c r="M1295" s="721"/>
      <c r="N1295" s="719"/>
      <c r="O1295" s="48"/>
      <c r="P1295" s="719"/>
      <c r="Q1295" s="48"/>
      <c r="R1295" s="48"/>
      <c r="S1295" s="711" t="str">
        <f>IFERROR(__xludf.DUMMYFUNCTION("""COMPUTED_VALUE"""),"")</f>
        <v/>
      </c>
      <c r="T1295" s="721"/>
      <c r="U1295" s="721"/>
      <c r="V1295" s="711"/>
      <c r="W1295" s="721"/>
      <c r="X1295" s="721"/>
      <c r="Y1295" s="48"/>
      <c r="Z1295" s="48"/>
      <c r="AA1295" s="48"/>
      <c r="AB1295" s="711"/>
      <c r="AC1295" s="711"/>
      <c r="AD1295" s="711"/>
      <c r="AE1295" s="711"/>
      <c r="AF1295" s="711"/>
      <c r="AG1295" s="711"/>
      <c r="AH1295" s="711"/>
    </row>
    <row r="1296">
      <c r="A1296" s="48"/>
      <c r="B1296" s="48"/>
      <c r="C1296" s="48"/>
      <c r="D1296" s="721"/>
      <c r="E1296" s="711"/>
      <c r="F1296" s="711"/>
      <c r="G1296" s="721"/>
      <c r="H1296" s="721"/>
      <c r="I1296" s="721"/>
      <c r="J1296" s="48"/>
      <c r="K1296" s="721"/>
      <c r="L1296" s="721"/>
      <c r="M1296" s="721"/>
      <c r="N1296" s="719"/>
      <c r="O1296" s="48"/>
      <c r="P1296" s="719"/>
      <c r="Q1296" s="48"/>
      <c r="R1296" s="48"/>
      <c r="S1296" s="711" t="str">
        <f>IFERROR(__xludf.DUMMYFUNCTION("""COMPUTED_VALUE"""),"")</f>
        <v/>
      </c>
      <c r="T1296" s="721"/>
      <c r="U1296" s="721"/>
      <c r="V1296" s="711"/>
      <c r="W1296" s="721"/>
      <c r="X1296" s="721"/>
      <c r="Y1296" s="48"/>
      <c r="Z1296" s="48"/>
      <c r="AA1296" s="48"/>
      <c r="AB1296" s="711"/>
      <c r="AC1296" s="711"/>
      <c r="AD1296" s="711"/>
      <c r="AE1296" s="711"/>
      <c r="AF1296" s="711"/>
      <c r="AG1296" s="711"/>
      <c r="AH1296" s="711"/>
    </row>
    <row r="1297">
      <c r="A1297" s="48"/>
      <c r="B1297" s="48"/>
      <c r="C1297" s="48"/>
      <c r="D1297" s="721"/>
      <c r="E1297" s="711"/>
      <c r="F1297" s="711"/>
      <c r="G1297" s="721"/>
      <c r="H1297" s="721"/>
      <c r="I1297" s="721"/>
      <c r="J1297" s="48"/>
      <c r="K1297" s="721"/>
      <c r="L1297" s="721"/>
      <c r="M1297" s="721"/>
      <c r="N1297" s="719"/>
      <c r="O1297" s="48"/>
      <c r="P1297" s="719"/>
      <c r="Q1297" s="48"/>
      <c r="R1297" s="48"/>
      <c r="S1297" s="711" t="str">
        <f>IFERROR(__xludf.DUMMYFUNCTION("""COMPUTED_VALUE"""),"")</f>
        <v/>
      </c>
      <c r="T1297" s="721"/>
      <c r="U1297" s="721"/>
      <c r="V1297" s="711"/>
      <c r="W1297" s="721"/>
      <c r="X1297" s="721"/>
      <c r="Y1297" s="48"/>
      <c r="Z1297" s="48"/>
      <c r="AA1297" s="48"/>
      <c r="AB1297" s="711"/>
      <c r="AC1297" s="711"/>
      <c r="AD1297" s="711"/>
      <c r="AE1297" s="711"/>
      <c r="AF1297" s="711"/>
      <c r="AG1297" s="711"/>
      <c r="AH1297" s="711"/>
    </row>
    <row r="1298">
      <c r="A1298" s="48"/>
      <c r="B1298" s="48"/>
      <c r="C1298" s="48"/>
      <c r="D1298" s="721"/>
      <c r="E1298" s="711"/>
      <c r="F1298" s="711"/>
      <c r="G1298" s="721"/>
      <c r="H1298" s="721"/>
      <c r="I1298" s="721"/>
      <c r="J1298" s="48"/>
      <c r="K1298" s="721"/>
      <c r="L1298" s="721"/>
      <c r="M1298" s="721"/>
      <c r="N1298" s="719"/>
      <c r="O1298" s="48"/>
      <c r="P1298" s="719"/>
      <c r="Q1298" s="48"/>
      <c r="R1298" s="48"/>
      <c r="S1298" s="711" t="str">
        <f>IFERROR(__xludf.DUMMYFUNCTION("""COMPUTED_VALUE"""),"")</f>
        <v/>
      </c>
      <c r="T1298" s="721"/>
      <c r="U1298" s="721"/>
      <c r="V1298" s="711"/>
      <c r="W1298" s="721"/>
      <c r="X1298" s="721"/>
      <c r="Y1298" s="48"/>
      <c r="Z1298" s="48"/>
      <c r="AA1298" s="48"/>
      <c r="AB1298" s="711"/>
      <c r="AC1298" s="711"/>
      <c r="AD1298" s="711"/>
      <c r="AE1298" s="711"/>
      <c r="AF1298" s="711"/>
      <c r="AG1298" s="711"/>
      <c r="AH1298" s="711"/>
    </row>
    <row r="1299">
      <c r="A1299" s="48"/>
      <c r="B1299" s="48"/>
      <c r="C1299" s="48"/>
      <c r="D1299" s="721"/>
      <c r="E1299" s="711"/>
      <c r="F1299" s="711"/>
      <c r="G1299" s="721"/>
      <c r="H1299" s="721"/>
      <c r="I1299" s="721"/>
      <c r="J1299" s="48"/>
      <c r="K1299" s="721"/>
      <c r="L1299" s="721"/>
      <c r="M1299" s="721"/>
      <c r="N1299" s="719"/>
      <c r="O1299" s="48"/>
      <c r="P1299" s="719"/>
      <c r="Q1299" s="48"/>
      <c r="R1299" s="48"/>
      <c r="S1299" s="711" t="str">
        <f>IFERROR(__xludf.DUMMYFUNCTION("""COMPUTED_VALUE"""),"")</f>
        <v/>
      </c>
      <c r="T1299" s="721"/>
      <c r="U1299" s="721"/>
      <c r="V1299" s="711"/>
      <c r="W1299" s="721"/>
      <c r="X1299" s="721"/>
      <c r="Y1299" s="48"/>
      <c r="Z1299" s="48"/>
      <c r="AA1299" s="48"/>
      <c r="AB1299" s="711"/>
      <c r="AC1299" s="711"/>
      <c r="AD1299" s="711"/>
      <c r="AE1299" s="711"/>
      <c r="AF1299" s="711"/>
      <c r="AG1299" s="711"/>
      <c r="AH1299" s="711"/>
    </row>
    <row r="1300">
      <c r="A1300" s="48"/>
      <c r="B1300" s="48"/>
      <c r="C1300" s="48"/>
      <c r="D1300" s="721"/>
      <c r="E1300" s="711"/>
      <c r="F1300" s="711"/>
      <c r="G1300" s="721"/>
      <c r="H1300" s="721"/>
      <c r="I1300" s="721"/>
      <c r="J1300" s="48"/>
      <c r="K1300" s="721"/>
      <c r="L1300" s="721"/>
      <c r="M1300" s="721"/>
      <c r="N1300" s="719"/>
      <c r="O1300" s="48"/>
      <c r="P1300" s="719"/>
      <c r="Q1300" s="48"/>
      <c r="R1300" s="48"/>
      <c r="S1300" s="711" t="str">
        <f>IFERROR(__xludf.DUMMYFUNCTION("""COMPUTED_VALUE"""),"")</f>
        <v/>
      </c>
      <c r="T1300" s="721"/>
      <c r="U1300" s="721"/>
      <c r="V1300" s="711"/>
      <c r="W1300" s="721"/>
      <c r="X1300" s="721"/>
      <c r="Y1300" s="48"/>
      <c r="Z1300" s="48"/>
      <c r="AA1300" s="48"/>
      <c r="AB1300" s="711"/>
      <c r="AC1300" s="711"/>
      <c r="AD1300" s="711"/>
      <c r="AE1300" s="711"/>
      <c r="AF1300" s="711"/>
      <c r="AG1300" s="711"/>
      <c r="AH1300" s="711"/>
    </row>
    <row r="1301">
      <c r="A1301" s="48"/>
      <c r="B1301" s="48"/>
      <c r="C1301" s="48"/>
      <c r="D1301" s="721"/>
      <c r="E1301" s="711"/>
      <c r="F1301" s="711"/>
      <c r="G1301" s="721"/>
      <c r="H1301" s="721"/>
      <c r="I1301" s="721"/>
      <c r="J1301" s="48"/>
      <c r="K1301" s="721"/>
      <c r="L1301" s="721"/>
      <c r="M1301" s="721"/>
      <c r="N1301" s="719"/>
      <c r="O1301" s="48"/>
      <c r="P1301" s="719"/>
      <c r="Q1301" s="48"/>
      <c r="R1301" s="48"/>
      <c r="S1301" s="711" t="str">
        <f>IFERROR(__xludf.DUMMYFUNCTION("""COMPUTED_VALUE"""),"")</f>
        <v/>
      </c>
      <c r="T1301" s="721"/>
      <c r="U1301" s="721"/>
      <c r="V1301" s="711"/>
      <c r="W1301" s="721"/>
      <c r="X1301" s="721"/>
      <c r="Y1301" s="48"/>
      <c r="Z1301" s="48"/>
      <c r="AA1301" s="48"/>
      <c r="AB1301" s="711"/>
      <c r="AC1301" s="711"/>
      <c r="AD1301" s="711"/>
      <c r="AE1301" s="711"/>
      <c r="AF1301" s="711"/>
      <c r="AG1301" s="711"/>
      <c r="AH1301" s="711"/>
    </row>
    <row r="1302">
      <c r="A1302" s="48"/>
      <c r="B1302" s="48"/>
      <c r="C1302" s="48"/>
      <c r="D1302" s="721"/>
      <c r="E1302" s="711"/>
      <c r="F1302" s="711"/>
      <c r="G1302" s="721"/>
      <c r="H1302" s="721"/>
      <c r="I1302" s="721"/>
      <c r="J1302" s="48"/>
      <c r="K1302" s="721"/>
      <c r="L1302" s="721"/>
      <c r="M1302" s="721"/>
      <c r="N1302" s="719"/>
      <c r="O1302" s="48"/>
      <c r="P1302" s="719"/>
      <c r="Q1302" s="48"/>
      <c r="R1302" s="48"/>
      <c r="S1302" s="711" t="str">
        <f>IFERROR(__xludf.DUMMYFUNCTION("""COMPUTED_VALUE"""),"")</f>
        <v/>
      </c>
      <c r="T1302" s="721"/>
      <c r="U1302" s="721"/>
      <c r="V1302" s="711"/>
      <c r="W1302" s="721"/>
      <c r="X1302" s="721"/>
      <c r="Y1302" s="48"/>
      <c r="Z1302" s="48"/>
      <c r="AA1302" s="48"/>
      <c r="AB1302" s="711"/>
      <c r="AC1302" s="711"/>
      <c r="AD1302" s="711"/>
      <c r="AE1302" s="711"/>
      <c r="AF1302" s="711"/>
      <c r="AG1302" s="711"/>
      <c r="AH1302" s="711"/>
    </row>
    <row r="1303">
      <c r="A1303" s="48"/>
      <c r="B1303" s="48"/>
      <c r="C1303" s="48"/>
      <c r="D1303" s="721"/>
      <c r="E1303" s="711"/>
      <c r="F1303" s="711"/>
      <c r="G1303" s="721"/>
      <c r="H1303" s="721"/>
      <c r="I1303" s="721"/>
      <c r="J1303" s="48"/>
      <c r="K1303" s="721"/>
      <c r="L1303" s="721"/>
      <c r="M1303" s="721"/>
      <c r="N1303" s="719"/>
      <c r="O1303" s="48"/>
      <c r="P1303" s="719"/>
      <c r="Q1303" s="48"/>
      <c r="R1303" s="48"/>
      <c r="S1303" s="711" t="str">
        <f>IFERROR(__xludf.DUMMYFUNCTION("""COMPUTED_VALUE"""),"")</f>
        <v/>
      </c>
      <c r="T1303" s="721"/>
      <c r="U1303" s="721"/>
      <c r="V1303" s="711"/>
      <c r="W1303" s="721"/>
      <c r="X1303" s="721"/>
      <c r="Y1303" s="48"/>
      <c r="Z1303" s="48"/>
      <c r="AA1303" s="48"/>
      <c r="AB1303" s="711"/>
      <c r="AC1303" s="711"/>
      <c r="AD1303" s="711"/>
      <c r="AE1303" s="711"/>
      <c r="AF1303" s="711"/>
      <c r="AG1303" s="711"/>
      <c r="AH1303" s="711"/>
    </row>
    <row r="1304">
      <c r="A1304" s="48"/>
      <c r="B1304" s="48"/>
      <c r="C1304" s="48"/>
      <c r="D1304" s="721"/>
      <c r="E1304" s="711"/>
      <c r="F1304" s="711"/>
      <c r="G1304" s="721"/>
      <c r="H1304" s="721"/>
      <c r="I1304" s="721"/>
      <c r="J1304" s="48"/>
      <c r="K1304" s="721"/>
      <c r="L1304" s="721"/>
      <c r="M1304" s="721"/>
      <c r="N1304" s="719"/>
      <c r="O1304" s="48"/>
      <c r="P1304" s="719"/>
      <c r="Q1304" s="48"/>
      <c r="R1304" s="48"/>
      <c r="S1304" s="711" t="str">
        <f>IFERROR(__xludf.DUMMYFUNCTION("""COMPUTED_VALUE"""),"")</f>
        <v/>
      </c>
      <c r="T1304" s="721"/>
      <c r="U1304" s="721"/>
      <c r="V1304" s="711"/>
      <c r="W1304" s="721"/>
      <c r="X1304" s="721"/>
      <c r="Y1304" s="48"/>
      <c r="Z1304" s="48"/>
      <c r="AA1304" s="48"/>
      <c r="AB1304" s="711"/>
      <c r="AC1304" s="711"/>
      <c r="AD1304" s="711"/>
      <c r="AE1304" s="711"/>
      <c r="AF1304" s="711"/>
      <c r="AG1304" s="711"/>
      <c r="AH1304" s="711"/>
    </row>
    <row r="1305">
      <c r="A1305" s="48"/>
      <c r="B1305" s="48"/>
      <c r="C1305" s="48"/>
      <c r="D1305" s="721"/>
      <c r="E1305" s="711"/>
      <c r="F1305" s="711"/>
      <c r="G1305" s="721"/>
      <c r="H1305" s="721"/>
      <c r="I1305" s="721"/>
      <c r="J1305" s="48"/>
      <c r="K1305" s="721"/>
      <c r="L1305" s="721"/>
      <c r="M1305" s="721"/>
      <c r="N1305" s="719"/>
      <c r="O1305" s="48"/>
      <c r="P1305" s="719"/>
      <c r="Q1305" s="48"/>
      <c r="R1305" s="48"/>
      <c r="S1305" s="711" t="str">
        <f>IFERROR(__xludf.DUMMYFUNCTION("""COMPUTED_VALUE"""),"")</f>
        <v/>
      </c>
      <c r="T1305" s="721"/>
      <c r="U1305" s="721"/>
      <c r="V1305" s="711"/>
      <c r="W1305" s="721"/>
      <c r="X1305" s="721"/>
      <c r="Y1305" s="48"/>
      <c r="Z1305" s="48"/>
      <c r="AA1305" s="48"/>
      <c r="AB1305" s="711"/>
      <c r="AC1305" s="711"/>
      <c r="AD1305" s="711"/>
      <c r="AE1305" s="711"/>
      <c r="AF1305" s="711"/>
      <c r="AG1305" s="711"/>
      <c r="AH1305" s="711"/>
    </row>
    <row r="1306">
      <c r="A1306" s="48"/>
      <c r="B1306" s="48"/>
      <c r="C1306" s="48"/>
      <c r="D1306" s="721"/>
      <c r="E1306" s="711"/>
      <c r="F1306" s="711"/>
      <c r="G1306" s="721"/>
      <c r="H1306" s="721"/>
      <c r="I1306" s="721"/>
      <c r="J1306" s="48"/>
      <c r="K1306" s="721"/>
      <c r="L1306" s="721"/>
      <c r="M1306" s="721"/>
      <c r="N1306" s="719"/>
      <c r="O1306" s="48"/>
      <c r="P1306" s="719"/>
      <c r="Q1306" s="48"/>
      <c r="R1306" s="48"/>
      <c r="S1306" s="711" t="str">
        <f>IFERROR(__xludf.DUMMYFUNCTION("""COMPUTED_VALUE"""),"")</f>
        <v/>
      </c>
      <c r="T1306" s="721"/>
      <c r="U1306" s="721"/>
      <c r="V1306" s="711"/>
      <c r="W1306" s="721"/>
      <c r="X1306" s="721"/>
      <c r="Y1306" s="48"/>
      <c r="Z1306" s="48"/>
      <c r="AA1306" s="48"/>
      <c r="AB1306" s="711"/>
      <c r="AC1306" s="711"/>
      <c r="AD1306" s="711"/>
      <c r="AE1306" s="711"/>
      <c r="AF1306" s="711"/>
      <c r="AG1306" s="711"/>
      <c r="AH1306" s="711"/>
    </row>
    <row r="1307">
      <c r="A1307" s="48"/>
      <c r="B1307" s="48"/>
      <c r="C1307" s="48"/>
      <c r="D1307" s="721"/>
      <c r="E1307" s="711"/>
      <c r="F1307" s="711"/>
      <c r="G1307" s="721"/>
      <c r="H1307" s="721"/>
      <c r="I1307" s="721"/>
      <c r="J1307" s="48"/>
      <c r="K1307" s="721"/>
      <c r="L1307" s="721"/>
      <c r="M1307" s="721"/>
      <c r="N1307" s="719"/>
      <c r="O1307" s="48"/>
      <c r="P1307" s="719"/>
      <c r="Q1307" s="48"/>
      <c r="R1307" s="48"/>
      <c r="S1307" s="711" t="str">
        <f>IFERROR(__xludf.DUMMYFUNCTION("""COMPUTED_VALUE"""),"")</f>
        <v/>
      </c>
      <c r="T1307" s="721"/>
      <c r="U1307" s="721"/>
      <c r="V1307" s="711"/>
      <c r="W1307" s="721"/>
      <c r="X1307" s="721"/>
      <c r="Y1307" s="48"/>
      <c r="Z1307" s="48"/>
      <c r="AA1307" s="48"/>
      <c r="AB1307" s="711"/>
      <c r="AC1307" s="711"/>
      <c r="AD1307" s="711"/>
      <c r="AE1307" s="711"/>
      <c r="AF1307" s="711"/>
      <c r="AG1307" s="711"/>
      <c r="AH1307" s="711"/>
    </row>
    <row r="1308">
      <c r="A1308" s="48"/>
      <c r="B1308" s="48"/>
      <c r="C1308" s="48"/>
      <c r="D1308" s="721"/>
      <c r="E1308" s="711"/>
      <c r="F1308" s="711"/>
      <c r="G1308" s="721"/>
      <c r="H1308" s="721"/>
      <c r="I1308" s="721"/>
      <c r="J1308" s="48"/>
      <c r="K1308" s="721"/>
      <c r="L1308" s="721"/>
      <c r="M1308" s="721"/>
      <c r="N1308" s="719"/>
      <c r="O1308" s="48"/>
      <c r="P1308" s="719"/>
      <c r="Q1308" s="48"/>
      <c r="R1308" s="48"/>
      <c r="S1308" s="711" t="str">
        <f>IFERROR(__xludf.DUMMYFUNCTION("""COMPUTED_VALUE"""),"")</f>
        <v/>
      </c>
      <c r="T1308" s="721"/>
      <c r="U1308" s="721"/>
      <c r="V1308" s="711"/>
      <c r="W1308" s="721"/>
      <c r="X1308" s="721"/>
      <c r="Y1308" s="48"/>
      <c r="Z1308" s="48"/>
      <c r="AA1308" s="48"/>
      <c r="AB1308" s="711"/>
      <c r="AC1308" s="711"/>
      <c r="AD1308" s="711"/>
      <c r="AE1308" s="711"/>
      <c r="AF1308" s="711"/>
      <c r="AG1308" s="711"/>
      <c r="AH1308" s="711"/>
    </row>
    <row r="1309">
      <c r="A1309" s="48"/>
      <c r="B1309" s="48"/>
      <c r="C1309" s="48"/>
      <c r="D1309" s="721"/>
      <c r="E1309" s="711"/>
      <c r="F1309" s="711"/>
      <c r="G1309" s="721"/>
      <c r="H1309" s="721"/>
      <c r="I1309" s="721"/>
      <c r="J1309" s="48"/>
      <c r="K1309" s="721"/>
      <c r="L1309" s="721"/>
      <c r="M1309" s="721"/>
      <c r="N1309" s="719"/>
      <c r="O1309" s="48"/>
      <c r="P1309" s="719"/>
      <c r="Q1309" s="48"/>
      <c r="R1309" s="48"/>
      <c r="S1309" s="711" t="str">
        <f>IFERROR(__xludf.DUMMYFUNCTION("""COMPUTED_VALUE"""),"")</f>
        <v/>
      </c>
      <c r="T1309" s="721"/>
      <c r="U1309" s="721"/>
      <c r="V1309" s="711"/>
      <c r="W1309" s="721"/>
      <c r="X1309" s="721"/>
      <c r="Y1309" s="48"/>
      <c r="Z1309" s="48"/>
      <c r="AA1309" s="48"/>
      <c r="AB1309" s="711"/>
      <c r="AC1309" s="711"/>
      <c r="AD1309" s="711"/>
      <c r="AE1309" s="711"/>
      <c r="AF1309" s="711"/>
      <c r="AG1309" s="711"/>
      <c r="AH1309" s="711"/>
    </row>
    <row r="1310">
      <c r="A1310" s="48"/>
      <c r="B1310" s="48"/>
      <c r="C1310" s="48"/>
      <c r="D1310" s="721"/>
      <c r="E1310" s="711"/>
      <c r="F1310" s="711"/>
      <c r="G1310" s="721"/>
      <c r="H1310" s="721"/>
      <c r="I1310" s="721"/>
      <c r="J1310" s="48"/>
      <c r="K1310" s="721"/>
      <c r="L1310" s="721"/>
      <c r="M1310" s="721"/>
      <c r="N1310" s="719"/>
      <c r="O1310" s="48"/>
      <c r="P1310" s="719"/>
      <c r="Q1310" s="48"/>
      <c r="R1310" s="48"/>
      <c r="S1310" s="711" t="str">
        <f>IFERROR(__xludf.DUMMYFUNCTION("""COMPUTED_VALUE"""),"")</f>
        <v/>
      </c>
      <c r="T1310" s="721"/>
      <c r="U1310" s="721"/>
      <c r="V1310" s="711"/>
      <c r="W1310" s="721"/>
      <c r="X1310" s="721"/>
      <c r="Y1310" s="48"/>
      <c r="Z1310" s="48"/>
      <c r="AA1310" s="48"/>
      <c r="AB1310" s="711"/>
      <c r="AC1310" s="711"/>
      <c r="AD1310" s="711"/>
      <c r="AE1310" s="711"/>
      <c r="AF1310" s="711"/>
      <c r="AG1310" s="711"/>
      <c r="AH1310" s="711"/>
    </row>
    <row r="1311">
      <c r="A1311" s="48"/>
      <c r="B1311" s="48"/>
      <c r="C1311" s="48"/>
      <c r="D1311" s="721"/>
      <c r="E1311" s="711"/>
      <c r="F1311" s="711"/>
      <c r="G1311" s="721"/>
      <c r="H1311" s="721"/>
      <c r="I1311" s="721"/>
      <c r="J1311" s="48"/>
      <c r="K1311" s="721"/>
      <c r="L1311" s="721"/>
      <c r="M1311" s="721"/>
      <c r="N1311" s="719"/>
      <c r="O1311" s="48"/>
      <c r="P1311" s="719"/>
      <c r="Q1311" s="48"/>
      <c r="R1311" s="48"/>
      <c r="S1311" s="711" t="str">
        <f>IFERROR(__xludf.DUMMYFUNCTION("""COMPUTED_VALUE"""),"")</f>
        <v/>
      </c>
      <c r="T1311" s="721"/>
      <c r="U1311" s="721"/>
      <c r="V1311" s="711"/>
      <c r="W1311" s="721"/>
      <c r="X1311" s="721"/>
      <c r="Y1311" s="48"/>
      <c r="Z1311" s="48"/>
      <c r="AA1311" s="48"/>
      <c r="AB1311" s="711"/>
      <c r="AC1311" s="711"/>
      <c r="AD1311" s="711"/>
      <c r="AE1311" s="711"/>
      <c r="AF1311" s="711"/>
      <c r="AG1311" s="711"/>
      <c r="AH1311" s="711"/>
    </row>
    <row r="1312">
      <c r="A1312" s="48"/>
      <c r="B1312" s="48"/>
      <c r="C1312" s="48"/>
      <c r="D1312" s="721"/>
      <c r="E1312" s="711"/>
      <c r="F1312" s="711"/>
      <c r="G1312" s="721"/>
      <c r="H1312" s="721"/>
      <c r="I1312" s="721"/>
      <c r="J1312" s="48"/>
      <c r="K1312" s="721"/>
      <c r="L1312" s="721"/>
      <c r="M1312" s="721"/>
      <c r="N1312" s="719"/>
      <c r="O1312" s="48"/>
      <c r="P1312" s="719"/>
      <c r="Q1312" s="48"/>
      <c r="R1312" s="48"/>
      <c r="S1312" s="711" t="str">
        <f>IFERROR(__xludf.DUMMYFUNCTION("""COMPUTED_VALUE"""),"")</f>
        <v/>
      </c>
      <c r="T1312" s="721"/>
      <c r="U1312" s="721"/>
      <c r="V1312" s="711"/>
      <c r="W1312" s="721"/>
      <c r="X1312" s="721"/>
      <c r="Y1312" s="48"/>
      <c r="Z1312" s="48"/>
      <c r="AA1312" s="48"/>
      <c r="AB1312" s="711"/>
      <c r="AC1312" s="711"/>
      <c r="AD1312" s="711"/>
      <c r="AE1312" s="711"/>
      <c r="AF1312" s="711"/>
      <c r="AG1312" s="711"/>
      <c r="AH1312" s="711"/>
    </row>
    <row r="1313">
      <c r="A1313" s="48"/>
      <c r="B1313" s="48"/>
      <c r="C1313" s="48"/>
      <c r="D1313" s="721"/>
      <c r="E1313" s="711"/>
      <c r="F1313" s="711"/>
      <c r="G1313" s="721"/>
      <c r="H1313" s="721"/>
      <c r="I1313" s="721"/>
      <c r="J1313" s="48"/>
      <c r="K1313" s="721"/>
      <c r="L1313" s="721"/>
      <c r="M1313" s="721"/>
      <c r="N1313" s="719"/>
      <c r="O1313" s="48"/>
      <c r="P1313" s="719"/>
      <c r="Q1313" s="48"/>
      <c r="R1313" s="48"/>
      <c r="S1313" s="711" t="str">
        <f>IFERROR(__xludf.DUMMYFUNCTION("""COMPUTED_VALUE"""),"")</f>
        <v/>
      </c>
      <c r="T1313" s="721"/>
      <c r="U1313" s="721"/>
      <c r="V1313" s="711"/>
      <c r="W1313" s="721"/>
      <c r="X1313" s="721"/>
      <c r="Y1313" s="48"/>
      <c r="Z1313" s="48"/>
      <c r="AA1313" s="48"/>
      <c r="AB1313" s="711"/>
      <c r="AC1313" s="711"/>
      <c r="AD1313" s="711"/>
      <c r="AE1313" s="711"/>
      <c r="AF1313" s="711"/>
      <c r="AG1313" s="711"/>
      <c r="AH1313" s="711"/>
    </row>
    <row r="1314">
      <c r="A1314" s="48"/>
      <c r="B1314" s="48"/>
      <c r="C1314" s="48"/>
      <c r="D1314" s="721"/>
      <c r="E1314" s="711"/>
      <c r="F1314" s="711"/>
      <c r="G1314" s="721"/>
      <c r="H1314" s="721"/>
      <c r="I1314" s="721"/>
      <c r="J1314" s="48"/>
      <c r="K1314" s="721"/>
      <c r="L1314" s="721"/>
      <c r="M1314" s="721"/>
      <c r="N1314" s="719"/>
      <c r="O1314" s="48"/>
      <c r="P1314" s="719"/>
      <c r="Q1314" s="48"/>
      <c r="R1314" s="48"/>
      <c r="S1314" s="711" t="str">
        <f>IFERROR(__xludf.DUMMYFUNCTION("""COMPUTED_VALUE"""),"")</f>
        <v/>
      </c>
      <c r="T1314" s="721"/>
      <c r="U1314" s="721"/>
      <c r="V1314" s="711"/>
      <c r="W1314" s="721"/>
      <c r="X1314" s="721"/>
      <c r="Y1314" s="48"/>
      <c r="Z1314" s="48"/>
      <c r="AA1314" s="48"/>
      <c r="AB1314" s="711"/>
      <c r="AC1314" s="711"/>
      <c r="AD1314" s="711"/>
      <c r="AE1314" s="711"/>
      <c r="AF1314" s="711"/>
      <c r="AG1314" s="711"/>
      <c r="AH1314" s="711"/>
    </row>
    <row r="1315">
      <c r="A1315" s="48"/>
      <c r="B1315" s="48"/>
      <c r="C1315" s="48"/>
      <c r="D1315" s="721"/>
      <c r="E1315" s="711"/>
      <c r="F1315" s="711"/>
      <c r="G1315" s="721"/>
      <c r="H1315" s="721"/>
      <c r="I1315" s="721"/>
      <c r="J1315" s="48"/>
      <c r="K1315" s="721"/>
      <c r="L1315" s="721"/>
      <c r="M1315" s="721"/>
      <c r="N1315" s="719"/>
      <c r="O1315" s="48"/>
      <c r="P1315" s="719"/>
      <c r="Q1315" s="48"/>
      <c r="R1315" s="48"/>
      <c r="S1315" s="711" t="str">
        <f>IFERROR(__xludf.DUMMYFUNCTION("""COMPUTED_VALUE"""),"")</f>
        <v/>
      </c>
      <c r="T1315" s="721"/>
      <c r="U1315" s="721"/>
      <c r="V1315" s="711"/>
      <c r="W1315" s="721"/>
      <c r="X1315" s="721"/>
      <c r="Y1315" s="48"/>
      <c r="Z1315" s="48"/>
      <c r="AA1315" s="48"/>
      <c r="AB1315" s="711"/>
      <c r="AC1315" s="711"/>
      <c r="AD1315" s="711"/>
      <c r="AE1315" s="711"/>
      <c r="AF1315" s="711"/>
      <c r="AG1315" s="711"/>
      <c r="AH1315" s="711"/>
    </row>
    <row r="1316">
      <c r="A1316" s="48"/>
      <c r="B1316" s="48"/>
      <c r="C1316" s="48"/>
      <c r="D1316" s="721"/>
      <c r="E1316" s="711"/>
      <c r="F1316" s="711"/>
      <c r="G1316" s="721"/>
      <c r="H1316" s="721"/>
      <c r="I1316" s="721"/>
      <c r="J1316" s="48"/>
      <c r="K1316" s="721"/>
      <c r="L1316" s="721"/>
      <c r="M1316" s="721"/>
      <c r="N1316" s="719"/>
      <c r="O1316" s="48"/>
      <c r="P1316" s="719"/>
      <c r="Q1316" s="48"/>
      <c r="R1316" s="48"/>
      <c r="S1316" s="711" t="str">
        <f>IFERROR(__xludf.DUMMYFUNCTION("""COMPUTED_VALUE"""),"")</f>
        <v/>
      </c>
      <c r="T1316" s="721"/>
      <c r="U1316" s="721"/>
      <c r="V1316" s="711"/>
      <c r="W1316" s="721"/>
      <c r="X1316" s="721"/>
      <c r="Y1316" s="48"/>
      <c r="Z1316" s="48"/>
      <c r="AA1316" s="48"/>
      <c r="AB1316" s="711"/>
      <c r="AC1316" s="711"/>
      <c r="AD1316" s="711"/>
      <c r="AE1316" s="711"/>
      <c r="AF1316" s="711"/>
      <c r="AG1316" s="711"/>
      <c r="AH1316" s="711"/>
    </row>
    <row r="1317">
      <c r="A1317" s="48"/>
      <c r="B1317" s="48"/>
      <c r="C1317" s="48"/>
      <c r="D1317" s="721"/>
      <c r="E1317" s="711"/>
      <c r="F1317" s="711"/>
      <c r="G1317" s="721"/>
      <c r="H1317" s="721"/>
      <c r="I1317" s="721"/>
      <c r="J1317" s="48"/>
      <c r="K1317" s="721"/>
      <c r="L1317" s="721"/>
      <c r="M1317" s="721"/>
      <c r="N1317" s="719"/>
      <c r="O1317" s="48"/>
      <c r="P1317" s="719"/>
      <c r="Q1317" s="48"/>
      <c r="R1317" s="48"/>
      <c r="S1317" s="711" t="str">
        <f>IFERROR(__xludf.DUMMYFUNCTION("""COMPUTED_VALUE"""),"")</f>
        <v/>
      </c>
      <c r="T1317" s="721"/>
      <c r="U1317" s="721"/>
      <c r="V1317" s="711"/>
      <c r="W1317" s="721"/>
      <c r="X1317" s="721"/>
      <c r="Y1317" s="48"/>
      <c r="Z1317" s="48"/>
      <c r="AA1317" s="48"/>
      <c r="AB1317" s="711"/>
      <c r="AC1317" s="711"/>
      <c r="AD1317" s="711"/>
      <c r="AE1317" s="711"/>
      <c r="AF1317" s="711"/>
      <c r="AG1317" s="711"/>
      <c r="AH1317" s="711"/>
    </row>
    <row r="1318">
      <c r="A1318" s="48"/>
      <c r="B1318" s="48"/>
      <c r="C1318" s="48"/>
      <c r="D1318" s="721"/>
      <c r="E1318" s="711"/>
      <c r="F1318" s="711"/>
      <c r="G1318" s="721"/>
      <c r="H1318" s="721"/>
      <c r="I1318" s="721"/>
      <c r="J1318" s="48"/>
      <c r="K1318" s="721"/>
      <c r="L1318" s="721"/>
      <c r="M1318" s="721"/>
      <c r="N1318" s="719"/>
      <c r="O1318" s="48"/>
      <c r="P1318" s="719"/>
      <c r="Q1318" s="48"/>
      <c r="R1318" s="48"/>
      <c r="S1318" s="711" t="str">
        <f>IFERROR(__xludf.DUMMYFUNCTION("""COMPUTED_VALUE"""),"")</f>
        <v/>
      </c>
      <c r="T1318" s="721"/>
      <c r="U1318" s="721"/>
      <c r="V1318" s="711"/>
      <c r="W1318" s="721"/>
      <c r="X1318" s="721"/>
      <c r="Y1318" s="48"/>
      <c r="Z1318" s="48"/>
      <c r="AA1318" s="48"/>
      <c r="AB1318" s="711"/>
      <c r="AC1318" s="711"/>
      <c r="AD1318" s="711"/>
      <c r="AE1318" s="711"/>
      <c r="AF1318" s="711"/>
      <c r="AG1318" s="711"/>
      <c r="AH1318" s="711"/>
    </row>
    <row r="1319">
      <c r="A1319" s="48"/>
      <c r="B1319" s="48"/>
      <c r="C1319" s="48"/>
      <c r="D1319" s="721"/>
      <c r="E1319" s="711"/>
      <c r="F1319" s="711"/>
      <c r="G1319" s="721"/>
      <c r="H1319" s="721"/>
      <c r="I1319" s="721"/>
      <c r="J1319" s="48"/>
      <c r="K1319" s="721"/>
      <c r="L1319" s="721"/>
      <c r="M1319" s="721"/>
      <c r="N1319" s="719"/>
      <c r="O1319" s="48"/>
      <c r="P1319" s="719"/>
      <c r="Q1319" s="48"/>
      <c r="R1319" s="48"/>
      <c r="S1319" s="711" t="str">
        <f>IFERROR(__xludf.DUMMYFUNCTION("""COMPUTED_VALUE"""),"")</f>
        <v/>
      </c>
      <c r="T1319" s="721"/>
      <c r="U1319" s="721"/>
      <c r="V1319" s="711"/>
      <c r="W1319" s="721"/>
      <c r="X1319" s="721"/>
      <c r="Y1319" s="48"/>
      <c r="Z1319" s="48"/>
      <c r="AA1319" s="48"/>
      <c r="AB1319" s="711"/>
      <c r="AC1319" s="711"/>
      <c r="AD1319" s="711"/>
      <c r="AE1319" s="711"/>
      <c r="AF1319" s="711"/>
      <c r="AG1319" s="711"/>
      <c r="AH1319" s="711"/>
    </row>
    <row r="1320">
      <c r="A1320" s="48"/>
      <c r="B1320" s="48"/>
      <c r="C1320" s="48"/>
      <c r="D1320" s="721"/>
      <c r="E1320" s="711"/>
      <c r="F1320" s="711"/>
      <c r="G1320" s="721"/>
      <c r="H1320" s="721"/>
      <c r="I1320" s="721"/>
      <c r="J1320" s="48"/>
      <c r="K1320" s="721"/>
      <c r="L1320" s="721"/>
      <c r="M1320" s="721"/>
      <c r="N1320" s="719"/>
      <c r="O1320" s="48"/>
      <c r="P1320" s="719"/>
      <c r="Q1320" s="48"/>
      <c r="R1320" s="48"/>
      <c r="S1320" s="711" t="str">
        <f>IFERROR(__xludf.DUMMYFUNCTION("""COMPUTED_VALUE"""),"")</f>
        <v/>
      </c>
      <c r="T1320" s="721"/>
      <c r="U1320" s="721"/>
      <c r="V1320" s="711"/>
      <c r="W1320" s="721"/>
      <c r="X1320" s="721"/>
      <c r="Y1320" s="48"/>
      <c r="Z1320" s="48"/>
      <c r="AA1320" s="48"/>
      <c r="AB1320" s="711"/>
      <c r="AC1320" s="711"/>
      <c r="AD1320" s="711"/>
      <c r="AE1320" s="711"/>
      <c r="AF1320" s="711"/>
      <c r="AG1320" s="711"/>
      <c r="AH1320" s="711"/>
    </row>
    <row r="1321">
      <c r="A1321" s="48"/>
      <c r="B1321" s="48"/>
      <c r="C1321" s="48"/>
      <c r="D1321" s="721"/>
      <c r="E1321" s="711"/>
      <c r="F1321" s="711"/>
      <c r="G1321" s="721"/>
      <c r="H1321" s="721"/>
      <c r="I1321" s="721"/>
      <c r="J1321" s="48"/>
      <c r="K1321" s="721"/>
      <c r="L1321" s="721"/>
      <c r="M1321" s="721"/>
      <c r="N1321" s="719"/>
      <c r="O1321" s="48"/>
      <c r="P1321" s="719"/>
      <c r="Q1321" s="48"/>
      <c r="R1321" s="48"/>
      <c r="S1321" s="711" t="str">
        <f>IFERROR(__xludf.DUMMYFUNCTION("""COMPUTED_VALUE"""),"")</f>
        <v/>
      </c>
      <c r="T1321" s="721"/>
      <c r="U1321" s="721"/>
      <c r="V1321" s="711"/>
      <c r="W1321" s="721"/>
      <c r="X1321" s="721"/>
      <c r="Y1321" s="48"/>
      <c r="Z1321" s="48"/>
      <c r="AA1321" s="48"/>
      <c r="AB1321" s="711"/>
      <c r="AC1321" s="711"/>
      <c r="AD1321" s="711"/>
      <c r="AE1321" s="711"/>
      <c r="AF1321" s="711"/>
      <c r="AG1321" s="711"/>
      <c r="AH1321" s="711"/>
    </row>
    <row r="1322">
      <c r="A1322" s="48"/>
      <c r="B1322" s="48"/>
      <c r="C1322" s="48"/>
      <c r="D1322" s="721"/>
      <c r="E1322" s="711"/>
      <c r="F1322" s="711"/>
      <c r="G1322" s="721"/>
      <c r="H1322" s="721"/>
      <c r="I1322" s="721"/>
      <c r="J1322" s="48"/>
      <c r="K1322" s="721"/>
      <c r="L1322" s="721"/>
      <c r="M1322" s="721"/>
      <c r="N1322" s="719"/>
      <c r="O1322" s="48"/>
      <c r="P1322" s="719"/>
      <c r="Q1322" s="48"/>
      <c r="R1322" s="48"/>
      <c r="S1322" s="711" t="str">
        <f>IFERROR(__xludf.DUMMYFUNCTION("""COMPUTED_VALUE"""),"")</f>
        <v/>
      </c>
      <c r="T1322" s="721"/>
      <c r="U1322" s="721"/>
      <c r="V1322" s="711"/>
      <c r="W1322" s="721"/>
      <c r="X1322" s="721"/>
      <c r="Y1322" s="48"/>
      <c r="Z1322" s="48"/>
      <c r="AA1322" s="48"/>
      <c r="AB1322" s="711"/>
      <c r="AC1322" s="711"/>
      <c r="AD1322" s="711"/>
      <c r="AE1322" s="711"/>
      <c r="AF1322" s="711"/>
      <c r="AG1322" s="711"/>
      <c r="AH1322" s="711"/>
    </row>
    <row r="1323">
      <c r="A1323" s="48"/>
      <c r="B1323" s="48"/>
      <c r="C1323" s="48"/>
      <c r="D1323" s="721"/>
      <c r="E1323" s="711"/>
      <c r="F1323" s="711"/>
      <c r="G1323" s="721"/>
      <c r="H1323" s="721"/>
      <c r="I1323" s="721"/>
      <c r="J1323" s="48"/>
      <c r="K1323" s="721"/>
      <c r="L1323" s="721"/>
      <c r="M1323" s="721"/>
      <c r="N1323" s="719"/>
      <c r="O1323" s="48"/>
      <c r="P1323" s="719"/>
      <c r="Q1323" s="48"/>
      <c r="R1323" s="48"/>
      <c r="S1323" s="711" t="str">
        <f>IFERROR(__xludf.DUMMYFUNCTION("""COMPUTED_VALUE"""),"")</f>
        <v/>
      </c>
      <c r="T1323" s="721"/>
      <c r="U1323" s="721"/>
      <c r="V1323" s="711"/>
      <c r="W1323" s="721"/>
      <c r="X1323" s="721"/>
      <c r="Y1323" s="48"/>
      <c r="Z1323" s="48"/>
      <c r="AA1323" s="48"/>
      <c r="AB1323" s="711"/>
      <c r="AC1323" s="711"/>
      <c r="AD1323" s="711"/>
      <c r="AE1323" s="711"/>
      <c r="AF1323" s="711"/>
      <c r="AG1323" s="711"/>
      <c r="AH1323" s="711"/>
    </row>
    <row r="1324">
      <c r="A1324" s="48"/>
      <c r="B1324" s="48"/>
      <c r="C1324" s="48"/>
      <c r="D1324" s="721"/>
      <c r="E1324" s="711"/>
      <c r="F1324" s="711"/>
      <c r="G1324" s="721"/>
      <c r="H1324" s="721"/>
      <c r="I1324" s="721"/>
      <c r="J1324" s="48"/>
      <c r="K1324" s="721"/>
      <c r="L1324" s="721"/>
      <c r="M1324" s="721"/>
      <c r="N1324" s="719"/>
      <c r="O1324" s="48"/>
      <c r="P1324" s="719"/>
      <c r="Q1324" s="48"/>
      <c r="R1324" s="48"/>
      <c r="S1324" s="711" t="str">
        <f>IFERROR(__xludf.DUMMYFUNCTION("""COMPUTED_VALUE"""),"")</f>
        <v/>
      </c>
      <c r="T1324" s="721"/>
      <c r="U1324" s="721"/>
      <c r="V1324" s="711"/>
      <c r="W1324" s="721"/>
      <c r="X1324" s="721"/>
      <c r="Y1324" s="48"/>
      <c r="Z1324" s="48"/>
      <c r="AA1324" s="48"/>
      <c r="AB1324" s="711"/>
      <c r="AC1324" s="711"/>
      <c r="AD1324" s="711"/>
      <c r="AE1324" s="711"/>
      <c r="AF1324" s="711"/>
      <c r="AG1324" s="711"/>
      <c r="AH1324" s="711"/>
    </row>
    <row r="1325">
      <c r="A1325" s="48"/>
      <c r="B1325" s="48"/>
      <c r="C1325" s="48"/>
      <c r="D1325" s="721"/>
      <c r="E1325" s="711"/>
      <c r="F1325" s="711"/>
      <c r="G1325" s="721"/>
      <c r="H1325" s="721"/>
      <c r="I1325" s="721"/>
      <c r="J1325" s="48"/>
      <c r="K1325" s="721"/>
      <c r="L1325" s="721"/>
      <c r="M1325" s="721"/>
      <c r="N1325" s="719"/>
      <c r="O1325" s="48"/>
      <c r="P1325" s="719"/>
      <c r="Q1325" s="48"/>
      <c r="R1325" s="48"/>
      <c r="S1325" s="711" t="str">
        <f>IFERROR(__xludf.DUMMYFUNCTION("""COMPUTED_VALUE"""),"")</f>
        <v/>
      </c>
      <c r="T1325" s="721"/>
      <c r="U1325" s="721"/>
      <c r="V1325" s="711"/>
      <c r="W1325" s="721"/>
      <c r="X1325" s="721"/>
      <c r="Y1325" s="48"/>
      <c r="Z1325" s="48"/>
      <c r="AA1325" s="48"/>
      <c r="AB1325" s="711"/>
      <c r="AC1325" s="711"/>
      <c r="AD1325" s="711"/>
      <c r="AE1325" s="711"/>
      <c r="AF1325" s="711"/>
      <c r="AG1325" s="711"/>
      <c r="AH1325" s="711"/>
    </row>
    <row r="1326">
      <c r="A1326" s="48"/>
      <c r="B1326" s="48"/>
      <c r="C1326" s="48"/>
      <c r="D1326" s="721"/>
      <c r="E1326" s="711"/>
      <c r="F1326" s="711"/>
      <c r="G1326" s="721"/>
      <c r="H1326" s="721"/>
      <c r="I1326" s="721"/>
      <c r="J1326" s="48"/>
      <c r="K1326" s="721"/>
      <c r="L1326" s="721"/>
      <c r="M1326" s="721"/>
      <c r="N1326" s="719"/>
      <c r="O1326" s="48"/>
      <c r="P1326" s="719"/>
      <c r="Q1326" s="48"/>
      <c r="R1326" s="48"/>
      <c r="S1326" s="711" t="str">
        <f>IFERROR(__xludf.DUMMYFUNCTION("""COMPUTED_VALUE"""),"")</f>
        <v/>
      </c>
      <c r="T1326" s="721"/>
      <c r="U1326" s="721"/>
      <c r="V1326" s="711"/>
      <c r="W1326" s="721"/>
      <c r="X1326" s="721"/>
      <c r="Y1326" s="48"/>
      <c r="Z1326" s="48"/>
      <c r="AA1326" s="48"/>
      <c r="AB1326" s="711"/>
      <c r="AC1326" s="711"/>
      <c r="AD1326" s="711"/>
      <c r="AE1326" s="711"/>
      <c r="AF1326" s="711"/>
      <c r="AG1326" s="711"/>
      <c r="AH1326" s="711"/>
    </row>
    <row r="1327">
      <c r="A1327" s="48"/>
      <c r="B1327" s="48"/>
      <c r="C1327" s="48"/>
      <c r="D1327" s="721"/>
      <c r="E1327" s="711"/>
      <c r="F1327" s="711"/>
      <c r="G1327" s="721"/>
      <c r="H1327" s="721"/>
      <c r="I1327" s="721"/>
      <c r="J1327" s="48"/>
      <c r="K1327" s="721"/>
      <c r="L1327" s="721"/>
      <c r="M1327" s="721"/>
      <c r="N1327" s="719"/>
      <c r="O1327" s="48"/>
      <c r="P1327" s="719"/>
      <c r="Q1327" s="48"/>
      <c r="R1327" s="48"/>
      <c r="S1327" s="711" t="str">
        <f>IFERROR(__xludf.DUMMYFUNCTION("""COMPUTED_VALUE"""),"")</f>
        <v/>
      </c>
      <c r="T1327" s="721"/>
      <c r="U1327" s="721"/>
      <c r="V1327" s="711"/>
      <c r="W1327" s="721"/>
      <c r="X1327" s="721"/>
      <c r="Y1327" s="48"/>
      <c r="Z1327" s="48"/>
      <c r="AA1327" s="48"/>
      <c r="AB1327" s="711"/>
      <c r="AC1327" s="711"/>
      <c r="AD1327" s="711"/>
      <c r="AE1327" s="711"/>
      <c r="AF1327" s="711"/>
      <c r="AG1327" s="711"/>
      <c r="AH1327" s="711"/>
    </row>
    <row r="1328">
      <c r="A1328" s="48"/>
      <c r="B1328" s="48"/>
      <c r="C1328" s="48"/>
      <c r="D1328" s="721"/>
      <c r="E1328" s="711"/>
      <c r="F1328" s="711"/>
      <c r="G1328" s="721"/>
      <c r="H1328" s="721"/>
      <c r="I1328" s="721"/>
      <c r="J1328" s="48"/>
      <c r="K1328" s="721"/>
      <c r="L1328" s="721"/>
      <c r="M1328" s="721"/>
      <c r="N1328" s="719"/>
      <c r="O1328" s="48"/>
      <c r="P1328" s="719"/>
      <c r="Q1328" s="48"/>
      <c r="R1328" s="48"/>
      <c r="S1328" s="711" t="str">
        <f>IFERROR(__xludf.DUMMYFUNCTION("""COMPUTED_VALUE"""),"")</f>
        <v/>
      </c>
      <c r="T1328" s="721"/>
      <c r="U1328" s="721"/>
      <c r="V1328" s="711"/>
      <c r="W1328" s="721"/>
      <c r="X1328" s="721"/>
      <c r="Y1328" s="48"/>
      <c r="Z1328" s="48"/>
      <c r="AA1328" s="48"/>
      <c r="AB1328" s="711"/>
      <c r="AC1328" s="711"/>
      <c r="AD1328" s="711"/>
      <c r="AE1328" s="711"/>
      <c r="AF1328" s="711"/>
      <c r="AG1328" s="711"/>
      <c r="AH1328" s="711"/>
    </row>
    <row r="1329">
      <c r="A1329" s="48"/>
      <c r="B1329" s="48"/>
      <c r="C1329" s="48"/>
      <c r="D1329" s="721"/>
      <c r="E1329" s="711"/>
      <c r="F1329" s="711"/>
      <c r="G1329" s="721"/>
      <c r="H1329" s="721"/>
      <c r="I1329" s="721"/>
      <c r="J1329" s="48"/>
      <c r="K1329" s="721"/>
      <c r="L1329" s="721"/>
      <c r="M1329" s="721"/>
      <c r="N1329" s="719"/>
      <c r="O1329" s="48"/>
      <c r="P1329" s="719"/>
      <c r="Q1329" s="48"/>
      <c r="R1329" s="48"/>
      <c r="S1329" s="711" t="str">
        <f>IFERROR(__xludf.DUMMYFUNCTION("""COMPUTED_VALUE"""),"")</f>
        <v/>
      </c>
      <c r="T1329" s="721"/>
      <c r="U1329" s="721"/>
      <c r="V1329" s="711"/>
      <c r="W1329" s="721"/>
      <c r="X1329" s="721"/>
      <c r="Y1329" s="48"/>
      <c r="Z1329" s="48"/>
      <c r="AA1329" s="48"/>
      <c r="AB1329" s="711"/>
      <c r="AC1329" s="711"/>
      <c r="AD1329" s="711"/>
      <c r="AE1329" s="711"/>
      <c r="AF1329" s="711"/>
      <c r="AG1329" s="711"/>
      <c r="AH1329" s="711"/>
    </row>
    <row r="1330">
      <c r="A1330" s="48"/>
      <c r="B1330" s="48"/>
      <c r="C1330" s="48"/>
      <c r="D1330" s="721"/>
      <c r="E1330" s="711"/>
      <c r="F1330" s="711"/>
      <c r="G1330" s="721"/>
      <c r="H1330" s="721"/>
      <c r="I1330" s="721"/>
      <c r="J1330" s="48"/>
      <c r="K1330" s="721"/>
      <c r="L1330" s="721"/>
      <c r="M1330" s="721"/>
      <c r="N1330" s="719"/>
      <c r="O1330" s="48"/>
      <c r="P1330" s="719"/>
      <c r="Q1330" s="48"/>
      <c r="R1330" s="48"/>
      <c r="S1330" s="711" t="str">
        <f>IFERROR(__xludf.DUMMYFUNCTION("""COMPUTED_VALUE"""),"")</f>
        <v/>
      </c>
      <c r="T1330" s="721"/>
      <c r="U1330" s="721"/>
      <c r="V1330" s="711"/>
      <c r="W1330" s="721"/>
      <c r="X1330" s="721"/>
      <c r="Y1330" s="48"/>
      <c r="Z1330" s="48"/>
      <c r="AA1330" s="48"/>
      <c r="AB1330" s="711"/>
      <c r="AC1330" s="711"/>
      <c r="AD1330" s="711"/>
      <c r="AE1330" s="711"/>
      <c r="AF1330" s="711"/>
      <c r="AG1330" s="711"/>
      <c r="AH1330" s="711"/>
    </row>
    <row r="1331">
      <c r="A1331" s="48"/>
      <c r="B1331" s="48"/>
      <c r="C1331" s="48"/>
      <c r="D1331" s="721"/>
      <c r="E1331" s="711"/>
      <c r="F1331" s="711"/>
      <c r="G1331" s="721"/>
      <c r="H1331" s="721"/>
      <c r="I1331" s="721"/>
      <c r="J1331" s="48"/>
      <c r="K1331" s="721"/>
      <c r="L1331" s="721"/>
      <c r="M1331" s="721"/>
      <c r="N1331" s="719"/>
      <c r="O1331" s="48"/>
      <c r="P1331" s="719"/>
      <c r="Q1331" s="48"/>
      <c r="R1331" s="48"/>
      <c r="S1331" s="711" t="str">
        <f>IFERROR(__xludf.DUMMYFUNCTION("""COMPUTED_VALUE"""),"")</f>
        <v/>
      </c>
      <c r="T1331" s="721"/>
      <c r="U1331" s="721"/>
      <c r="V1331" s="711"/>
      <c r="W1331" s="721"/>
      <c r="X1331" s="721"/>
      <c r="Y1331" s="48"/>
      <c r="Z1331" s="48"/>
      <c r="AA1331" s="48"/>
      <c r="AB1331" s="711"/>
      <c r="AC1331" s="711"/>
      <c r="AD1331" s="711"/>
      <c r="AE1331" s="711"/>
      <c r="AF1331" s="711"/>
      <c r="AG1331" s="711"/>
      <c r="AH1331" s="711"/>
    </row>
    <row r="1332">
      <c r="A1332" s="48"/>
      <c r="B1332" s="48"/>
      <c r="C1332" s="48"/>
      <c r="D1332" s="721"/>
      <c r="E1332" s="711"/>
      <c r="F1332" s="711"/>
      <c r="G1332" s="721"/>
      <c r="H1332" s="721"/>
      <c r="I1332" s="721"/>
      <c r="J1332" s="48"/>
      <c r="K1332" s="721"/>
      <c r="L1332" s="721"/>
      <c r="M1332" s="721"/>
      <c r="N1332" s="719"/>
      <c r="O1332" s="48"/>
      <c r="P1332" s="719"/>
      <c r="Q1332" s="48"/>
      <c r="R1332" s="48"/>
      <c r="S1332" s="711" t="str">
        <f>IFERROR(__xludf.DUMMYFUNCTION("""COMPUTED_VALUE"""),"")</f>
        <v/>
      </c>
      <c r="T1332" s="721"/>
      <c r="U1332" s="721"/>
      <c r="V1332" s="711"/>
      <c r="W1332" s="721"/>
      <c r="X1332" s="721"/>
      <c r="Y1332" s="48"/>
      <c r="Z1332" s="48"/>
      <c r="AA1332" s="48"/>
      <c r="AB1332" s="711"/>
      <c r="AC1332" s="711"/>
      <c r="AD1332" s="711"/>
      <c r="AE1332" s="711"/>
      <c r="AF1332" s="711"/>
      <c r="AG1332" s="711"/>
      <c r="AH1332" s="711"/>
    </row>
    <row r="1333">
      <c r="A1333" s="48"/>
      <c r="B1333" s="48"/>
      <c r="C1333" s="48"/>
      <c r="D1333" s="721"/>
      <c r="E1333" s="711"/>
      <c r="F1333" s="711"/>
      <c r="G1333" s="721"/>
      <c r="H1333" s="721"/>
      <c r="I1333" s="721"/>
      <c r="J1333" s="48"/>
      <c r="K1333" s="721"/>
      <c r="L1333" s="721"/>
      <c r="M1333" s="721"/>
      <c r="N1333" s="719"/>
      <c r="O1333" s="48"/>
      <c r="P1333" s="719"/>
      <c r="Q1333" s="48"/>
      <c r="R1333" s="48"/>
      <c r="S1333" s="711" t="str">
        <f>IFERROR(__xludf.DUMMYFUNCTION("""COMPUTED_VALUE"""),"")</f>
        <v/>
      </c>
      <c r="T1333" s="721"/>
      <c r="U1333" s="721"/>
      <c r="V1333" s="711"/>
      <c r="W1333" s="721"/>
      <c r="X1333" s="721"/>
      <c r="Y1333" s="48"/>
      <c r="Z1333" s="48"/>
      <c r="AA1333" s="48"/>
      <c r="AB1333" s="711"/>
      <c r="AC1333" s="711"/>
      <c r="AD1333" s="711"/>
      <c r="AE1333" s="711"/>
      <c r="AF1333" s="711"/>
      <c r="AG1333" s="711"/>
      <c r="AH1333" s="711"/>
    </row>
    <row r="1334">
      <c r="A1334" s="48"/>
      <c r="B1334" s="48"/>
      <c r="C1334" s="48"/>
      <c r="D1334" s="721"/>
      <c r="E1334" s="711"/>
      <c r="F1334" s="711"/>
      <c r="G1334" s="721"/>
      <c r="H1334" s="721"/>
      <c r="I1334" s="721"/>
      <c r="J1334" s="48"/>
      <c r="K1334" s="721"/>
      <c r="L1334" s="721"/>
      <c r="M1334" s="721"/>
      <c r="N1334" s="719"/>
      <c r="O1334" s="48"/>
      <c r="P1334" s="719"/>
      <c r="Q1334" s="48"/>
      <c r="R1334" s="48"/>
      <c r="S1334" s="711" t="str">
        <f>IFERROR(__xludf.DUMMYFUNCTION("""COMPUTED_VALUE"""),"")</f>
        <v/>
      </c>
      <c r="T1334" s="721"/>
      <c r="U1334" s="721"/>
      <c r="V1334" s="711"/>
      <c r="W1334" s="721"/>
      <c r="X1334" s="721"/>
      <c r="Y1334" s="48"/>
      <c r="Z1334" s="48"/>
      <c r="AA1334" s="48"/>
      <c r="AB1334" s="711"/>
      <c r="AC1334" s="711"/>
      <c r="AD1334" s="711"/>
      <c r="AE1334" s="711"/>
      <c r="AF1334" s="711"/>
      <c r="AG1334" s="711"/>
      <c r="AH1334" s="711"/>
    </row>
    <row r="1335">
      <c r="A1335" s="48"/>
      <c r="B1335" s="48"/>
      <c r="C1335" s="48"/>
      <c r="D1335" s="721"/>
      <c r="E1335" s="711"/>
      <c r="F1335" s="711"/>
      <c r="G1335" s="721"/>
      <c r="H1335" s="721"/>
      <c r="I1335" s="721"/>
      <c r="J1335" s="48"/>
      <c r="K1335" s="721"/>
      <c r="L1335" s="721"/>
      <c r="M1335" s="721"/>
      <c r="N1335" s="719"/>
      <c r="O1335" s="48"/>
      <c r="P1335" s="719"/>
      <c r="Q1335" s="48"/>
      <c r="R1335" s="48"/>
      <c r="S1335" s="711" t="str">
        <f>IFERROR(__xludf.DUMMYFUNCTION("""COMPUTED_VALUE"""),"")</f>
        <v/>
      </c>
      <c r="T1335" s="721"/>
      <c r="U1335" s="721"/>
      <c r="V1335" s="711"/>
      <c r="W1335" s="721"/>
      <c r="X1335" s="721"/>
      <c r="Y1335" s="48"/>
      <c r="Z1335" s="48"/>
      <c r="AA1335" s="48"/>
      <c r="AB1335" s="711"/>
      <c r="AC1335" s="711"/>
      <c r="AD1335" s="711"/>
      <c r="AE1335" s="711"/>
      <c r="AF1335" s="711"/>
      <c r="AG1335" s="711"/>
      <c r="AH1335" s="711"/>
    </row>
    <row r="1336">
      <c r="A1336" s="48"/>
      <c r="B1336" s="48"/>
      <c r="C1336" s="48"/>
      <c r="D1336" s="721"/>
      <c r="E1336" s="711"/>
      <c r="F1336" s="711"/>
      <c r="G1336" s="721"/>
      <c r="H1336" s="721"/>
      <c r="I1336" s="721"/>
      <c r="J1336" s="48"/>
      <c r="K1336" s="721"/>
      <c r="L1336" s="721"/>
      <c r="M1336" s="721"/>
      <c r="N1336" s="719"/>
      <c r="O1336" s="48"/>
      <c r="P1336" s="719"/>
      <c r="Q1336" s="48"/>
      <c r="R1336" s="48"/>
      <c r="S1336" s="711" t="str">
        <f>IFERROR(__xludf.DUMMYFUNCTION("""COMPUTED_VALUE"""),"")</f>
        <v/>
      </c>
      <c r="T1336" s="721"/>
      <c r="U1336" s="721"/>
      <c r="V1336" s="711"/>
      <c r="W1336" s="721"/>
      <c r="X1336" s="721"/>
      <c r="Y1336" s="48"/>
      <c r="Z1336" s="48"/>
      <c r="AA1336" s="48"/>
      <c r="AB1336" s="711"/>
      <c r="AC1336" s="711"/>
      <c r="AD1336" s="711"/>
      <c r="AE1336" s="711"/>
      <c r="AF1336" s="711"/>
      <c r="AG1336" s="711"/>
      <c r="AH1336" s="711"/>
    </row>
    <row r="1337">
      <c r="A1337" s="48"/>
      <c r="B1337" s="48"/>
      <c r="C1337" s="48"/>
      <c r="D1337" s="721"/>
      <c r="E1337" s="711"/>
      <c r="F1337" s="711"/>
      <c r="G1337" s="721"/>
      <c r="H1337" s="721"/>
      <c r="I1337" s="721"/>
      <c r="J1337" s="48"/>
      <c r="K1337" s="721"/>
      <c r="L1337" s="721"/>
      <c r="M1337" s="721"/>
      <c r="N1337" s="719"/>
      <c r="O1337" s="48"/>
      <c r="P1337" s="719"/>
      <c r="Q1337" s="48"/>
      <c r="R1337" s="48"/>
      <c r="S1337" s="711" t="str">
        <f>IFERROR(__xludf.DUMMYFUNCTION("""COMPUTED_VALUE"""),"")</f>
        <v/>
      </c>
      <c r="T1337" s="721"/>
      <c r="U1337" s="721"/>
      <c r="V1337" s="711"/>
      <c r="W1337" s="721"/>
      <c r="X1337" s="721"/>
      <c r="Y1337" s="48"/>
      <c r="Z1337" s="48"/>
      <c r="AA1337" s="48"/>
      <c r="AB1337" s="711"/>
      <c r="AC1337" s="711"/>
      <c r="AD1337" s="711"/>
      <c r="AE1337" s="711"/>
      <c r="AF1337" s="711"/>
      <c r="AG1337" s="711"/>
      <c r="AH1337" s="711"/>
    </row>
    <row r="1338">
      <c r="A1338" s="48"/>
      <c r="B1338" s="48"/>
      <c r="C1338" s="48"/>
      <c r="D1338" s="721"/>
      <c r="E1338" s="711"/>
      <c r="F1338" s="711"/>
      <c r="G1338" s="721"/>
      <c r="H1338" s="721"/>
      <c r="I1338" s="721"/>
      <c r="J1338" s="48"/>
      <c r="K1338" s="721"/>
      <c r="L1338" s="721"/>
      <c r="M1338" s="721"/>
      <c r="N1338" s="719"/>
      <c r="O1338" s="48"/>
      <c r="P1338" s="719"/>
      <c r="Q1338" s="48"/>
      <c r="R1338" s="48"/>
      <c r="S1338" s="711" t="str">
        <f>IFERROR(__xludf.DUMMYFUNCTION("""COMPUTED_VALUE"""),"")</f>
        <v/>
      </c>
      <c r="T1338" s="721"/>
      <c r="U1338" s="721"/>
      <c r="V1338" s="711"/>
      <c r="W1338" s="721"/>
      <c r="X1338" s="721"/>
      <c r="Y1338" s="48"/>
      <c r="Z1338" s="48"/>
      <c r="AA1338" s="48"/>
      <c r="AB1338" s="711"/>
      <c r="AC1338" s="711"/>
      <c r="AD1338" s="711"/>
      <c r="AE1338" s="711"/>
      <c r="AF1338" s="711"/>
      <c r="AG1338" s="711"/>
      <c r="AH1338" s="711"/>
    </row>
    <row r="1339">
      <c r="A1339" s="48"/>
      <c r="B1339" s="48"/>
      <c r="C1339" s="48"/>
      <c r="D1339" s="721"/>
      <c r="E1339" s="711"/>
      <c r="F1339" s="711"/>
      <c r="G1339" s="721"/>
      <c r="H1339" s="721"/>
      <c r="I1339" s="721"/>
      <c r="J1339" s="48"/>
      <c r="K1339" s="721"/>
      <c r="L1339" s="721"/>
      <c r="M1339" s="721"/>
      <c r="N1339" s="719"/>
      <c r="O1339" s="48"/>
      <c r="P1339" s="719"/>
      <c r="Q1339" s="48"/>
      <c r="R1339" s="48"/>
      <c r="S1339" s="711" t="str">
        <f>IFERROR(__xludf.DUMMYFUNCTION("""COMPUTED_VALUE"""),"")</f>
        <v/>
      </c>
      <c r="T1339" s="721"/>
      <c r="U1339" s="721"/>
      <c r="V1339" s="711"/>
      <c r="W1339" s="721"/>
      <c r="X1339" s="721"/>
      <c r="Y1339" s="48"/>
      <c r="Z1339" s="48"/>
      <c r="AA1339" s="48"/>
      <c r="AB1339" s="711"/>
      <c r="AC1339" s="711"/>
      <c r="AD1339" s="711"/>
      <c r="AE1339" s="711"/>
      <c r="AF1339" s="711"/>
      <c r="AG1339" s="711"/>
      <c r="AH1339" s="711"/>
    </row>
    <row r="1340">
      <c r="A1340" s="48"/>
      <c r="B1340" s="48"/>
      <c r="C1340" s="48"/>
      <c r="D1340" s="721"/>
      <c r="E1340" s="711"/>
      <c r="F1340" s="711"/>
      <c r="G1340" s="721"/>
      <c r="H1340" s="721"/>
      <c r="I1340" s="721"/>
      <c r="J1340" s="48"/>
      <c r="K1340" s="721"/>
      <c r="L1340" s="721"/>
      <c r="M1340" s="721"/>
      <c r="N1340" s="719"/>
      <c r="O1340" s="48"/>
      <c r="P1340" s="719"/>
      <c r="Q1340" s="48"/>
      <c r="R1340" s="48"/>
      <c r="S1340" s="711" t="str">
        <f>IFERROR(__xludf.DUMMYFUNCTION("""COMPUTED_VALUE"""),"")</f>
        <v/>
      </c>
      <c r="T1340" s="721"/>
      <c r="U1340" s="721"/>
      <c r="V1340" s="711"/>
      <c r="W1340" s="721"/>
      <c r="X1340" s="721"/>
      <c r="Y1340" s="48"/>
      <c r="Z1340" s="48"/>
      <c r="AA1340" s="48"/>
      <c r="AB1340" s="711"/>
      <c r="AC1340" s="711"/>
      <c r="AD1340" s="711"/>
      <c r="AE1340" s="711"/>
      <c r="AF1340" s="711"/>
      <c r="AG1340" s="711"/>
      <c r="AH1340" s="711"/>
    </row>
    <row r="1341">
      <c r="A1341" s="48"/>
      <c r="B1341" s="48"/>
      <c r="C1341" s="48"/>
      <c r="D1341" s="721"/>
      <c r="E1341" s="711"/>
      <c r="F1341" s="711"/>
      <c r="G1341" s="721"/>
      <c r="H1341" s="721"/>
      <c r="I1341" s="721"/>
      <c r="J1341" s="48"/>
      <c r="K1341" s="721"/>
      <c r="L1341" s="721"/>
      <c r="M1341" s="721"/>
      <c r="N1341" s="719"/>
      <c r="O1341" s="48"/>
      <c r="P1341" s="719"/>
      <c r="Q1341" s="48"/>
      <c r="R1341" s="48"/>
      <c r="S1341" s="711" t="str">
        <f>IFERROR(__xludf.DUMMYFUNCTION("""COMPUTED_VALUE"""),"")</f>
        <v/>
      </c>
      <c r="T1341" s="721"/>
      <c r="U1341" s="721"/>
      <c r="V1341" s="711"/>
      <c r="W1341" s="721"/>
      <c r="X1341" s="721"/>
      <c r="Y1341" s="48"/>
      <c r="Z1341" s="48"/>
      <c r="AA1341" s="48"/>
      <c r="AB1341" s="711"/>
      <c r="AC1341" s="711"/>
      <c r="AD1341" s="711"/>
      <c r="AE1341" s="711"/>
      <c r="AF1341" s="711"/>
      <c r="AG1341" s="711"/>
      <c r="AH1341" s="711"/>
    </row>
    <row r="1342">
      <c r="A1342" s="48"/>
      <c r="B1342" s="48"/>
      <c r="C1342" s="48"/>
      <c r="D1342" s="721"/>
      <c r="E1342" s="711"/>
      <c r="F1342" s="711"/>
      <c r="G1342" s="721"/>
      <c r="H1342" s="721"/>
      <c r="I1342" s="721"/>
      <c r="J1342" s="48"/>
      <c r="K1342" s="721"/>
      <c r="L1342" s="721"/>
      <c r="M1342" s="721"/>
      <c r="N1342" s="719"/>
      <c r="O1342" s="48"/>
      <c r="P1342" s="719"/>
      <c r="Q1342" s="48"/>
      <c r="R1342" s="48"/>
      <c r="S1342" s="711" t="str">
        <f>IFERROR(__xludf.DUMMYFUNCTION("""COMPUTED_VALUE"""),"")</f>
        <v/>
      </c>
      <c r="T1342" s="721"/>
      <c r="U1342" s="721"/>
      <c r="V1342" s="711"/>
      <c r="W1342" s="721"/>
      <c r="X1342" s="721"/>
      <c r="Y1342" s="48"/>
      <c r="Z1342" s="48"/>
      <c r="AA1342" s="48"/>
      <c r="AB1342" s="711"/>
      <c r="AC1342" s="711"/>
      <c r="AD1342" s="711"/>
      <c r="AE1342" s="711"/>
      <c r="AF1342" s="711"/>
      <c r="AG1342" s="711"/>
      <c r="AH1342" s="711"/>
    </row>
    <row r="1343">
      <c r="A1343" s="48"/>
      <c r="B1343" s="48"/>
      <c r="C1343" s="48"/>
      <c r="D1343" s="721"/>
      <c r="E1343" s="711"/>
      <c r="F1343" s="711"/>
      <c r="G1343" s="721"/>
      <c r="H1343" s="721"/>
      <c r="I1343" s="721"/>
      <c r="J1343" s="48"/>
      <c r="K1343" s="721"/>
      <c r="L1343" s="721"/>
      <c r="M1343" s="721"/>
      <c r="N1343" s="719"/>
      <c r="O1343" s="48"/>
      <c r="P1343" s="719"/>
      <c r="Q1343" s="48"/>
      <c r="R1343" s="48"/>
      <c r="S1343" s="711" t="str">
        <f>IFERROR(__xludf.DUMMYFUNCTION("""COMPUTED_VALUE"""),"")</f>
        <v/>
      </c>
      <c r="T1343" s="721"/>
      <c r="U1343" s="721"/>
      <c r="V1343" s="711"/>
      <c r="W1343" s="721"/>
      <c r="X1343" s="721"/>
      <c r="Y1343" s="48"/>
      <c r="Z1343" s="48"/>
      <c r="AA1343" s="48"/>
      <c r="AB1343" s="711"/>
      <c r="AC1343" s="711"/>
      <c r="AD1343" s="711"/>
      <c r="AE1343" s="711"/>
      <c r="AF1343" s="711"/>
      <c r="AG1343" s="711"/>
      <c r="AH1343" s="711"/>
    </row>
    <row r="1344">
      <c r="A1344" s="48"/>
      <c r="B1344" s="48"/>
      <c r="C1344" s="48"/>
      <c r="D1344" s="721"/>
      <c r="E1344" s="711"/>
      <c r="F1344" s="711"/>
      <c r="G1344" s="721"/>
      <c r="H1344" s="721"/>
      <c r="I1344" s="721"/>
      <c r="J1344" s="48"/>
      <c r="K1344" s="721"/>
      <c r="L1344" s="721"/>
      <c r="M1344" s="721"/>
      <c r="N1344" s="719"/>
      <c r="O1344" s="48"/>
      <c r="P1344" s="719"/>
      <c r="Q1344" s="48"/>
      <c r="R1344" s="48"/>
      <c r="S1344" s="711" t="str">
        <f>IFERROR(__xludf.DUMMYFUNCTION("""COMPUTED_VALUE"""),"")</f>
        <v/>
      </c>
      <c r="T1344" s="721"/>
      <c r="U1344" s="721"/>
      <c r="V1344" s="711"/>
      <c r="W1344" s="721"/>
      <c r="X1344" s="721"/>
      <c r="Y1344" s="48"/>
      <c r="Z1344" s="48"/>
      <c r="AA1344" s="48"/>
      <c r="AB1344" s="711"/>
      <c r="AC1344" s="711"/>
      <c r="AD1344" s="711"/>
      <c r="AE1344" s="711"/>
      <c r="AF1344" s="711"/>
      <c r="AG1344" s="711"/>
      <c r="AH1344" s="711"/>
    </row>
    <row r="1345">
      <c r="A1345" s="48"/>
      <c r="B1345" s="48"/>
      <c r="C1345" s="48"/>
      <c r="D1345" s="721"/>
      <c r="E1345" s="711"/>
      <c r="F1345" s="711"/>
      <c r="G1345" s="721"/>
      <c r="H1345" s="721"/>
      <c r="I1345" s="721"/>
      <c r="J1345" s="48"/>
      <c r="K1345" s="721"/>
      <c r="L1345" s="721"/>
      <c r="M1345" s="721"/>
      <c r="N1345" s="719"/>
      <c r="O1345" s="48"/>
      <c r="P1345" s="719"/>
      <c r="Q1345" s="48"/>
      <c r="R1345" s="48"/>
      <c r="S1345" s="711" t="str">
        <f>IFERROR(__xludf.DUMMYFUNCTION("""COMPUTED_VALUE"""),"")</f>
        <v/>
      </c>
      <c r="T1345" s="721"/>
      <c r="U1345" s="721"/>
      <c r="V1345" s="711"/>
      <c r="W1345" s="721"/>
      <c r="X1345" s="721"/>
      <c r="Y1345" s="48"/>
      <c r="Z1345" s="48"/>
      <c r="AA1345" s="48"/>
      <c r="AB1345" s="711"/>
      <c r="AC1345" s="711"/>
      <c r="AD1345" s="711"/>
      <c r="AE1345" s="711"/>
      <c r="AF1345" s="711"/>
      <c r="AG1345" s="711"/>
      <c r="AH1345" s="711"/>
    </row>
    <row r="1346">
      <c r="A1346" s="48"/>
      <c r="B1346" s="48"/>
      <c r="C1346" s="48"/>
      <c r="D1346" s="721"/>
      <c r="E1346" s="711"/>
      <c r="F1346" s="711"/>
      <c r="G1346" s="721"/>
      <c r="H1346" s="721"/>
      <c r="I1346" s="721"/>
      <c r="J1346" s="48"/>
      <c r="K1346" s="721"/>
      <c r="L1346" s="721"/>
      <c r="M1346" s="721"/>
      <c r="N1346" s="719"/>
      <c r="O1346" s="48"/>
      <c r="P1346" s="719"/>
      <c r="Q1346" s="48"/>
      <c r="R1346" s="48"/>
      <c r="S1346" s="711" t="str">
        <f>IFERROR(__xludf.DUMMYFUNCTION("""COMPUTED_VALUE"""),"")</f>
        <v/>
      </c>
      <c r="T1346" s="722" t="str">
        <f>IFERROR(__xludf.DUMMYFUNCTION("""COMPUTED_VALUE"""),"NO-2526RISTUCCIAMAR21.C-Lindy Hop")</f>
        <v>NO-2526RISTUCCIAMAR21.C-Lindy Hop</v>
      </c>
      <c r="U1346" s="721"/>
      <c r="V1346" s="711"/>
      <c r="W1346" s="721"/>
      <c r="X1346" s="721"/>
      <c r="Y1346" s="48"/>
      <c r="Z1346" s="48"/>
      <c r="AA1346" s="48"/>
      <c r="AB1346" s="711"/>
      <c r="AC1346" s="711"/>
      <c r="AD1346" s="711"/>
      <c r="AE1346" s="711"/>
      <c r="AF1346" s="711"/>
      <c r="AG1346" s="711"/>
      <c r="AH1346" s="711"/>
    </row>
    <row r="1347">
      <c r="A1347" s="48"/>
      <c r="B1347" s="48"/>
      <c r="C1347" s="48"/>
      <c r="D1347" s="721"/>
      <c r="E1347" s="711"/>
      <c r="F1347" s="711"/>
      <c r="G1347" s="721"/>
      <c r="H1347" s="721"/>
      <c r="I1347" s="721"/>
      <c r="J1347" s="48"/>
      <c r="K1347" s="721"/>
      <c r="L1347" s="721"/>
      <c r="M1347" s="721"/>
      <c r="N1347" s="719"/>
      <c r="O1347" s="48"/>
      <c r="P1347" s="719"/>
      <c r="Q1347" s="48"/>
      <c r="R1347" s="48"/>
      <c r="S1347" s="711" t="str">
        <f>IFERROR(__xludf.DUMMYFUNCTION("""COMPUTED_VALUE"""),"")</f>
        <v/>
      </c>
      <c r="T1347" s="722" t="str">
        <f>IFERROR(__xludf.DUMMYFUNCTION("""COMPUTED_VALUE"""),"NO-2526SANTOROSAB12.F-Yoga Sound")</f>
        <v>NO-2526SANTOROSAB12.F-Yoga Sound</v>
      </c>
      <c r="U1347" s="721"/>
      <c r="V1347" s="711"/>
      <c r="W1347" s="721"/>
      <c r="X1347" s="721"/>
      <c r="Y1347" s="48"/>
      <c r="Z1347" s="48"/>
      <c r="AA1347" s="48"/>
      <c r="AB1347" s="711"/>
      <c r="AC1347" s="711"/>
      <c r="AD1347" s="711"/>
      <c r="AE1347" s="711"/>
      <c r="AF1347" s="711"/>
      <c r="AG1347" s="711"/>
      <c r="AH1347" s="711"/>
    </row>
    <row r="1348">
      <c r="A1348" s="48"/>
      <c r="B1348" s="48"/>
      <c r="C1348" s="48"/>
      <c r="D1348" s="721"/>
      <c r="E1348" s="711"/>
      <c r="F1348" s="711"/>
      <c r="G1348" s="721"/>
      <c r="H1348" s="721"/>
      <c r="I1348" s="721"/>
      <c r="J1348" s="48"/>
      <c r="K1348" s="721"/>
      <c r="L1348" s="721"/>
      <c r="M1348" s="721"/>
      <c r="N1348" s="719"/>
      <c r="O1348" s="48"/>
      <c r="P1348" s="719"/>
      <c r="Q1348" s="48"/>
      <c r="R1348" s="48"/>
      <c r="S1348" s="711" t="str">
        <f>IFERROR(__xludf.DUMMYFUNCTION("""COMPUTED_VALUE"""),"")</f>
        <v/>
      </c>
      <c r="T1348" s="722" t="str">
        <f>IFERROR(__xludf.DUMMYFUNCTION("""COMPUTED_VALUE"""),"NO-2526ILAGOUMAR17.B-Afro")</f>
        <v>NO-2526ILAGOUMAR17.B-Afro</v>
      </c>
      <c r="U1348" s="721"/>
      <c r="V1348" s="711"/>
      <c r="W1348" s="721"/>
      <c r="X1348" s="721"/>
      <c r="Y1348" s="48"/>
      <c r="Z1348" s="48"/>
      <c r="AA1348" s="48"/>
      <c r="AB1348" s="711"/>
      <c r="AC1348" s="711"/>
      <c r="AD1348" s="711"/>
      <c r="AE1348" s="711"/>
      <c r="AF1348" s="711"/>
      <c r="AG1348" s="711"/>
      <c r="AH1348" s="711"/>
    </row>
    <row r="1349">
      <c r="A1349" s="48"/>
      <c r="B1349" s="48"/>
      <c r="C1349" s="48"/>
      <c r="D1349" s="721"/>
      <c r="E1349" s="711"/>
      <c r="F1349" s="711"/>
      <c r="G1349" s="721"/>
      <c r="H1349" s="721"/>
      <c r="I1349" s="721"/>
      <c r="J1349" s="48"/>
      <c r="K1349" s="721"/>
      <c r="L1349" s="721"/>
      <c r="M1349" s="721"/>
      <c r="N1349" s="719"/>
      <c r="O1349" s="48"/>
      <c r="P1349" s="719"/>
      <c r="Q1349" s="48"/>
      <c r="R1349" s="48"/>
      <c r="S1349" s="711" t="str">
        <f>IFERROR(__xludf.DUMMYFUNCTION("""COMPUTED_VALUE"""),"")</f>
        <v/>
      </c>
      <c r="T1349" s="722" t="str">
        <f>IFERROR(__xludf.DUMMYFUNCTION("""COMPUTED_VALUE"""),"NO-2526POZZOLIMER19.F-Functional Training")</f>
        <v>NO-2526POZZOLIMER19.F-Functional Training</v>
      </c>
      <c r="U1349" s="721"/>
      <c r="V1349" s="711"/>
      <c r="W1349" s="721"/>
      <c r="X1349" s="721"/>
      <c r="Y1349" s="48"/>
      <c r="Z1349" s="48"/>
      <c r="AA1349" s="48"/>
      <c r="AB1349" s="711"/>
      <c r="AC1349" s="711"/>
      <c r="AD1349" s="711"/>
      <c r="AE1349" s="711"/>
      <c r="AF1349" s="711"/>
      <c r="AG1349" s="711"/>
      <c r="AH1349" s="711"/>
    </row>
    <row r="1350">
      <c r="A1350" s="48"/>
      <c r="B1350" s="48"/>
      <c r="C1350" s="48"/>
      <c r="D1350" s="721"/>
      <c r="E1350" s="711"/>
      <c r="F1350" s="711"/>
      <c r="G1350" s="721"/>
      <c r="H1350" s="721"/>
      <c r="I1350" s="721"/>
      <c r="J1350" s="48"/>
      <c r="K1350" s="721"/>
      <c r="L1350" s="721"/>
      <c r="M1350" s="721"/>
      <c r="N1350" s="719"/>
      <c r="O1350" s="48"/>
      <c r="P1350" s="719"/>
      <c r="Q1350" s="48"/>
      <c r="R1350" s="48"/>
      <c r="S1350" s="711" t="str">
        <f>IFERROR(__xludf.DUMMYFUNCTION("""COMPUTED_VALUE"""),"")</f>
        <v/>
      </c>
      <c r="T1350" s="722" t="str">
        <f>IFERROR(__xludf.DUMMYFUNCTION("""COMPUTED_VALUE"""),"NO-2526GEDDOVEN20.D-Fusion")</f>
        <v>NO-2526GEDDOVEN20.D-Fusion</v>
      </c>
      <c r="U1350" s="721"/>
      <c r="V1350" s="711"/>
      <c r="W1350" s="721"/>
      <c r="X1350" s="721"/>
      <c r="Y1350" s="48"/>
      <c r="Z1350" s="48"/>
      <c r="AA1350" s="48"/>
      <c r="AB1350" s="711"/>
      <c r="AC1350" s="711"/>
      <c r="AD1350" s="711"/>
      <c r="AE1350" s="711"/>
      <c r="AF1350" s="711"/>
      <c r="AG1350" s="711"/>
      <c r="AH1350" s="711"/>
    </row>
    <row r="1351">
      <c r="A1351" s="48"/>
      <c r="B1351" s="48"/>
      <c r="C1351" s="48"/>
      <c r="D1351" s="721"/>
      <c r="E1351" s="711"/>
      <c r="F1351" s="711"/>
      <c r="G1351" s="721"/>
      <c r="H1351" s="721"/>
      <c r="I1351" s="721"/>
      <c r="J1351" s="48"/>
      <c r="K1351" s="721"/>
      <c r="L1351" s="721"/>
      <c r="M1351" s="721"/>
      <c r="N1351" s="719"/>
      <c r="O1351" s="48"/>
      <c r="P1351" s="719"/>
      <c r="Q1351" s="48"/>
      <c r="R1351" s="48"/>
      <c r="S1351" s="711" t="str">
        <f>IFERROR(__xludf.DUMMYFUNCTION("""COMPUTED_VALUE"""),"")</f>
        <v/>
      </c>
      <c r="T1351" s="722" t="str">
        <f>IFERROR(__xludf.DUMMYFUNCTION("""COMPUTED_VALUE"""),"NO-2526ALMEIDASAB13.F-Functional Training")</f>
        <v>NO-2526ALMEIDASAB13.F-Functional Training</v>
      </c>
      <c r="U1351" s="721"/>
      <c r="V1351" s="711"/>
      <c r="W1351" s="721"/>
      <c r="X1351" s="721"/>
      <c r="Y1351" s="48"/>
      <c r="Z1351" s="48"/>
      <c r="AA1351" s="48"/>
      <c r="AB1351" s="711"/>
      <c r="AC1351" s="711"/>
      <c r="AD1351" s="711"/>
      <c r="AE1351" s="711"/>
      <c r="AF1351" s="711"/>
      <c r="AG1351" s="711"/>
      <c r="AH1351" s="711"/>
    </row>
    <row r="1352">
      <c r="A1352" s="48"/>
      <c r="B1352" s="48"/>
      <c r="C1352" s="48"/>
      <c r="D1352" s="721"/>
      <c r="E1352" s="711"/>
      <c r="F1352" s="711"/>
      <c r="G1352" s="721"/>
      <c r="H1352" s="721"/>
      <c r="I1352" s="721"/>
      <c r="J1352" s="48"/>
      <c r="K1352" s="721"/>
      <c r="L1352" s="721"/>
      <c r="M1352" s="721"/>
      <c r="N1352" s="719"/>
      <c r="O1352" s="48"/>
      <c r="P1352" s="719"/>
      <c r="Q1352" s="48"/>
      <c r="R1352" s="48"/>
      <c r="S1352" s="711" t="str">
        <f>IFERROR(__xludf.DUMMYFUNCTION("""COMPUTED_VALUE"""),"")</f>
        <v/>
      </c>
      <c r="T1352" s="722" t="str">
        <f>IFERROR(__xludf.DUMMYFUNCTION("""COMPUTED_VALUE"""),"NO-2526STANISCILUN17.F-Pilates")</f>
        <v>NO-2526STANISCILUN17.F-Pilates</v>
      </c>
      <c r="U1352" s="721"/>
      <c r="V1352" s="711"/>
      <c r="W1352" s="721"/>
      <c r="X1352" s="721"/>
      <c r="Y1352" s="48"/>
      <c r="Z1352" s="48"/>
      <c r="AA1352" s="48"/>
      <c r="AB1352" s="711"/>
      <c r="AC1352" s="711"/>
      <c r="AD1352" s="711"/>
      <c r="AE1352" s="711"/>
      <c r="AF1352" s="711"/>
      <c r="AG1352" s="711"/>
      <c r="AH1352" s="711"/>
    </row>
    <row r="1353">
      <c r="A1353" s="48"/>
      <c r="B1353" s="48"/>
      <c r="C1353" s="48"/>
      <c r="D1353" s="721"/>
      <c r="E1353" s="711"/>
      <c r="F1353" s="711"/>
      <c r="G1353" s="721"/>
      <c r="H1353" s="721"/>
      <c r="I1353" s="721"/>
      <c r="J1353" s="48"/>
      <c r="K1353" s="721"/>
      <c r="L1353" s="721"/>
      <c r="M1353" s="721"/>
      <c r="N1353" s="719"/>
      <c r="O1353" s="48"/>
      <c r="P1353" s="719"/>
      <c r="Q1353" s="48"/>
      <c r="R1353" s="48"/>
      <c r="S1353" s="711" t="str">
        <f>IFERROR(__xludf.DUMMYFUNCTION("""COMPUTED_VALUE"""),"")</f>
        <v/>
      </c>
      <c r="T1353" s="722" t="str">
        <f>IFERROR(__xludf.DUMMYFUNCTION("""COMPUTED_VALUE"""),"NO-2526STANISCIMAR19.F-Pilates")</f>
        <v>NO-2526STANISCIMAR19.F-Pilates</v>
      </c>
      <c r="U1353" s="721"/>
      <c r="V1353" s="711"/>
      <c r="W1353" s="721"/>
      <c r="X1353" s="721"/>
      <c r="Y1353" s="48"/>
      <c r="Z1353" s="48"/>
      <c r="AA1353" s="48"/>
      <c r="AB1353" s="711"/>
      <c r="AC1353" s="711"/>
      <c r="AD1353" s="711"/>
      <c r="AE1353" s="711"/>
      <c r="AF1353" s="711"/>
      <c r="AG1353" s="711"/>
      <c r="AH1353" s="711"/>
    </row>
    <row r="1354">
      <c r="A1354" s="48"/>
      <c r="B1354" s="48"/>
      <c r="C1354" s="48"/>
      <c r="D1354" s="721"/>
      <c r="E1354" s="711"/>
      <c r="F1354" s="711"/>
      <c r="G1354" s="721"/>
      <c r="H1354" s="721"/>
      <c r="I1354" s="721"/>
      <c r="J1354" s="48"/>
      <c r="K1354" s="721"/>
      <c r="L1354" s="721"/>
      <c r="M1354" s="721"/>
      <c r="N1354" s="719"/>
      <c r="O1354" s="48"/>
      <c r="P1354" s="719"/>
      <c r="Q1354" s="48"/>
      <c r="R1354" s="48"/>
      <c r="S1354" s="711" t="str">
        <f>IFERROR(__xludf.DUMMYFUNCTION("""COMPUTED_VALUE"""),"")</f>
        <v/>
      </c>
      <c r="T1354" s="722" t="str">
        <f>IFERROR(__xludf.DUMMYFUNCTION("""COMPUTED_VALUE"""),"NO-Copia di 2526SARACCHIGIO21.C-Salsa Cubana e Rueda")</f>
        <v>NO-Copia di 2526SARACCHIGIO21.C-Salsa Cubana e Rueda</v>
      </c>
      <c r="U1354" s="721"/>
      <c r="V1354" s="711"/>
      <c r="W1354" s="721"/>
      <c r="X1354" s="721"/>
      <c r="Y1354" s="48"/>
      <c r="Z1354" s="48"/>
      <c r="AA1354" s="48"/>
      <c r="AB1354" s="711"/>
      <c r="AC1354" s="711"/>
      <c r="AD1354" s="711"/>
      <c r="AE1354" s="711"/>
      <c r="AF1354" s="711"/>
      <c r="AG1354" s="711"/>
      <c r="AH1354" s="711"/>
    </row>
    <row r="1355">
      <c r="A1355" s="48"/>
      <c r="B1355" s="48"/>
      <c r="C1355" s="48"/>
      <c r="D1355" s="721"/>
      <c r="E1355" s="711"/>
      <c r="F1355" s="711"/>
      <c r="G1355" s="721"/>
      <c r="H1355" s="721"/>
      <c r="I1355" s="721"/>
      <c r="J1355" s="48"/>
      <c r="K1355" s="721"/>
      <c r="L1355" s="721"/>
      <c r="M1355" s="721"/>
      <c r="N1355" s="719"/>
      <c r="O1355" s="48"/>
      <c r="P1355" s="719"/>
      <c r="Q1355" s="48"/>
      <c r="R1355" s="48"/>
      <c r="S1355" s="711" t="str">
        <f>IFERROR(__xludf.DUMMYFUNCTION("""COMPUTED_VALUE"""),"")</f>
        <v/>
      </c>
      <c r="T1355" s="722" t="str">
        <f>IFERROR(__xludf.DUMMYFUNCTION("""COMPUTED_VALUE"""),"NO-Copia di 2526SARACCHIGIO21.C-Salsa Cubana e Rueda")</f>
        <v>NO-Copia di 2526SARACCHIGIO21.C-Salsa Cubana e Rueda</v>
      </c>
      <c r="U1355" s="721"/>
      <c r="V1355" s="711"/>
      <c r="W1355" s="721"/>
      <c r="X1355" s="721"/>
      <c r="Y1355" s="48"/>
      <c r="Z1355" s="48"/>
      <c r="AA1355" s="48"/>
      <c r="AB1355" s="711"/>
      <c r="AC1355" s="711"/>
      <c r="AD1355" s="711"/>
      <c r="AE1355" s="711"/>
      <c r="AF1355" s="711"/>
      <c r="AG1355" s="711"/>
      <c r="AH1355" s="711"/>
    </row>
    <row r="1356">
      <c r="A1356" s="48"/>
      <c r="B1356" s="48"/>
      <c r="C1356" s="48"/>
      <c r="D1356" s="721"/>
      <c r="E1356" s="711"/>
      <c r="F1356" s="711"/>
      <c r="G1356" s="721"/>
      <c r="H1356" s="721"/>
      <c r="I1356" s="721"/>
      <c r="J1356" s="48"/>
      <c r="K1356" s="721"/>
      <c r="L1356" s="721"/>
      <c r="M1356" s="721"/>
      <c r="N1356" s="719"/>
      <c r="O1356" s="48"/>
      <c r="P1356" s="719"/>
      <c r="Q1356" s="48"/>
      <c r="R1356" s="48"/>
      <c r="S1356" s="711" t="str">
        <f>IFERROR(__xludf.DUMMYFUNCTION("""COMPUTED_VALUE"""),"")</f>
        <v/>
      </c>
      <c r="T1356" s="722" t="str">
        <f>IFERROR(__xludf.DUMMYFUNCTION("""COMPUTED_VALUE"""),"NO-TEST SCHEDA_di 2526CRUZMER10.F-Total Body")</f>
        <v>NO-TEST SCHEDA_di 2526CRUZMER10.F-Total Body</v>
      </c>
      <c r="U1356" s="721"/>
      <c r="V1356" s="711"/>
      <c r="W1356" s="721"/>
      <c r="X1356" s="721"/>
      <c r="Y1356" s="48"/>
      <c r="Z1356" s="48"/>
      <c r="AA1356" s="48"/>
      <c r="AB1356" s="711"/>
      <c r="AC1356" s="711"/>
      <c r="AD1356" s="711"/>
      <c r="AE1356" s="711"/>
      <c r="AF1356" s="711"/>
      <c r="AG1356" s="711"/>
      <c r="AH1356" s="711"/>
    </row>
    <row r="1357">
      <c r="A1357" s="48"/>
      <c r="B1357" s="48"/>
      <c r="C1357" s="48"/>
      <c r="D1357" s="721"/>
      <c r="E1357" s="711"/>
      <c r="F1357" s="711"/>
      <c r="G1357" s="721"/>
      <c r="H1357" s="721"/>
      <c r="I1357" s="721"/>
      <c r="J1357" s="48"/>
      <c r="K1357" s="721"/>
      <c r="L1357" s="721"/>
      <c r="M1357" s="721"/>
      <c r="N1357" s="719"/>
      <c r="O1357" s="48"/>
      <c r="P1357" s="719"/>
      <c r="Q1357" s="48"/>
      <c r="R1357" s="48"/>
      <c r="S1357" s="711" t="str">
        <f>IFERROR(__xludf.DUMMYFUNCTION("""COMPUTED_VALUE"""),"")</f>
        <v/>
      </c>
      <c r="T1357" s="722" t="str">
        <f>IFERROR(__xludf.DUMMYFUNCTION("""COMPUTED_VALUE"""),"NO-2526ILAGOULUN20.D-Afro Tradizionale")</f>
        <v>NO-2526ILAGOULUN20.D-Afro Tradizionale</v>
      </c>
      <c r="U1357" s="721"/>
      <c r="V1357" s="711"/>
      <c r="W1357" s="721"/>
      <c r="X1357" s="721"/>
      <c r="Y1357" s="48"/>
      <c r="Z1357" s="48"/>
      <c r="AA1357" s="48"/>
      <c r="AB1357" s="711"/>
      <c r="AC1357" s="711"/>
      <c r="AD1357" s="711"/>
      <c r="AE1357" s="711"/>
      <c r="AF1357" s="711"/>
      <c r="AG1357" s="711"/>
      <c r="AH1357" s="711"/>
    </row>
    <row r="1358">
      <c r="A1358" s="48"/>
      <c r="B1358" s="48"/>
      <c r="C1358" s="48"/>
      <c r="D1358" s="721"/>
      <c r="E1358" s="711"/>
      <c r="F1358" s="711"/>
      <c r="G1358" s="721"/>
      <c r="H1358" s="721"/>
      <c r="I1358" s="721"/>
      <c r="J1358" s="48"/>
      <c r="K1358" s="721"/>
      <c r="L1358" s="721"/>
      <c r="M1358" s="721"/>
      <c r="N1358" s="719"/>
      <c r="O1358" s="48"/>
      <c r="P1358" s="719"/>
      <c r="Q1358" s="48"/>
      <c r="R1358" s="48"/>
      <c r="S1358" s="711" t="str">
        <f>IFERROR(__xludf.DUMMYFUNCTION("""COMPUTED_VALUE"""),"")</f>
        <v/>
      </c>
      <c r="T1358" s="722" t="str">
        <f>IFERROR(__xludf.DUMMYFUNCTION("""COMPUTED_VALUE"""),"NO-2526BATTISTELLAMER19.C-Balboa")</f>
        <v>NO-2526BATTISTELLAMER19.C-Balboa</v>
      </c>
      <c r="U1358" s="721"/>
      <c r="V1358" s="711"/>
      <c r="W1358" s="721"/>
      <c r="X1358" s="721"/>
      <c r="Y1358" s="48"/>
      <c r="Z1358" s="48"/>
      <c r="AA1358" s="48"/>
      <c r="AB1358" s="711"/>
      <c r="AC1358" s="711"/>
      <c r="AD1358" s="711"/>
      <c r="AE1358" s="711"/>
      <c r="AF1358" s="711"/>
      <c r="AG1358" s="711"/>
      <c r="AH1358" s="711"/>
    </row>
    <row r="1359">
      <c r="A1359" s="48"/>
      <c r="B1359" s="48"/>
      <c r="C1359" s="48"/>
      <c r="D1359" s="721"/>
      <c r="E1359" s="711"/>
      <c r="F1359" s="711"/>
      <c r="G1359" s="721"/>
      <c r="H1359" s="721"/>
      <c r="I1359" s="721"/>
      <c r="J1359" s="48"/>
      <c r="K1359" s="721"/>
      <c r="L1359" s="721"/>
      <c r="M1359" s="721"/>
      <c r="N1359" s="719"/>
      <c r="O1359" s="48"/>
      <c r="P1359" s="719"/>
      <c r="Q1359" s="48"/>
      <c r="R1359" s="48"/>
      <c r="S1359" s="711" t="str">
        <f>IFERROR(__xludf.DUMMYFUNCTION("""COMPUTED_VALUE"""),"")</f>
        <v/>
      </c>
      <c r="T1359" s="722" t="str">
        <f>IFERROR(__xludf.DUMMYFUNCTION("""COMPUTED_VALUE"""),"NO-2526GRANDEMER18.D-Reggaeton")</f>
        <v>NO-2526GRANDEMER18.D-Reggaeton</v>
      </c>
      <c r="U1359" s="721"/>
      <c r="V1359" s="711"/>
      <c r="W1359" s="721"/>
      <c r="X1359" s="721"/>
      <c r="Y1359" s="48"/>
      <c r="Z1359" s="48"/>
      <c r="AA1359" s="48"/>
      <c r="AB1359" s="711"/>
      <c r="AC1359" s="711"/>
      <c r="AD1359" s="711"/>
      <c r="AE1359" s="711"/>
      <c r="AF1359" s="711"/>
      <c r="AG1359" s="711"/>
      <c r="AH1359" s="711"/>
    </row>
    <row r="1360">
      <c r="A1360" s="48"/>
      <c r="B1360" s="48"/>
      <c r="C1360" s="48"/>
      <c r="D1360" s="721"/>
      <c r="E1360" s="711"/>
      <c r="F1360" s="711"/>
      <c r="G1360" s="721"/>
      <c r="H1360" s="721"/>
      <c r="I1360" s="721"/>
      <c r="J1360" s="48"/>
      <c r="K1360" s="721"/>
      <c r="L1360" s="721"/>
      <c r="M1360" s="721"/>
      <c r="N1360" s="719"/>
      <c r="O1360" s="48"/>
      <c r="P1360" s="719"/>
      <c r="Q1360" s="48"/>
      <c r="R1360" s="48"/>
      <c r="S1360" s="711" t="str">
        <f>IFERROR(__xludf.DUMMYFUNCTION("""COMPUTED_VALUE"""),"")</f>
        <v/>
      </c>
      <c r="T1360" s="722" t="str">
        <f>IFERROR(__xludf.DUMMYFUNCTION("""COMPUTED_VALUE"""),"NO-2526GALLUZZOMAR17.D-Hip Hop")</f>
        <v>NO-2526GALLUZZOMAR17.D-Hip Hop</v>
      </c>
      <c r="U1360" s="721"/>
      <c r="V1360" s="711"/>
      <c r="W1360" s="721"/>
      <c r="X1360" s="721"/>
      <c r="Y1360" s="48"/>
      <c r="Z1360" s="48"/>
      <c r="AA1360" s="48"/>
      <c r="AB1360" s="711"/>
      <c r="AC1360" s="711"/>
      <c r="AD1360" s="711"/>
      <c r="AE1360" s="711"/>
      <c r="AF1360" s="711"/>
      <c r="AG1360" s="711"/>
      <c r="AH1360" s="711"/>
    </row>
    <row r="1361">
      <c r="A1361" s="48"/>
      <c r="B1361" s="48"/>
      <c r="C1361" s="48"/>
      <c r="D1361" s="721"/>
      <c r="E1361" s="711"/>
      <c r="F1361" s="711"/>
      <c r="G1361" s="721"/>
      <c r="H1361" s="721"/>
      <c r="I1361" s="721"/>
      <c r="J1361" s="48"/>
      <c r="K1361" s="721"/>
      <c r="L1361" s="721"/>
      <c r="M1361" s="721"/>
      <c r="N1361" s="719"/>
      <c r="O1361" s="48"/>
      <c r="P1361" s="719"/>
      <c r="Q1361" s="48"/>
      <c r="R1361" s="48"/>
      <c r="S1361" s="711" t="str">
        <f>IFERROR(__xludf.DUMMYFUNCTION("""COMPUTED_VALUE"""),"")</f>
        <v/>
      </c>
      <c r="T1361" s="722" t="str">
        <f>IFERROR(__xludf.DUMMYFUNCTION("""COMPUTED_VALUE"""),"NO-2526CARIZZONILUN18.F-Combat Misto, Boxe, Kick Boxing, Muay Thai")</f>
        <v>NO-2526CARIZZONILUN18.F-Combat Misto, Boxe, Kick Boxing, Muay Thai</v>
      </c>
      <c r="U1361" s="721"/>
      <c r="V1361" s="711"/>
      <c r="W1361" s="721"/>
      <c r="X1361" s="721"/>
      <c r="Y1361" s="48"/>
      <c r="Z1361" s="48"/>
      <c r="AA1361" s="48"/>
      <c r="AB1361" s="711"/>
      <c r="AC1361" s="711"/>
      <c r="AD1361" s="711"/>
      <c r="AE1361" s="711"/>
      <c r="AF1361" s="711"/>
      <c r="AG1361" s="711"/>
      <c r="AH1361" s="711"/>
    </row>
    <row r="1362">
      <c r="A1362" s="48"/>
      <c r="B1362" s="48"/>
      <c r="C1362" s="48"/>
      <c r="D1362" s="721"/>
      <c r="E1362" s="711"/>
      <c r="F1362" s="711"/>
      <c r="G1362" s="721"/>
      <c r="H1362" s="721"/>
      <c r="I1362" s="721"/>
      <c r="J1362" s="48"/>
      <c r="K1362" s="721"/>
      <c r="L1362" s="721"/>
      <c r="M1362" s="721"/>
      <c r="N1362" s="719"/>
      <c r="O1362" s="48"/>
      <c r="P1362" s="719"/>
      <c r="Q1362" s="48"/>
      <c r="R1362" s="48"/>
      <c r="S1362" s="711" t="str">
        <f>IFERROR(__xludf.DUMMYFUNCTION("""COMPUTED_VALUE"""),"")</f>
        <v/>
      </c>
      <c r="T1362" s="722" t="str">
        <f>IFERROR(__xludf.DUMMYFUNCTION("""COMPUTED_VALUE"""),"NO-2526BONNILUN21.C-Salsa y Bachata")</f>
        <v>NO-2526BONNILUN21.C-Salsa y Bachata</v>
      </c>
      <c r="U1362" s="721"/>
      <c r="V1362" s="711"/>
      <c r="W1362" s="721"/>
      <c r="X1362" s="721"/>
      <c r="Y1362" s="48"/>
      <c r="Z1362" s="48"/>
      <c r="AA1362" s="48"/>
      <c r="AB1362" s="711"/>
      <c r="AC1362" s="711"/>
      <c r="AD1362" s="711"/>
      <c r="AE1362" s="711"/>
      <c r="AF1362" s="711"/>
      <c r="AG1362" s="711"/>
      <c r="AH1362" s="711"/>
    </row>
    <row r="1363">
      <c r="A1363" s="48"/>
      <c r="B1363" s="48"/>
      <c r="C1363" s="48"/>
      <c r="D1363" s="721"/>
      <c r="E1363" s="711"/>
      <c r="F1363" s="711"/>
      <c r="G1363" s="721"/>
      <c r="H1363" s="721"/>
      <c r="I1363" s="721"/>
      <c r="J1363" s="48"/>
      <c r="K1363" s="721"/>
      <c r="L1363" s="721"/>
      <c r="M1363" s="721"/>
      <c r="N1363" s="719"/>
      <c r="O1363" s="48"/>
      <c r="P1363" s="719"/>
      <c r="Q1363" s="48"/>
      <c r="R1363" s="48"/>
      <c r="S1363" s="711" t="str">
        <f>IFERROR(__xludf.DUMMYFUNCTION("""COMPUTED_VALUE"""),"")</f>
        <v/>
      </c>
      <c r="T1363" s="722" t="str">
        <f>IFERROR(__xludf.DUMMYFUNCTION("""COMPUTED_VALUE"""),"NO-2526SANTOROMAR18.F-Yoga Sound")</f>
        <v>NO-2526SANTOROMAR18.F-Yoga Sound</v>
      </c>
      <c r="U1363" s="721"/>
      <c r="V1363" s="711"/>
      <c r="W1363" s="721"/>
      <c r="X1363" s="721"/>
      <c r="Y1363" s="48"/>
      <c r="Z1363" s="48"/>
      <c r="AA1363" s="48"/>
      <c r="AB1363" s="711"/>
      <c r="AC1363" s="711"/>
      <c r="AD1363" s="711"/>
      <c r="AE1363" s="711"/>
      <c r="AF1363" s="711"/>
      <c r="AG1363" s="711"/>
      <c r="AH1363" s="711"/>
    </row>
    <row r="1364">
      <c r="A1364" s="48"/>
      <c r="B1364" s="48"/>
      <c r="C1364" s="48"/>
      <c r="D1364" s="721"/>
      <c r="E1364" s="711"/>
      <c r="F1364" s="711"/>
      <c r="G1364" s="721"/>
      <c r="H1364" s="721"/>
      <c r="I1364" s="721"/>
      <c r="J1364" s="48"/>
      <c r="K1364" s="721"/>
      <c r="L1364" s="721"/>
      <c r="M1364" s="721"/>
      <c r="N1364" s="719"/>
      <c r="O1364" s="48"/>
      <c r="P1364" s="719"/>
      <c r="Q1364" s="48"/>
      <c r="R1364" s="48"/>
      <c r="S1364" s="711" t="str">
        <f>IFERROR(__xludf.DUMMYFUNCTION("""COMPUTED_VALUE"""),"")</f>
        <v/>
      </c>
      <c r="T1364" s="722" t="str">
        <f>IFERROR(__xludf.DUMMYFUNCTION("""COMPUTED_VALUE"""),"NO-2526NICETALUN20.C-Lindy Hop")</f>
        <v>NO-2526NICETALUN20.C-Lindy Hop</v>
      </c>
      <c r="U1364" s="721"/>
      <c r="V1364" s="711"/>
      <c r="W1364" s="721"/>
      <c r="X1364" s="721"/>
      <c r="Y1364" s="48"/>
      <c r="Z1364" s="48"/>
      <c r="AA1364" s="48"/>
      <c r="AB1364" s="711"/>
      <c r="AC1364" s="711"/>
      <c r="AD1364" s="711"/>
      <c r="AE1364" s="711"/>
      <c r="AF1364" s="711"/>
      <c r="AG1364" s="711"/>
      <c r="AH1364" s="711"/>
    </row>
    <row r="1365">
      <c r="A1365" s="48"/>
      <c r="B1365" s="48"/>
      <c r="C1365" s="48"/>
      <c r="D1365" s="721"/>
      <c r="E1365" s="711"/>
      <c r="F1365" s="711"/>
      <c r="G1365" s="721"/>
      <c r="H1365" s="721"/>
      <c r="I1365" s="721"/>
      <c r="J1365" s="48"/>
      <c r="K1365" s="721"/>
      <c r="L1365" s="721"/>
      <c r="M1365" s="721"/>
      <c r="N1365" s="719"/>
      <c r="O1365" s="48"/>
      <c r="P1365" s="719"/>
      <c r="Q1365" s="48"/>
      <c r="R1365" s="48"/>
      <c r="S1365" s="711" t="str">
        <f>IFERROR(__xludf.DUMMYFUNCTION("""COMPUTED_VALUE"""),"")</f>
        <v/>
      </c>
      <c r="T1365" s="721"/>
      <c r="U1365" s="721"/>
      <c r="V1365" s="711"/>
      <c r="W1365" s="721"/>
      <c r="X1365" s="721"/>
      <c r="Y1365" s="48"/>
      <c r="Z1365" s="48"/>
      <c r="AA1365" s="48"/>
      <c r="AB1365" s="711"/>
      <c r="AC1365" s="711"/>
      <c r="AD1365" s="711"/>
      <c r="AE1365" s="711"/>
      <c r="AF1365" s="711"/>
      <c r="AG1365" s="711"/>
      <c r="AH1365" s="711"/>
    </row>
    <row r="1366">
      <c r="A1366" s="48"/>
      <c r="B1366" s="48"/>
      <c r="C1366" s="48"/>
      <c r="D1366" s="721"/>
      <c r="E1366" s="711"/>
      <c r="F1366" s="711"/>
      <c r="G1366" s="721"/>
      <c r="H1366" s="721"/>
      <c r="I1366" s="721"/>
      <c r="J1366" s="48"/>
      <c r="K1366" s="721"/>
      <c r="L1366" s="721"/>
      <c r="M1366" s="721"/>
      <c r="N1366" s="719"/>
      <c r="O1366" s="48"/>
      <c r="P1366" s="719"/>
      <c r="Q1366" s="48"/>
      <c r="R1366" s="48"/>
      <c r="S1366" s="711" t="str">
        <f>IFERROR(__xludf.DUMMYFUNCTION("""COMPUTED_VALUE"""),"")</f>
        <v/>
      </c>
      <c r="T1366" s="721"/>
      <c r="U1366" s="721"/>
      <c r="V1366" s="711"/>
      <c r="W1366" s="721"/>
      <c r="X1366" s="721"/>
      <c r="Y1366" s="48"/>
      <c r="Z1366" s="48"/>
      <c r="AA1366" s="48"/>
      <c r="AB1366" s="711"/>
      <c r="AC1366" s="711"/>
      <c r="AD1366" s="711"/>
      <c r="AE1366" s="711"/>
      <c r="AF1366" s="711"/>
      <c r="AG1366" s="711"/>
      <c r="AH1366" s="711"/>
    </row>
    <row r="1367">
      <c r="A1367" s="48"/>
      <c r="B1367" s="48"/>
      <c r="C1367" s="48"/>
      <c r="D1367" s="721"/>
      <c r="E1367" s="711"/>
      <c r="F1367" s="711"/>
      <c r="G1367" s="721"/>
      <c r="H1367" s="721"/>
      <c r="I1367" s="721"/>
      <c r="J1367" s="48"/>
      <c r="K1367" s="721"/>
      <c r="L1367" s="721"/>
      <c r="M1367" s="721"/>
      <c r="N1367" s="719"/>
      <c r="O1367" s="48"/>
      <c r="P1367" s="719"/>
      <c r="Q1367" s="48"/>
      <c r="R1367" s="48"/>
      <c r="S1367" s="711" t="str">
        <f>IFERROR(__xludf.DUMMYFUNCTION("""COMPUTED_VALUE"""),"")</f>
        <v/>
      </c>
      <c r="T1367" s="721"/>
      <c r="U1367" s="721"/>
      <c r="V1367" s="711"/>
      <c r="W1367" s="721"/>
      <c r="X1367" s="721"/>
      <c r="Y1367" s="48"/>
      <c r="Z1367" s="48"/>
      <c r="AA1367" s="48"/>
      <c r="AB1367" s="711"/>
      <c r="AC1367" s="711"/>
      <c r="AD1367" s="711"/>
      <c r="AE1367" s="711"/>
      <c r="AF1367" s="711"/>
      <c r="AG1367" s="711"/>
      <c r="AH1367" s="711"/>
    </row>
    <row r="1368">
      <c r="A1368" s="48"/>
      <c r="B1368" s="48"/>
      <c r="C1368" s="48"/>
      <c r="D1368" s="721"/>
      <c r="E1368" s="711"/>
      <c r="F1368" s="711"/>
      <c r="G1368" s="721"/>
      <c r="H1368" s="721"/>
      <c r="I1368" s="721"/>
      <c r="J1368" s="48"/>
      <c r="K1368" s="721"/>
      <c r="L1368" s="721"/>
      <c r="M1368" s="721"/>
      <c r="N1368" s="719"/>
      <c r="O1368" s="48"/>
      <c r="P1368" s="719"/>
      <c r="Q1368" s="48"/>
      <c r="R1368" s="48"/>
      <c r="S1368" s="711" t="str">
        <f>IFERROR(__xludf.DUMMYFUNCTION("""COMPUTED_VALUE"""),"")</f>
        <v/>
      </c>
      <c r="T1368" s="721"/>
      <c r="U1368" s="721"/>
      <c r="V1368" s="711"/>
      <c r="W1368" s="721"/>
      <c r="X1368" s="721"/>
      <c r="Y1368" s="48"/>
      <c r="Z1368" s="48"/>
      <c r="AA1368" s="48"/>
      <c r="AB1368" s="711"/>
      <c r="AC1368" s="711"/>
      <c r="AD1368" s="711"/>
      <c r="AE1368" s="711"/>
      <c r="AF1368" s="711"/>
      <c r="AG1368" s="711"/>
      <c r="AH1368" s="711"/>
    </row>
    <row r="1369">
      <c r="A1369" s="48"/>
      <c r="B1369" s="48"/>
      <c r="C1369" s="48"/>
      <c r="D1369" s="721"/>
      <c r="E1369" s="711"/>
      <c r="F1369" s="711"/>
      <c r="G1369" s="721"/>
      <c r="H1369" s="721"/>
      <c r="I1369" s="721"/>
      <c r="J1369" s="48"/>
      <c r="K1369" s="721"/>
      <c r="L1369" s="721"/>
      <c r="M1369" s="721"/>
      <c r="N1369" s="719"/>
      <c r="O1369" s="48"/>
      <c r="P1369" s="719"/>
      <c r="Q1369" s="48"/>
      <c r="R1369" s="48"/>
      <c r="S1369" s="711" t="str">
        <f>IFERROR(__xludf.DUMMYFUNCTION("""COMPUTED_VALUE"""),"")</f>
        <v/>
      </c>
      <c r="T1369" s="721"/>
      <c r="U1369" s="721"/>
      <c r="V1369" s="711"/>
      <c r="W1369" s="721"/>
      <c r="X1369" s="721"/>
      <c r="Y1369" s="48"/>
      <c r="Z1369" s="48"/>
      <c r="AA1369" s="48"/>
      <c r="AB1369" s="711"/>
      <c r="AC1369" s="711"/>
      <c r="AD1369" s="711"/>
      <c r="AE1369" s="711"/>
      <c r="AF1369" s="711"/>
      <c r="AG1369" s="711"/>
      <c r="AH1369" s="711"/>
    </row>
    <row r="1370">
      <c r="A1370" s="48"/>
      <c r="B1370" s="48"/>
      <c r="C1370" s="48"/>
      <c r="D1370" s="721"/>
      <c r="E1370" s="711"/>
      <c r="F1370" s="711"/>
      <c r="G1370" s="721"/>
      <c r="H1370" s="721"/>
      <c r="I1370" s="721"/>
      <c r="J1370" s="48"/>
      <c r="K1370" s="721"/>
      <c r="L1370" s="721"/>
      <c r="M1370" s="721"/>
      <c r="N1370" s="719"/>
      <c r="O1370" s="48"/>
      <c r="P1370" s="719"/>
      <c r="Q1370" s="48"/>
      <c r="R1370" s="48"/>
      <c r="S1370" s="711" t="str">
        <f>IFERROR(__xludf.DUMMYFUNCTION("""COMPUTED_VALUE"""),"")</f>
        <v/>
      </c>
      <c r="T1370" s="721"/>
      <c r="U1370" s="721"/>
      <c r="V1370" s="711"/>
      <c r="W1370" s="721"/>
      <c r="X1370" s="721"/>
      <c r="Y1370" s="48"/>
      <c r="Z1370" s="48"/>
      <c r="AA1370" s="48"/>
      <c r="AB1370" s="711"/>
      <c r="AC1370" s="711"/>
      <c r="AD1370" s="711"/>
      <c r="AE1370" s="711"/>
      <c r="AF1370" s="711"/>
      <c r="AG1370" s="711"/>
      <c r="AH1370" s="711"/>
    </row>
    <row r="1371">
      <c r="A1371" s="48"/>
      <c r="B1371" s="48"/>
      <c r="C1371" s="48"/>
      <c r="D1371" s="721"/>
      <c r="E1371" s="711"/>
      <c r="F1371" s="711"/>
      <c r="G1371" s="721"/>
      <c r="H1371" s="721"/>
      <c r="I1371" s="721"/>
      <c r="J1371" s="48"/>
      <c r="K1371" s="721"/>
      <c r="L1371" s="721"/>
      <c r="M1371" s="721"/>
      <c r="N1371" s="719"/>
      <c r="O1371" s="48"/>
      <c r="P1371" s="719"/>
      <c r="Q1371" s="48"/>
      <c r="R1371" s="48"/>
      <c r="S1371" s="711" t="str">
        <f>IFERROR(__xludf.DUMMYFUNCTION("""COMPUTED_VALUE"""),"")</f>
        <v/>
      </c>
      <c r="T1371" s="721"/>
      <c r="U1371" s="721"/>
      <c r="V1371" s="711"/>
      <c r="W1371" s="721"/>
      <c r="X1371" s="721"/>
      <c r="Y1371" s="48"/>
      <c r="Z1371" s="48"/>
      <c r="AA1371" s="48"/>
      <c r="AB1371" s="711"/>
      <c r="AC1371" s="711"/>
      <c r="AD1371" s="711"/>
      <c r="AE1371" s="711"/>
      <c r="AF1371" s="711"/>
      <c r="AG1371" s="711"/>
      <c r="AH1371" s="711"/>
    </row>
    <row r="1372">
      <c r="A1372" s="48"/>
      <c r="B1372" s="48"/>
      <c r="C1372" s="48"/>
      <c r="D1372" s="721"/>
      <c r="E1372" s="711"/>
      <c r="F1372" s="711"/>
      <c r="G1372" s="721"/>
      <c r="H1372" s="721"/>
      <c r="I1372" s="721"/>
      <c r="J1372" s="48"/>
      <c r="K1372" s="721"/>
      <c r="L1372" s="721"/>
      <c r="M1372" s="721"/>
      <c r="N1372" s="719"/>
      <c r="O1372" s="48"/>
      <c r="P1372" s="719"/>
      <c r="Q1372" s="48"/>
      <c r="R1372" s="48"/>
      <c r="S1372" s="711" t="str">
        <f>IFERROR(__xludf.DUMMYFUNCTION("""COMPUTED_VALUE"""),"")</f>
        <v/>
      </c>
      <c r="T1372" s="721"/>
      <c r="U1372" s="721"/>
      <c r="V1372" s="711"/>
      <c r="W1372" s="721"/>
      <c r="X1372" s="721"/>
      <c r="Y1372" s="48"/>
      <c r="Z1372" s="48"/>
      <c r="AA1372" s="48"/>
      <c r="AB1372" s="711"/>
      <c r="AC1372" s="711"/>
      <c r="AD1372" s="711"/>
      <c r="AE1372" s="711"/>
      <c r="AF1372" s="711"/>
      <c r="AG1372" s="711"/>
      <c r="AH1372" s="711"/>
    </row>
    <row r="1373">
      <c r="A1373" s="48"/>
      <c r="B1373" s="48"/>
      <c r="C1373" s="48"/>
      <c r="D1373" s="721"/>
      <c r="E1373" s="711"/>
      <c r="F1373" s="711"/>
      <c r="G1373" s="721"/>
      <c r="H1373" s="721"/>
      <c r="I1373" s="721"/>
      <c r="J1373" s="48"/>
      <c r="K1373" s="721"/>
      <c r="L1373" s="721"/>
      <c r="M1373" s="721"/>
      <c r="N1373" s="719"/>
      <c r="O1373" s="48"/>
      <c r="P1373" s="719"/>
      <c r="Q1373" s="48"/>
      <c r="R1373" s="48"/>
      <c r="S1373" s="711" t="str">
        <f>IFERROR(__xludf.DUMMYFUNCTION("""COMPUTED_VALUE"""),"")</f>
        <v/>
      </c>
      <c r="T1373" s="721"/>
      <c r="U1373" s="721"/>
      <c r="V1373" s="711"/>
      <c r="W1373" s="721"/>
      <c r="X1373" s="721"/>
      <c r="Y1373" s="48"/>
      <c r="Z1373" s="48"/>
      <c r="AA1373" s="48"/>
      <c r="AB1373" s="711"/>
      <c r="AC1373" s="711"/>
      <c r="AD1373" s="711"/>
      <c r="AE1373" s="711"/>
      <c r="AF1373" s="711"/>
      <c r="AG1373" s="711"/>
      <c r="AH1373" s="711"/>
    </row>
    <row r="1374">
      <c r="A1374" s="48"/>
      <c r="B1374" s="48"/>
      <c r="C1374" s="48"/>
      <c r="D1374" s="721"/>
      <c r="E1374" s="711"/>
      <c r="F1374" s="711"/>
      <c r="G1374" s="721"/>
      <c r="H1374" s="721"/>
      <c r="I1374" s="721"/>
      <c r="J1374" s="48"/>
      <c r="K1374" s="721"/>
      <c r="L1374" s="721"/>
      <c r="M1374" s="721"/>
      <c r="N1374" s="719"/>
      <c r="O1374" s="48"/>
      <c r="P1374" s="719"/>
      <c r="Q1374" s="48"/>
      <c r="R1374" s="48"/>
      <c r="S1374" s="711" t="str">
        <f>IFERROR(__xludf.DUMMYFUNCTION("""COMPUTED_VALUE"""),"")</f>
        <v/>
      </c>
      <c r="T1374" s="721"/>
      <c r="U1374" s="721"/>
      <c r="V1374" s="711"/>
      <c r="W1374" s="721"/>
      <c r="X1374" s="721"/>
      <c r="Y1374" s="48"/>
      <c r="Z1374" s="48"/>
      <c r="AA1374" s="48"/>
      <c r="AB1374" s="711"/>
      <c r="AC1374" s="711"/>
      <c r="AD1374" s="711"/>
      <c r="AE1374" s="711"/>
      <c r="AF1374" s="711"/>
      <c r="AG1374" s="711"/>
      <c r="AH1374" s="711"/>
    </row>
    <row r="1375">
      <c r="A1375" s="48"/>
      <c r="B1375" s="48"/>
      <c r="C1375" s="48"/>
      <c r="D1375" s="721"/>
      <c r="E1375" s="711"/>
      <c r="F1375" s="711"/>
      <c r="G1375" s="721"/>
      <c r="H1375" s="721"/>
      <c r="I1375" s="721"/>
      <c r="J1375" s="48"/>
      <c r="K1375" s="721"/>
      <c r="L1375" s="721"/>
      <c r="M1375" s="721"/>
      <c r="N1375" s="719"/>
      <c r="O1375" s="48"/>
      <c r="P1375" s="719"/>
      <c r="Q1375" s="48"/>
      <c r="R1375" s="48"/>
      <c r="S1375" s="711" t="str">
        <f>IFERROR(__xludf.DUMMYFUNCTION("""COMPUTED_VALUE"""),"")</f>
        <v/>
      </c>
      <c r="T1375" s="721"/>
      <c r="U1375" s="721"/>
      <c r="V1375" s="711"/>
      <c r="W1375" s="721"/>
      <c r="X1375" s="721"/>
      <c r="Y1375" s="48"/>
      <c r="Z1375" s="48"/>
      <c r="AA1375" s="48"/>
      <c r="AB1375" s="711"/>
      <c r="AC1375" s="711"/>
      <c r="AD1375" s="711"/>
      <c r="AE1375" s="711"/>
      <c r="AF1375" s="711"/>
      <c r="AG1375" s="711"/>
      <c r="AH1375" s="711"/>
    </row>
    <row r="1376">
      <c r="A1376" s="48"/>
      <c r="B1376" s="48"/>
      <c r="C1376" s="48"/>
      <c r="D1376" s="721"/>
      <c r="E1376" s="711"/>
      <c r="F1376" s="711"/>
      <c r="G1376" s="721"/>
      <c r="H1376" s="721"/>
      <c r="I1376" s="721"/>
      <c r="J1376" s="48"/>
      <c r="K1376" s="721"/>
      <c r="L1376" s="721"/>
      <c r="M1376" s="721"/>
      <c r="N1376" s="719"/>
      <c r="O1376" s="48"/>
      <c r="P1376" s="719"/>
      <c r="Q1376" s="48"/>
      <c r="R1376" s="48"/>
      <c r="S1376" s="711" t="str">
        <f>IFERROR(__xludf.DUMMYFUNCTION("""COMPUTED_VALUE"""),"")</f>
        <v/>
      </c>
      <c r="T1376" s="721"/>
      <c r="U1376" s="721"/>
      <c r="V1376" s="711"/>
      <c r="W1376" s="721"/>
      <c r="X1376" s="721"/>
      <c r="Y1376" s="48"/>
      <c r="Z1376" s="48"/>
      <c r="AA1376" s="48"/>
      <c r="AB1376" s="711"/>
      <c r="AC1376" s="711"/>
      <c r="AD1376" s="711"/>
      <c r="AE1376" s="711"/>
      <c r="AF1376" s="711"/>
      <c r="AG1376" s="711"/>
      <c r="AH1376" s="711"/>
    </row>
    <row r="1377">
      <c r="A1377" s="48"/>
      <c r="B1377" s="48"/>
      <c r="C1377" s="48"/>
      <c r="D1377" s="721"/>
      <c r="E1377" s="711"/>
      <c r="F1377" s="711"/>
      <c r="G1377" s="721"/>
      <c r="H1377" s="721"/>
      <c r="I1377" s="721"/>
      <c r="J1377" s="48"/>
      <c r="K1377" s="721"/>
      <c r="L1377" s="721"/>
      <c r="M1377" s="721"/>
      <c r="N1377" s="719"/>
      <c r="O1377" s="48"/>
      <c r="P1377" s="719"/>
      <c r="Q1377" s="48"/>
      <c r="R1377" s="48"/>
      <c r="S1377" s="711" t="str">
        <f>IFERROR(__xludf.DUMMYFUNCTION("""COMPUTED_VALUE"""),"")</f>
        <v/>
      </c>
      <c r="T1377" s="721"/>
      <c r="U1377" s="721"/>
      <c r="V1377" s="711"/>
      <c r="W1377" s="721"/>
      <c r="X1377" s="721"/>
      <c r="Y1377" s="48"/>
      <c r="Z1377" s="48"/>
      <c r="AA1377" s="48"/>
      <c r="AB1377" s="711"/>
      <c r="AC1377" s="711"/>
      <c r="AD1377" s="711"/>
      <c r="AE1377" s="711"/>
      <c r="AF1377" s="711"/>
      <c r="AG1377" s="711"/>
      <c r="AH1377" s="711"/>
    </row>
    <row r="1378">
      <c r="A1378" s="48"/>
      <c r="B1378" s="48"/>
      <c r="C1378" s="48"/>
      <c r="D1378" s="721"/>
      <c r="E1378" s="711"/>
      <c r="F1378" s="711"/>
      <c r="G1378" s="721"/>
      <c r="H1378" s="721"/>
      <c r="I1378" s="721"/>
      <c r="J1378" s="48"/>
      <c r="K1378" s="721"/>
      <c r="L1378" s="721"/>
      <c r="M1378" s="721"/>
      <c r="N1378" s="719"/>
      <c r="O1378" s="48"/>
      <c r="P1378" s="719"/>
      <c r="Q1378" s="48"/>
      <c r="R1378" s="48"/>
      <c r="S1378" s="711" t="str">
        <f>IFERROR(__xludf.DUMMYFUNCTION("""COMPUTED_VALUE"""),"")</f>
        <v/>
      </c>
      <c r="T1378" s="721"/>
      <c r="U1378" s="721"/>
      <c r="V1378" s="711"/>
      <c r="W1378" s="721"/>
      <c r="X1378" s="721"/>
      <c r="Y1378" s="48"/>
      <c r="Z1378" s="48"/>
      <c r="AA1378" s="48"/>
      <c r="AB1378" s="711"/>
      <c r="AC1378" s="711"/>
      <c r="AD1378" s="711"/>
      <c r="AE1378" s="711"/>
      <c r="AF1378" s="711"/>
      <c r="AG1378" s="711"/>
      <c r="AH1378" s="711"/>
    </row>
    <row r="1379">
      <c r="A1379" s="48"/>
      <c r="B1379" s="48"/>
      <c r="C1379" s="48"/>
      <c r="D1379" s="721"/>
      <c r="E1379" s="711"/>
      <c r="F1379" s="711"/>
      <c r="G1379" s="721"/>
      <c r="H1379" s="721"/>
      <c r="I1379" s="721"/>
      <c r="J1379" s="48"/>
      <c r="K1379" s="721"/>
      <c r="L1379" s="721"/>
      <c r="M1379" s="721"/>
      <c r="N1379" s="719"/>
      <c r="O1379" s="48"/>
      <c r="P1379" s="719"/>
      <c r="Q1379" s="48"/>
      <c r="R1379" s="48"/>
      <c r="S1379" s="711" t="str">
        <f>IFERROR(__xludf.DUMMYFUNCTION("""COMPUTED_VALUE"""),"")</f>
        <v/>
      </c>
      <c r="T1379" s="721"/>
      <c r="U1379" s="721"/>
      <c r="V1379" s="711"/>
      <c r="W1379" s="721"/>
      <c r="X1379" s="721"/>
      <c r="Y1379" s="48"/>
      <c r="Z1379" s="48"/>
      <c r="AA1379" s="48"/>
      <c r="AB1379" s="711"/>
      <c r="AC1379" s="711"/>
      <c r="AD1379" s="711"/>
      <c r="AE1379" s="711"/>
      <c r="AF1379" s="711"/>
      <c r="AG1379" s="711"/>
      <c r="AH1379" s="711"/>
    </row>
    <row r="1380">
      <c r="A1380" s="48"/>
      <c r="B1380" s="48"/>
      <c r="C1380" s="48"/>
      <c r="D1380" s="721"/>
      <c r="E1380" s="711"/>
      <c r="F1380" s="711"/>
      <c r="G1380" s="721"/>
      <c r="H1380" s="721"/>
      <c r="I1380" s="721"/>
      <c r="J1380" s="48"/>
      <c r="K1380" s="721"/>
      <c r="L1380" s="721"/>
      <c r="M1380" s="721"/>
      <c r="N1380" s="719"/>
      <c r="O1380" s="48"/>
      <c r="P1380" s="719"/>
      <c r="Q1380" s="48"/>
      <c r="R1380" s="48"/>
      <c r="S1380" s="711" t="str">
        <f>IFERROR(__xludf.DUMMYFUNCTION("""COMPUTED_VALUE"""),"")</f>
        <v/>
      </c>
      <c r="T1380" s="721"/>
      <c r="U1380" s="721"/>
      <c r="V1380" s="711"/>
      <c r="W1380" s="721"/>
      <c r="X1380" s="721"/>
      <c r="Y1380" s="48"/>
      <c r="Z1380" s="48"/>
      <c r="AA1380" s="48"/>
      <c r="AB1380" s="711"/>
      <c r="AC1380" s="711"/>
      <c r="AD1380" s="711"/>
      <c r="AE1380" s="711"/>
      <c r="AF1380" s="711"/>
      <c r="AG1380" s="711"/>
      <c r="AH1380" s="711"/>
    </row>
    <row r="1381">
      <c r="A1381" s="48"/>
      <c r="B1381" s="48"/>
      <c r="C1381" s="48"/>
      <c r="D1381" s="721"/>
      <c r="E1381" s="711"/>
      <c r="F1381" s="711"/>
      <c r="G1381" s="721"/>
      <c r="H1381" s="721"/>
      <c r="I1381" s="721"/>
      <c r="J1381" s="48"/>
      <c r="K1381" s="721"/>
      <c r="L1381" s="721"/>
      <c r="M1381" s="721"/>
      <c r="N1381" s="719"/>
      <c r="O1381" s="48"/>
      <c r="P1381" s="719"/>
      <c r="Q1381" s="48"/>
      <c r="R1381" s="48"/>
      <c r="S1381" s="711" t="str">
        <f>IFERROR(__xludf.DUMMYFUNCTION("""COMPUTED_VALUE"""),"")</f>
        <v/>
      </c>
      <c r="T1381" s="721"/>
      <c r="U1381" s="721"/>
      <c r="V1381" s="711"/>
      <c r="W1381" s="721"/>
      <c r="X1381" s="721"/>
      <c r="Y1381" s="48"/>
      <c r="Z1381" s="48"/>
      <c r="AA1381" s="48"/>
      <c r="AB1381" s="711"/>
      <c r="AC1381" s="711"/>
      <c r="AD1381" s="711"/>
      <c r="AE1381" s="711"/>
      <c r="AF1381" s="711"/>
      <c r="AG1381" s="711"/>
      <c r="AH1381" s="711"/>
    </row>
    <row r="1382">
      <c r="A1382" s="48"/>
      <c r="B1382" s="48"/>
      <c r="C1382" s="48"/>
      <c r="D1382" s="721"/>
      <c r="E1382" s="711"/>
      <c r="F1382" s="711"/>
      <c r="G1382" s="721"/>
      <c r="H1382" s="721"/>
      <c r="I1382" s="721"/>
      <c r="J1382" s="48"/>
      <c r="K1382" s="721"/>
      <c r="L1382" s="721"/>
      <c r="M1382" s="721"/>
      <c r="N1382" s="719"/>
      <c r="O1382" s="48"/>
      <c r="P1382" s="719"/>
      <c r="Q1382" s="48"/>
      <c r="R1382" s="48"/>
      <c r="S1382" s="711" t="str">
        <f>IFERROR(__xludf.DUMMYFUNCTION("""COMPUTED_VALUE"""),"")</f>
        <v/>
      </c>
      <c r="T1382" s="721"/>
      <c r="U1382" s="721"/>
      <c r="V1382" s="711"/>
      <c r="W1382" s="721"/>
      <c r="X1382" s="721"/>
      <c r="Y1382" s="48"/>
      <c r="Z1382" s="48"/>
      <c r="AA1382" s="48"/>
      <c r="AB1382" s="711"/>
      <c r="AC1382" s="711"/>
      <c r="AD1382" s="711"/>
      <c r="AE1382" s="711"/>
      <c r="AF1382" s="711"/>
      <c r="AG1382" s="711"/>
      <c r="AH1382" s="711"/>
    </row>
    <row r="1383">
      <c r="A1383" s="48"/>
      <c r="B1383" s="48"/>
      <c r="C1383" s="48"/>
      <c r="D1383" s="721"/>
      <c r="E1383" s="711"/>
      <c r="F1383" s="711"/>
      <c r="G1383" s="721"/>
      <c r="H1383" s="721"/>
      <c r="I1383" s="721"/>
      <c r="J1383" s="48"/>
      <c r="K1383" s="721"/>
      <c r="L1383" s="721"/>
      <c r="M1383" s="721"/>
      <c r="N1383" s="719"/>
      <c r="O1383" s="48"/>
      <c r="P1383" s="719"/>
      <c r="Q1383" s="48"/>
      <c r="R1383" s="48"/>
      <c r="S1383" s="711" t="str">
        <f>IFERROR(__xludf.DUMMYFUNCTION("""COMPUTED_VALUE"""),"")</f>
        <v/>
      </c>
      <c r="T1383" s="721"/>
      <c r="U1383" s="721"/>
      <c r="V1383" s="711"/>
      <c r="W1383" s="721"/>
      <c r="X1383" s="721"/>
      <c r="Y1383" s="48"/>
      <c r="Z1383" s="48"/>
      <c r="AA1383" s="48"/>
      <c r="AB1383" s="711"/>
      <c r="AC1383" s="711"/>
      <c r="AD1383" s="711"/>
      <c r="AE1383" s="711"/>
      <c r="AF1383" s="711"/>
      <c r="AG1383" s="711"/>
      <c r="AH1383" s="711"/>
    </row>
    <row r="1384">
      <c r="A1384" s="48"/>
      <c r="B1384" s="48"/>
      <c r="C1384" s="48"/>
      <c r="D1384" s="721"/>
      <c r="E1384" s="711"/>
      <c r="F1384" s="711"/>
      <c r="G1384" s="721"/>
      <c r="H1384" s="721"/>
      <c r="I1384" s="721"/>
      <c r="J1384" s="48"/>
      <c r="K1384" s="721"/>
      <c r="L1384" s="721"/>
      <c r="M1384" s="721"/>
      <c r="N1384" s="719"/>
      <c r="O1384" s="48"/>
      <c r="P1384" s="719"/>
      <c r="Q1384" s="48"/>
      <c r="R1384" s="48"/>
      <c r="S1384" s="711" t="str">
        <f>IFERROR(__xludf.DUMMYFUNCTION("""COMPUTED_VALUE"""),"")</f>
        <v/>
      </c>
      <c r="T1384" s="721"/>
      <c r="U1384" s="721"/>
      <c r="V1384" s="711"/>
      <c r="W1384" s="721"/>
      <c r="X1384" s="721"/>
      <c r="Y1384" s="48"/>
      <c r="Z1384" s="48"/>
      <c r="AA1384" s="48"/>
      <c r="AB1384" s="711"/>
      <c r="AC1384" s="711"/>
      <c r="AD1384" s="711"/>
      <c r="AE1384" s="711"/>
      <c r="AF1384" s="711"/>
      <c r="AG1384" s="711"/>
      <c r="AH1384" s="711"/>
    </row>
    <row r="1385">
      <c r="A1385" s="48"/>
      <c r="B1385" s="48"/>
      <c r="C1385" s="48"/>
      <c r="D1385" s="721"/>
      <c r="E1385" s="711"/>
      <c r="F1385" s="711"/>
      <c r="G1385" s="721"/>
      <c r="H1385" s="721"/>
      <c r="I1385" s="721"/>
      <c r="J1385" s="48"/>
      <c r="K1385" s="721"/>
      <c r="L1385" s="721"/>
      <c r="M1385" s="721"/>
      <c r="N1385" s="719"/>
      <c r="O1385" s="48"/>
      <c r="P1385" s="719"/>
      <c r="Q1385" s="48"/>
      <c r="R1385" s="48"/>
      <c r="S1385" s="711" t="str">
        <f>IFERROR(__xludf.DUMMYFUNCTION("""COMPUTED_VALUE"""),"")</f>
        <v/>
      </c>
      <c r="T1385" s="721"/>
      <c r="U1385" s="721"/>
      <c r="V1385" s="711"/>
      <c r="W1385" s="721"/>
      <c r="X1385" s="721"/>
      <c r="Y1385" s="48"/>
      <c r="Z1385" s="48"/>
      <c r="AA1385" s="48"/>
      <c r="AB1385" s="711"/>
      <c r="AC1385" s="711"/>
      <c r="AD1385" s="711"/>
      <c r="AE1385" s="711"/>
      <c r="AF1385" s="711"/>
      <c r="AG1385" s="711"/>
      <c r="AH1385" s="711"/>
    </row>
    <row r="1386">
      <c r="A1386" s="48"/>
      <c r="B1386" s="48"/>
      <c r="C1386" s="48"/>
      <c r="D1386" s="721"/>
      <c r="E1386" s="711"/>
      <c r="F1386" s="711"/>
      <c r="G1386" s="721"/>
      <c r="H1386" s="721"/>
      <c r="I1386" s="721"/>
      <c r="J1386" s="48"/>
      <c r="K1386" s="721"/>
      <c r="L1386" s="721"/>
      <c r="M1386" s="721"/>
      <c r="N1386" s="719"/>
      <c r="O1386" s="48"/>
      <c r="P1386" s="719"/>
      <c r="Q1386" s="48"/>
      <c r="R1386" s="48"/>
      <c r="S1386" s="711" t="str">
        <f>IFERROR(__xludf.DUMMYFUNCTION("""COMPUTED_VALUE"""),"")</f>
        <v/>
      </c>
      <c r="T1386" s="721"/>
      <c r="U1386" s="721"/>
      <c r="V1386" s="711"/>
      <c r="W1386" s="721"/>
      <c r="X1386" s="721"/>
      <c r="Y1386" s="48"/>
      <c r="Z1386" s="48"/>
      <c r="AA1386" s="48"/>
      <c r="AB1386" s="711"/>
      <c r="AC1386" s="711"/>
      <c r="AD1386" s="711"/>
      <c r="AE1386" s="711"/>
      <c r="AF1386" s="711"/>
      <c r="AG1386" s="711"/>
      <c r="AH1386" s="711"/>
    </row>
    <row r="1387">
      <c r="A1387" s="48"/>
      <c r="B1387" s="48"/>
      <c r="C1387" s="48"/>
      <c r="D1387" s="721"/>
      <c r="E1387" s="711"/>
      <c r="F1387" s="711"/>
      <c r="G1387" s="721"/>
      <c r="H1387" s="721"/>
      <c r="I1387" s="721"/>
      <c r="J1387" s="48"/>
      <c r="K1387" s="721"/>
      <c r="L1387" s="721"/>
      <c r="M1387" s="721"/>
      <c r="N1387" s="719"/>
      <c r="O1387" s="48"/>
      <c r="P1387" s="719"/>
      <c r="Q1387" s="48"/>
      <c r="R1387" s="48"/>
      <c r="S1387" s="711" t="str">
        <f>IFERROR(__xludf.DUMMYFUNCTION("""COMPUTED_VALUE"""),"")</f>
        <v/>
      </c>
      <c r="T1387" s="721"/>
      <c r="U1387" s="721"/>
      <c r="V1387" s="711"/>
      <c r="W1387" s="721"/>
      <c r="X1387" s="721"/>
      <c r="Y1387" s="48"/>
      <c r="Z1387" s="48"/>
      <c r="AA1387" s="48"/>
      <c r="AB1387" s="711"/>
      <c r="AC1387" s="711"/>
      <c r="AD1387" s="711"/>
      <c r="AE1387" s="711"/>
      <c r="AF1387" s="711"/>
      <c r="AG1387" s="711"/>
      <c r="AH1387" s="711"/>
    </row>
    <row r="1388">
      <c r="A1388" s="48"/>
      <c r="B1388" s="48"/>
      <c r="C1388" s="48"/>
      <c r="D1388" s="721"/>
      <c r="E1388" s="711"/>
      <c r="F1388" s="711"/>
      <c r="G1388" s="721"/>
      <c r="H1388" s="721"/>
      <c r="I1388" s="721"/>
      <c r="J1388" s="48"/>
      <c r="K1388" s="721"/>
      <c r="L1388" s="721"/>
      <c r="M1388" s="721"/>
      <c r="N1388" s="719"/>
      <c r="O1388" s="48"/>
      <c r="P1388" s="719"/>
      <c r="Q1388" s="48"/>
      <c r="R1388" s="48"/>
      <c r="S1388" s="711" t="str">
        <f>IFERROR(__xludf.DUMMYFUNCTION("""COMPUTED_VALUE"""),"")</f>
        <v/>
      </c>
      <c r="T1388" s="721"/>
      <c r="U1388" s="721"/>
      <c r="V1388" s="711"/>
      <c r="W1388" s="721"/>
      <c r="X1388" s="721"/>
      <c r="Y1388" s="48"/>
      <c r="Z1388" s="48"/>
      <c r="AA1388" s="48"/>
      <c r="AB1388" s="711"/>
      <c r="AC1388" s="711"/>
      <c r="AD1388" s="711"/>
      <c r="AE1388" s="711"/>
      <c r="AF1388" s="711"/>
      <c r="AG1388" s="711"/>
      <c r="AH1388" s="711"/>
    </row>
    <row r="1389">
      <c r="A1389" s="48"/>
      <c r="B1389" s="48"/>
      <c r="C1389" s="48"/>
      <c r="D1389" s="721"/>
      <c r="E1389" s="711"/>
      <c r="F1389" s="711"/>
      <c r="G1389" s="721"/>
      <c r="H1389" s="721"/>
      <c r="I1389" s="721"/>
      <c r="J1389" s="48"/>
      <c r="K1389" s="721"/>
      <c r="L1389" s="721"/>
      <c r="M1389" s="721"/>
      <c r="N1389" s="719"/>
      <c r="O1389" s="48"/>
      <c r="P1389" s="719"/>
      <c r="Q1389" s="48"/>
      <c r="R1389" s="48"/>
      <c r="S1389" s="711" t="str">
        <f>IFERROR(__xludf.DUMMYFUNCTION("""COMPUTED_VALUE"""),"")</f>
        <v/>
      </c>
      <c r="T1389" s="721"/>
      <c r="U1389" s="721"/>
      <c r="V1389" s="711"/>
      <c r="W1389" s="721"/>
      <c r="X1389" s="721"/>
      <c r="Y1389" s="48"/>
      <c r="Z1389" s="48"/>
      <c r="AA1389" s="48"/>
      <c r="AB1389" s="711"/>
      <c r="AC1389" s="711"/>
      <c r="AD1389" s="711"/>
      <c r="AE1389" s="711"/>
      <c r="AF1389" s="711"/>
      <c r="AG1389" s="711"/>
      <c r="AH1389" s="711"/>
    </row>
    <row r="1390">
      <c r="A1390" s="48"/>
      <c r="B1390" s="48"/>
      <c r="C1390" s="48"/>
      <c r="D1390" s="721"/>
      <c r="E1390" s="711"/>
      <c r="F1390" s="711"/>
      <c r="G1390" s="721"/>
      <c r="H1390" s="721"/>
      <c r="I1390" s="721"/>
      <c r="J1390" s="48"/>
      <c r="K1390" s="721"/>
      <c r="L1390" s="721"/>
      <c r="M1390" s="721"/>
      <c r="N1390" s="719"/>
      <c r="O1390" s="48"/>
      <c r="P1390" s="719"/>
      <c r="Q1390" s="48"/>
      <c r="R1390" s="48"/>
      <c r="S1390" s="711" t="str">
        <f>IFERROR(__xludf.DUMMYFUNCTION("""COMPUTED_VALUE"""),"")</f>
        <v/>
      </c>
      <c r="T1390" s="721"/>
      <c r="U1390" s="721"/>
      <c r="V1390" s="711"/>
      <c r="W1390" s="721"/>
      <c r="X1390" s="721"/>
      <c r="Y1390" s="48"/>
      <c r="Z1390" s="48"/>
      <c r="AA1390" s="48"/>
      <c r="AB1390" s="711"/>
      <c r="AC1390" s="711"/>
      <c r="AD1390" s="711"/>
      <c r="AE1390" s="711"/>
      <c r="AF1390" s="711"/>
      <c r="AG1390" s="711"/>
      <c r="AH1390" s="711"/>
    </row>
    <row r="1391">
      <c r="A1391" s="48"/>
      <c r="B1391" s="48"/>
      <c r="C1391" s="48"/>
      <c r="D1391" s="721"/>
      <c r="E1391" s="711"/>
      <c r="F1391" s="711"/>
      <c r="G1391" s="721"/>
      <c r="H1391" s="721"/>
      <c r="I1391" s="721"/>
      <c r="J1391" s="48"/>
      <c r="K1391" s="721"/>
      <c r="L1391" s="721"/>
      <c r="M1391" s="721"/>
      <c r="N1391" s="719"/>
      <c r="O1391" s="48"/>
      <c r="P1391" s="719"/>
      <c r="Q1391" s="48"/>
      <c r="R1391" s="48"/>
      <c r="S1391" s="711" t="str">
        <f>IFERROR(__xludf.DUMMYFUNCTION("""COMPUTED_VALUE"""),"")</f>
        <v/>
      </c>
      <c r="T1391" s="721"/>
      <c r="U1391" s="721"/>
      <c r="V1391" s="711"/>
      <c r="W1391" s="721"/>
      <c r="X1391" s="721"/>
      <c r="Y1391" s="48"/>
      <c r="Z1391" s="48"/>
      <c r="AA1391" s="48"/>
      <c r="AB1391" s="711"/>
      <c r="AC1391" s="711"/>
      <c r="AD1391" s="711"/>
      <c r="AE1391" s="711"/>
      <c r="AF1391" s="711"/>
      <c r="AG1391" s="711"/>
      <c r="AH1391" s="711"/>
    </row>
    <row r="1392">
      <c r="A1392" s="48"/>
      <c r="B1392" s="48"/>
      <c r="C1392" s="48"/>
      <c r="D1392" s="721"/>
      <c r="E1392" s="711"/>
      <c r="F1392" s="711"/>
      <c r="G1392" s="721"/>
      <c r="H1392" s="721"/>
      <c r="I1392" s="721"/>
      <c r="J1392" s="48"/>
      <c r="K1392" s="721"/>
      <c r="L1392" s="721"/>
      <c r="M1392" s="721"/>
      <c r="N1392" s="719"/>
      <c r="O1392" s="48"/>
      <c r="P1392" s="719"/>
      <c r="Q1392" s="48"/>
      <c r="R1392" s="48"/>
      <c r="S1392" s="711" t="str">
        <f>IFERROR(__xludf.DUMMYFUNCTION("""COMPUTED_VALUE"""),"")</f>
        <v/>
      </c>
      <c r="T1392" s="721"/>
      <c r="U1392" s="721"/>
      <c r="V1392" s="711"/>
      <c r="W1392" s="721"/>
      <c r="X1392" s="721"/>
      <c r="Y1392" s="48"/>
      <c r="Z1392" s="48"/>
      <c r="AA1392" s="48"/>
      <c r="AB1392" s="711"/>
      <c r="AC1392" s="711"/>
      <c r="AD1392" s="711"/>
      <c r="AE1392" s="711"/>
      <c r="AF1392" s="711"/>
      <c r="AG1392" s="711"/>
      <c r="AH1392" s="711"/>
    </row>
    <row r="1393">
      <c r="A1393" s="48"/>
      <c r="B1393" s="48"/>
      <c r="C1393" s="48"/>
      <c r="D1393" s="721"/>
      <c r="E1393" s="711"/>
      <c r="F1393" s="711"/>
      <c r="G1393" s="721"/>
      <c r="H1393" s="721"/>
      <c r="I1393" s="721"/>
      <c r="J1393" s="48"/>
      <c r="K1393" s="721"/>
      <c r="L1393" s="721"/>
      <c r="M1393" s="721"/>
      <c r="N1393" s="719"/>
      <c r="O1393" s="48"/>
      <c r="P1393" s="719"/>
      <c r="Q1393" s="48"/>
      <c r="R1393" s="48"/>
      <c r="S1393" s="711" t="str">
        <f>IFERROR(__xludf.DUMMYFUNCTION("""COMPUTED_VALUE"""),"")</f>
        <v/>
      </c>
      <c r="T1393" s="721"/>
      <c r="U1393" s="721"/>
      <c r="V1393" s="711"/>
      <c r="W1393" s="721"/>
      <c r="X1393" s="721"/>
      <c r="Y1393" s="48"/>
      <c r="Z1393" s="48"/>
      <c r="AA1393" s="48"/>
      <c r="AB1393" s="711"/>
      <c r="AC1393" s="711"/>
      <c r="AD1393" s="711"/>
      <c r="AE1393" s="711"/>
      <c r="AF1393" s="711"/>
      <c r="AG1393" s="711"/>
      <c r="AH1393" s="711"/>
    </row>
    <row r="1394">
      <c r="A1394" s="48"/>
      <c r="B1394" s="48"/>
      <c r="C1394" s="48"/>
      <c r="D1394" s="721"/>
      <c r="E1394" s="711"/>
      <c r="F1394" s="711"/>
      <c r="G1394" s="721"/>
      <c r="H1394" s="721"/>
      <c r="I1394" s="721"/>
      <c r="J1394" s="48"/>
      <c r="K1394" s="721"/>
      <c r="L1394" s="721"/>
      <c r="M1394" s="721"/>
      <c r="N1394" s="719"/>
      <c r="O1394" s="48"/>
      <c r="P1394" s="719"/>
      <c r="Q1394" s="48"/>
      <c r="R1394" s="48"/>
      <c r="S1394" s="711" t="str">
        <f>IFERROR(__xludf.DUMMYFUNCTION("""COMPUTED_VALUE"""),"")</f>
        <v/>
      </c>
      <c r="T1394" s="721"/>
      <c r="U1394" s="721"/>
      <c r="V1394" s="711"/>
      <c r="W1394" s="721"/>
      <c r="X1394" s="721"/>
      <c r="Y1394" s="48"/>
      <c r="Z1394" s="48"/>
      <c r="AA1394" s="48"/>
      <c r="AB1394" s="711"/>
      <c r="AC1394" s="711"/>
      <c r="AD1394" s="711"/>
      <c r="AE1394" s="711"/>
      <c r="AF1394" s="711"/>
      <c r="AG1394" s="711"/>
      <c r="AH1394" s="711"/>
    </row>
    <row r="1395">
      <c r="A1395" s="48"/>
      <c r="B1395" s="48"/>
      <c r="C1395" s="48"/>
      <c r="D1395" s="721"/>
      <c r="E1395" s="711"/>
      <c r="F1395" s="711"/>
      <c r="G1395" s="721"/>
      <c r="H1395" s="721"/>
      <c r="I1395" s="721"/>
      <c r="J1395" s="48"/>
      <c r="K1395" s="721"/>
      <c r="L1395" s="721"/>
      <c r="M1395" s="721"/>
      <c r="N1395" s="719"/>
      <c r="O1395" s="48"/>
      <c r="P1395" s="719"/>
      <c r="Q1395" s="48"/>
      <c r="R1395" s="48"/>
      <c r="S1395" s="711" t="str">
        <f>IFERROR(__xludf.DUMMYFUNCTION("""COMPUTED_VALUE"""),"")</f>
        <v/>
      </c>
      <c r="T1395" s="721"/>
      <c r="U1395" s="721"/>
      <c r="V1395" s="711"/>
      <c r="W1395" s="721"/>
      <c r="X1395" s="721"/>
      <c r="Y1395" s="48"/>
      <c r="Z1395" s="48"/>
      <c r="AA1395" s="48"/>
      <c r="AB1395" s="711"/>
      <c r="AC1395" s="711"/>
      <c r="AD1395" s="711"/>
      <c r="AE1395" s="711"/>
      <c r="AF1395" s="711"/>
      <c r="AG1395" s="711"/>
      <c r="AH1395" s="711"/>
    </row>
    <row r="1396">
      <c r="A1396" s="48"/>
      <c r="B1396" s="48"/>
      <c r="C1396" s="48"/>
      <c r="D1396" s="721"/>
      <c r="E1396" s="711"/>
      <c r="F1396" s="711"/>
      <c r="G1396" s="721"/>
      <c r="H1396" s="721"/>
      <c r="I1396" s="721"/>
      <c r="J1396" s="48"/>
      <c r="K1396" s="721"/>
      <c r="L1396" s="721"/>
      <c r="M1396" s="721"/>
      <c r="N1396" s="719"/>
      <c r="O1396" s="48"/>
      <c r="P1396" s="719"/>
      <c r="Q1396" s="48"/>
      <c r="R1396" s="48"/>
      <c r="S1396" s="711" t="str">
        <f>IFERROR(__xludf.DUMMYFUNCTION("""COMPUTED_VALUE"""),"")</f>
        <v/>
      </c>
      <c r="T1396" s="721"/>
      <c r="U1396" s="721"/>
      <c r="V1396" s="711"/>
      <c r="W1396" s="721"/>
      <c r="X1396" s="721"/>
      <c r="Y1396" s="48"/>
      <c r="Z1396" s="48"/>
      <c r="AA1396" s="48"/>
      <c r="AB1396" s="711"/>
      <c r="AC1396" s="711"/>
      <c r="AD1396" s="711"/>
      <c r="AE1396" s="711"/>
      <c r="AF1396" s="711"/>
      <c r="AG1396" s="711"/>
      <c r="AH1396" s="711"/>
    </row>
    <row r="1397">
      <c r="A1397" s="48"/>
      <c r="B1397" s="48"/>
      <c r="C1397" s="48"/>
      <c r="D1397" s="721"/>
      <c r="E1397" s="711"/>
      <c r="F1397" s="711"/>
      <c r="G1397" s="721"/>
      <c r="H1397" s="721"/>
      <c r="I1397" s="721"/>
      <c r="J1397" s="48"/>
      <c r="K1397" s="721"/>
      <c r="L1397" s="721"/>
      <c r="M1397" s="721"/>
      <c r="N1397" s="719"/>
      <c r="O1397" s="48"/>
      <c r="P1397" s="719"/>
      <c r="Q1397" s="48"/>
      <c r="R1397" s="48"/>
      <c r="S1397" s="711" t="str">
        <f>IFERROR(__xludf.DUMMYFUNCTION("""COMPUTED_VALUE"""),"")</f>
        <v/>
      </c>
      <c r="T1397" s="721"/>
      <c r="U1397" s="721"/>
      <c r="V1397" s="711"/>
      <c r="W1397" s="721"/>
      <c r="X1397" s="721"/>
      <c r="Y1397" s="48"/>
      <c r="Z1397" s="48"/>
      <c r="AA1397" s="48"/>
      <c r="AB1397" s="711"/>
      <c r="AC1397" s="711"/>
      <c r="AD1397" s="711"/>
      <c r="AE1397" s="711"/>
      <c r="AF1397" s="711"/>
      <c r="AG1397" s="711"/>
      <c r="AH1397" s="711"/>
    </row>
    <row r="1398">
      <c r="A1398" s="48"/>
      <c r="B1398" s="48"/>
      <c r="C1398" s="48"/>
      <c r="D1398" s="721"/>
      <c r="E1398" s="711"/>
      <c r="F1398" s="711"/>
      <c r="G1398" s="721"/>
      <c r="H1398" s="721"/>
      <c r="I1398" s="721"/>
      <c r="J1398" s="48"/>
      <c r="K1398" s="721"/>
      <c r="L1398" s="721"/>
      <c r="M1398" s="721"/>
      <c r="N1398" s="719"/>
      <c r="O1398" s="48"/>
      <c r="P1398" s="719"/>
      <c r="Q1398" s="48"/>
      <c r="R1398" s="48"/>
      <c r="S1398" s="711" t="str">
        <f>IFERROR(__xludf.DUMMYFUNCTION("""COMPUTED_VALUE"""),"")</f>
        <v/>
      </c>
      <c r="T1398" s="721"/>
      <c r="U1398" s="721"/>
      <c r="V1398" s="711"/>
      <c r="W1398" s="721"/>
      <c r="X1398" s="721"/>
      <c r="Y1398" s="48"/>
      <c r="Z1398" s="48"/>
      <c r="AA1398" s="48"/>
      <c r="AB1398" s="711"/>
      <c r="AC1398" s="711"/>
      <c r="AD1398" s="711"/>
      <c r="AE1398" s="711"/>
      <c r="AF1398" s="711"/>
      <c r="AG1398" s="711"/>
      <c r="AH1398" s="711"/>
    </row>
    <row r="1399">
      <c r="A1399" s="48"/>
      <c r="B1399" s="48"/>
      <c r="C1399" s="48"/>
      <c r="D1399" s="721"/>
      <c r="E1399" s="711"/>
      <c r="F1399" s="711"/>
      <c r="G1399" s="721"/>
      <c r="H1399" s="721"/>
      <c r="I1399" s="721"/>
      <c r="J1399" s="48"/>
      <c r="K1399" s="721"/>
      <c r="L1399" s="721"/>
      <c r="M1399" s="721"/>
      <c r="N1399" s="719"/>
      <c r="O1399" s="48"/>
      <c r="P1399" s="719"/>
      <c r="Q1399" s="48"/>
      <c r="R1399" s="48"/>
      <c r="S1399" s="711" t="str">
        <f>IFERROR(__xludf.DUMMYFUNCTION("""COMPUTED_VALUE"""),"")</f>
        <v/>
      </c>
      <c r="T1399" s="721"/>
      <c r="U1399" s="721"/>
      <c r="V1399" s="711"/>
      <c r="W1399" s="721"/>
      <c r="X1399" s="721"/>
      <c r="Y1399" s="48"/>
      <c r="Z1399" s="48"/>
      <c r="AA1399" s="48"/>
      <c r="AB1399" s="711"/>
      <c r="AC1399" s="711"/>
      <c r="AD1399" s="711"/>
      <c r="AE1399" s="711"/>
      <c r="AF1399" s="711"/>
      <c r="AG1399" s="711"/>
      <c r="AH1399" s="711"/>
    </row>
    <row r="1400">
      <c r="A1400" s="48"/>
      <c r="B1400" s="48"/>
      <c r="C1400" s="48"/>
      <c r="D1400" s="721"/>
      <c r="E1400" s="711"/>
      <c r="F1400" s="711"/>
      <c r="G1400" s="721"/>
      <c r="H1400" s="721"/>
      <c r="I1400" s="721"/>
      <c r="J1400" s="48"/>
      <c r="K1400" s="721"/>
      <c r="L1400" s="721"/>
      <c r="M1400" s="721"/>
      <c r="N1400" s="719"/>
      <c r="O1400" s="48"/>
      <c r="P1400" s="719"/>
      <c r="Q1400" s="48"/>
      <c r="R1400" s="48"/>
      <c r="S1400" s="711" t="str">
        <f>IFERROR(__xludf.DUMMYFUNCTION("""COMPUTED_VALUE"""),"")</f>
        <v/>
      </c>
      <c r="T1400" s="721"/>
      <c r="U1400" s="721"/>
      <c r="V1400" s="711"/>
      <c r="W1400" s="721"/>
      <c r="X1400" s="721"/>
      <c r="Y1400" s="48"/>
      <c r="Z1400" s="48"/>
      <c r="AA1400" s="48"/>
      <c r="AB1400" s="711"/>
      <c r="AC1400" s="711"/>
      <c r="AD1400" s="711"/>
      <c r="AE1400" s="711"/>
      <c r="AF1400" s="711"/>
      <c r="AG1400" s="711"/>
      <c r="AH1400" s="711"/>
    </row>
    <row r="1401">
      <c r="A1401" s="48"/>
      <c r="B1401" s="48"/>
      <c r="C1401" s="48"/>
      <c r="D1401" s="721"/>
      <c r="E1401" s="711"/>
      <c r="F1401" s="711"/>
      <c r="G1401" s="721"/>
      <c r="H1401" s="721"/>
      <c r="I1401" s="721"/>
      <c r="J1401" s="48"/>
      <c r="K1401" s="721"/>
      <c r="L1401" s="721"/>
      <c r="M1401" s="721"/>
      <c r="N1401" s="719"/>
      <c r="O1401" s="48"/>
      <c r="P1401" s="719"/>
      <c r="Q1401" s="48"/>
      <c r="R1401" s="48"/>
      <c r="S1401" s="711" t="str">
        <f>IFERROR(__xludf.DUMMYFUNCTION("""COMPUTED_VALUE"""),"")</f>
        <v/>
      </c>
      <c r="T1401" s="721"/>
      <c r="U1401" s="721"/>
      <c r="V1401" s="711"/>
      <c r="W1401" s="721"/>
      <c r="X1401" s="721"/>
      <c r="Y1401" s="48"/>
      <c r="Z1401" s="48"/>
      <c r="AA1401" s="48"/>
      <c r="AB1401" s="711"/>
      <c r="AC1401" s="711"/>
      <c r="AD1401" s="711"/>
      <c r="AE1401" s="711"/>
      <c r="AF1401" s="711"/>
      <c r="AG1401" s="711"/>
      <c r="AH1401" s="711"/>
    </row>
    <row r="1402">
      <c r="A1402" s="48"/>
      <c r="B1402" s="48"/>
      <c r="C1402" s="48"/>
      <c r="D1402" s="721"/>
      <c r="E1402" s="711"/>
      <c r="F1402" s="711"/>
      <c r="G1402" s="721"/>
      <c r="H1402" s="721"/>
      <c r="I1402" s="721"/>
      <c r="J1402" s="48"/>
      <c r="K1402" s="721"/>
      <c r="L1402" s="721"/>
      <c r="M1402" s="721"/>
      <c r="N1402" s="719"/>
      <c r="O1402" s="48"/>
      <c r="P1402" s="719"/>
      <c r="Q1402" s="48"/>
      <c r="R1402" s="48"/>
      <c r="S1402" s="711" t="str">
        <f>IFERROR(__xludf.DUMMYFUNCTION("""COMPUTED_VALUE"""),"")</f>
        <v/>
      </c>
      <c r="T1402" s="721"/>
      <c r="U1402" s="721"/>
      <c r="V1402" s="711"/>
      <c r="W1402" s="721"/>
      <c r="X1402" s="721"/>
      <c r="Y1402" s="48"/>
      <c r="Z1402" s="48"/>
      <c r="AA1402" s="48"/>
      <c r="AB1402" s="711"/>
      <c r="AC1402" s="711"/>
      <c r="AD1402" s="711"/>
      <c r="AE1402" s="711"/>
      <c r="AF1402" s="711"/>
      <c r="AG1402" s="711"/>
      <c r="AH1402" s="711"/>
    </row>
    <row r="1403">
      <c r="A1403" s="48"/>
      <c r="B1403" s="48"/>
      <c r="C1403" s="48"/>
      <c r="D1403" s="721"/>
      <c r="E1403" s="711"/>
      <c r="F1403" s="711"/>
      <c r="G1403" s="721"/>
      <c r="H1403" s="721"/>
      <c r="I1403" s="721"/>
      <c r="J1403" s="48"/>
      <c r="K1403" s="721"/>
      <c r="L1403" s="721"/>
      <c r="M1403" s="721"/>
      <c r="N1403" s="719"/>
      <c r="O1403" s="48"/>
      <c r="P1403" s="719"/>
      <c r="Q1403" s="48"/>
      <c r="R1403" s="48"/>
      <c r="S1403" s="711" t="str">
        <f>IFERROR(__xludf.DUMMYFUNCTION("""COMPUTED_VALUE"""),"")</f>
        <v/>
      </c>
      <c r="T1403" s="721"/>
      <c r="U1403" s="721"/>
      <c r="V1403" s="711"/>
      <c r="W1403" s="721"/>
      <c r="X1403" s="721"/>
      <c r="Y1403" s="48"/>
      <c r="Z1403" s="48"/>
      <c r="AA1403" s="48"/>
      <c r="AB1403" s="711"/>
      <c r="AC1403" s="711"/>
      <c r="AD1403" s="711"/>
      <c r="AE1403" s="711"/>
      <c r="AF1403" s="711"/>
      <c r="AG1403" s="711"/>
      <c r="AH1403" s="711"/>
    </row>
    <row r="1404">
      <c r="A1404" s="48"/>
      <c r="B1404" s="48"/>
      <c r="C1404" s="48"/>
      <c r="D1404" s="721"/>
      <c r="E1404" s="711"/>
      <c r="F1404" s="711"/>
      <c r="G1404" s="721"/>
      <c r="H1404" s="721"/>
      <c r="I1404" s="721"/>
      <c r="J1404" s="48"/>
      <c r="K1404" s="721"/>
      <c r="L1404" s="721"/>
      <c r="M1404" s="721"/>
      <c r="N1404" s="719"/>
      <c r="O1404" s="48"/>
      <c r="P1404" s="719"/>
      <c r="Q1404" s="48"/>
      <c r="R1404" s="48"/>
      <c r="S1404" s="711" t="str">
        <f>IFERROR(__xludf.DUMMYFUNCTION("""COMPUTED_VALUE"""),"")</f>
        <v/>
      </c>
      <c r="T1404" s="721"/>
      <c r="U1404" s="721"/>
      <c r="V1404" s="711"/>
      <c r="W1404" s="721"/>
      <c r="X1404" s="721"/>
      <c r="Y1404" s="48"/>
      <c r="Z1404" s="48"/>
      <c r="AA1404" s="48"/>
      <c r="AB1404" s="711"/>
      <c r="AC1404" s="711"/>
      <c r="AD1404" s="711"/>
      <c r="AE1404" s="711"/>
      <c r="AF1404" s="711"/>
      <c r="AG1404" s="711"/>
      <c r="AH1404" s="711"/>
    </row>
    <row r="1405">
      <c r="A1405" s="48"/>
      <c r="B1405" s="48"/>
      <c r="C1405" s="48"/>
      <c r="D1405" s="721"/>
      <c r="E1405" s="711"/>
      <c r="F1405" s="711"/>
      <c r="G1405" s="721"/>
      <c r="H1405" s="721"/>
      <c r="I1405" s="721"/>
      <c r="J1405" s="48"/>
      <c r="K1405" s="721"/>
      <c r="L1405" s="721"/>
      <c r="M1405" s="721"/>
      <c r="N1405" s="719"/>
      <c r="O1405" s="48"/>
      <c r="P1405" s="719"/>
      <c r="Q1405" s="48"/>
      <c r="R1405" s="48"/>
      <c r="S1405" s="711" t="str">
        <f>IFERROR(__xludf.DUMMYFUNCTION("""COMPUTED_VALUE"""),"")</f>
        <v/>
      </c>
      <c r="T1405" s="721"/>
      <c r="U1405" s="721"/>
      <c r="V1405" s="711"/>
      <c r="W1405" s="721"/>
      <c r="X1405" s="721"/>
      <c r="Y1405" s="48"/>
      <c r="Z1405" s="48"/>
      <c r="AA1405" s="48"/>
      <c r="AB1405" s="711"/>
      <c r="AC1405" s="711"/>
      <c r="AD1405" s="711"/>
      <c r="AE1405" s="711"/>
      <c r="AF1405" s="711"/>
      <c r="AG1405" s="711"/>
      <c r="AH1405" s="711"/>
    </row>
    <row r="1406">
      <c r="A1406" s="48"/>
      <c r="B1406" s="48"/>
      <c r="C1406" s="48"/>
      <c r="D1406" s="721"/>
      <c r="E1406" s="711"/>
      <c r="F1406" s="711"/>
      <c r="G1406" s="721"/>
      <c r="H1406" s="721"/>
      <c r="I1406" s="721"/>
      <c r="J1406" s="48"/>
      <c r="K1406" s="721"/>
      <c r="L1406" s="721"/>
      <c r="M1406" s="721"/>
      <c r="N1406" s="719"/>
      <c r="O1406" s="48"/>
      <c r="P1406" s="719"/>
      <c r="Q1406" s="48"/>
      <c r="R1406" s="48"/>
      <c r="S1406" s="711" t="str">
        <f>IFERROR(__xludf.DUMMYFUNCTION("""COMPUTED_VALUE"""),"")</f>
        <v/>
      </c>
      <c r="T1406" s="721"/>
      <c r="U1406" s="721"/>
      <c r="V1406" s="711"/>
      <c r="W1406" s="721"/>
      <c r="X1406" s="721"/>
      <c r="Y1406" s="48"/>
      <c r="Z1406" s="48"/>
      <c r="AA1406" s="48"/>
      <c r="AB1406" s="711"/>
      <c r="AC1406" s="711"/>
      <c r="AD1406" s="711"/>
      <c r="AE1406" s="711"/>
      <c r="AF1406" s="711"/>
      <c r="AG1406" s="711"/>
      <c r="AH1406" s="711"/>
    </row>
    <row r="1407">
      <c r="A1407" s="48"/>
      <c r="B1407" s="48"/>
      <c r="C1407" s="48"/>
      <c r="D1407" s="721"/>
      <c r="E1407" s="711"/>
      <c r="F1407" s="711"/>
      <c r="G1407" s="721"/>
      <c r="H1407" s="721"/>
      <c r="I1407" s="721"/>
      <c r="J1407" s="48"/>
      <c r="K1407" s="721"/>
      <c r="L1407" s="721"/>
      <c r="M1407" s="721"/>
      <c r="N1407" s="719"/>
      <c r="O1407" s="48"/>
      <c r="P1407" s="719"/>
      <c r="Q1407" s="48"/>
      <c r="R1407" s="48"/>
      <c r="S1407" s="711" t="str">
        <f>IFERROR(__xludf.DUMMYFUNCTION("""COMPUTED_VALUE"""),"")</f>
        <v/>
      </c>
      <c r="T1407" s="721"/>
      <c r="U1407" s="721"/>
      <c r="V1407" s="711"/>
      <c r="W1407" s="721"/>
      <c r="X1407" s="721"/>
      <c r="Y1407" s="48"/>
      <c r="Z1407" s="48"/>
      <c r="AA1407" s="48"/>
      <c r="AB1407" s="711"/>
      <c r="AC1407" s="711"/>
      <c r="AD1407" s="711"/>
      <c r="AE1407" s="711"/>
      <c r="AF1407" s="711"/>
      <c r="AG1407" s="711"/>
      <c r="AH1407" s="711"/>
    </row>
    <row r="1408">
      <c r="A1408" s="48"/>
      <c r="B1408" s="48"/>
      <c r="C1408" s="48"/>
      <c r="D1408" s="721"/>
      <c r="E1408" s="711"/>
      <c r="F1408" s="711"/>
      <c r="G1408" s="721"/>
      <c r="H1408" s="721"/>
      <c r="I1408" s="721"/>
      <c r="J1408" s="48"/>
      <c r="K1408" s="721"/>
      <c r="L1408" s="721"/>
      <c r="M1408" s="721"/>
      <c r="N1408" s="719"/>
      <c r="O1408" s="48"/>
      <c r="P1408" s="719"/>
      <c r="Q1408" s="48"/>
      <c r="R1408" s="48"/>
      <c r="S1408" s="711" t="str">
        <f>IFERROR(__xludf.DUMMYFUNCTION("""COMPUTED_VALUE"""),"")</f>
        <v/>
      </c>
      <c r="T1408" s="721"/>
      <c r="U1408" s="721"/>
      <c r="V1408" s="711"/>
      <c r="W1408" s="721"/>
      <c r="X1408" s="721"/>
      <c r="Y1408" s="48"/>
      <c r="Z1408" s="48"/>
      <c r="AA1408" s="48"/>
      <c r="AB1408" s="711"/>
      <c r="AC1408" s="711"/>
      <c r="AD1408" s="711"/>
      <c r="AE1408" s="711"/>
      <c r="AF1408" s="711"/>
      <c r="AG1408" s="711"/>
      <c r="AH1408" s="711"/>
    </row>
    <row r="1409">
      <c r="A1409" s="48"/>
      <c r="B1409" s="48"/>
      <c r="C1409" s="48"/>
      <c r="D1409" s="721"/>
      <c r="E1409" s="711"/>
      <c r="F1409" s="711"/>
      <c r="G1409" s="721"/>
      <c r="H1409" s="721"/>
      <c r="I1409" s="721"/>
      <c r="J1409" s="48"/>
      <c r="K1409" s="721"/>
      <c r="L1409" s="721"/>
      <c r="M1409" s="721"/>
      <c r="N1409" s="719"/>
      <c r="O1409" s="48"/>
      <c r="P1409" s="719"/>
      <c r="Q1409" s="48"/>
      <c r="R1409" s="48"/>
      <c r="S1409" s="711" t="str">
        <f>IFERROR(__xludf.DUMMYFUNCTION("""COMPUTED_VALUE"""),"")</f>
        <v/>
      </c>
      <c r="T1409" s="721"/>
      <c r="U1409" s="721"/>
      <c r="V1409" s="711"/>
      <c r="W1409" s="721"/>
      <c r="X1409" s="721"/>
      <c r="Y1409" s="48"/>
      <c r="Z1409" s="48"/>
      <c r="AA1409" s="48"/>
      <c r="AB1409" s="711"/>
      <c r="AC1409" s="711"/>
      <c r="AD1409" s="711"/>
      <c r="AE1409" s="711"/>
      <c r="AF1409" s="711"/>
      <c r="AG1409" s="711"/>
      <c r="AH1409" s="711"/>
    </row>
    <row r="1410">
      <c r="A1410" s="48"/>
      <c r="B1410" s="48"/>
      <c r="C1410" s="48"/>
      <c r="D1410" s="721"/>
      <c r="E1410" s="711"/>
      <c r="F1410" s="711"/>
      <c r="G1410" s="721"/>
      <c r="H1410" s="721"/>
      <c r="I1410" s="721"/>
      <c r="J1410" s="48"/>
      <c r="K1410" s="721"/>
      <c r="L1410" s="721"/>
      <c r="M1410" s="721"/>
      <c r="N1410" s="719"/>
      <c r="O1410" s="48"/>
      <c r="P1410" s="719"/>
      <c r="Q1410" s="48"/>
      <c r="R1410" s="48"/>
      <c r="S1410" s="711" t="str">
        <f>IFERROR(__xludf.DUMMYFUNCTION("""COMPUTED_VALUE"""),"")</f>
        <v/>
      </c>
      <c r="T1410" s="721"/>
      <c r="U1410" s="721"/>
      <c r="V1410" s="711"/>
      <c r="W1410" s="721"/>
      <c r="X1410" s="721"/>
      <c r="Y1410" s="48"/>
      <c r="Z1410" s="48"/>
      <c r="AA1410" s="48"/>
      <c r="AB1410" s="711"/>
      <c r="AC1410" s="711"/>
      <c r="AD1410" s="711"/>
      <c r="AE1410" s="711"/>
      <c r="AF1410" s="711"/>
      <c r="AG1410" s="711"/>
      <c r="AH1410" s="711"/>
    </row>
    <row r="1411">
      <c r="A1411" s="48"/>
      <c r="B1411" s="48"/>
      <c r="C1411" s="48"/>
      <c r="D1411" s="721"/>
      <c r="E1411" s="711"/>
      <c r="F1411" s="711"/>
      <c r="G1411" s="721"/>
      <c r="H1411" s="721"/>
      <c r="I1411" s="721"/>
      <c r="J1411" s="48"/>
      <c r="K1411" s="721"/>
      <c r="L1411" s="721"/>
      <c r="M1411" s="721"/>
      <c r="N1411" s="719"/>
      <c r="O1411" s="48"/>
      <c r="P1411" s="719"/>
      <c r="Q1411" s="48"/>
      <c r="R1411" s="48"/>
      <c r="S1411" s="711" t="str">
        <f>IFERROR(__xludf.DUMMYFUNCTION("""COMPUTED_VALUE"""),"")</f>
        <v/>
      </c>
      <c r="T1411" s="721"/>
      <c r="U1411" s="721"/>
      <c r="V1411" s="711"/>
      <c r="W1411" s="721"/>
      <c r="X1411" s="721"/>
      <c r="Y1411" s="48"/>
      <c r="Z1411" s="48"/>
      <c r="AA1411" s="48"/>
      <c r="AB1411" s="711"/>
      <c r="AC1411" s="711"/>
      <c r="AD1411" s="711"/>
      <c r="AE1411" s="711"/>
      <c r="AF1411" s="711"/>
      <c r="AG1411" s="711"/>
      <c r="AH1411" s="711"/>
    </row>
    <row r="1412">
      <c r="A1412" s="48"/>
      <c r="B1412" s="48"/>
      <c r="C1412" s="48"/>
      <c r="D1412" s="721"/>
      <c r="E1412" s="711"/>
      <c r="F1412" s="711"/>
      <c r="G1412" s="721"/>
      <c r="H1412" s="721"/>
      <c r="I1412" s="721"/>
      <c r="J1412" s="48"/>
      <c r="K1412" s="721"/>
      <c r="L1412" s="721"/>
      <c r="M1412" s="721"/>
      <c r="N1412" s="719"/>
      <c r="O1412" s="48"/>
      <c r="P1412" s="719"/>
      <c r="Q1412" s="48"/>
      <c r="R1412" s="48"/>
      <c r="S1412" s="711" t="str">
        <f>IFERROR(__xludf.DUMMYFUNCTION("""COMPUTED_VALUE"""),"")</f>
        <v/>
      </c>
      <c r="T1412" s="721"/>
      <c r="U1412" s="721"/>
      <c r="V1412" s="711"/>
      <c r="W1412" s="721"/>
      <c r="X1412" s="721"/>
      <c r="Y1412" s="48"/>
      <c r="Z1412" s="48"/>
      <c r="AA1412" s="48"/>
      <c r="AB1412" s="711"/>
      <c r="AC1412" s="711"/>
      <c r="AD1412" s="711"/>
      <c r="AE1412" s="711"/>
      <c r="AF1412" s="711"/>
      <c r="AG1412" s="711"/>
      <c r="AH1412" s="711"/>
    </row>
    <row r="1413">
      <c r="A1413" s="48"/>
      <c r="B1413" s="48"/>
      <c r="C1413" s="48"/>
      <c r="D1413" s="721"/>
      <c r="E1413" s="711"/>
      <c r="F1413" s="711"/>
      <c r="G1413" s="721"/>
      <c r="H1413" s="721"/>
      <c r="I1413" s="721"/>
      <c r="J1413" s="48"/>
      <c r="K1413" s="721"/>
      <c r="L1413" s="721"/>
      <c r="M1413" s="721"/>
      <c r="N1413" s="719"/>
      <c r="O1413" s="48"/>
      <c r="P1413" s="719"/>
      <c r="Q1413" s="48"/>
      <c r="R1413" s="48"/>
      <c r="S1413" s="711" t="str">
        <f>IFERROR(__xludf.DUMMYFUNCTION("""COMPUTED_VALUE"""),"")</f>
        <v/>
      </c>
      <c r="T1413" s="721"/>
      <c r="U1413" s="721"/>
      <c r="V1413" s="711"/>
      <c r="W1413" s="721"/>
      <c r="X1413" s="721"/>
      <c r="Y1413" s="48"/>
      <c r="Z1413" s="48"/>
      <c r="AA1413" s="48"/>
      <c r="AB1413" s="711"/>
      <c r="AC1413" s="711"/>
      <c r="AD1413" s="711"/>
      <c r="AE1413" s="711"/>
      <c r="AF1413" s="711"/>
      <c r="AG1413" s="711"/>
      <c r="AH1413" s="711"/>
    </row>
    <row r="1414">
      <c r="A1414" s="48"/>
      <c r="B1414" s="48"/>
      <c r="C1414" s="48"/>
      <c r="D1414" s="721"/>
      <c r="E1414" s="711"/>
      <c r="F1414" s="711"/>
      <c r="G1414" s="721"/>
      <c r="H1414" s="721"/>
      <c r="I1414" s="721"/>
      <c r="J1414" s="48"/>
      <c r="K1414" s="721"/>
      <c r="L1414" s="721"/>
      <c r="M1414" s="721"/>
      <c r="N1414" s="719"/>
      <c r="O1414" s="48"/>
      <c r="P1414" s="719"/>
      <c r="Q1414" s="48"/>
      <c r="R1414" s="48"/>
      <c r="S1414" s="711" t="str">
        <f>IFERROR(__xludf.DUMMYFUNCTION("""COMPUTED_VALUE"""),"")</f>
        <v/>
      </c>
      <c r="T1414" s="721"/>
      <c r="U1414" s="721"/>
      <c r="V1414" s="711"/>
      <c r="W1414" s="721"/>
      <c r="X1414" s="721"/>
      <c r="Y1414" s="48"/>
      <c r="Z1414" s="48"/>
      <c r="AA1414" s="48"/>
      <c r="AB1414" s="711"/>
      <c r="AC1414" s="711"/>
      <c r="AD1414" s="711"/>
      <c r="AE1414" s="711"/>
      <c r="AF1414" s="711"/>
      <c r="AG1414" s="711"/>
      <c r="AH1414" s="711"/>
    </row>
    <row r="1415">
      <c r="A1415" s="48"/>
      <c r="B1415" s="48"/>
      <c r="C1415" s="48"/>
      <c r="D1415" s="721"/>
      <c r="E1415" s="711"/>
      <c r="F1415" s="711"/>
      <c r="G1415" s="721"/>
      <c r="H1415" s="721"/>
      <c r="I1415" s="721"/>
      <c r="J1415" s="48"/>
      <c r="K1415" s="721"/>
      <c r="L1415" s="721"/>
      <c r="M1415" s="721"/>
      <c r="N1415" s="719"/>
      <c r="O1415" s="48"/>
      <c r="P1415" s="719"/>
      <c r="Q1415" s="48"/>
      <c r="R1415" s="48"/>
      <c r="S1415" s="711" t="str">
        <f>IFERROR(__xludf.DUMMYFUNCTION("""COMPUTED_VALUE"""),"")</f>
        <v/>
      </c>
      <c r="T1415" s="721"/>
      <c r="U1415" s="721"/>
      <c r="V1415" s="711"/>
      <c r="W1415" s="721"/>
      <c r="X1415" s="721"/>
      <c r="Y1415" s="48"/>
      <c r="Z1415" s="48"/>
      <c r="AA1415" s="48"/>
      <c r="AB1415" s="711"/>
      <c r="AC1415" s="711"/>
      <c r="AD1415" s="711"/>
      <c r="AE1415" s="711"/>
      <c r="AF1415" s="711"/>
      <c r="AG1415" s="711"/>
      <c r="AH1415" s="711"/>
    </row>
    <row r="1416">
      <c r="A1416" s="48"/>
      <c r="B1416" s="48"/>
      <c r="C1416" s="48"/>
      <c r="D1416" s="721"/>
      <c r="E1416" s="711"/>
      <c r="F1416" s="711"/>
      <c r="G1416" s="721"/>
      <c r="H1416" s="721"/>
      <c r="I1416" s="721"/>
      <c r="J1416" s="48"/>
      <c r="K1416" s="721"/>
      <c r="L1416" s="721"/>
      <c r="M1416" s="721"/>
      <c r="N1416" s="719"/>
      <c r="O1416" s="48"/>
      <c r="P1416" s="719"/>
      <c r="Q1416" s="48"/>
      <c r="R1416" s="48"/>
      <c r="S1416" s="711" t="str">
        <f>IFERROR(__xludf.DUMMYFUNCTION("""COMPUTED_VALUE"""),"")</f>
        <v/>
      </c>
      <c r="T1416" s="721"/>
      <c r="U1416" s="721"/>
      <c r="V1416" s="711"/>
      <c r="W1416" s="721"/>
      <c r="X1416" s="721"/>
      <c r="Y1416" s="48"/>
      <c r="Z1416" s="48"/>
      <c r="AA1416" s="48"/>
      <c r="AB1416" s="711"/>
      <c r="AC1416" s="711"/>
      <c r="AD1416" s="711"/>
      <c r="AE1416" s="711"/>
      <c r="AF1416" s="711"/>
      <c r="AG1416" s="711"/>
      <c r="AH1416" s="711"/>
    </row>
    <row r="1417">
      <c r="A1417" s="48"/>
      <c r="B1417" s="48"/>
      <c r="C1417" s="48"/>
      <c r="D1417" s="721"/>
      <c r="E1417" s="711"/>
      <c r="F1417" s="711"/>
      <c r="G1417" s="721"/>
      <c r="H1417" s="721"/>
      <c r="I1417" s="721"/>
      <c r="J1417" s="48"/>
      <c r="K1417" s="721"/>
      <c r="L1417" s="721"/>
      <c r="M1417" s="721"/>
      <c r="N1417" s="719"/>
      <c r="O1417" s="48"/>
      <c r="P1417" s="719"/>
      <c r="Q1417" s="48"/>
      <c r="R1417" s="48"/>
      <c r="S1417" s="711" t="str">
        <f>IFERROR(__xludf.DUMMYFUNCTION("""COMPUTED_VALUE"""),"")</f>
        <v/>
      </c>
      <c r="T1417" s="721"/>
      <c r="U1417" s="721"/>
      <c r="V1417" s="711"/>
      <c r="W1417" s="721"/>
      <c r="X1417" s="721"/>
      <c r="Y1417" s="48"/>
      <c r="Z1417" s="48"/>
      <c r="AA1417" s="48"/>
      <c r="AB1417" s="711"/>
      <c r="AC1417" s="711"/>
      <c r="AD1417" s="711"/>
      <c r="AE1417" s="711"/>
      <c r="AF1417" s="711"/>
      <c r="AG1417" s="711"/>
      <c r="AH1417" s="711"/>
    </row>
    <row r="1418">
      <c r="A1418" s="48"/>
      <c r="B1418" s="48"/>
      <c r="C1418" s="48"/>
      <c r="D1418" s="721"/>
      <c r="E1418" s="711"/>
      <c r="F1418" s="711"/>
      <c r="G1418" s="721"/>
      <c r="H1418" s="721"/>
      <c r="I1418" s="721"/>
      <c r="J1418" s="48"/>
      <c r="K1418" s="721"/>
      <c r="L1418" s="721"/>
      <c r="M1418" s="721"/>
      <c r="N1418" s="719"/>
      <c r="O1418" s="48"/>
      <c r="P1418" s="719"/>
      <c r="Q1418" s="48"/>
      <c r="R1418" s="48"/>
      <c r="S1418" s="711" t="str">
        <f>IFERROR(__xludf.DUMMYFUNCTION("""COMPUTED_VALUE"""),"")</f>
        <v/>
      </c>
      <c r="T1418" s="721"/>
      <c r="U1418" s="721"/>
      <c r="V1418" s="711"/>
      <c r="W1418" s="721"/>
      <c r="X1418" s="721"/>
      <c r="Y1418" s="48"/>
      <c r="Z1418" s="48"/>
      <c r="AA1418" s="48"/>
      <c r="AB1418" s="711"/>
      <c r="AC1418" s="711"/>
      <c r="AD1418" s="711"/>
      <c r="AE1418" s="711"/>
      <c r="AF1418" s="711"/>
      <c r="AG1418" s="711"/>
      <c r="AH1418" s="711"/>
    </row>
    <row r="1419">
      <c r="A1419" s="48"/>
      <c r="B1419" s="48"/>
      <c r="C1419" s="48"/>
      <c r="D1419" s="721"/>
      <c r="E1419" s="711"/>
      <c r="F1419" s="711"/>
      <c r="G1419" s="721"/>
      <c r="H1419" s="721"/>
      <c r="I1419" s="721"/>
      <c r="J1419" s="48"/>
      <c r="K1419" s="721"/>
      <c r="L1419" s="721"/>
      <c r="M1419" s="721"/>
      <c r="N1419" s="719"/>
      <c r="O1419" s="48"/>
      <c r="P1419" s="719"/>
      <c r="Q1419" s="48"/>
      <c r="R1419" s="48"/>
      <c r="S1419" s="711" t="str">
        <f>IFERROR(__xludf.DUMMYFUNCTION("""COMPUTED_VALUE"""),"")</f>
        <v/>
      </c>
      <c r="T1419" s="721"/>
      <c r="U1419" s="721"/>
      <c r="V1419" s="711"/>
      <c r="W1419" s="721"/>
      <c r="X1419" s="721"/>
      <c r="Y1419" s="48"/>
      <c r="Z1419" s="48"/>
      <c r="AA1419" s="48"/>
      <c r="AB1419" s="711"/>
      <c r="AC1419" s="711"/>
      <c r="AD1419" s="711"/>
      <c r="AE1419" s="711"/>
      <c r="AF1419" s="711"/>
      <c r="AG1419" s="711"/>
      <c r="AH1419" s="711"/>
    </row>
    <row r="1420">
      <c r="A1420" s="48"/>
      <c r="B1420" s="48"/>
      <c r="C1420" s="48"/>
      <c r="D1420" s="721"/>
      <c r="E1420" s="711"/>
      <c r="F1420" s="711"/>
      <c r="G1420" s="721"/>
      <c r="H1420" s="721"/>
      <c r="I1420" s="721"/>
      <c r="J1420" s="48"/>
      <c r="K1420" s="721"/>
      <c r="L1420" s="721"/>
      <c r="M1420" s="721"/>
      <c r="N1420" s="719"/>
      <c r="O1420" s="48"/>
      <c r="P1420" s="719"/>
      <c r="Q1420" s="48"/>
      <c r="R1420" s="48"/>
      <c r="S1420" s="711" t="str">
        <f>IFERROR(__xludf.DUMMYFUNCTION("""COMPUTED_VALUE"""),"")</f>
        <v/>
      </c>
      <c r="T1420" s="721"/>
      <c r="U1420" s="721"/>
      <c r="V1420" s="711"/>
      <c r="W1420" s="721"/>
      <c r="X1420" s="721"/>
      <c r="Y1420" s="48"/>
      <c r="Z1420" s="48"/>
      <c r="AA1420" s="48"/>
      <c r="AB1420" s="711"/>
      <c r="AC1420" s="711"/>
      <c r="AD1420" s="711"/>
      <c r="AE1420" s="711"/>
      <c r="AF1420" s="711"/>
      <c r="AG1420" s="711"/>
      <c r="AH1420" s="711"/>
    </row>
    <row r="1421">
      <c r="A1421" s="48"/>
      <c r="B1421" s="48"/>
      <c r="C1421" s="48"/>
      <c r="D1421" s="721"/>
      <c r="E1421" s="711"/>
      <c r="F1421" s="711"/>
      <c r="G1421" s="721"/>
      <c r="H1421" s="721"/>
      <c r="I1421" s="721"/>
      <c r="J1421" s="48"/>
      <c r="K1421" s="721"/>
      <c r="L1421" s="721"/>
      <c r="M1421" s="721"/>
      <c r="N1421" s="719"/>
      <c r="O1421" s="48"/>
      <c r="P1421" s="719"/>
      <c r="Q1421" s="48"/>
      <c r="R1421" s="48"/>
      <c r="S1421" s="711" t="str">
        <f>IFERROR(__xludf.DUMMYFUNCTION("""COMPUTED_VALUE"""),"")</f>
        <v/>
      </c>
      <c r="T1421" s="721"/>
      <c r="U1421" s="721"/>
      <c r="V1421" s="711"/>
      <c r="W1421" s="721"/>
      <c r="X1421" s="721"/>
      <c r="Y1421" s="48"/>
      <c r="Z1421" s="48"/>
      <c r="AA1421" s="48"/>
      <c r="AB1421" s="711"/>
      <c r="AC1421" s="711"/>
      <c r="AD1421" s="711"/>
      <c r="AE1421" s="711"/>
      <c r="AF1421" s="711"/>
      <c r="AG1421" s="711"/>
      <c r="AH1421" s="711"/>
    </row>
    <row r="1422">
      <c r="A1422" s="48"/>
      <c r="B1422" s="48"/>
      <c r="C1422" s="48"/>
      <c r="D1422" s="721"/>
      <c r="E1422" s="711"/>
      <c r="F1422" s="711"/>
      <c r="G1422" s="721"/>
      <c r="H1422" s="721"/>
      <c r="I1422" s="721"/>
      <c r="J1422" s="48"/>
      <c r="K1422" s="721"/>
      <c r="L1422" s="721"/>
      <c r="M1422" s="721"/>
      <c r="N1422" s="719"/>
      <c r="O1422" s="48"/>
      <c r="P1422" s="719"/>
      <c r="Q1422" s="48"/>
      <c r="R1422" s="48"/>
      <c r="S1422" s="711" t="str">
        <f>IFERROR(__xludf.DUMMYFUNCTION("""COMPUTED_VALUE"""),"")</f>
        <v/>
      </c>
      <c r="T1422" s="721"/>
      <c r="U1422" s="721"/>
      <c r="V1422" s="711"/>
      <c r="W1422" s="721"/>
      <c r="X1422" s="721"/>
      <c r="Y1422" s="48"/>
      <c r="Z1422" s="48"/>
      <c r="AA1422" s="48"/>
      <c r="AB1422" s="711"/>
      <c r="AC1422" s="711"/>
      <c r="AD1422" s="711"/>
      <c r="AE1422" s="711"/>
      <c r="AF1422" s="711"/>
      <c r="AG1422" s="711"/>
      <c r="AH1422" s="711"/>
    </row>
    <row r="1423">
      <c r="A1423" s="48"/>
      <c r="B1423" s="48"/>
      <c r="C1423" s="48"/>
      <c r="D1423" s="721"/>
      <c r="E1423" s="711"/>
      <c r="F1423" s="711"/>
      <c r="G1423" s="721"/>
      <c r="H1423" s="721"/>
      <c r="I1423" s="721"/>
      <c r="J1423" s="48"/>
      <c r="K1423" s="721"/>
      <c r="L1423" s="721"/>
      <c r="M1423" s="721"/>
      <c r="N1423" s="719"/>
      <c r="O1423" s="48"/>
      <c r="P1423" s="719"/>
      <c r="Q1423" s="48"/>
      <c r="R1423" s="48"/>
      <c r="S1423" s="711" t="str">
        <f>IFERROR(__xludf.DUMMYFUNCTION("""COMPUTED_VALUE"""),"")</f>
        <v/>
      </c>
      <c r="T1423" s="721"/>
      <c r="U1423" s="721"/>
      <c r="V1423" s="711"/>
      <c r="W1423" s="721"/>
      <c r="X1423" s="721"/>
      <c r="Y1423" s="48"/>
      <c r="Z1423" s="48"/>
      <c r="AA1423" s="48"/>
      <c r="AB1423" s="711"/>
      <c r="AC1423" s="711"/>
      <c r="AD1423" s="711"/>
      <c r="AE1423" s="711"/>
      <c r="AF1423" s="711"/>
      <c r="AG1423" s="711"/>
      <c r="AH1423" s="711"/>
    </row>
    <row r="1424">
      <c r="A1424" s="48"/>
      <c r="B1424" s="48"/>
      <c r="C1424" s="48"/>
      <c r="D1424" s="721"/>
      <c r="E1424" s="711"/>
      <c r="F1424" s="711"/>
      <c r="G1424" s="721"/>
      <c r="H1424" s="721"/>
      <c r="I1424" s="721"/>
      <c r="J1424" s="48"/>
      <c r="K1424" s="721"/>
      <c r="L1424" s="721"/>
      <c r="M1424" s="721"/>
      <c r="N1424" s="719"/>
      <c r="O1424" s="48"/>
      <c r="P1424" s="719"/>
      <c r="Q1424" s="48"/>
      <c r="R1424" s="48"/>
      <c r="S1424" s="711" t="str">
        <f>IFERROR(__xludf.DUMMYFUNCTION("""COMPUTED_VALUE"""),"")</f>
        <v/>
      </c>
      <c r="T1424" s="721"/>
      <c r="U1424" s="721"/>
      <c r="V1424" s="711"/>
      <c r="W1424" s="721"/>
      <c r="X1424" s="721"/>
      <c r="Y1424" s="48"/>
      <c r="Z1424" s="48"/>
      <c r="AA1424" s="48"/>
      <c r="AB1424" s="711"/>
      <c r="AC1424" s="711"/>
      <c r="AD1424" s="711"/>
      <c r="AE1424" s="711"/>
      <c r="AF1424" s="711"/>
      <c r="AG1424" s="711"/>
      <c r="AH1424" s="711"/>
    </row>
    <row r="1425">
      <c r="A1425" s="48"/>
      <c r="B1425" s="48"/>
      <c r="C1425" s="48"/>
      <c r="D1425" s="721"/>
      <c r="E1425" s="711"/>
      <c r="F1425" s="711"/>
      <c r="G1425" s="721"/>
      <c r="H1425" s="721"/>
      <c r="I1425" s="721"/>
      <c r="J1425" s="48"/>
      <c r="K1425" s="721"/>
      <c r="L1425" s="721"/>
      <c r="M1425" s="721"/>
      <c r="N1425" s="719"/>
      <c r="O1425" s="48"/>
      <c r="P1425" s="719"/>
      <c r="Q1425" s="48"/>
      <c r="R1425" s="48"/>
      <c r="S1425" s="711" t="str">
        <f>IFERROR(__xludf.DUMMYFUNCTION("""COMPUTED_VALUE"""),"")</f>
        <v/>
      </c>
      <c r="T1425" s="721"/>
      <c r="U1425" s="721"/>
      <c r="V1425" s="711"/>
      <c r="W1425" s="721"/>
      <c r="X1425" s="721"/>
      <c r="Y1425" s="48"/>
      <c r="Z1425" s="48"/>
      <c r="AA1425" s="48"/>
      <c r="AB1425" s="711"/>
      <c r="AC1425" s="711"/>
      <c r="AD1425" s="711"/>
      <c r="AE1425" s="711"/>
      <c r="AF1425" s="711"/>
      <c r="AG1425" s="711"/>
      <c r="AH1425" s="711"/>
    </row>
    <row r="1426">
      <c r="A1426" s="48"/>
      <c r="B1426" s="48"/>
      <c r="C1426" s="48"/>
      <c r="D1426" s="721"/>
      <c r="E1426" s="711"/>
      <c r="F1426" s="711"/>
      <c r="G1426" s="721"/>
      <c r="H1426" s="721"/>
      <c r="I1426" s="721"/>
      <c r="J1426" s="48"/>
      <c r="K1426" s="721"/>
      <c r="L1426" s="721"/>
      <c r="M1426" s="721"/>
      <c r="N1426" s="719"/>
      <c r="O1426" s="48"/>
      <c r="P1426" s="719"/>
      <c r="Q1426" s="48"/>
      <c r="R1426" s="48"/>
      <c r="S1426" s="711" t="str">
        <f>IFERROR(__xludf.DUMMYFUNCTION("""COMPUTED_VALUE"""),"")</f>
        <v/>
      </c>
      <c r="T1426" s="721"/>
      <c r="U1426" s="721"/>
      <c r="V1426" s="711"/>
      <c r="W1426" s="721"/>
      <c r="X1426" s="721"/>
      <c r="Y1426" s="48"/>
      <c r="Z1426" s="48"/>
      <c r="AA1426" s="48"/>
      <c r="AB1426" s="711"/>
      <c r="AC1426" s="711"/>
      <c r="AD1426" s="711"/>
      <c r="AE1426" s="711"/>
      <c r="AF1426" s="711"/>
      <c r="AG1426" s="711"/>
      <c r="AH1426" s="711"/>
    </row>
    <row r="1427">
      <c r="A1427" s="48"/>
      <c r="B1427" s="48"/>
      <c r="C1427" s="48"/>
      <c r="D1427" s="721"/>
      <c r="E1427" s="711"/>
      <c r="F1427" s="711"/>
      <c r="G1427" s="721"/>
      <c r="H1427" s="721"/>
      <c r="I1427" s="721"/>
      <c r="J1427" s="48"/>
      <c r="K1427" s="721"/>
      <c r="L1427" s="721"/>
      <c r="M1427" s="721"/>
      <c r="N1427" s="719"/>
      <c r="O1427" s="48"/>
      <c r="P1427" s="719"/>
      <c r="Q1427" s="48"/>
      <c r="R1427" s="48"/>
      <c r="S1427" s="711" t="str">
        <f>IFERROR(__xludf.DUMMYFUNCTION("""COMPUTED_VALUE"""),"")</f>
        <v/>
      </c>
      <c r="T1427" s="721"/>
      <c r="U1427" s="721"/>
      <c r="V1427" s="711"/>
      <c r="W1427" s="721"/>
      <c r="X1427" s="721"/>
      <c r="Y1427" s="48"/>
      <c r="Z1427" s="48"/>
      <c r="AA1427" s="48"/>
      <c r="AB1427" s="711"/>
      <c r="AC1427" s="711"/>
      <c r="AD1427" s="711"/>
      <c r="AE1427" s="711"/>
      <c r="AF1427" s="711"/>
      <c r="AG1427" s="711"/>
      <c r="AH1427" s="711"/>
    </row>
    <row r="1428">
      <c r="A1428" s="48"/>
      <c r="B1428" s="48"/>
      <c r="C1428" s="48"/>
      <c r="D1428" s="721"/>
      <c r="E1428" s="711"/>
      <c r="F1428" s="711"/>
      <c r="G1428" s="721"/>
      <c r="H1428" s="721"/>
      <c r="I1428" s="721"/>
      <c r="J1428" s="48"/>
      <c r="K1428" s="721"/>
      <c r="L1428" s="721"/>
      <c r="M1428" s="721"/>
      <c r="N1428" s="719"/>
      <c r="O1428" s="48"/>
      <c r="P1428" s="719"/>
      <c r="Q1428" s="48"/>
      <c r="R1428" s="48"/>
      <c r="S1428" s="711" t="str">
        <f>IFERROR(__xludf.DUMMYFUNCTION("""COMPUTED_VALUE"""),"")</f>
        <v/>
      </c>
      <c r="T1428" s="721"/>
      <c r="U1428" s="721"/>
      <c r="V1428" s="711"/>
      <c r="W1428" s="721"/>
      <c r="X1428" s="721"/>
      <c r="Y1428" s="48"/>
      <c r="Z1428" s="48"/>
      <c r="AA1428" s="48"/>
      <c r="AB1428" s="711"/>
      <c r="AC1428" s="711"/>
      <c r="AD1428" s="711"/>
      <c r="AE1428" s="711"/>
      <c r="AF1428" s="711"/>
      <c r="AG1428" s="711"/>
      <c r="AH1428" s="711"/>
    </row>
    <row r="1429">
      <c r="A1429" s="48"/>
      <c r="B1429" s="48"/>
      <c r="C1429" s="48"/>
      <c r="D1429" s="721"/>
      <c r="E1429" s="711"/>
      <c r="F1429" s="711"/>
      <c r="G1429" s="721"/>
      <c r="H1429" s="721"/>
      <c r="I1429" s="721"/>
      <c r="J1429" s="48"/>
      <c r="K1429" s="721"/>
      <c r="L1429" s="721"/>
      <c r="M1429" s="721"/>
      <c r="N1429" s="719"/>
      <c r="O1429" s="48"/>
      <c r="P1429" s="719"/>
      <c r="Q1429" s="48"/>
      <c r="R1429" s="48"/>
      <c r="S1429" s="711" t="str">
        <f>IFERROR(__xludf.DUMMYFUNCTION("""COMPUTED_VALUE"""),"")</f>
        <v/>
      </c>
      <c r="T1429" s="721"/>
      <c r="U1429" s="721"/>
      <c r="V1429" s="711"/>
      <c r="W1429" s="721"/>
      <c r="X1429" s="721"/>
      <c r="Y1429" s="48"/>
      <c r="Z1429" s="48"/>
      <c r="AA1429" s="48"/>
      <c r="AB1429" s="711"/>
      <c r="AC1429" s="711"/>
      <c r="AD1429" s="711"/>
      <c r="AE1429" s="711"/>
      <c r="AF1429" s="711"/>
      <c r="AG1429" s="711"/>
      <c r="AH1429" s="711"/>
    </row>
    <row r="1430">
      <c r="A1430" s="48"/>
      <c r="B1430" s="48"/>
      <c r="C1430" s="48"/>
      <c r="D1430" s="721"/>
      <c r="E1430" s="711"/>
      <c r="F1430" s="711"/>
      <c r="G1430" s="721"/>
      <c r="H1430" s="721"/>
      <c r="I1430" s="721"/>
      <c r="J1430" s="48"/>
      <c r="K1430" s="721"/>
      <c r="L1430" s="721"/>
      <c r="M1430" s="721"/>
      <c r="N1430" s="719"/>
      <c r="O1430" s="48"/>
      <c r="P1430" s="719"/>
      <c r="Q1430" s="48"/>
      <c r="R1430" s="48"/>
      <c r="S1430" s="711" t="str">
        <f>IFERROR(__xludf.DUMMYFUNCTION("""COMPUTED_VALUE"""),"")</f>
        <v/>
      </c>
      <c r="T1430" s="721"/>
      <c r="U1430" s="721"/>
      <c r="V1430" s="711"/>
      <c r="W1430" s="721"/>
      <c r="X1430" s="721"/>
      <c r="Y1430" s="48"/>
      <c r="Z1430" s="48"/>
      <c r="AA1430" s="48"/>
      <c r="AB1430" s="711"/>
      <c r="AC1430" s="711"/>
      <c r="AD1430" s="711"/>
      <c r="AE1430" s="711"/>
      <c r="AF1430" s="711"/>
      <c r="AG1430" s="711"/>
      <c r="AH1430" s="711"/>
    </row>
    <row r="1431">
      <c r="A1431" s="48"/>
      <c r="B1431" s="48"/>
      <c r="C1431" s="48"/>
      <c r="D1431" s="721"/>
      <c r="E1431" s="711"/>
      <c r="F1431" s="711"/>
      <c r="G1431" s="721"/>
      <c r="H1431" s="721"/>
      <c r="I1431" s="721"/>
      <c r="J1431" s="48"/>
      <c r="K1431" s="721"/>
      <c r="L1431" s="721"/>
      <c r="M1431" s="721"/>
      <c r="N1431" s="719"/>
      <c r="O1431" s="48"/>
      <c r="P1431" s="719"/>
      <c r="Q1431" s="48"/>
      <c r="R1431" s="48"/>
      <c r="S1431" s="711" t="str">
        <f>IFERROR(__xludf.DUMMYFUNCTION("""COMPUTED_VALUE"""),"")</f>
        <v/>
      </c>
      <c r="T1431" s="721"/>
      <c r="U1431" s="721"/>
      <c r="V1431" s="711"/>
      <c r="W1431" s="721"/>
      <c r="X1431" s="721"/>
      <c r="Y1431" s="48"/>
      <c r="Z1431" s="48"/>
      <c r="AA1431" s="48"/>
      <c r="AB1431" s="711"/>
      <c r="AC1431" s="711"/>
      <c r="AD1431" s="711"/>
      <c r="AE1431" s="711"/>
      <c r="AF1431" s="711"/>
      <c r="AG1431" s="711"/>
      <c r="AH1431" s="711"/>
    </row>
    <row r="1432">
      <c r="A1432" s="48"/>
      <c r="B1432" s="48"/>
      <c r="C1432" s="48"/>
      <c r="D1432" s="721"/>
      <c r="E1432" s="711"/>
      <c r="F1432" s="711"/>
      <c r="G1432" s="721"/>
      <c r="H1432" s="721"/>
      <c r="I1432" s="721"/>
      <c r="J1432" s="48"/>
      <c r="K1432" s="721"/>
      <c r="L1432" s="721"/>
      <c r="M1432" s="721"/>
      <c r="N1432" s="719"/>
      <c r="O1432" s="48"/>
      <c r="P1432" s="719"/>
      <c r="Q1432" s="48"/>
      <c r="R1432" s="48"/>
      <c r="S1432" s="711" t="str">
        <f>IFERROR(__xludf.DUMMYFUNCTION("""COMPUTED_VALUE"""),"")</f>
        <v/>
      </c>
      <c r="T1432" s="721"/>
      <c r="U1432" s="721"/>
      <c r="V1432" s="711"/>
      <c r="W1432" s="721"/>
      <c r="X1432" s="721"/>
      <c r="Y1432" s="48"/>
      <c r="Z1432" s="48"/>
      <c r="AA1432" s="48"/>
      <c r="AB1432" s="711"/>
      <c r="AC1432" s="711"/>
      <c r="AD1432" s="711"/>
      <c r="AE1432" s="711"/>
      <c r="AF1432" s="711"/>
      <c r="AG1432" s="711"/>
      <c r="AH1432" s="711"/>
    </row>
    <row r="1433">
      <c r="A1433" s="48"/>
      <c r="B1433" s="48"/>
      <c r="C1433" s="48"/>
      <c r="D1433" s="721"/>
      <c r="E1433" s="711"/>
      <c r="F1433" s="711"/>
      <c r="G1433" s="721"/>
      <c r="H1433" s="721"/>
      <c r="I1433" s="721"/>
      <c r="J1433" s="48"/>
      <c r="K1433" s="721"/>
      <c r="L1433" s="721"/>
      <c r="M1433" s="721"/>
      <c r="N1433" s="719"/>
      <c r="O1433" s="48"/>
      <c r="P1433" s="719"/>
      <c r="Q1433" s="48"/>
      <c r="R1433" s="48"/>
      <c r="S1433" s="711" t="str">
        <f>IFERROR(__xludf.DUMMYFUNCTION("""COMPUTED_VALUE"""),"")</f>
        <v/>
      </c>
      <c r="T1433" s="721"/>
      <c r="U1433" s="721"/>
      <c r="V1433" s="711"/>
      <c r="W1433" s="721"/>
      <c r="X1433" s="721"/>
      <c r="Y1433" s="48"/>
      <c r="Z1433" s="48"/>
      <c r="AA1433" s="48"/>
      <c r="AB1433" s="711"/>
      <c r="AC1433" s="711"/>
      <c r="AD1433" s="711"/>
      <c r="AE1433" s="711"/>
      <c r="AF1433" s="711"/>
      <c r="AG1433" s="711"/>
      <c r="AH1433" s="711"/>
    </row>
    <row r="1434">
      <c r="A1434" s="48"/>
      <c r="B1434" s="48"/>
      <c r="C1434" s="48"/>
      <c r="D1434" s="721"/>
      <c r="E1434" s="711"/>
      <c r="F1434" s="711"/>
      <c r="G1434" s="721"/>
      <c r="H1434" s="721"/>
      <c r="I1434" s="721"/>
      <c r="J1434" s="48"/>
      <c r="K1434" s="721"/>
      <c r="L1434" s="721"/>
      <c r="M1434" s="721"/>
      <c r="N1434" s="719"/>
      <c r="O1434" s="48"/>
      <c r="P1434" s="719"/>
      <c r="Q1434" s="48"/>
      <c r="R1434" s="48"/>
      <c r="S1434" s="711" t="str">
        <f>IFERROR(__xludf.DUMMYFUNCTION("""COMPUTED_VALUE"""),"")</f>
        <v/>
      </c>
      <c r="T1434" s="721"/>
      <c r="U1434" s="721"/>
      <c r="V1434" s="711"/>
      <c r="W1434" s="721"/>
      <c r="X1434" s="721"/>
      <c r="Y1434" s="48"/>
      <c r="Z1434" s="48"/>
      <c r="AA1434" s="48"/>
      <c r="AB1434" s="711"/>
      <c r="AC1434" s="711"/>
      <c r="AD1434" s="711"/>
      <c r="AE1434" s="711"/>
      <c r="AF1434" s="711"/>
      <c r="AG1434" s="711"/>
      <c r="AH1434" s="711"/>
    </row>
    <row r="1435">
      <c r="A1435" s="48"/>
      <c r="B1435" s="48"/>
      <c r="C1435" s="48"/>
      <c r="D1435" s="721"/>
      <c r="E1435" s="711"/>
      <c r="F1435" s="711"/>
      <c r="G1435" s="721"/>
      <c r="H1435" s="721"/>
      <c r="I1435" s="721"/>
      <c r="J1435" s="48"/>
      <c r="K1435" s="721"/>
      <c r="L1435" s="721"/>
      <c r="M1435" s="721"/>
      <c r="N1435" s="719"/>
      <c r="O1435" s="48"/>
      <c r="P1435" s="719"/>
      <c r="Q1435" s="48"/>
      <c r="R1435" s="48"/>
      <c r="S1435" s="711" t="str">
        <f>IFERROR(__xludf.DUMMYFUNCTION("""COMPUTED_VALUE"""),"")</f>
        <v/>
      </c>
      <c r="T1435" s="721"/>
      <c r="U1435" s="721"/>
      <c r="V1435" s="711"/>
      <c r="W1435" s="721"/>
      <c r="X1435" s="721"/>
      <c r="Y1435" s="48"/>
      <c r="Z1435" s="48"/>
      <c r="AA1435" s="48"/>
      <c r="AB1435" s="711"/>
      <c r="AC1435" s="711"/>
      <c r="AD1435" s="711"/>
      <c r="AE1435" s="711"/>
      <c r="AF1435" s="711"/>
      <c r="AG1435" s="711"/>
      <c r="AH1435" s="711"/>
    </row>
    <row r="1436">
      <c r="A1436" s="48"/>
      <c r="B1436" s="48"/>
      <c r="C1436" s="48"/>
      <c r="D1436" s="721"/>
      <c r="E1436" s="711"/>
      <c r="F1436" s="711"/>
      <c r="G1436" s="721"/>
      <c r="H1436" s="721"/>
      <c r="I1436" s="721"/>
      <c r="J1436" s="48"/>
      <c r="K1436" s="721"/>
      <c r="L1436" s="721"/>
      <c r="M1436" s="721"/>
      <c r="N1436" s="719"/>
      <c r="O1436" s="48"/>
      <c r="P1436" s="719"/>
      <c r="Q1436" s="48"/>
      <c r="R1436" s="48"/>
      <c r="S1436" s="711" t="str">
        <f>IFERROR(__xludf.DUMMYFUNCTION("""COMPUTED_VALUE"""),"")</f>
        <v/>
      </c>
      <c r="T1436" s="721"/>
      <c r="U1436" s="721"/>
      <c r="V1436" s="711"/>
      <c r="W1436" s="721"/>
      <c r="X1436" s="721"/>
      <c r="Y1436" s="48"/>
      <c r="Z1436" s="48"/>
      <c r="AA1436" s="48"/>
      <c r="AB1436" s="711"/>
      <c r="AC1436" s="711"/>
      <c r="AD1436" s="711"/>
      <c r="AE1436" s="711"/>
      <c r="AF1436" s="711"/>
      <c r="AG1436" s="711"/>
      <c r="AH1436" s="711"/>
    </row>
    <row r="1437">
      <c r="A1437" s="48"/>
      <c r="B1437" s="48"/>
      <c r="C1437" s="48"/>
      <c r="D1437" s="721"/>
      <c r="E1437" s="711"/>
      <c r="F1437" s="711"/>
      <c r="G1437" s="721"/>
      <c r="H1437" s="721"/>
      <c r="I1437" s="721"/>
      <c r="J1437" s="48"/>
      <c r="K1437" s="721"/>
      <c r="L1437" s="721"/>
      <c r="M1437" s="721"/>
      <c r="N1437" s="719"/>
      <c r="O1437" s="48"/>
      <c r="P1437" s="719"/>
      <c r="Q1437" s="48"/>
      <c r="R1437" s="48"/>
      <c r="S1437" s="711" t="str">
        <f>IFERROR(__xludf.DUMMYFUNCTION("""COMPUTED_VALUE"""),"")</f>
        <v/>
      </c>
      <c r="T1437" s="721"/>
      <c r="U1437" s="721"/>
      <c r="V1437" s="711"/>
      <c r="W1437" s="721"/>
      <c r="X1437" s="721"/>
      <c r="Y1437" s="48"/>
      <c r="Z1437" s="48"/>
      <c r="AA1437" s="48"/>
      <c r="AB1437" s="711"/>
      <c r="AC1437" s="711"/>
      <c r="AD1437" s="711"/>
      <c r="AE1437" s="711"/>
      <c r="AF1437" s="711"/>
      <c r="AG1437" s="711"/>
      <c r="AH1437" s="711"/>
    </row>
    <row r="1438">
      <c r="A1438" s="48"/>
      <c r="B1438" s="48"/>
      <c r="C1438" s="48"/>
      <c r="D1438" s="721"/>
      <c r="E1438" s="711"/>
      <c r="F1438" s="711"/>
      <c r="G1438" s="721"/>
      <c r="H1438" s="721"/>
      <c r="I1438" s="721"/>
      <c r="J1438" s="48"/>
      <c r="K1438" s="721"/>
      <c r="L1438" s="721"/>
      <c r="M1438" s="721"/>
      <c r="N1438" s="719"/>
      <c r="O1438" s="48"/>
      <c r="P1438" s="719"/>
      <c r="Q1438" s="48"/>
      <c r="R1438" s="48"/>
      <c r="S1438" s="711" t="str">
        <f>IFERROR(__xludf.DUMMYFUNCTION("""COMPUTED_VALUE"""),"")</f>
        <v/>
      </c>
      <c r="T1438" s="721"/>
      <c r="U1438" s="721"/>
      <c r="V1438" s="711"/>
      <c r="W1438" s="721"/>
      <c r="X1438" s="721"/>
      <c r="Y1438" s="48"/>
      <c r="Z1438" s="48"/>
      <c r="AA1438" s="48"/>
      <c r="AB1438" s="711"/>
      <c r="AC1438" s="711"/>
      <c r="AD1438" s="711"/>
      <c r="AE1438" s="711"/>
      <c r="AF1438" s="711"/>
      <c r="AG1438" s="711"/>
      <c r="AH1438" s="711"/>
    </row>
    <row r="1439">
      <c r="A1439" s="48"/>
      <c r="B1439" s="48"/>
      <c r="C1439" s="48"/>
      <c r="D1439" s="721"/>
      <c r="E1439" s="711"/>
      <c r="F1439" s="711"/>
      <c r="G1439" s="721"/>
      <c r="H1439" s="721"/>
      <c r="I1439" s="721"/>
      <c r="J1439" s="48"/>
      <c r="K1439" s="721"/>
      <c r="L1439" s="721"/>
      <c r="M1439" s="721"/>
      <c r="N1439" s="719"/>
      <c r="O1439" s="48"/>
      <c r="P1439" s="719"/>
      <c r="Q1439" s="48"/>
      <c r="R1439" s="48"/>
      <c r="S1439" s="711" t="str">
        <f>IFERROR(__xludf.DUMMYFUNCTION("""COMPUTED_VALUE"""),"")</f>
        <v/>
      </c>
      <c r="T1439" s="721"/>
      <c r="U1439" s="721"/>
      <c r="V1439" s="711"/>
      <c r="W1439" s="721"/>
      <c r="X1439" s="721"/>
      <c r="Y1439" s="48"/>
      <c r="Z1439" s="48"/>
      <c r="AA1439" s="48"/>
      <c r="AB1439" s="711"/>
      <c r="AC1439" s="711"/>
      <c r="AD1439" s="711"/>
      <c r="AE1439" s="711"/>
      <c r="AF1439" s="711"/>
      <c r="AG1439" s="711"/>
      <c r="AH1439" s="711"/>
    </row>
    <row r="1440">
      <c r="A1440" s="48"/>
      <c r="B1440" s="48"/>
      <c r="C1440" s="48"/>
      <c r="D1440" s="721"/>
      <c r="E1440" s="711"/>
      <c r="F1440" s="711"/>
      <c r="G1440" s="721"/>
      <c r="H1440" s="721"/>
      <c r="I1440" s="721"/>
      <c r="J1440" s="48"/>
      <c r="K1440" s="721"/>
      <c r="L1440" s="721"/>
      <c r="M1440" s="721"/>
      <c r="N1440" s="719"/>
      <c r="O1440" s="48"/>
      <c r="P1440" s="719"/>
      <c r="Q1440" s="48"/>
      <c r="R1440" s="48"/>
      <c r="S1440" s="711" t="str">
        <f>IFERROR(__xludf.DUMMYFUNCTION("""COMPUTED_VALUE"""),"")</f>
        <v/>
      </c>
      <c r="T1440" s="721"/>
      <c r="U1440" s="721"/>
      <c r="V1440" s="711"/>
      <c r="W1440" s="721"/>
      <c r="X1440" s="721"/>
      <c r="Y1440" s="48"/>
      <c r="Z1440" s="48"/>
      <c r="AA1440" s="48"/>
      <c r="AB1440" s="711"/>
      <c r="AC1440" s="711"/>
      <c r="AD1440" s="711"/>
      <c r="AE1440" s="711"/>
      <c r="AF1440" s="711"/>
      <c r="AG1440" s="711"/>
      <c r="AH1440" s="711"/>
    </row>
    <row r="1441">
      <c r="A1441" s="48"/>
      <c r="B1441" s="48"/>
      <c r="C1441" s="48"/>
      <c r="D1441" s="721"/>
      <c r="E1441" s="711"/>
      <c r="F1441" s="711"/>
      <c r="G1441" s="721"/>
      <c r="H1441" s="721"/>
      <c r="I1441" s="721"/>
      <c r="J1441" s="48"/>
      <c r="K1441" s="721"/>
      <c r="L1441" s="721"/>
      <c r="M1441" s="721"/>
      <c r="N1441" s="719"/>
      <c r="O1441" s="48"/>
      <c r="P1441" s="719"/>
      <c r="Q1441" s="48"/>
      <c r="R1441" s="48"/>
      <c r="S1441" s="711" t="str">
        <f>IFERROR(__xludf.DUMMYFUNCTION("""COMPUTED_VALUE"""),"")</f>
        <v/>
      </c>
      <c r="T1441" s="721"/>
      <c r="U1441" s="721"/>
      <c r="V1441" s="711"/>
      <c r="W1441" s="721"/>
      <c r="X1441" s="721"/>
      <c r="Y1441" s="48"/>
      <c r="Z1441" s="48"/>
      <c r="AA1441" s="48"/>
      <c r="AB1441" s="711"/>
      <c r="AC1441" s="711"/>
      <c r="AD1441" s="711"/>
      <c r="AE1441" s="711"/>
      <c r="AF1441" s="711"/>
      <c r="AG1441" s="711"/>
      <c r="AH1441" s="711"/>
    </row>
    <row r="1442">
      <c r="A1442" s="48"/>
      <c r="B1442" s="48"/>
      <c r="C1442" s="48"/>
      <c r="D1442" s="721"/>
      <c r="E1442" s="711"/>
      <c r="F1442" s="711"/>
      <c r="G1442" s="721"/>
      <c r="H1442" s="721"/>
      <c r="I1442" s="721"/>
      <c r="J1442" s="48"/>
      <c r="K1442" s="721"/>
      <c r="L1442" s="721"/>
      <c r="M1442" s="721"/>
      <c r="N1442" s="719"/>
      <c r="O1442" s="48"/>
      <c r="P1442" s="719"/>
      <c r="Q1442" s="48"/>
      <c r="R1442" s="48"/>
      <c r="S1442" s="711" t="str">
        <f>IFERROR(__xludf.DUMMYFUNCTION("""COMPUTED_VALUE"""),"")</f>
        <v/>
      </c>
      <c r="T1442" s="721"/>
      <c r="U1442" s="721"/>
      <c r="V1442" s="711"/>
      <c r="W1442" s="721"/>
      <c r="X1442" s="721"/>
      <c r="Y1442" s="48"/>
      <c r="Z1442" s="48"/>
      <c r="AA1442" s="48"/>
      <c r="AB1442" s="711"/>
      <c r="AC1442" s="711"/>
      <c r="AD1442" s="711"/>
      <c r="AE1442" s="711"/>
      <c r="AF1442" s="711"/>
      <c r="AG1442" s="711"/>
      <c r="AH1442" s="711"/>
    </row>
    <row r="1443">
      <c r="A1443" s="48"/>
      <c r="B1443" s="48"/>
      <c r="C1443" s="48"/>
      <c r="D1443" s="721"/>
      <c r="E1443" s="711"/>
      <c r="F1443" s="711"/>
      <c r="G1443" s="721"/>
      <c r="H1443" s="721"/>
      <c r="I1443" s="721"/>
      <c r="J1443" s="48"/>
      <c r="K1443" s="721"/>
      <c r="L1443" s="721"/>
      <c r="M1443" s="721"/>
      <c r="N1443" s="719"/>
      <c r="O1443" s="48"/>
      <c r="P1443" s="719"/>
      <c r="Q1443" s="48"/>
      <c r="R1443" s="48"/>
      <c r="S1443" s="711" t="str">
        <f>IFERROR(__xludf.DUMMYFUNCTION("""COMPUTED_VALUE"""),"")</f>
        <v/>
      </c>
      <c r="T1443" s="721"/>
      <c r="U1443" s="721"/>
      <c r="V1443" s="711"/>
      <c r="W1443" s="721"/>
      <c r="X1443" s="721"/>
      <c r="Y1443" s="48"/>
      <c r="Z1443" s="48"/>
      <c r="AA1443" s="48"/>
      <c r="AB1443" s="711"/>
      <c r="AC1443" s="711"/>
      <c r="AD1443" s="711"/>
      <c r="AE1443" s="711"/>
      <c r="AF1443" s="711"/>
      <c r="AG1443" s="711"/>
      <c r="AH1443" s="711"/>
    </row>
    <row r="1444">
      <c r="A1444" s="48"/>
      <c r="B1444" s="48"/>
      <c r="C1444" s="48"/>
      <c r="D1444" s="721"/>
      <c r="E1444" s="711"/>
      <c r="F1444" s="711"/>
      <c r="G1444" s="721"/>
      <c r="H1444" s="721"/>
      <c r="I1444" s="721"/>
      <c r="J1444" s="48"/>
      <c r="K1444" s="721"/>
      <c r="L1444" s="721"/>
      <c r="M1444" s="721"/>
      <c r="N1444" s="719"/>
      <c r="O1444" s="48"/>
      <c r="P1444" s="719"/>
      <c r="Q1444" s="48"/>
      <c r="R1444" s="48"/>
      <c r="S1444" s="711" t="str">
        <f>IFERROR(__xludf.DUMMYFUNCTION("""COMPUTED_VALUE"""),"")</f>
        <v/>
      </c>
      <c r="T1444" s="721"/>
      <c r="U1444" s="721"/>
      <c r="V1444" s="711"/>
      <c r="W1444" s="721"/>
      <c r="X1444" s="721"/>
      <c r="Y1444" s="48"/>
      <c r="Z1444" s="48"/>
      <c r="AA1444" s="48"/>
      <c r="AB1444" s="711"/>
      <c r="AC1444" s="711"/>
      <c r="AD1444" s="711"/>
      <c r="AE1444" s="711"/>
      <c r="AF1444" s="711"/>
      <c r="AG1444" s="711"/>
      <c r="AH1444" s="711"/>
    </row>
    <row r="1445">
      <c r="A1445" s="48"/>
      <c r="B1445" s="48"/>
      <c r="C1445" s="48"/>
      <c r="D1445" s="721"/>
      <c r="E1445" s="711"/>
      <c r="F1445" s="711"/>
      <c r="G1445" s="721"/>
      <c r="H1445" s="721"/>
      <c r="I1445" s="721"/>
      <c r="J1445" s="48"/>
      <c r="K1445" s="721"/>
      <c r="L1445" s="721"/>
      <c r="M1445" s="721"/>
      <c r="N1445" s="719"/>
      <c r="O1445" s="48"/>
      <c r="P1445" s="719"/>
      <c r="Q1445" s="48"/>
      <c r="R1445" s="48"/>
      <c r="S1445" s="711" t="str">
        <f>IFERROR(__xludf.DUMMYFUNCTION("""COMPUTED_VALUE"""),"")</f>
        <v/>
      </c>
      <c r="T1445" s="721"/>
      <c r="U1445" s="721"/>
      <c r="V1445" s="711"/>
      <c r="W1445" s="721"/>
      <c r="X1445" s="721"/>
      <c r="Y1445" s="48"/>
      <c r="Z1445" s="48"/>
      <c r="AA1445" s="48"/>
      <c r="AB1445" s="711"/>
      <c r="AC1445" s="711"/>
      <c r="AD1445" s="711"/>
      <c r="AE1445" s="711"/>
      <c r="AF1445" s="711"/>
      <c r="AG1445" s="711"/>
      <c r="AH1445" s="711"/>
    </row>
    <row r="1446">
      <c r="A1446" s="48"/>
      <c r="B1446" s="48"/>
      <c r="C1446" s="48"/>
      <c r="D1446" s="721"/>
      <c r="E1446" s="711"/>
      <c r="F1446" s="711"/>
      <c r="G1446" s="721"/>
      <c r="H1446" s="721"/>
      <c r="I1446" s="721"/>
      <c r="J1446" s="48"/>
      <c r="K1446" s="721"/>
      <c r="L1446" s="721"/>
      <c r="M1446" s="721"/>
      <c r="N1446" s="719"/>
      <c r="O1446" s="48"/>
      <c r="P1446" s="719"/>
      <c r="Q1446" s="48"/>
      <c r="R1446" s="48"/>
      <c r="S1446" s="711" t="str">
        <f>IFERROR(__xludf.DUMMYFUNCTION("""COMPUTED_VALUE"""),"")</f>
        <v/>
      </c>
      <c r="T1446" s="721"/>
      <c r="U1446" s="721"/>
      <c r="V1446" s="711"/>
      <c r="W1446" s="721"/>
      <c r="X1446" s="721"/>
      <c r="Y1446" s="48"/>
      <c r="Z1446" s="48"/>
      <c r="AA1446" s="48"/>
      <c r="AB1446" s="711"/>
      <c r="AC1446" s="711"/>
      <c r="AD1446" s="711"/>
      <c r="AE1446" s="711"/>
      <c r="AF1446" s="711"/>
      <c r="AG1446" s="711"/>
      <c r="AH1446" s="711"/>
    </row>
    <row r="1447">
      <c r="A1447" s="48"/>
      <c r="B1447" s="48"/>
      <c r="C1447" s="48"/>
      <c r="D1447" s="721"/>
      <c r="E1447" s="711"/>
      <c r="F1447" s="711"/>
      <c r="G1447" s="721"/>
      <c r="H1447" s="721"/>
      <c r="I1447" s="721"/>
      <c r="J1447" s="48"/>
      <c r="K1447" s="721"/>
      <c r="L1447" s="721"/>
      <c r="M1447" s="721"/>
      <c r="N1447" s="719"/>
      <c r="O1447" s="48"/>
      <c r="P1447" s="719"/>
      <c r="Q1447" s="48"/>
      <c r="R1447" s="48"/>
      <c r="S1447" s="711" t="str">
        <f>IFERROR(__xludf.DUMMYFUNCTION("""COMPUTED_VALUE"""),"")</f>
        <v/>
      </c>
      <c r="T1447" s="721"/>
      <c r="U1447" s="721"/>
      <c r="V1447" s="711"/>
      <c r="W1447" s="721"/>
      <c r="X1447" s="721"/>
      <c r="Y1447" s="48"/>
      <c r="Z1447" s="48"/>
      <c r="AA1447" s="48"/>
      <c r="AB1447" s="711"/>
      <c r="AC1447" s="711"/>
      <c r="AD1447" s="711"/>
      <c r="AE1447" s="711"/>
      <c r="AF1447" s="711"/>
      <c r="AG1447" s="711"/>
      <c r="AH1447" s="711"/>
    </row>
    <row r="1448">
      <c r="A1448" s="48"/>
      <c r="B1448" s="48"/>
      <c r="C1448" s="48"/>
      <c r="D1448" s="721"/>
      <c r="E1448" s="711"/>
      <c r="F1448" s="711"/>
      <c r="G1448" s="721"/>
      <c r="H1448" s="721"/>
      <c r="I1448" s="721"/>
      <c r="J1448" s="48"/>
      <c r="K1448" s="721"/>
      <c r="L1448" s="721"/>
      <c r="M1448" s="721"/>
      <c r="N1448" s="719"/>
      <c r="O1448" s="48"/>
      <c r="P1448" s="719"/>
      <c r="Q1448" s="48"/>
      <c r="R1448" s="48"/>
      <c r="S1448" s="711" t="str">
        <f>IFERROR(__xludf.DUMMYFUNCTION("""COMPUTED_VALUE"""),"")</f>
        <v/>
      </c>
      <c r="T1448" s="721"/>
      <c r="U1448" s="721"/>
      <c r="V1448" s="711"/>
      <c r="W1448" s="721"/>
      <c r="X1448" s="721"/>
      <c r="Y1448" s="48"/>
      <c r="Z1448" s="48"/>
      <c r="AA1448" s="48"/>
      <c r="AB1448" s="711"/>
      <c r="AC1448" s="711"/>
      <c r="AD1448" s="711"/>
      <c r="AE1448" s="711"/>
      <c r="AF1448" s="711"/>
      <c r="AG1448" s="711"/>
      <c r="AH1448" s="711"/>
    </row>
    <row r="1449">
      <c r="A1449" s="48"/>
      <c r="B1449" s="48"/>
      <c r="C1449" s="48"/>
      <c r="D1449" s="721"/>
      <c r="E1449" s="711"/>
      <c r="F1449" s="711"/>
      <c r="G1449" s="721"/>
      <c r="H1449" s="721"/>
      <c r="I1449" s="721"/>
      <c r="J1449" s="48"/>
      <c r="K1449" s="721"/>
      <c r="L1449" s="721"/>
      <c r="M1449" s="721"/>
      <c r="N1449" s="719"/>
      <c r="O1449" s="48"/>
      <c r="P1449" s="719"/>
      <c r="Q1449" s="48"/>
      <c r="R1449" s="48"/>
      <c r="S1449" s="711" t="str">
        <f>IFERROR(__xludf.DUMMYFUNCTION("""COMPUTED_VALUE"""),"")</f>
        <v/>
      </c>
      <c r="T1449" s="721"/>
      <c r="U1449" s="721"/>
      <c r="V1449" s="711"/>
      <c r="W1449" s="721"/>
      <c r="X1449" s="721"/>
      <c r="Y1449" s="48"/>
      <c r="Z1449" s="48"/>
      <c r="AA1449" s="48"/>
      <c r="AB1449" s="711"/>
      <c r="AC1449" s="711"/>
      <c r="AD1449" s="711"/>
      <c r="AE1449" s="711"/>
      <c r="AF1449" s="711"/>
      <c r="AG1449" s="711"/>
      <c r="AH1449" s="711"/>
    </row>
    <row r="1450">
      <c r="A1450" s="48"/>
      <c r="B1450" s="48"/>
      <c r="C1450" s="48"/>
      <c r="D1450" s="721"/>
      <c r="E1450" s="711"/>
      <c r="F1450" s="711"/>
      <c r="G1450" s="721"/>
      <c r="H1450" s="721"/>
      <c r="I1450" s="721"/>
      <c r="J1450" s="48"/>
      <c r="K1450" s="721"/>
      <c r="L1450" s="721"/>
      <c r="M1450" s="721"/>
      <c r="N1450" s="719"/>
      <c r="O1450" s="48"/>
      <c r="P1450" s="719"/>
      <c r="Q1450" s="48"/>
      <c r="R1450" s="48"/>
      <c r="S1450" s="711" t="str">
        <f>IFERROR(__xludf.DUMMYFUNCTION("""COMPUTED_VALUE"""),"")</f>
        <v/>
      </c>
      <c r="T1450" s="721"/>
      <c r="U1450" s="721"/>
      <c r="V1450" s="711"/>
      <c r="W1450" s="721"/>
      <c r="X1450" s="721"/>
      <c r="Y1450" s="48"/>
      <c r="Z1450" s="48"/>
      <c r="AA1450" s="48"/>
      <c r="AB1450" s="711"/>
      <c r="AC1450" s="711"/>
      <c r="AD1450" s="711"/>
      <c r="AE1450" s="711"/>
      <c r="AF1450" s="711"/>
      <c r="AG1450" s="711"/>
      <c r="AH1450" s="711"/>
    </row>
    <row r="1451">
      <c r="A1451" s="48"/>
      <c r="B1451" s="48"/>
      <c r="C1451" s="48"/>
      <c r="D1451" s="721"/>
      <c r="E1451" s="711"/>
      <c r="F1451" s="711"/>
      <c r="G1451" s="721"/>
      <c r="H1451" s="721"/>
      <c r="I1451" s="721"/>
      <c r="J1451" s="48"/>
      <c r="K1451" s="721"/>
      <c r="L1451" s="721"/>
      <c r="M1451" s="721"/>
      <c r="N1451" s="719"/>
      <c r="O1451" s="48"/>
      <c r="P1451" s="719"/>
      <c r="Q1451" s="48"/>
      <c r="R1451" s="48"/>
      <c r="S1451" s="711" t="str">
        <f>IFERROR(__xludf.DUMMYFUNCTION("""COMPUTED_VALUE"""),"")</f>
        <v/>
      </c>
      <c r="T1451" s="721"/>
      <c r="U1451" s="721"/>
      <c r="V1451" s="711"/>
      <c r="W1451" s="721"/>
      <c r="X1451" s="721"/>
      <c r="Y1451" s="48"/>
      <c r="Z1451" s="48"/>
      <c r="AA1451" s="48"/>
      <c r="AB1451" s="711"/>
      <c r="AC1451" s="711"/>
      <c r="AD1451" s="711"/>
      <c r="AE1451" s="711"/>
      <c r="AF1451" s="711"/>
      <c r="AG1451" s="711"/>
      <c r="AH1451" s="711"/>
    </row>
    <row r="1452">
      <c r="A1452" s="48"/>
      <c r="B1452" s="48"/>
      <c r="C1452" s="48"/>
      <c r="D1452" s="721"/>
      <c r="E1452" s="711"/>
      <c r="F1452" s="711"/>
      <c r="G1452" s="721"/>
      <c r="H1452" s="721"/>
      <c r="I1452" s="721"/>
      <c r="J1452" s="48"/>
      <c r="K1452" s="721"/>
      <c r="L1452" s="721"/>
      <c r="M1452" s="721"/>
      <c r="N1452" s="719"/>
      <c r="O1452" s="48"/>
      <c r="P1452" s="719"/>
      <c r="Q1452" s="48"/>
      <c r="R1452" s="48"/>
      <c r="S1452" s="711" t="str">
        <f>IFERROR(__xludf.DUMMYFUNCTION("""COMPUTED_VALUE"""),"")</f>
        <v/>
      </c>
      <c r="T1452" s="721"/>
      <c r="U1452" s="721"/>
      <c r="V1452" s="711"/>
      <c r="W1452" s="721"/>
      <c r="X1452" s="721"/>
      <c r="Y1452" s="48"/>
      <c r="Z1452" s="48"/>
      <c r="AA1452" s="48"/>
      <c r="AB1452" s="711"/>
      <c r="AC1452" s="711"/>
      <c r="AD1452" s="711"/>
      <c r="AE1452" s="711"/>
      <c r="AF1452" s="711"/>
      <c r="AG1452" s="711"/>
      <c r="AH1452" s="711"/>
    </row>
    <row r="1453">
      <c r="A1453" s="48"/>
      <c r="B1453" s="48"/>
      <c r="C1453" s="48"/>
      <c r="D1453" s="721"/>
      <c r="E1453" s="711"/>
      <c r="F1453" s="711"/>
      <c r="G1453" s="721"/>
      <c r="H1453" s="721"/>
      <c r="I1453" s="721"/>
      <c r="J1453" s="48"/>
      <c r="K1453" s="721"/>
      <c r="L1453" s="721"/>
      <c r="M1453" s="721"/>
      <c r="N1453" s="719"/>
      <c r="O1453" s="48"/>
      <c r="P1453" s="719"/>
      <c r="Q1453" s="48"/>
      <c r="R1453" s="48"/>
      <c r="S1453" s="711" t="str">
        <f>IFERROR(__xludf.DUMMYFUNCTION("""COMPUTED_VALUE"""),"")</f>
        <v/>
      </c>
      <c r="T1453" s="721"/>
      <c r="U1453" s="721"/>
      <c r="V1453" s="711"/>
      <c r="W1453" s="721"/>
      <c r="X1453" s="721"/>
      <c r="Y1453" s="48"/>
      <c r="Z1453" s="48"/>
      <c r="AA1453" s="48"/>
      <c r="AB1453" s="711"/>
      <c r="AC1453" s="711"/>
      <c r="AD1453" s="711"/>
      <c r="AE1453" s="711"/>
      <c r="AF1453" s="711"/>
      <c r="AG1453" s="711"/>
      <c r="AH1453" s="711"/>
    </row>
    <row r="1454">
      <c r="A1454" s="48"/>
      <c r="B1454" s="48"/>
      <c r="C1454" s="48"/>
      <c r="D1454" s="721"/>
      <c r="E1454" s="711"/>
      <c r="F1454" s="711"/>
      <c r="G1454" s="721"/>
      <c r="H1454" s="721"/>
      <c r="I1454" s="721"/>
      <c r="J1454" s="48"/>
      <c r="K1454" s="721"/>
      <c r="L1454" s="721"/>
      <c r="M1454" s="721"/>
      <c r="N1454" s="719"/>
      <c r="O1454" s="48"/>
      <c r="P1454" s="719"/>
      <c r="Q1454" s="48"/>
      <c r="R1454" s="48"/>
      <c r="S1454" s="711" t="str">
        <f>IFERROR(__xludf.DUMMYFUNCTION("""COMPUTED_VALUE"""),"")</f>
        <v/>
      </c>
      <c r="T1454" s="721"/>
      <c r="U1454" s="721"/>
      <c r="V1454" s="711"/>
      <c r="W1454" s="721"/>
      <c r="X1454" s="721"/>
      <c r="Y1454" s="48"/>
      <c r="Z1454" s="48"/>
      <c r="AA1454" s="48"/>
      <c r="AB1454" s="711"/>
      <c r="AC1454" s="711"/>
      <c r="AD1454" s="711"/>
      <c r="AE1454" s="711"/>
      <c r="AF1454" s="711"/>
      <c r="AG1454" s="711"/>
      <c r="AH1454" s="711"/>
    </row>
    <row r="1455">
      <c r="A1455" s="48"/>
      <c r="B1455" s="48"/>
      <c r="C1455" s="48"/>
      <c r="D1455" s="721"/>
      <c r="E1455" s="711"/>
      <c r="F1455" s="711"/>
      <c r="G1455" s="721"/>
      <c r="H1455" s="721"/>
      <c r="I1455" s="721"/>
      <c r="J1455" s="48"/>
      <c r="K1455" s="721"/>
      <c r="L1455" s="721"/>
      <c r="M1455" s="721"/>
      <c r="N1455" s="719"/>
      <c r="O1455" s="48"/>
      <c r="P1455" s="719"/>
      <c r="Q1455" s="48"/>
      <c r="R1455" s="48"/>
      <c r="S1455" s="711" t="str">
        <f>IFERROR(__xludf.DUMMYFUNCTION("""COMPUTED_VALUE"""),"")</f>
        <v/>
      </c>
      <c r="T1455" s="721"/>
      <c r="U1455" s="721"/>
      <c r="V1455" s="711"/>
      <c r="W1455" s="721"/>
      <c r="X1455" s="721"/>
      <c r="Y1455" s="48"/>
      <c r="Z1455" s="48"/>
      <c r="AA1455" s="48"/>
      <c r="AB1455" s="711"/>
      <c r="AC1455" s="711"/>
      <c r="AD1455" s="711"/>
      <c r="AE1455" s="711"/>
      <c r="AF1455" s="711"/>
      <c r="AG1455" s="711"/>
      <c r="AH1455" s="711"/>
    </row>
    <row r="1456">
      <c r="A1456" s="48"/>
      <c r="B1456" s="48"/>
      <c r="C1456" s="48"/>
      <c r="D1456" s="721"/>
      <c r="E1456" s="711"/>
      <c r="F1456" s="711"/>
      <c r="G1456" s="721"/>
      <c r="H1456" s="721"/>
      <c r="I1456" s="721"/>
      <c r="J1456" s="48"/>
      <c r="K1456" s="721"/>
      <c r="L1456" s="721"/>
      <c r="M1456" s="721"/>
      <c r="N1456" s="719"/>
      <c r="O1456" s="48"/>
      <c r="P1456" s="719"/>
      <c r="Q1456" s="48"/>
      <c r="R1456" s="48"/>
      <c r="S1456" s="711" t="str">
        <f>IFERROR(__xludf.DUMMYFUNCTION("""COMPUTED_VALUE"""),"")</f>
        <v/>
      </c>
      <c r="T1456" s="721"/>
      <c r="U1456" s="721"/>
      <c r="V1456" s="711"/>
      <c r="W1456" s="721"/>
      <c r="X1456" s="721"/>
      <c r="Y1456" s="48"/>
      <c r="Z1456" s="48"/>
      <c r="AA1456" s="48"/>
      <c r="AB1456" s="711"/>
      <c r="AC1456" s="711"/>
      <c r="AD1456" s="711"/>
      <c r="AE1456" s="711"/>
      <c r="AF1456" s="711"/>
      <c r="AG1456" s="711"/>
      <c r="AH1456" s="711"/>
    </row>
    <row r="1457">
      <c r="A1457" s="48"/>
      <c r="B1457" s="48"/>
      <c r="C1457" s="48"/>
      <c r="D1457" s="721"/>
      <c r="E1457" s="711"/>
      <c r="F1457" s="711"/>
      <c r="G1457" s="721"/>
      <c r="H1457" s="721"/>
      <c r="I1457" s="721"/>
      <c r="J1457" s="48"/>
      <c r="K1457" s="721"/>
      <c r="L1457" s="721"/>
      <c r="M1457" s="721"/>
      <c r="N1457" s="719"/>
      <c r="O1457" s="48"/>
      <c r="P1457" s="719"/>
      <c r="Q1457" s="48"/>
      <c r="R1457" s="48"/>
      <c r="S1457" s="711" t="str">
        <f>IFERROR(__xludf.DUMMYFUNCTION("""COMPUTED_VALUE"""),"")</f>
        <v/>
      </c>
      <c r="T1457" s="721"/>
      <c r="U1457" s="721"/>
      <c r="V1457" s="711"/>
      <c r="W1457" s="721"/>
      <c r="X1457" s="721"/>
      <c r="Y1457" s="48"/>
      <c r="Z1457" s="48"/>
      <c r="AA1457" s="48"/>
      <c r="AB1457" s="711"/>
      <c r="AC1457" s="711"/>
      <c r="AD1457" s="711"/>
      <c r="AE1457" s="711"/>
      <c r="AF1457" s="711"/>
      <c r="AG1457" s="711"/>
      <c r="AH1457" s="711"/>
    </row>
    <row r="1458">
      <c r="A1458" s="723"/>
      <c r="B1458" s="723"/>
      <c r="C1458" s="723"/>
      <c r="D1458" s="724"/>
      <c r="E1458" s="725"/>
      <c r="F1458" s="725"/>
      <c r="G1458" s="724"/>
      <c r="H1458" s="724"/>
      <c r="I1458" s="724"/>
      <c r="J1458" s="723"/>
      <c r="K1458" s="724"/>
      <c r="L1458" s="724"/>
      <c r="M1458" s="724"/>
      <c r="N1458" s="726"/>
      <c r="O1458" s="723"/>
      <c r="P1458" s="726"/>
      <c r="Q1458" s="723"/>
      <c r="R1458" s="723"/>
      <c r="S1458" s="723"/>
      <c r="T1458" s="724"/>
      <c r="U1458" s="724"/>
      <c r="V1458" s="725"/>
      <c r="W1458" s="724"/>
      <c r="X1458" s="724"/>
      <c r="Y1458" s="723"/>
      <c r="Z1458" s="723"/>
      <c r="AA1458" s="723"/>
      <c r="AB1458" s="725"/>
      <c r="AC1458" s="725"/>
      <c r="AD1458" s="725"/>
      <c r="AE1458" s="725"/>
      <c r="AF1458" s="725"/>
      <c r="AG1458" s="725"/>
      <c r="AH1458" s="725"/>
    </row>
  </sheetData>
  <hyperlinks>
    <hyperlink r:id="rId2" location="gid=930245762" ref="Z1"/>
    <hyperlink r:id="rId3" ref="Z2"/>
    <hyperlink r:id="rId4" ref="Z3"/>
    <hyperlink r:id="rId5" ref="Z4"/>
    <hyperlink r:id="rId6" ref="Z5"/>
    <hyperlink r:id="rId7" ref="Z6"/>
    <hyperlink r:id="rId8" ref="Z7"/>
    <hyperlink r:id="rId9" ref="Z8"/>
    <hyperlink r:id="rId10" ref="Z9"/>
    <hyperlink r:id="rId11" ref="Z10"/>
    <hyperlink r:id="rId12" ref="Z11"/>
    <hyperlink r:id="rId13" ref="Z12"/>
    <hyperlink r:id="rId14" ref="Z13"/>
    <hyperlink r:id="rId15" ref="Z14"/>
    <hyperlink r:id="rId16" ref="Z15"/>
    <hyperlink r:id="rId17" ref="Z16"/>
    <hyperlink r:id="rId18" ref="Z17"/>
    <hyperlink r:id="rId19" ref="Z18"/>
    <hyperlink r:id="rId20" ref="Z19"/>
    <hyperlink r:id="rId21" ref="Z20"/>
    <hyperlink r:id="rId22" ref="Z21"/>
    <hyperlink r:id="rId23" ref="Z22"/>
    <hyperlink r:id="rId24" ref="Z23"/>
    <hyperlink r:id="rId25" ref="Z24"/>
    <hyperlink r:id="rId26" ref="Z25"/>
    <hyperlink r:id="rId27" ref="Z26"/>
    <hyperlink r:id="rId28" ref="Z27"/>
    <hyperlink r:id="rId29" ref="Z28"/>
    <hyperlink r:id="rId30" ref="Z29"/>
    <hyperlink r:id="rId31" ref="Z30"/>
    <hyperlink r:id="rId32" ref="Z31"/>
    <hyperlink r:id="rId33" ref="Z32"/>
    <hyperlink r:id="rId34" ref="Z33"/>
    <hyperlink r:id="rId35" ref="Z34"/>
    <hyperlink r:id="rId36" ref="Z35"/>
    <hyperlink r:id="rId37" ref="Z36"/>
    <hyperlink r:id="rId38" ref="Z37"/>
    <hyperlink r:id="rId39" ref="Z38"/>
    <hyperlink r:id="rId40" ref="Z39"/>
    <hyperlink r:id="rId41" ref="Z40"/>
    <hyperlink r:id="rId42" ref="Z41"/>
    <hyperlink r:id="rId43" ref="Z42"/>
    <hyperlink r:id="rId44" ref="Z43"/>
    <hyperlink r:id="rId45" ref="Z44"/>
    <hyperlink r:id="rId46" ref="Z45"/>
    <hyperlink r:id="rId47" ref="Z46"/>
    <hyperlink r:id="rId48" ref="Z47"/>
    <hyperlink r:id="rId49" ref="Z48"/>
    <hyperlink r:id="rId50" ref="Z49"/>
    <hyperlink r:id="rId51" ref="Z50"/>
    <hyperlink r:id="rId52" ref="Z51"/>
    <hyperlink r:id="rId53" location="gid=1932012694" ref="Z52"/>
    <hyperlink r:id="rId54" ref="R53"/>
    <hyperlink r:id="rId55" ref="T53"/>
    <hyperlink r:id="rId56" ref="Z53"/>
    <hyperlink r:id="rId57" ref="Z54"/>
    <hyperlink r:id="rId58" ref="Z55"/>
    <hyperlink r:id="rId59" ref="Z56"/>
    <hyperlink r:id="rId60" ref="Z57"/>
    <hyperlink r:id="rId61" location="gid=1932012694" ref="Z58"/>
    <hyperlink r:id="rId62" ref="Z59"/>
    <hyperlink r:id="rId63" ref="Z60"/>
    <hyperlink r:id="rId64" ref="Z61"/>
    <hyperlink r:id="rId65" ref="Z62"/>
    <hyperlink r:id="rId66" ref="Z63"/>
    <hyperlink r:id="rId67" ref="Z64"/>
    <hyperlink r:id="rId68" ref="R65"/>
    <hyperlink r:id="rId69" ref="T65"/>
    <hyperlink r:id="rId70" ref="Z65"/>
    <hyperlink r:id="rId71" ref="Z66"/>
    <hyperlink r:id="rId72" ref="Z67"/>
    <hyperlink r:id="rId73" ref="Z68"/>
    <hyperlink r:id="rId74" ref="Z69"/>
    <hyperlink r:id="rId75" ref="Z70"/>
    <hyperlink r:id="rId76" ref="R71"/>
    <hyperlink r:id="rId77" ref="T71"/>
    <hyperlink r:id="rId78" ref="Z71"/>
    <hyperlink r:id="rId79" ref="Z72"/>
    <hyperlink r:id="rId80" ref="Z73"/>
    <hyperlink r:id="rId81" ref="R74"/>
    <hyperlink r:id="rId82" ref="T74"/>
    <hyperlink r:id="rId83" ref="Z74"/>
    <hyperlink r:id="rId84" ref="R79"/>
    <hyperlink r:id="rId85" ref="T79"/>
    <hyperlink r:id="rId86" ref="R81"/>
    <hyperlink r:id="rId87" ref="T81"/>
    <hyperlink r:id="rId88" ref="R107"/>
    <hyperlink r:id="rId89" ref="T107"/>
    <hyperlink r:id="rId90" ref="R115"/>
    <hyperlink r:id="rId91" ref="T115"/>
    <hyperlink r:id="rId92" ref="R116"/>
    <hyperlink r:id="rId93" ref="T116"/>
    <hyperlink r:id="rId94" ref="R121"/>
    <hyperlink r:id="rId95" ref="T121"/>
    <hyperlink r:id="rId96" ref="R125"/>
    <hyperlink r:id="rId97" ref="T125"/>
    <hyperlink r:id="rId98" ref="R126"/>
    <hyperlink r:id="rId99" ref="T126"/>
    <hyperlink r:id="rId100" ref="R127"/>
    <hyperlink r:id="rId101" ref="T127"/>
    <hyperlink r:id="rId102" ref="R128"/>
    <hyperlink r:id="rId103" ref="T128"/>
    <hyperlink r:id="rId104" ref="R129"/>
    <hyperlink r:id="rId105" ref="T129"/>
    <hyperlink r:id="rId106" ref="R131"/>
    <hyperlink r:id="rId107" ref="T131"/>
    <hyperlink r:id="rId108" ref="R132"/>
    <hyperlink r:id="rId109" ref="T132"/>
    <hyperlink r:id="rId110" ref="R133"/>
    <hyperlink r:id="rId111" ref="T133"/>
    <hyperlink r:id="rId112" ref="R134"/>
    <hyperlink r:id="rId113" ref="T134"/>
    <hyperlink r:id="rId114" ref="R137"/>
    <hyperlink r:id="rId115" ref="T137"/>
    <hyperlink r:id="rId116" ref="R138"/>
    <hyperlink r:id="rId117" ref="T138"/>
    <hyperlink r:id="rId118" ref="R139"/>
    <hyperlink r:id="rId119" ref="T139"/>
    <hyperlink r:id="rId120" ref="R140"/>
    <hyperlink r:id="rId121" ref="T140"/>
    <hyperlink r:id="rId122" ref="R141"/>
    <hyperlink r:id="rId123" ref="T141"/>
    <hyperlink r:id="rId124" ref="R142"/>
    <hyperlink r:id="rId125" ref="T142"/>
    <hyperlink r:id="rId126" ref="R143"/>
    <hyperlink r:id="rId127" ref="T143"/>
    <hyperlink r:id="rId128" ref="R144"/>
    <hyperlink r:id="rId129" ref="T144"/>
    <hyperlink r:id="rId130" ref="R145"/>
    <hyperlink r:id="rId131" ref="T145"/>
    <hyperlink r:id="rId132" ref="R146"/>
    <hyperlink r:id="rId133" ref="T146"/>
    <hyperlink r:id="rId134" ref="R147"/>
    <hyperlink r:id="rId135" ref="T147"/>
    <hyperlink r:id="rId136" ref="R149"/>
    <hyperlink r:id="rId137" ref="T149"/>
    <hyperlink r:id="rId138" ref="R150"/>
    <hyperlink r:id="rId139" ref="T150"/>
    <hyperlink r:id="rId140" ref="R151"/>
    <hyperlink r:id="rId141" ref="T151"/>
    <hyperlink r:id="rId142" ref="R152"/>
    <hyperlink r:id="rId143" ref="T152"/>
    <hyperlink r:id="rId144" ref="R153"/>
    <hyperlink r:id="rId145" ref="T153"/>
    <hyperlink r:id="rId146" ref="R154"/>
    <hyperlink r:id="rId147" ref="T154"/>
    <hyperlink r:id="rId148" ref="R155"/>
    <hyperlink r:id="rId149" ref="T155"/>
    <hyperlink r:id="rId150" ref="R156"/>
    <hyperlink r:id="rId151" ref="T156"/>
    <hyperlink r:id="rId152" ref="R157"/>
    <hyperlink r:id="rId153" ref="T157"/>
    <hyperlink r:id="rId154" ref="R161"/>
    <hyperlink r:id="rId155" ref="T161"/>
    <hyperlink r:id="rId156" ref="R162"/>
    <hyperlink r:id="rId157" ref="T162"/>
    <hyperlink r:id="rId158" ref="R163"/>
    <hyperlink r:id="rId159" ref="T163"/>
    <hyperlink r:id="rId160" ref="R164"/>
    <hyperlink r:id="rId161" ref="T164"/>
    <hyperlink r:id="rId162" ref="R165"/>
    <hyperlink r:id="rId163" ref="T165"/>
    <hyperlink r:id="rId164" ref="R166"/>
    <hyperlink r:id="rId165" ref="T166"/>
    <hyperlink r:id="rId166" ref="R167"/>
    <hyperlink r:id="rId167" ref="T167"/>
    <hyperlink r:id="rId168" ref="R168"/>
    <hyperlink r:id="rId169" ref="T168"/>
    <hyperlink r:id="rId170" ref="R169"/>
    <hyperlink r:id="rId171" ref="T169"/>
    <hyperlink r:id="rId172" ref="R173"/>
    <hyperlink r:id="rId173" ref="T173"/>
    <hyperlink r:id="rId174" ref="R174"/>
    <hyperlink r:id="rId175" ref="T174"/>
    <hyperlink r:id="rId176" ref="R175"/>
    <hyperlink r:id="rId177" ref="T175"/>
    <hyperlink r:id="rId178" ref="R176"/>
    <hyperlink r:id="rId179" ref="T176"/>
    <hyperlink r:id="rId180" ref="R177"/>
    <hyperlink r:id="rId181" ref="T177"/>
    <hyperlink r:id="rId182" ref="R178"/>
    <hyperlink r:id="rId183" ref="T178"/>
    <hyperlink r:id="rId184" ref="R179"/>
    <hyperlink r:id="rId185" ref="T179"/>
    <hyperlink r:id="rId186" ref="R180"/>
    <hyperlink r:id="rId187" ref="T180"/>
    <hyperlink r:id="rId188" ref="R181"/>
    <hyperlink r:id="rId189" ref="T181"/>
    <hyperlink r:id="rId190" ref="R221"/>
    <hyperlink r:id="rId191" ref="T221"/>
    <hyperlink r:id="rId192" ref="R245"/>
    <hyperlink r:id="rId193" ref="T245"/>
    <hyperlink r:id="rId194" ref="R257"/>
    <hyperlink r:id="rId195" ref="T257"/>
    <hyperlink r:id="rId196" ref="R269"/>
    <hyperlink r:id="rId197" ref="T269"/>
    <hyperlink r:id="rId198" ref="R273"/>
    <hyperlink r:id="rId199" ref="T273"/>
    <hyperlink r:id="rId200" ref="R308"/>
    <hyperlink r:id="rId201" ref="T308"/>
    <hyperlink r:id="rId202" ref="R313"/>
    <hyperlink r:id="rId203" ref="T313"/>
    <hyperlink r:id="rId204" ref="R318"/>
    <hyperlink r:id="rId205" ref="T318"/>
    <hyperlink r:id="rId206" ref="R319"/>
    <hyperlink r:id="rId207" ref="T319"/>
    <hyperlink r:id="rId208" ref="R320"/>
    <hyperlink r:id="rId209" ref="T320"/>
    <hyperlink r:id="rId210" ref="R321"/>
    <hyperlink r:id="rId211" ref="T321"/>
    <hyperlink r:id="rId212" ref="R323"/>
    <hyperlink r:id="rId213" ref="T323"/>
    <hyperlink r:id="rId214" ref="R325"/>
    <hyperlink r:id="rId215" ref="T325"/>
    <hyperlink r:id="rId216" ref="R326"/>
    <hyperlink r:id="rId217" ref="T326"/>
    <hyperlink r:id="rId218" ref="R327"/>
    <hyperlink r:id="rId219" ref="T327"/>
    <hyperlink r:id="rId220" ref="R329"/>
    <hyperlink r:id="rId221" ref="T329"/>
    <hyperlink r:id="rId222" ref="R330"/>
    <hyperlink r:id="rId223" ref="T330"/>
    <hyperlink r:id="rId224" ref="R331"/>
    <hyperlink r:id="rId225" ref="T331"/>
    <hyperlink r:id="rId226" ref="R332"/>
    <hyperlink r:id="rId227" ref="T332"/>
    <hyperlink r:id="rId228" ref="R333"/>
    <hyperlink r:id="rId229" ref="T333"/>
    <hyperlink r:id="rId230" ref="R334"/>
    <hyperlink r:id="rId231" ref="T334"/>
    <hyperlink r:id="rId232" ref="R335"/>
    <hyperlink r:id="rId233" ref="T335"/>
    <hyperlink r:id="rId234" ref="R336"/>
    <hyperlink r:id="rId235" ref="T336"/>
    <hyperlink r:id="rId236" ref="R337"/>
    <hyperlink r:id="rId237" ref="T337"/>
    <hyperlink r:id="rId238" ref="R338"/>
    <hyperlink r:id="rId239" ref="T338"/>
    <hyperlink r:id="rId240" ref="R339"/>
    <hyperlink r:id="rId241" ref="T339"/>
    <hyperlink r:id="rId242" ref="R341"/>
    <hyperlink r:id="rId243" ref="T341"/>
    <hyperlink r:id="rId244" ref="R342"/>
    <hyperlink r:id="rId245" ref="T342"/>
    <hyperlink r:id="rId246" ref="R343"/>
    <hyperlink r:id="rId247" ref="T343"/>
    <hyperlink r:id="rId248" ref="R344"/>
    <hyperlink r:id="rId249" ref="T344"/>
    <hyperlink r:id="rId250" ref="R345"/>
    <hyperlink r:id="rId251" ref="T345"/>
    <hyperlink r:id="rId252" ref="R346"/>
    <hyperlink r:id="rId253" ref="T346"/>
    <hyperlink r:id="rId254" ref="R347"/>
    <hyperlink r:id="rId255" ref="T347"/>
    <hyperlink r:id="rId256" ref="R348"/>
    <hyperlink r:id="rId257" ref="T348"/>
    <hyperlink r:id="rId258" ref="R349"/>
    <hyperlink r:id="rId259" ref="T349"/>
    <hyperlink r:id="rId260" ref="R350"/>
    <hyperlink r:id="rId261" ref="T350"/>
    <hyperlink r:id="rId262" ref="R353"/>
    <hyperlink r:id="rId263" ref="T353"/>
    <hyperlink r:id="rId264" ref="R354"/>
    <hyperlink r:id="rId265" ref="T354"/>
    <hyperlink r:id="rId266" ref="R355"/>
    <hyperlink r:id="rId267" ref="T355"/>
    <hyperlink r:id="rId268" ref="R356"/>
    <hyperlink r:id="rId269" ref="T356"/>
    <hyperlink r:id="rId270" ref="R357"/>
    <hyperlink r:id="rId271" ref="T357"/>
    <hyperlink r:id="rId272" ref="R358"/>
    <hyperlink r:id="rId273" ref="T358"/>
    <hyperlink r:id="rId274" ref="R359"/>
    <hyperlink r:id="rId275" ref="T359"/>
    <hyperlink r:id="rId276" ref="R360"/>
    <hyperlink r:id="rId277" ref="T360"/>
    <hyperlink r:id="rId278" ref="R361"/>
    <hyperlink r:id="rId279" ref="T361"/>
    <hyperlink r:id="rId280" ref="R365"/>
    <hyperlink r:id="rId281" ref="T365"/>
    <hyperlink r:id="rId282" ref="R366"/>
    <hyperlink r:id="rId283" ref="T366"/>
    <hyperlink r:id="rId284" ref="R367"/>
    <hyperlink r:id="rId285" ref="T367"/>
    <hyperlink r:id="rId286" ref="R368"/>
    <hyperlink r:id="rId287" ref="T368"/>
    <hyperlink r:id="rId288" ref="R369"/>
    <hyperlink r:id="rId289" ref="T369"/>
    <hyperlink r:id="rId290" ref="R370"/>
    <hyperlink r:id="rId291" ref="T370"/>
    <hyperlink r:id="rId292" ref="R371"/>
    <hyperlink r:id="rId293" ref="T371"/>
    <hyperlink r:id="rId294" ref="R372"/>
    <hyperlink r:id="rId295" ref="T372"/>
    <hyperlink r:id="rId296" ref="R373"/>
    <hyperlink r:id="rId297" ref="T373"/>
    <hyperlink r:id="rId298" ref="R425"/>
    <hyperlink r:id="rId299" ref="T425"/>
    <hyperlink r:id="rId300" ref="R437"/>
    <hyperlink r:id="rId301" ref="T437"/>
    <hyperlink r:id="rId302" ref="R449"/>
    <hyperlink r:id="rId303" ref="T449"/>
    <hyperlink r:id="rId304" ref="R461"/>
    <hyperlink r:id="rId305" ref="T461"/>
    <hyperlink r:id="rId306" ref="R463"/>
    <hyperlink r:id="rId307" ref="T463"/>
    <hyperlink r:id="rId308" ref="R465"/>
    <hyperlink r:id="rId309" ref="T465"/>
    <hyperlink r:id="rId310" ref="R500"/>
    <hyperlink r:id="rId311" ref="T500"/>
    <hyperlink r:id="rId312" ref="R503"/>
    <hyperlink r:id="rId313" ref="T503"/>
    <hyperlink r:id="rId314" ref="R505"/>
    <hyperlink r:id="rId315" ref="T505"/>
    <hyperlink r:id="rId316" ref="R509"/>
    <hyperlink r:id="rId317" ref="T509"/>
    <hyperlink r:id="rId318" ref="R510"/>
    <hyperlink r:id="rId319" ref="T510"/>
    <hyperlink r:id="rId320" ref="R511"/>
    <hyperlink r:id="rId321" ref="T511"/>
    <hyperlink r:id="rId322" ref="R512"/>
    <hyperlink r:id="rId323" ref="T512"/>
    <hyperlink r:id="rId324" ref="R513"/>
    <hyperlink r:id="rId325" ref="T513"/>
    <hyperlink r:id="rId326" ref="R515"/>
    <hyperlink r:id="rId327" ref="T515"/>
    <hyperlink r:id="rId328" ref="R517"/>
    <hyperlink r:id="rId329" ref="T517"/>
    <hyperlink r:id="rId330" ref="R518"/>
    <hyperlink r:id="rId331" ref="T518"/>
    <hyperlink r:id="rId332" ref="R519"/>
    <hyperlink r:id="rId333" ref="T519"/>
    <hyperlink r:id="rId334" ref="R521"/>
    <hyperlink r:id="rId335" ref="T521"/>
    <hyperlink r:id="rId336" ref="R522"/>
    <hyperlink r:id="rId337" ref="T522"/>
    <hyperlink r:id="rId338" ref="R523"/>
    <hyperlink r:id="rId339" ref="T523"/>
    <hyperlink r:id="rId340" ref="R524"/>
    <hyperlink r:id="rId341" ref="T524"/>
    <hyperlink r:id="rId342" ref="R525"/>
    <hyperlink r:id="rId343" ref="T525"/>
    <hyperlink r:id="rId344" ref="R526"/>
    <hyperlink r:id="rId345" ref="T526"/>
    <hyperlink r:id="rId346" ref="R527"/>
    <hyperlink r:id="rId347" ref="T527"/>
    <hyperlink r:id="rId348" ref="R528"/>
    <hyperlink r:id="rId349" ref="T528"/>
    <hyperlink r:id="rId350" ref="R529"/>
    <hyperlink r:id="rId351" ref="T529"/>
    <hyperlink r:id="rId352" ref="R530"/>
    <hyperlink r:id="rId353" ref="T530"/>
    <hyperlink r:id="rId354" ref="R533"/>
    <hyperlink r:id="rId355" ref="T533"/>
    <hyperlink r:id="rId356" ref="R534"/>
    <hyperlink r:id="rId357" ref="T534"/>
    <hyperlink r:id="rId358" ref="R535"/>
    <hyperlink r:id="rId359" ref="T535"/>
    <hyperlink r:id="rId360" ref="R536"/>
    <hyperlink r:id="rId361" ref="T536"/>
    <hyperlink r:id="rId362" ref="R537"/>
    <hyperlink r:id="rId363" ref="T537"/>
    <hyperlink r:id="rId364" ref="R538"/>
    <hyperlink r:id="rId365" ref="T538"/>
    <hyperlink r:id="rId366" ref="R539"/>
    <hyperlink r:id="rId367" ref="T539"/>
    <hyperlink r:id="rId368" ref="R540"/>
    <hyperlink r:id="rId369" ref="T540"/>
    <hyperlink r:id="rId370" ref="R541"/>
    <hyperlink r:id="rId371" ref="T541"/>
    <hyperlink r:id="rId372" ref="R542"/>
    <hyperlink r:id="rId373" ref="T542"/>
    <hyperlink r:id="rId374" ref="R545"/>
    <hyperlink r:id="rId375" ref="T545"/>
    <hyperlink r:id="rId376" ref="R546"/>
    <hyperlink r:id="rId377" ref="T546"/>
    <hyperlink r:id="rId378" ref="R547"/>
    <hyperlink r:id="rId379" ref="T547"/>
    <hyperlink r:id="rId380" ref="R548"/>
    <hyperlink r:id="rId381" ref="T548"/>
    <hyperlink r:id="rId382" ref="R549"/>
    <hyperlink r:id="rId383" ref="T549"/>
    <hyperlink r:id="rId384" ref="R550"/>
    <hyperlink r:id="rId385" ref="T550"/>
    <hyperlink r:id="rId386" ref="R551"/>
    <hyperlink r:id="rId387" ref="T551"/>
    <hyperlink r:id="rId388" ref="R552"/>
    <hyperlink r:id="rId389" ref="T552"/>
    <hyperlink r:id="rId390" ref="R553"/>
    <hyperlink r:id="rId391" ref="T553"/>
    <hyperlink r:id="rId392" ref="R557"/>
    <hyperlink r:id="rId393" ref="T557"/>
    <hyperlink r:id="rId394" ref="R558"/>
    <hyperlink r:id="rId395" ref="T558"/>
    <hyperlink r:id="rId396" ref="R559"/>
    <hyperlink r:id="rId397" ref="T559"/>
    <hyperlink r:id="rId398" ref="R560"/>
    <hyperlink r:id="rId399" ref="T560"/>
    <hyperlink r:id="rId400" ref="R561"/>
    <hyperlink r:id="rId401" ref="T561"/>
    <hyperlink r:id="rId402" ref="R562"/>
    <hyperlink r:id="rId403" ref="T562"/>
    <hyperlink r:id="rId404" ref="R563"/>
    <hyperlink r:id="rId405" ref="T563"/>
    <hyperlink r:id="rId406" ref="R564"/>
    <hyperlink r:id="rId407" ref="T564"/>
    <hyperlink r:id="rId408" ref="R565"/>
    <hyperlink r:id="rId409" ref="T565"/>
    <hyperlink r:id="rId410" ref="R605"/>
    <hyperlink r:id="rId411" ref="T605"/>
    <hyperlink r:id="rId412" ref="R629"/>
    <hyperlink r:id="rId413" ref="T629"/>
    <hyperlink r:id="rId414" ref="R641"/>
    <hyperlink r:id="rId415" ref="T641"/>
    <hyperlink r:id="rId416" ref="R653"/>
    <hyperlink r:id="rId417" ref="T653"/>
    <hyperlink r:id="rId418" ref="R655"/>
    <hyperlink r:id="rId419" ref="T655"/>
    <hyperlink r:id="rId420" ref="R657"/>
    <hyperlink r:id="rId421" ref="T657"/>
    <hyperlink r:id="rId422" ref="R697"/>
    <hyperlink r:id="rId423" ref="T697"/>
    <hyperlink r:id="rId424" ref="R702"/>
    <hyperlink r:id="rId425" ref="T702"/>
    <hyperlink r:id="rId426" ref="R703"/>
    <hyperlink r:id="rId427" ref="T703"/>
    <hyperlink r:id="rId428" ref="R705"/>
    <hyperlink r:id="rId429" ref="T705"/>
    <hyperlink r:id="rId430" ref="R707"/>
    <hyperlink r:id="rId431" ref="T707"/>
    <hyperlink r:id="rId432" ref="R708"/>
    <hyperlink r:id="rId433" ref="T708"/>
    <hyperlink r:id="rId434" ref="R709"/>
    <hyperlink r:id="rId435" ref="T709"/>
    <hyperlink r:id="rId436" ref="R710"/>
    <hyperlink r:id="rId437" ref="T710"/>
    <hyperlink r:id="rId438" ref="R711"/>
    <hyperlink r:id="rId439" ref="T711"/>
    <hyperlink r:id="rId440" ref="R713"/>
    <hyperlink r:id="rId441" ref="T713"/>
    <hyperlink r:id="rId442" ref="R714"/>
    <hyperlink r:id="rId443" ref="T714"/>
    <hyperlink r:id="rId444" ref="R715"/>
    <hyperlink r:id="rId445" ref="T715"/>
    <hyperlink r:id="rId446" ref="R716"/>
    <hyperlink r:id="rId447" ref="T716"/>
    <hyperlink r:id="rId448" ref="R717"/>
    <hyperlink r:id="rId449" ref="T717"/>
    <hyperlink r:id="rId450" ref="R718"/>
    <hyperlink r:id="rId451" ref="T718"/>
    <hyperlink r:id="rId452" ref="R719"/>
    <hyperlink r:id="rId453" ref="T719"/>
    <hyperlink r:id="rId454" ref="R720"/>
    <hyperlink r:id="rId455" ref="T720"/>
    <hyperlink r:id="rId456" ref="R721"/>
    <hyperlink r:id="rId457" ref="T721"/>
    <hyperlink r:id="rId458" ref="R722"/>
    <hyperlink r:id="rId459" ref="T722"/>
    <hyperlink r:id="rId460" ref="R723"/>
    <hyperlink r:id="rId461" ref="T723"/>
    <hyperlink r:id="rId462" ref="R725"/>
    <hyperlink r:id="rId463" ref="T725"/>
    <hyperlink r:id="rId464" ref="R726"/>
    <hyperlink r:id="rId465" ref="T726"/>
    <hyperlink r:id="rId466" ref="R727"/>
    <hyperlink r:id="rId467" ref="T727"/>
    <hyperlink r:id="rId468" ref="R728"/>
    <hyperlink r:id="rId469" ref="T728"/>
    <hyperlink r:id="rId470" ref="R729"/>
    <hyperlink r:id="rId471" ref="T729"/>
    <hyperlink r:id="rId472" ref="R730"/>
    <hyperlink r:id="rId473" ref="T730"/>
    <hyperlink r:id="rId474" ref="R731"/>
    <hyperlink r:id="rId475" ref="T731"/>
    <hyperlink r:id="rId476" ref="R732"/>
    <hyperlink r:id="rId477" ref="T732"/>
    <hyperlink r:id="rId478" ref="R733"/>
    <hyperlink r:id="rId479" ref="T733"/>
    <hyperlink r:id="rId480" ref="R734"/>
    <hyperlink r:id="rId481" ref="T734"/>
    <hyperlink r:id="rId482" ref="R737"/>
    <hyperlink r:id="rId483" ref="T737"/>
    <hyperlink r:id="rId484" ref="R738"/>
    <hyperlink r:id="rId485" ref="T738"/>
    <hyperlink r:id="rId486" ref="R739"/>
    <hyperlink r:id="rId487" ref="T739"/>
    <hyperlink r:id="rId488" ref="R740"/>
    <hyperlink r:id="rId489" ref="T740"/>
    <hyperlink r:id="rId490" ref="R741"/>
    <hyperlink r:id="rId491" ref="T741"/>
    <hyperlink r:id="rId492" ref="R742"/>
    <hyperlink r:id="rId493" ref="T742"/>
    <hyperlink r:id="rId494" ref="R743"/>
    <hyperlink r:id="rId495" ref="T743"/>
    <hyperlink r:id="rId496" ref="R744"/>
    <hyperlink r:id="rId497" ref="T744"/>
    <hyperlink r:id="rId498" ref="R745"/>
    <hyperlink r:id="rId499" ref="T745"/>
    <hyperlink r:id="rId500" ref="R749"/>
    <hyperlink r:id="rId501" ref="T749"/>
    <hyperlink r:id="rId502" ref="R750"/>
    <hyperlink r:id="rId503" ref="T750"/>
    <hyperlink r:id="rId504" ref="R751"/>
    <hyperlink r:id="rId505" ref="T751"/>
    <hyperlink r:id="rId506" ref="R752"/>
    <hyperlink r:id="rId507" ref="T752"/>
    <hyperlink r:id="rId508" ref="R753"/>
    <hyperlink r:id="rId509" ref="T753"/>
    <hyperlink r:id="rId510" ref="R754"/>
    <hyperlink r:id="rId511" ref="T754"/>
    <hyperlink r:id="rId512" ref="R755"/>
    <hyperlink r:id="rId513" ref="T755"/>
    <hyperlink r:id="rId514" ref="R756"/>
    <hyperlink r:id="rId515" ref="T756"/>
    <hyperlink r:id="rId516" ref="R757"/>
    <hyperlink r:id="rId517" ref="T757"/>
    <hyperlink r:id="rId518" ref="R809"/>
    <hyperlink r:id="rId519" ref="T809"/>
    <hyperlink r:id="rId520" ref="R821"/>
    <hyperlink r:id="rId521" ref="T821"/>
    <hyperlink r:id="rId522" ref="R833"/>
    <hyperlink r:id="rId523" ref="T833"/>
    <hyperlink r:id="rId524" ref="R837"/>
    <hyperlink r:id="rId525" ref="T837"/>
    <hyperlink r:id="rId526" ref="R845"/>
    <hyperlink r:id="rId527" ref="T845"/>
    <hyperlink r:id="rId528" ref="R848"/>
    <hyperlink r:id="rId529" ref="T848"/>
    <hyperlink r:id="rId530" ref="R849"/>
    <hyperlink r:id="rId531" ref="T849"/>
    <hyperlink r:id="rId532" ref="R872"/>
    <hyperlink r:id="rId533" ref="T872"/>
    <hyperlink r:id="rId534" ref="R884"/>
    <hyperlink r:id="rId535" ref="T884"/>
    <hyperlink r:id="rId536" ref="R894"/>
    <hyperlink r:id="rId537" ref="T894"/>
    <hyperlink r:id="rId538" ref="R899"/>
    <hyperlink r:id="rId539" ref="T899"/>
    <hyperlink r:id="rId540" ref="R901"/>
    <hyperlink r:id="rId541" ref="T901"/>
    <hyperlink r:id="rId542" ref="R902"/>
    <hyperlink r:id="rId543" ref="T902"/>
    <hyperlink r:id="rId544" ref="R905"/>
    <hyperlink r:id="rId545" ref="T905"/>
    <hyperlink r:id="rId546" ref="R906"/>
    <hyperlink r:id="rId547" ref="T906"/>
    <hyperlink r:id="rId548" ref="R907"/>
    <hyperlink r:id="rId549" ref="T907"/>
    <hyperlink r:id="rId550" ref="R908"/>
    <hyperlink r:id="rId551" ref="T908"/>
    <hyperlink r:id="rId552" ref="R909"/>
    <hyperlink r:id="rId553" ref="T909"/>
    <hyperlink r:id="rId554" ref="R910"/>
    <hyperlink r:id="rId555" ref="T910"/>
    <hyperlink r:id="rId556" ref="R911"/>
    <hyperlink r:id="rId557" ref="T911"/>
    <hyperlink r:id="rId558" ref="R912"/>
    <hyperlink r:id="rId559" ref="T912"/>
    <hyperlink r:id="rId560" ref="R913"/>
    <hyperlink r:id="rId561" ref="T913"/>
    <hyperlink r:id="rId562" ref="R914"/>
    <hyperlink r:id="rId563" ref="T914"/>
    <hyperlink r:id="rId564" ref="R917"/>
    <hyperlink r:id="rId565" ref="T917"/>
    <hyperlink r:id="rId566" ref="R918"/>
    <hyperlink r:id="rId567" ref="T918"/>
    <hyperlink r:id="rId568" ref="R919"/>
    <hyperlink r:id="rId569" ref="T919"/>
    <hyperlink r:id="rId570" ref="R920"/>
    <hyperlink r:id="rId571" ref="T920"/>
    <hyperlink r:id="rId572" ref="R921"/>
    <hyperlink r:id="rId573" ref="T921"/>
    <hyperlink r:id="rId574" ref="R922"/>
    <hyperlink r:id="rId575" ref="T922"/>
    <hyperlink r:id="rId576" ref="R923"/>
    <hyperlink r:id="rId577" ref="T923"/>
    <hyperlink r:id="rId578" ref="R924"/>
    <hyperlink r:id="rId579" ref="T924"/>
    <hyperlink r:id="rId580" ref="R925"/>
    <hyperlink r:id="rId581" ref="T925"/>
    <hyperlink r:id="rId582" ref="R929"/>
    <hyperlink r:id="rId583" ref="T929"/>
    <hyperlink r:id="rId584" ref="R930"/>
    <hyperlink r:id="rId585" ref="T930"/>
    <hyperlink r:id="rId586" ref="R931"/>
    <hyperlink r:id="rId587" ref="T931"/>
    <hyperlink r:id="rId588" ref="R933"/>
    <hyperlink r:id="rId589" ref="T933"/>
    <hyperlink r:id="rId590" ref="R934"/>
    <hyperlink r:id="rId591" ref="T934"/>
    <hyperlink r:id="rId592" ref="R935"/>
    <hyperlink r:id="rId593" ref="T935"/>
    <hyperlink r:id="rId594" ref="R936"/>
    <hyperlink r:id="rId595" ref="T936"/>
    <hyperlink r:id="rId596" ref="R937"/>
    <hyperlink r:id="rId597" ref="T937"/>
    <hyperlink r:id="rId598" ref="R997"/>
    <hyperlink r:id="rId599" ref="T997"/>
    <hyperlink r:id="rId600" ref="R1003"/>
    <hyperlink r:id="rId601" ref="T1003"/>
    <hyperlink r:id="rId602" ref="R1005"/>
    <hyperlink r:id="rId603" ref="T1005"/>
    <hyperlink r:id="rId604" ref="R1013"/>
    <hyperlink r:id="rId605" ref="T1013"/>
    <hyperlink r:id="rId606" ref="R1014"/>
    <hyperlink r:id="rId607" ref="T1014"/>
    <hyperlink r:id="rId608" ref="R1017"/>
    <hyperlink r:id="rId609" ref="T1017"/>
    <hyperlink r:id="rId610" ref="R1025"/>
    <hyperlink r:id="rId611" ref="T1025"/>
    <hyperlink r:id="rId612" ref="R1026"/>
    <hyperlink r:id="rId613" ref="T1026"/>
    <hyperlink r:id="rId614" ref="R1029"/>
    <hyperlink r:id="rId615" ref="T1029"/>
    <hyperlink r:id="rId616" ref="R1037"/>
    <hyperlink r:id="rId617" ref="T1037"/>
    <hyperlink r:id="rId618" ref="R1038"/>
    <hyperlink r:id="rId619" ref="T1038"/>
    <hyperlink r:id="rId620" ref="R1039"/>
    <hyperlink r:id="rId621" ref="T1039"/>
    <hyperlink r:id="rId622" ref="R1041"/>
    <hyperlink r:id="rId623" ref="T1041"/>
    <hyperlink r:id="rId624" ref="R1043"/>
    <hyperlink r:id="rId625" ref="T1043"/>
    <hyperlink r:id="rId626" ref="R1044"/>
    <hyperlink r:id="rId627" ref="T1044"/>
    <hyperlink r:id="rId628" ref="R1046"/>
    <hyperlink r:id="rId629" ref="T1046"/>
    <hyperlink r:id="rId630" ref="R1049"/>
    <hyperlink r:id="rId631" ref="T1049"/>
    <hyperlink r:id="rId632" ref="R1050"/>
    <hyperlink r:id="rId633" ref="T1050"/>
    <hyperlink r:id="rId634" ref="R1051"/>
    <hyperlink r:id="rId635" ref="T1051"/>
    <hyperlink r:id="rId636" ref="R1053"/>
    <hyperlink r:id="rId637" ref="T1053"/>
    <hyperlink r:id="rId638" ref="R1055"/>
    <hyperlink r:id="rId639" ref="T1055"/>
    <hyperlink r:id="rId640" ref="R1056"/>
    <hyperlink r:id="rId641" ref="T1056"/>
    <hyperlink r:id="rId642" ref="R1061"/>
    <hyperlink r:id="rId643" ref="T1061"/>
    <hyperlink r:id="rId644" ref="R1062"/>
    <hyperlink r:id="rId645" ref="T1062"/>
    <hyperlink r:id="rId646" ref="R1063"/>
    <hyperlink r:id="rId647" ref="T1063"/>
    <hyperlink r:id="rId648" ref="R1065"/>
    <hyperlink r:id="rId649" ref="T1065"/>
    <hyperlink r:id="rId650" ref="R1067"/>
    <hyperlink r:id="rId651" ref="T1067"/>
    <hyperlink r:id="rId652" ref="R1068"/>
    <hyperlink r:id="rId653" ref="T1068"/>
    <hyperlink r:id="rId654" ref="R1073"/>
    <hyperlink r:id="rId655" ref="T1073"/>
    <hyperlink r:id="rId656" ref="R1074"/>
    <hyperlink r:id="rId657" ref="T1074"/>
    <hyperlink r:id="rId658" ref="R1077"/>
    <hyperlink r:id="rId659" ref="T1077"/>
    <hyperlink r:id="rId660" ref="R1079"/>
    <hyperlink r:id="rId661" ref="T1079"/>
    <hyperlink r:id="rId662" ref="R1080"/>
    <hyperlink r:id="rId663" ref="T1080"/>
    <hyperlink r:id="rId664" ref="T1346"/>
    <hyperlink r:id="rId665" ref="T1347"/>
    <hyperlink r:id="rId666" ref="T1348"/>
    <hyperlink r:id="rId667" ref="T1349"/>
    <hyperlink r:id="rId668" ref="T1350"/>
    <hyperlink r:id="rId669" ref="T1351"/>
    <hyperlink r:id="rId670" ref="T1352"/>
    <hyperlink r:id="rId671" ref="T1353"/>
    <hyperlink r:id="rId672" ref="T1354"/>
    <hyperlink r:id="rId673" ref="T1355"/>
    <hyperlink r:id="rId674" ref="T1356"/>
    <hyperlink r:id="rId675" ref="T1357"/>
    <hyperlink r:id="rId676" ref="T1358"/>
    <hyperlink r:id="rId677" ref="T1359"/>
    <hyperlink r:id="rId678" ref="T1360"/>
    <hyperlink r:id="rId679" ref="T1361"/>
    <hyperlink r:id="rId680" ref="T1362"/>
    <hyperlink r:id="rId681" ref="T1363"/>
    <hyperlink r:id="rId682" ref="T1364"/>
  </hyperlinks>
  <drawing r:id="rId683"/>
  <legacyDrawing r:id="rId68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3" width="29.38"/>
    <col customWidth="1" min="4" max="4" width="18.25"/>
    <col customWidth="1" min="5" max="5" width="17.25"/>
    <col customWidth="1" min="6" max="8" width="25.13"/>
    <col customWidth="1" min="9" max="10" width="38.0"/>
    <col customWidth="1" min="11" max="11" width="27.88"/>
    <col customWidth="1" min="12" max="13" width="54.88"/>
  </cols>
  <sheetData>
    <row r="1" ht="42.75" customHeight="1">
      <c r="A1" s="727" t="str">
        <f>IFERROR(__xludf.DUMMYFUNCTION("IMPORTRANGE(""https://docs.google.com/spreadsheets/d/1O9G5CJn2MFIGoyF2uHQyxFictmT9kU2fAGsGdUxSQF8/edit?gid=165338693#gid=165338693"",""elenchi2!A1:L150"")"),"EVENTO")</f>
        <v>EVENTO</v>
      </c>
      <c r="B1" s="727" t="str">
        <f>IFERROR(__xludf.DUMMYFUNCTION("""COMPUTED_VALUE"""),"DATA INIZIO")</f>
        <v>DATA INIZIO</v>
      </c>
      <c r="C1" s="727" t="str">
        <f>IFERROR(__xludf.DUMMYFUNCTION("""COMPUTED_VALUE"""),"DATA FINE")</f>
        <v>DATA FINE</v>
      </c>
      <c r="D1" s="727" t="str">
        <f>IFERROR(__xludf.DUMMYFUNCTION("""COMPUTED_VALUE"""),"ORA INIZIO")</f>
        <v>ORA INIZIO</v>
      </c>
      <c r="E1" s="727" t="str">
        <f>IFERROR(__xludf.DUMMYFUNCTION("""COMPUTED_VALUE"""),"ORA FINE")</f>
        <v>ORA FINE</v>
      </c>
      <c r="F1" s="727" t="str">
        <f>IFERROR(__xludf.DUMMYFUNCTION("""COMPUTED_VALUE"""),"STUDIO")</f>
        <v>STUDIO</v>
      </c>
      <c r="G1" s="727" t="str">
        <f>IFERROR(__xludf.DUMMYFUNCTION("""COMPUTED_VALUE"""),"Frequenza di ripetizione evento")</f>
        <v>Frequenza di ripetizione evento</v>
      </c>
      <c r="H1" s="728" t="str">
        <f>IFERROR(__xludf.DUMMYFUNCTION("""COMPUTED_VALUE"""),"Durata in ore/minuti")</f>
        <v>Durata in ore/minuti</v>
      </c>
      <c r="I1" s="729" t="str">
        <f>IFERROR(__xludf.DUMMYFUNCTION("""COMPUTED_VALUE"""),"DETTAGLIO COMPLETO")</f>
        <v>DETTAGLIO COMPLETO</v>
      </c>
      <c r="J1" s="729" t="str">
        <f>IFERROR(__xludf.DUMMYFUNCTION("""COMPUTED_VALUE"""),"LINK Trello")</f>
        <v>LINK Trello</v>
      </c>
      <c r="K1" s="730" t="str">
        <f>IFERROR(__xludf.DUMMYFUNCTION("""COMPUTED_VALUE"""),"DETTAGLIO data e ora")</f>
        <v>DETTAGLIO data e ora</v>
      </c>
      <c r="L1" s="727" t="str">
        <f>IFERROR(__xludf.DUMMYFUNCTION("""COMPUTED_VALUE"""),"Elenco Date Programmate - INIZIO")</f>
        <v>Elenco Date Programmate - INIZIO</v>
      </c>
      <c r="M1" s="727"/>
    </row>
    <row r="2">
      <c r="A2" s="731" t="str">
        <f>IFERROR(__xludf.DUMMYFUNCTION("""COMPUTED_VALUE"""),"AFFITTO EXTRA Evento Modulo confermato")</f>
        <v>AFFITTO EXTRA Evento Modulo confermato</v>
      </c>
      <c r="B2" s="732">
        <f>IFERROR(__xludf.DUMMYFUNCTION("""COMPUTED_VALUE"""),46040.0)</f>
        <v>46040</v>
      </c>
      <c r="C2" s="732">
        <f>IFERROR(__xludf.DUMMYFUNCTION("""COMPUTED_VALUE"""),46040.0)</f>
        <v>46040</v>
      </c>
      <c r="D2" s="733" t="str">
        <f>IFERROR(__xludf.DUMMYFUNCTION("""COMPUTED_VALUE"""),"11:00")</f>
        <v>11:00</v>
      </c>
      <c r="E2" s="733" t="str">
        <f>IFERROR(__xludf.DUMMYFUNCTION("""COMPUTED_VALUE"""),"17:30")</f>
        <v>17:30</v>
      </c>
      <c r="F2" s="733" t="str">
        <f>IFERROR(__xludf.DUMMYFUNCTION("""COMPUTED_VALUE"""),"STUDIO 21")</f>
        <v>STUDIO 21</v>
      </c>
      <c r="G2" s="734"/>
      <c r="H2" s="733"/>
      <c r="I2" s="735" t="str">
        <f>IFERROR(__xludf.DUMMYFUNCTION("""COMPUTED_VALUE"""),"AFFITTO EXTRA Evento Modulo confermato • 11:00 • 17:30 • STUDIO 21")</f>
        <v>AFFITTO EXTRA Evento Modulo confermato • 11:00 • 17:30 • STUDIO 21</v>
      </c>
      <c r="J2" s="736" t="str">
        <f>IFERROR(__xludf.DUMMYFUNCTION("""COMPUTED_VALUE"""),"https://trello.com/c/4sLy7m09/41-affitto-extra-modulo-laccio?search_id=e5655ad7-853e-4f9b-8c01-bfcb0186cfdc")</f>
        <v>https://trello.com/c/4sLy7m09/41-affitto-extra-modulo-laccio?search_id=e5655ad7-853e-4f9b-8c01-bfcb0186cfdc</v>
      </c>
      <c r="K2" s="731" t="str">
        <f>IFERROR(__xludf.DUMMYFUNCTION("""COMPUTED_VALUE"""),"18/01/2026 • 11:00")</f>
        <v>18/01/2026 • 11:00</v>
      </c>
      <c r="L2" s="737"/>
      <c r="M2" s="737"/>
    </row>
    <row r="3">
      <c r="A3" s="733" t="str">
        <f>IFERROR(__xludf.DUMMYFUNCTION("""COMPUTED_VALUE"""),"Aperti")</f>
        <v>Aperti</v>
      </c>
      <c r="B3" s="738"/>
      <c r="C3" s="738"/>
      <c r="D3" s="738"/>
      <c r="E3" s="738"/>
      <c r="F3" s="734"/>
      <c r="G3" s="734"/>
      <c r="H3" s="734"/>
      <c r="I3" s="735" t="str">
        <f>IFERROR(__xludf.DUMMYFUNCTION("""COMPUTED_VALUE"""),"Aperti")</f>
        <v>Aperti</v>
      </c>
      <c r="J3" s="735"/>
      <c r="K3" s="734" t="str">
        <f>IFERROR(__xludf.DUMMYFUNCTION("""COMPUTED_VALUE"""),"")</f>
        <v/>
      </c>
      <c r="L3" s="737"/>
      <c r="M3" s="737"/>
    </row>
    <row r="4">
      <c r="A4" s="733" t="str">
        <f>IFERROR(__xludf.DUMMYFUNCTION("""COMPUTED_VALUE"""),"Aperti Carnevale Ambrosiano")</f>
        <v>Aperti Carnevale Ambrosiano</v>
      </c>
      <c r="B4" s="738"/>
      <c r="C4" s="738"/>
      <c r="D4" s="738"/>
      <c r="E4" s="738"/>
      <c r="F4" s="734"/>
      <c r="G4" s="734"/>
      <c r="H4" s="734"/>
      <c r="I4" s="735" t="str">
        <f>IFERROR(__xludf.DUMMYFUNCTION("""COMPUTED_VALUE"""),"Aperti Carnevale Ambrosiano")</f>
        <v>Aperti Carnevale Ambrosiano</v>
      </c>
      <c r="J4" s="735"/>
      <c r="K4" s="734" t="str">
        <f>IFERROR(__xludf.DUMMYFUNCTION("""COMPUTED_VALUE"""),"")</f>
        <v/>
      </c>
      <c r="L4" s="737"/>
      <c r="M4" s="737"/>
    </row>
    <row r="5">
      <c r="A5" s="733" t="str">
        <f>IFERROR(__xludf.DUMMYFUNCTION("""COMPUTED_VALUE"""),"Aperti prove saggi")</f>
        <v>Aperti prove saggi</v>
      </c>
      <c r="B5" s="738"/>
      <c r="C5" s="738"/>
      <c r="D5" s="738"/>
      <c r="E5" s="738"/>
      <c r="F5" s="734"/>
      <c r="G5" s="734"/>
      <c r="H5" s="734"/>
      <c r="I5" s="735" t="str">
        <f>IFERROR(__xludf.DUMMYFUNCTION("""COMPUTED_VALUE"""),"Aperti prove saggi")</f>
        <v>Aperti prove saggi</v>
      </c>
      <c r="J5" s="735"/>
      <c r="K5" s="734" t="str">
        <f>IFERROR(__xludf.DUMMYFUNCTION("""COMPUTED_VALUE"""),"")</f>
        <v/>
      </c>
      <c r="L5" s="737"/>
      <c r="M5" s="737"/>
    </row>
    <row r="6">
      <c r="A6" s="739" t="str">
        <f>IFERROR(__xludf.DUMMYFUNCTION("""COMPUTED_VALUE"""),"CAMPUS")</f>
        <v>CAMPUS</v>
      </c>
      <c r="B6" s="740">
        <f>IFERROR(__xludf.DUMMYFUNCTION("""COMPUTED_VALUE"""),46181.0)</f>
        <v>46181</v>
      </c>
      <c r="C6" s="740">
        <f>IFERROR(__xludf.DUMMYFUNCTION("""COMPUTED_VALUE"""),46199.0)</f>
        <v>46199</v>
      </c>
      <c r="D6" s="741"/>
      <c r="E6" s="741"/>
      <c r="F6" s="733"/>
      <c r="G6" s="734"/>
      <c r="H6" s="734"/>
      <c r="I6" s="735" t="str">
        <f>IFERROR(__xludf.DUMMYFUNCTION("""COMPUTED_VALUE"""),"CAMPUS")</f>
        <v>CAMPUS</v>
      </c>
      <c r="J6" s="736" t="str">
        <f>IFERROR(__xludf.DUMMYFUNCTION("""COMPUTED_VALUE"""),"https://docs.google.com/spreadsheets/u/0/d/1yPkZU75lDVa389ztKemHH64jKdVAncvAuZDxLhCtM3M/edit")</f>
        <v>https://docs.google.com/spreadsheets/u/0/d/1yPkZU75lDVa389ztKemHH64jKdVAncvAuZDxLhCtM3M/edit</v>
      </c>
      <c r="K6" s="731" t="str">
        <f>IFERROR(__xludf.DUMMYFUNCTION("""COMPUTED_VALUE"""),"08/06/2026")</f>
        <v>08/06/2026</v>
      </c>
      <c r="L6" s="737"/>
      <c r="M6" s="737"/>
    </row>
    <row r="7">
      <c r="A7" s="733" t="str">
        <f>IFERROR(__xludf.DUMMYFUNCTION("""COMPUTED_VALUE"""),"Chiuso")</f>
        <v>Chiuso</v>
      </c>
      <c r="B7" s="738"/>
      <c r="C7" s="738"/>
      <c r="D7" s="738"/>
      <c r="E7" s="738"/>
      <c r="F7" s="734"/>
      <c r="G7" s="734"/>
      <c r="H7" s="734"/>
      <c r="I7" s="735" t="str">
        <f>IFERROR(__xludf.DUMMYFUNCTION("""COMPUTED_VALUE"""),"Chiuso")</f>
        <v>Chiuso</v>
      </c>
      <c r="J7" s="735"/>
      <c r="K7" s="734" t="str">
        <f>IFERROR(__xludf.DUMMYFUNCTION("""COMPUTED_VALUE"""),"")</f>
        <v/>
      </c>
      <c r="L7" s="737"/>
      <c r="M7" s="737"/>
    </row>
    <row r="8">
      <c r="A8" s="733" t="str">
        <f>IFERROR(__xludf.DUMMYFUNCTION("""COMPUTED_VALUE"""),"Chiuso Ferie")</f>
        <v>Chiuso Ferie</v>
      </c>
      <c r="B8" s="738"/>
      <c r="C8" s="738"/>
      <c r="D8" s="738"/>
      <c r="E8" s="738"/>
      <c r="F8" s="734"/>
      <c r="G8" s="734"/>
      <c r="H8" s="734"/>
      <c r="I8" s="735" t="str">
        <f>IFERROR(__xludf.DUMMYFUNCTION("""COMPUTED_VALUE"""),"Chiuso Ferie")</f>
        <v>Chiuso Ferie</v>
      </c>
      <c r="J8" s="735"/>
      <c r="K8" s="734" t="str">
        <f>IFERROR(__xludf.DUMMYFUNCTION("""COMPUTED_VALUE"""),"")</f>
        <v/>
      </c>
      <c r="L8" s="737"/>
      <c r="M8" s="737"/>
    </row>
    <row r="9">
      <c r="A9" s="733" t="str">
        <f>IFERROR(__xludf.DUMMYFUNCTION("""COMPUTED_VALUE"""),"EVENTO ESTERNO Ondance Balloinbianco")</f>
        <v>EVENTO ESTERNO Ondance Balloinbianco</v>
      </c>
      <c r="B9" s="732">
        <f>IFERROR(__xludf.DUMMYFUNCTION("""COMPUTED_VALUE"""),45907.0)</f>
        <v>45907</v>
      </c>
      <c r="C9" s="732">
        <f>IFERROR(__xludf.DUMMYFUNCTION("""COMPUTED_VALUE"""),45907.0)</f>
        <v>45907</v>
      </c>
      <c r="D9" s="733" t="str">
        <f>IFERROR(__xludf.DUMMYFUNCTION("""COMPUTED_VALUE"""),"09:40")</f>
        <v>09:40</v>
      </c>
      <c r="E9" s="733" t="str">
        <f>IFERROR(__xludf.DUMMYFUNCTION("""COMPUTED_VALUE"""),"10:40")</f>
        <v>10:40</v>
      </c>
      <c r="F9" s="734"/>
      <c r="G9" s="734"/>
      <c r="H9" s="734"/>
      <c r="I9" s="735" t="str">
        <f>IFERROR(__xludf.DUMMYFUNCTION("""COMPUTED_VALUE"""),"EVENTO ESTERNO Ondance Balloinbianco • 09:40 • 10:40")</f>
        <v>EVENTO ESTERNO Ondance Balloinbianco • 09:40 • 10:40</v>
      </c>
      <c r="J9" s="736" t="str">
        <f>IFERROR(__xludf.DUMMYFUNCTION("""COMPUTED_VALUE"""),"https://trello.com/c/fv2lWpPD/621-balloinbianco-07-09-2025-comunicazionee")</f>
        <v>https://trello.com/c/fv2lWpPD/621-balloinbianco-07-09-2025-comunicazionee</v>
      </c>
      <c r="K9" s="731" t="str">
        <f>IFERROR(__xludf.DUMMYFUNCTION("""COMPUTED_VALUE"""),"07/09/2025 • 09:40")</f>
        <v>07/09/2025 • 09:40</v>
      </c>
      <c r="L9" s="737"/>
      <c r="M9" s="737"/>
    </row>
    <row r="10">
      <c r="A10" s="733" t="str">
        <f>IFERROR(__xludf.DUMMYFUNCTION("""COMPUTED_VALUE"""),"EVENTO ESTERNO Ondance Ballorosso")</f>
        <v>EVENTO ESTERNO Ondance Ballorosso</v>
      </c>
      <c r="B10" s="732">
        <f>IFERROR(__xludf.DUMMYFUNCTION("""COMPUTED_VALUE"""),45907.0)</f>
        <v>45907</v>
      </c>
      <c r="C10" s="732">
        <f>IFERROR(__xludf.DUMMYFUNCTION("""COMPUTED_VALUE"""),45907.0)</f>
        <v>45907</v>
      </c>
      <c r="D10" s="733" t="str">
        <f>IFERROR(__xludf.DUMMYFUNCTION("""COMPUTED_VALUE"""),"17:00")</f>
        <v>17:00</v>
      </c>
      <c r="E10" s="733" t="str">
        <f>IFERROR(__xludf.DUMMYFUNCTION("""COMPUTED_VALUE"""),"18:00")</f>
        <v>18:00</v>
      </c>
      <c r="F10" s="734"/>
      <c r="G10" s="734"/>
      <c r="H10" s="734"/>
      <c r="I10" s="735" t="str">
        <f>IFERROR(__xludf.DUMMYFUNCTION("""COMPUTED_VALUE"""),"EVENTO ESTERNO Ondance Ballorosso • 17:00 • 18:00")</f>
        <v>EVENTO ESTERNO Ondance Ballorosso • 17:00 • 18:00</v>
      </c>
      <c r="J10" s="736" t="str">
        <f>IFERROR(__xludf.DUMMYFUNCTION("""COMPUTED_VALUE"""),"https://trello.com/c/mN1r91Wa/622-ballorosso-07-09-2025-comunicazione")</f>
        <v>https://trello.com/c/mN1r91Wa/622-ballorosso-07-09-2025-comunicazione</v>
      </c>
      <c r="K10" s="733" t="str">
        <f>IFERROR(__xludf.DUMMYFUNCTION("""COMPUTED_VALUE"""),"07/09/2025 • 17:00")</f>
        <v>07/09/2025 • 17:00</v>
      </c>
      <c r="L10" s="737"/>
      <c r="M10" s="737"/>
    </row>
    <row r="11">
      <c r="A11" s="733" t="str">
        <f>IFERROR(__xludf.DUMMYFUNCTION("""COMPUTED_VALUE"""),"EVENTO ESTERNO Ondance Openclass Bollywood")</f>
        <v>EVENTO ESTERNO Ondance Openclass Bollywood</v>
      </c>
      <c r="B11" s="732">
        <f>IFERROR(__xludf.DUMMYFUNCTION("""COMPUTED_VALUE"""),45904.0)</f>
        <v>45904</v>
      </c>
      <c r="C11" s="732">
        <f>IFERROR(__xludf.DUMMYFUNCTION("""COMPUTED_VALUE"""),45904.0)</f>
        <v>45904</v>
      </c>
      <c r="D11" s="733" t="str">
        <f>IFERROR(__xludf.DUMMYFUNCTION("""COMPUTED_VALUE"""),"16:45")</f>
        <v>16:45</v>
      </c>
      <c r="E11" s="733" t="str">
        <f>IFERROR(__xludf.DUMMYFUNCTION("""COMPUTED_VALUE"""),"17:45")</f>
        <v>17:45</v>
      </c>
      <c r="F11" s="734"/>
      <c r="G11" s="734"/>
      <c r="H11" s="734"/>
      <c r="I11" s="735" t="str">
        <f>IFERROR(__xludf.DUMMYFUNCTION("""COMPUTED_VALUE"""),"EVENTO ESTERNO Ondance Openclass Bollywood • 16:45 • 17:45")</f>
        <v>EVENTO ESTERNO Ondance Openclass Bollywood • 16:45 • 17:45</v>
      </c>
      <c r="J11" s="736" t="str">
        <f>IFERROR(__xludf.DUMMYFUNCTION("""COMPUTED_VALUE"""),"https://trello.com/c/Bp5MiO9q/623-openclass-ondance-2025-comunicazione")</f>
        <v>https://trello.com/c/Bp5MiO9q/623-openclass-ondance-2025-comunicazione</v>
      </c>
      <c r="K11" s="731" t="str">
        <f>IFERROR(__xludf.DUMMYFUNCTION("""COMPUTED_VALUE"""),"04/09/2025 • 16:45")</f>
        <v>04/09/2025 • 16:45</v>
      </c>
      <c r="L11" s="737"/>
      <c r="M11" s="737"/>
    </row>
    <row r="12">
      <c r="A12" s="733" t="str">
        <f>IFERROR(__xludf.DUMMYFUNCTION("""COMPUTED_VALUE"""),"EVENTO ESTERNO Ondance Openclass K-Pop")</f>
        <v>EVENTO ESTERNO Ondance Openclass K-Pop</v>
      </c>
      <c r="B12" s="732">
        <f>IFERROR(__xludf.DUMMYFUNCTION("""COMPUTED_VALUE"""),45906.0)</f>
        <v>45906</v>
      </c>
      <c r="C12" s="732">
        <f>IFERROR(__xludf.DUMMYFUNCTION("""COMPUTED_VALUE"""),45906.0)</f>
        <v>45906</v>
      </c>
      <c r="D12" s="733" t="str">
        <f>IFERROR(__xludf.DUMMYFUNCTION("""COMPUTED_VALUE"""),"11:45")</f>
        <v>11:45</v>
      </c>
      <c r="E12" s="733" t="str">
        <f>IFERROR(__xludf.DUMMYFUNCTION("""COMPUTED_VALUE"""),"12:45")</f>
        <v>12:45</v>
      </c>
      <c r="F12" s="734"/>
      <c r="G12" s="734"/>
      <c r="H12" s="734"/>
      <c r="I12" s="735" t="str">
        <f>IFERROR(__xludf.DUMMYFUNCTION("""COMPUTED_VALUE"""),"EVENTO ESTERNO Ondance Openclass K-Pop • 11:45 • 12:45")</f>
        <v>EVENTO ESTERNO Ondance Openclass K-Pop • 11:45 • 12:45</v>
      </c>
      <c r="J12" s="736" t="str">
        <f>IFERROR(__xludf.DUMMYFUNCTION("""COMPUTED_VALUE"""),"https://trello.com/c/Bp5MiO9q/623-openclass-ondance-2025-comunicazione")</f>
        <v>https://trello.com/c/Bp5MiO9q/623-openclass-ondance-2025-comunicazione</v>
      </c>
      <c r="K12" s="733" t="str">
        <f>IFERROR(__xludf.DUMMYFUNCTION("""COMPUTED_VALUE"""),"06/09/2025 • 11:45")</f>
        <v>06/09/2025 • 11:45</v>
      </c>
      <c r="L12" s="737"/>
      <c r="M12" s="737"/>
    </row>
    <row r="13">
      <c r="A13" s="733" t="str">
        <f>IFERROR(__xludf.DUMMYFUNCTION("""COMPUTED_VALUE"""),"EVENTO ESTERNO Ondance Openclass Samba")</f>
        <v>EVENTO ESTERNO Ondance Openclass Samba</v>
      </c>
      <c r="B13" s="732">
        <f>IFERROR(__xludf.DUMMYFUNCTION("""COMPUTED_VALUE"""),45907.0)</f>
        <v>45907</v>
      </c>
      <c r="C13" s="732">
        <f>IFERROR(__xludf.DUMMYFUNCTION("""COMPUTED_VALUE"""),45907.0)</f>
        <v>45907</v>
      </c>
      <c r="D13" s="733" t="str">
        <f>IFERROR(__xludf.DUMMYFUNCTION("""COMPUTED_VALUE"""),"13:15")</f>
        <v>13:15</v>
      </c>
      <c r="E13" s="733" t="str">
        <f>IFERROR(__xludf.DUMMYFUNCTION("""COMPUTED_VALUE"""),"14:15")</f>
        <v>14:15</v>
      </c>
      <c r="F13" s="734"/>
      <c r="G13" s="734"/>
      <c r="H13" s="734"/>
      <c r="I13" s="735" t="str">
        <f>IFERROR(__xludf.DUMMYFUNCTION("""COMPUTED_VALUE"""),"EVENTO ESTERNO Ondance Openclass Samba • 13:15 • 14:15")</f>
        <v>EVENTO ESTERNO Ondance Openclass Samba • 13:15 • 14:15</v>
      </c>
      <c r="J13" s="736" t="str">
        <f>IFERROR(__xludf.DUMMYFUNCTION("""COMPUTED_VALUE"""),"https://trello.com/c/Bp5MiO9q/623-openclass-ondance-2025-comunicazione")</f>
        <v>https://trello.com/c/Bp5MiO9q/623-openclass-ondance-2025-comunicazione</v>
      </c>
      <c r="K13" s="731" t="str">
        <f>IFERROR(__xludf.DUMMYFUNCTION("""COMPUTED_VALUE"""),"07/09/2025 • 13:15")</f>
        <v>07/09/2025 • 13:15</v>
      </c>
      <c r="L13" s="737"/>
      <c r="M13" s="737"/>
    </row>
    <row r="14">
      <c r="A14" s="742" t="str">
        <f>IFERROR(__xludf.DUMMYFUNCTION("""COMPUTED_VALUE"""),"EVENTO ESTERNO Union Latina")</f>
        <v>EVENTO ESTERNO Union Latina</v>
      </c>
      <c r="B14" s="732">
        <f>IFERROR(__xludf.DUMMYFUNCTION("""COMPUTED_VALUE"""),46157.0)</f>
        <v>46157</v>
      </c>
      <c r="C14" s="732">
        <f>IFERROR(__xludf.DUMMYFUNCTION("""COMPUTED_VALUE"""),46159.0)</f>
        <v>46159</v>
      </c>
      <c r="D14" s="743"/>
      <c r="E14" s="743"/>
      <c r="F14" s="734"/>
      <c r="G14" s="734"/>
      <c r="H14" s="734"/>
      <c r="I14" s="735" t="str">
        <f>IFERROR(__xludf.DUMMYFUNCTION("""COMPUTED_VALUE"""),"EVENTO ESTERNO Union Latina")</f>
        <v>EVENTO ESTERNO Union Latina</v>
      </c>
      <c r="J14" s="736" t="str">
        <f>IFERROR(__xludf.DUMMYFUNCTION("""COMPUTED_VALUE"""),"https://trello.com/c/GxL1cMFz/575-evento-union-latina-europea-a-milano-marittima-234-maggio-2025")</f>
        <v>https://trello.com/c/GxL1cMFz/575-evento-union-latina-europea-a-milano-marittima-234-maggio-2025</v>
      </c>
      <c r="K14" s="733" t="str">
        <f>IFERROR(__xludf.DUMMYFUNCTION("""COMPUTED_VALUE"""),"15/05/2026")</f>
        <v>15/05/2026</v>
      </c>
      <c r="L14" s="737"/>
      <c r="M14" s="737"/>
    </row>
    <row r="15">
      <c r="A15" s="733" t="str">
        <f>IFERROR(__xludf.DUMMYFUNCTION("""COMPUTED_VALUE"""),"Festa Capodanno")</f>
        <v>Festa Capodanno</v>
      </c>
      <c r="B15" s="738"/>
      <c r="C15" s="738"/>
      <c r="D15" s="738"/>
      <c r="E15" s="738"/>
      <c r="F15" s="734"/>
      <c r="G15" s="734"/>
      <c r="H15" s="734"/>
      <c r="I15" s="735" t="str">
        <f>IFERROR(__xludf.DUMMYFUNCTION("""COMPUTED_VALUE"""),"Festa Capodanno")</f>
        <v>Festa Capodanno</v>
      </c>
      <c r="J15" s="735"/>
      <c r="K15" s="734" t="str">
        <f>IFERROR(__xludf.DUMMYFUNCTION("""COMPUTED_VALUE"""),"")</f>
        <v/>
      </c>
      <c r="L15" s="737"/>
      <c r="M15" s="737"/>
    </row>
    <row r="16">
      <c r="A16" s="733" t="str">
        <f>IFERROR(__xludf.DUMMYFUNCTION("""COMPUTED_VALUE"""),"Festa dei lavoratori")</f>
        <v>Festa dei lavoratori</v>
      </c>
      <c r="B16" s="738"/>
      <c r="C16" s="738"/>
      <c r="D16" s="738"/>
      <c r="E16" s="738"/>
      <c r="F16" s="734"/>
      <c r="G16" s="734"/>
      <c r="H16" s="734"/>
      <c r="I16" s="735" t="str">
        <f>IFERROR(__xludf.DUMMYFUNCTION("""COMPUTED_VALUE"""),"Festa dei lavoratori")</f>
        <v>Festa dei lavoratori</v>
      </c>
      <c r="J16" s="735"/>
      <c r="K16" s="734" t="str">
        <f>IFERROR(__xludf.DUMMYFUNCTION("""COMPUTED_VALUE"""),"")</f>
        <v/>
      </c>
      <c r="L16" s="737"/>
      <c r="M16" s="737"/>
    </row>
    <row r="17">
      <c r="A17" s="733" t="str">
        <f>IFERROR(__xludf.DUMMYFUNCTION("""COMPUTED_VALUE"""),"Festa dei morti")</f>
        <v>Festa dei morti</v>
      </c>
      <c r="B17" s="738"/>
      <c r="C17" s="738"/>
      <c r="D17" s="738"/>
      <c r="E17" s="738"/>
      <c r="F17" s="734"/>
      <c r="G17" s="734"/>
      <c r="H17" s="734"/>
      <c r="I17" s="735" t="str">
        <f>IFERROR(__xludf.DUMMYFUNCTION("""COMPUTED_VALUE"""),"Festa dei morti")</f>
        <v>Festa dei morti</v>
      </c>
      <c r="J17" s="735"/>
      <c r="K17" s="734" t="str">
        <f>IFERROR(__xludf.DUMMYFUNCTION("""COMPUTED_VALUE"""),"")</f>
        <v/>
      </c>
      <c r="L17" s="737"/>
      <c r="M17" s="737"/>
    </row>
    <row r="18">
      <c r="A18" s="733" t="str">
        <f>IFERROR(__xludf.DUMMYFUNCTION("""COMPUTED_VALUE"""),"Festa della Repubblica")</f>
        <v>Festa della Repubblica</v>
      </c>
      <c r="B18" s="738"/>
      <c r="C18" s="738"/>
      <c r="D18" s="738"/>
      <c r="E18" s="738"/>
      <c r="F18" s="734"/>
      <c r="G18" s="734"/>
      <c r="H18" s="734"/>
      <c r="I18" s="735" t="str">
        <f>IFERROR(__xludf.DUMMYFUNCTION("""COMPUTED_VALUE"""),"Festa della Repubblica")</f>
        <v>Festa della Repubblica</v>
      </c>
      <c r="J18" s="735"/>
      <c r="K18" s="734" t="str">
        <f>IFERROR(__xludf.DUMMYFUNCTION("""COMPUTED_VALUE"""),"")</f>
        <v/>
      </c>
      <c r="L18" s="737"/>
      <c r="M18" s="737"/>
    </row>
    <row r="19">
      <c r="A19" s="733" t="str">
        <f>IFERROR(__xludf.DUMMYFUNCTION("""COMPUTED_VALUE"""),"Festa Epifania")</f>
        <v>Festa Epifania</v>
      </c>
      <c r="B19" s="738"/>
      <c r="C19" s="738"/>
      <c r="D19" s="738"/>
      <c r="E19" s="738"/>
      <c r="F19" s="734"/>
      <c r="G19" s="734"/>
      <c r="H19" s="734"/>
      <c r="I19" s="735" t="str">
        <f>IFERROR(__xludf.DUMMYFUNCTION("""COMPUTED_VALUE"""),"Festa Epifania")</f>
        <v>Festa Epifania</v>
      </c>
      <c r="J19" s="735"/>
      <c r="K19" s="734" t="str">
        <f>IFERROR(__xludf.DUMMYFUNCTION("""COMPUTED_VALUE"""),"")</f>
        <v/>
      </c>
      <c r="L19" s="737"/>
      <c r="M19" s="737"/>
    </row>
    <row r="20">
      <c r="A20" s="733" t="str">
        <f>IFERROR(__xludf.DUMMYFUNCTION("""COMPUTED_VALUE"""),"Festa Ferragosto")</f>
        <v>Festa Ferragosto</v>
      </c>
      <c r="B20" s="738"/>
      <c r="C20" s="738"/>
      <c r="D20" s="738"/>
      <c r="E20" s="738"/>
      <c r="F20" s="734"/>
      <c r="G20" s="734"/>
      <c r="H20" s="734"/>
      <c r="I20" s="735" t="str">
        <f>IFERROR(__xludf.DUMMYFUNCTION("""COMPUTED_VALUE"""),"Festa Ferragosto")</f>
        <v>Festa Ferragosto</v>
      </c>
      <c r="J20" s="735"/>
      <c r="K20" s="734" t="str">
        <f>IFERROR(__xludf.DUMMYFUNCTION("""COMPUTED_VALUE"""),"")</f>
        <v/>
      </c>
      <c r="L20" s="737"/>
      <c r="M20" s="737"/>
    </row>
    <row r="21">
      <c r="A21" s="733" t="str">
        <f>IFERROR(__xludf.DUMMYFUNCTION("""COMPUTED_VALUE"""),"Festa Immacolata")</f>
        <v>Festa Immacolata</v>
      </c>
      <c r="B21" s="738"/>
      <c r="C21" s="738"/>
      <c r="D21" s="738"/>
      <c r="E21" s="738"/>
      <c r="F21" s="734"/>
      <c r="G21" s="734"/>
      <c r="H21" s="734"/>
      <c r="I21" s="735" t="str">
        <f>IFERROR(__xludf.DUMMYFUNCTION("""COMPUTED_VALUE"""),"Festa Immacolata")</f>
        <v>Festa Immacolata</v>
      </c>
      <c r="J21" s="735"/>
      <c r="K21" s="734" t="str">
        <f>IFERROR(__xludf.DUMMYFUNCTION("""COMPUTED_VALUE"""),"")</f>
        <v/>
      </c>
      <c r="L21" s="737"/>
      <c r="M21" s="737"/>
    </row>
    <row r="22">
      <c r="A22" s="733" t="str">
        <f>IFERROR(__xludf.DUMMYFUNCTION("""COMPUTED_VALUE"""),"Festa Liberazione")</f>
        <v>Festa Liberazione</v>
      </c>
      <c r="B22" s="738"/>
      <c r="C22" s="738"/>
      <c r="D22" s="738"/>
      <c r="E22" s="738"/>
      <c r="F22" s="734"/>
      <c r="G22" s="734"/>
      <c r="H22" s="734"/>
      <c r="I22" s="735" t="str">
        <f>IFERROR(__xludf.DUMMYFUNCTION("""COMPUTED_VALUE"""),"Festa Liberazione")</f>
        <v>Festa Liberazione</v>
      </c>
      <c r="J22" s="735"/>
      <c r="K22" s="734" t="str">
        <f>IFERROR(__xludf.DUMMYFUNCTION("""COMPUTED_VALUE"""),"")</f>
        <v/>
      </c>
      <c r="L22" s="737"/>
      <c r="M22" s="737"/>
    </row>
    <row r="23">
      <c r="A23" s="733" t="str">
        <f>IFERROR(__xludf.DUMMYFUNCTION("""COMPUTED_VALUE"""),"Festa Natale")</f>
        <v>Festa Natale</v>
      </c>
      <c r="B23" s="738"/>
      <c r="C23" s="738"/>
      <c r="D23" s="738"/>
      <c r="E23" s="738"/>
      <c r="F23" s="734"/>
      <c r="G23" s="734"/>
      <c r="H23" s="734"/>
      <c r="I23" s="735" t="str">
        <f>IFERROR(__xludf.DUMMYFUNCTION("""COMPUTED_VALUE"""),"Festa Natale")</f>
        <v>Festa Natale</v>
      </c>
      <c r="J23" s="735"/>
      <c r="K23" s="734" t="str">
        <f>IFERROR(__xludf.DUMMYFUNCTION("""COMPUTED_VALUE"""),"")</f>
        <v/>
      </c>
      <c r="L23" s="737"/>
      <c r="M23" s="737"/>
    </row>
    <row r="24">
      <c r="A24" s="733" t="str">
        <f>IFERROR(__xludf.DUMMYFUNCTION("""COMPUTED_VALUE"""),"Festa Pasqua")</f>
        <v>Festa Pasqua</v>
      </c>
      <c r="B24" s="738"/>
      <c r="C24" s="738"/>
      <c r="D24" s="738"/>
      <c r="E24" s="738"/>
      <c r="F24" s="734"/>
      <c r="G24" s="734"/>
      <c r="H24" s="734"/>
      <c r="I24" s="735" t="str">
        <f>IFERROR(__xludf.DUMMYFUNCTION("""COMPUTED_VALUE"""),"Festa Pasqua")</f>
        <v>Festa Pasqua</v>
      </c>
      <c r="J24" s="735"/>
      <c r="K24" s="734" t="str">
        <f>IFERROR(__xludf.DUMMYFUNCTION("""COMPUTED_VALUE"""),"")</f>
        <v/>
      </c>
      <c r="L24" s="737"/>
      <c r="M24" s="737"/>
    </row>
    <row r="25">
      <c r="A25" s="733" t="str">
        <f>IFERROR(__xludf.DUMMYFUNCTION("""COMPUTED_VALUE"""),"Festa Pasquetta")</f>
        <v>Festa Pasquetta</v>
      </c>
      <c r="B25" s="738"/>
      <c r="C25" s="738"/>
      <c r="D25" s="738"/>
      <c r="E25" s="738"/>
      <c r="F25" s="734"/>
      <c r="G25" s="734"/>
      <c r="H25" s="734"/>
      <c r="I25" s="735" t="str">
        <f>IFERROR(__xludf.DUMMYFUNCTION("""COMPUTED_VALUE"""),"Festa Pasquetta")</f>
        <v>Festa Pasquetta</v>
      </c>
      <c r="J25" s="735"/>
      <c r="K25" s="734" t="str">
        <f>IFERROR(__xludf.DUMMYFUNCTION("""COMPUTED_VALUE"""),"")</f>
        <v/>
      </c>
      <c r="L25" s="737"/>
      <c r="M25" s="737"/>
    </row>
    <row r="26">
      <c r="A26" s="733" t="str">
        <f>IFERROR(__xludf.DUMMYFUNCTION("""COMPUTED_VALUE"""),"Festa Sant'Ambrogio")</f>
        <v>Festa Sant'Ambrogio</v>
      </c>
      <c r="B26" s="738"/>
      <c r="C26" s="738"/>
      <c r="D26" s="738"/>
      <c r="E26" s="738"/>
      <c r="F26" s="734"/>
      <c r="G26" s="734"/>
      <c r="H26" s="734"/>
      <c r="I26" s="735" t="str">
        <f>IFERROR(__xludf.DUMMYFUNCTION("""COMPUTED_VALUE"""),"Festa Sant'Ambrogio")</f>
        <v>Festa Sant'Ambrogio</v>
      </c>
      <c r="J26" s="735"/>
      <c r="K26" s="734" t="str">
        <f>IFERROR(__xludf.DUMMYFUNCTION("""COMPUTED_VALUE"""),"")</f>
        <v/>
      </c>
      <c r="L26" s="737"/>
      <c r="M26" s="737"/>
    </row>
    <row r="27">
      <c r="A27" s="733" t="str">
        <f>IFERROR(__xludf.DUMMYFUNCTION("""COMPUTED_VALUE"""),"Festa Santo Stefano")</f>
        <v>Festa Santo Stefano</v>
      </c>
      <c r="B27" s="738"/>
      <c r="C27" s="738"/>
      <c r="D27" s="738"/>
      <c r="E27" s="738"/>
      <c r="F27" s="734"/>
      <c r="G27" s="734"/>
      <c r="H27" s="734"/>
      <c r="I27" s="735" t="str">
        <f>IFERROR(__xludf.DUMMYFUNCTION("""COMPUTED_VALUE"""),"Festa Santo Stefano")</f>
        <v>Festa Santo Stefano</v>
      </c>
      <c r="J27" s="735"/>
      <c r="K27" s="734" t="str">
        <f>IFERROR(__xludf.DUMMYFUNCTION("""COMPUTED_VALUE"""),"")</f>
        <v/>
      </c>
      <c r="L27" s="737"/>
      <c r="M27" s="737"/>
    </row>
    <row r="28">
      <c r="A28" s="733" t="str">
        <f>IFERROR(__xludf.DUMMYFUNCTION("""COMPUTED_VALUE"""),"Fine corsi")</f>
        <v>Fine corsi</v>
      </c>
      <c r="B28" s="732"/>
      <c r="C28" s="732"/>
      <c r="D28" s="732"/>
      <c r="E28" s="732"/>
      <c r="F28" s="733"/>
      <c r="G28" s="731"/>
      <c r="H28" s="734"/>
      <c r="I28" s="735" t="str">
        <f>IFERROR(__xludf.DUMMYFUNCTION("""COMPUTED_VALUE"""),"Fine corsi")</f>
        <v>Fine corsi</v>
      </c>
      <c r="J28" s="735"/>
      <c r="K28" s="734" t="str">
        <f>IFERROR(__xludf.DUMMYFUNCTION("""COMPUTED_VALUE"""),"")</f>
        <v/>
      </c>
      <c r="L28" s="737"/>
      <c r="M28" s="737"/>
    </row>
    <row r="29">
      <c r="A29" s="733" t="str">
        <f>IFERROR(__xludf.DUMMYFUNCTION("""COMPUTED_VALUE"""),"GARA All you can dance
(Silvia Grande + Giulio Gariano)")</f>
        <v>GARA All you can dance
(Silvia Grande + Giulio Gariano)</v>
      </c>
      <c r="B29" s="732">
        <f>IFERROR(__xludf.DUMMYFUNCTION("""COMPUTED_VALUE"""),45781.0)</f>
        <v>45781</v>
      </c>
      <c r="C29" s="732">
        <f>IFERROR(__xludf.DUMMYFUNCTION("""COMPUTED_VALUE"""),45781.0)</f>
        <v>45781</v>
      </c>
      <c r="D29" s="732"/>
      <c r="E29" s="732"/>
      <c r="F29" s="733"/>
      <c r="G29" s="731"/>
      <c r="H29" s="734"/>
      <c r="I29" s="735" t="str">
        <f>IFERROR(__xludf.DUMMYFUNCTION("""COMPUTED_VALUE"""),"GARA All you can dance
(Silvia Grande + Giulio Gariano)")</f>
        <v>GARA All you can dance
(Silvia Grande + Giulio Gariano)</v>
      </c>
      <c r="J29" s="736" t="str">
        <f>IFERROR(__xludf.DUMMYFUNCTION("""COMPUTED_VALUE"""),"https://trello.com/c/76YZ03iP/612-all-you-can-dance-csain-04-05-2025")</f>
        <v>https://trello.com/c/76YZ03iP/612-all-you-can-dance-csain-04-05-2025</v>
      </c>
      <c r="K29" s="731" t="str">
        <f>IFERROR(__xludf.DUMMYFUNCTION("""COMPUTED_VALUE"""),"04/05/2025")</f>
        <v>04/05/2025</v>
      </c>
      <c r="L29" s="737"/>
      <c r="M29" s="737"/>
    </row>
    <row r="30">
      <c r="A30" s="733" t="str">
        <f>IFERROR(__xludf.DUMMYFUNCTION("""COMPUTED_VALUE"""),"GARA Brianza Danza Festival (Silvia Grande)")</f>
        <v>GARA Brianza Danza Festival (Silvia Grande)</v>
      </c>
      <c r="B30" s="732">
        <f>IFERROR(__xludf.DUMMYFUNCTION("""COMPUTED_VALUE"""),45718.0)</f>
        <v>45718</v>
      </c>
      <c r="C30" s="732">
        <f>IFERROR(__xludf.DUMMYFUNCTION("""COMPUTED_VALUE"""),45718.0)</f>
        <v>45718</v>
      </c>
      <c r="D30" s="732"/>
      <c r="E30" s="732"/>
      <c r="F30" s="733"/>
      <c r="G30" s="734"/>
      <c r="H30" s="734"/>
      <c r="I30" s="735" t="str">
        <f>IFERROR(__xludf.DUMMYFUNCTION("""COMPUTED_VALUE"""),"GARA Brianza Danza Festival (Silvia Grande)")</f>
        <v>GARA Brianza Danza Festival (Silvia Grande)</v>
      </c>
      <c r="J30" s="736" t="str">
        <f>IFERROR(__xludf.DUMMYFUNCTION("""COMPUTED_VALUE"""),"https://trello.com/c/mHFKlFbs/592-brianza-danza-festival")</f>
        <v>https://trello.com/c/mHFKlFbs/592-brianza-danza-festival</v>
      </c>
      <c r="K30" s="731" t="str">
        <f>IFERROR(__xludf.DUMMYFUNCTION("""COMPUTED_VALUE"""),"02/03/2025")</f>
        <v>02/03/2025</v>
      </c>
      <c r="L30" s="737"/>
      <c r="M30" s="737"/>
    </row>
    <row r="31">
      <c r="A31" s="733" t="str">
        <f>IFERROR(__xludf.DUMMYFUNCTION("""COMPUTED_VALUE"""),"GARA Dance Evolution Competition (Fergie)")</f>
        <v>GARA Dance Evolution Competition (Fergie)</v>
      </c>
      <c r="B31" s="732">
        <f>IFERROR(__xludf.DUMMYFUNCTION("""COMPUTED_VALUE"""),45717.0)</f>
        <v>45717</v>
      </c>
      <c r="C31" s="732">
        <f>IFERROR(__xludf.DUMMYFUNCTION("""COMPUTED_VALUE"""),45717.0)</f>
        <v>45717</v>
      </c>
      <c r="D31" s="732"/>
      <c r="E31" s="732"/>
      <c r="F31" s="733"/>
      <c r="G31" s="734"/>
      <c r="H31" s="734"/>
      <c r="I31" s="735" t="str">
        <f>IFERROR(__xludf.DUMMYFUNCTION("""COMPUTED_VALUE"""),"GARA Dance Evolution Competition (Fergie)")</f>
        <v>GARA Dance Evolution Competition (Fergie)</v>
      </c>
      <c r="J31" s="736" t="str">
        <f>IFERROR(__xludf.DUMMYFUNCTION("""COMPUTED_VALUE"""),"https://trello.com/c/17YPss82/593-dance-evolution-competition")</f>
        <v>https://trello.com/c/17YPss82/593-dance-evolution-competition</v>
      </c>
      <c r="K31" s="731" t="str">
        <f>IFERROR(__xludf.DUMMYFUNCTION("""COMPUTED_VALUE"""),"01/03/2025")</f>
        <v>01/03/2025</v>
      </c>
      <c r="L31" s="737"/>
      <c r="M31" s="737"/>
    </row>
    <row r="32">
      <c r="A32" s="733" t="str">
        <f>IFERROR(__xludf.DUMMYFUNCTION("""COMPUTED_VALUE"""),"GARA Etoile (Claudia Borri)")</f>
        <v>GARA Etoile (Claudia Borri)</v>
      </c>
      <c r="B32" s="732">
        <f>IFERROR(__xludf.DUMMYFUNCTION("""COMPUTED_VALUE"""),45809.0)</f>
        <v>45809</v>
      </c>
      <c r="C32" s="732">
        <f>IFERROR(__xludf.DUMMYFUNCTION("""COMPUTED_VALUE"""),45809.0)</f>
        <v>45809</v>
      </c>
      <c r="D32" s="732"/>
      <c r="E32" s="732"/>
      <c r="F32" s="733"/>
      <c r="G32" s="734"/>
      <c r="H32" s="734"/>
      <c r="I32" s="735" t="str">
        <f>IFERROR(__xludf.DUMMYFUNCTION("""COMPUTED_VALUE"""),"GARA Etoile (Claudia Borri)")</f>
        <v>GARA Etoile (Claudia Borri)</v>
      </c>
      <c r="J32" s="736" t="str">
        <f>IFERROR(__xludf.DUMMYFUNCTION("""COMPUTED_VALUE"""),"https://trello.com/c/3BXJykBs/618-etoile-rossolab-01-06-2025?search_id=1a624282-3b55-4a69-b27b-d8cee09ebccf")</f>
        <v>https://trello.com/c/3BXJykBs/618-etoile-rossolab-01-06-2025?search_id=1a624282-3b55-4a69-b27b-d8cee09ebccf</v>
      </c>
      <c r="K32" s="731" t="str">
        <f>IFERROR(__xludf.DUMMYFUNCTION("""COMPUTED_VALUE"""),"01/06/2025")</f>
        <v>01/06/2025</v>
      </c>
      <c r="L32" s="737"/>
      <c r="M32" s="737"/>
    </row>
    <row r="33">
      <c r="A33" s="733" t="str">
        <f>IFERROR(__xludf.DUMMYFUNCTION("""COMPUTED_VALUE"""),"GARA Milano Dance Experience (Amber Dutta)")</f>
        <v>GARA Milano Dance Experience (Amber Dutta)</v>
      </c>
      <c r="B33" s="732">
        <f>IFERROR(__xludf.DUMMYFUNCTION("""COMPUTED_VALUE"""),45697.0)</f>
        <v>45697</v>
      </c>
      <c r="C33" s="732">
        <f>IFERROR(__xludf.DUMMYFUNCTION("""COMPUTED_VALUE"""),45697.0)</f>
        <v>45697</v>
      </c>
      <c r="D33" s="732"/>
      <c r="E33" s="732"/>
      <c r="F33" s="733"/>
      <c r="G33" s="734"/>
      <c r="H33" s="734"/>
      <c r="I33" s="735" t="str">
        <f>IFERROR(__xludf.DUMMYFUNCTION("""COMPUTED_VALUE"""),"GARA Milano Dance Experience (Amber Dutta)")</f>
        <v>GARA Milano Dance Experience (Amber Dutta)</v>
      </c>
      <c r="J33" s="736" t="str">
        <f>IFERROR(__xludf.DUMMYFUNCTION("""COMPUTED_VALUE"""),"https://trello.com/c/8000CeXF/580-milano-dance-experience-endas-09-02-2025")</f>
        <v>https://trello.com/c/8000CeXF/580-milano-dance-experience-endas-09-02-2025</v>
      </c>
      <c r="K33" s="731" t="str">
        <f>IFERROR(__xludf.DUMMYFUNCTION("""COMPUTED_VALUE"""),"09/02/2025")</f>
        <v>09/02/2025</v>
      </c>
      <c r="L33" s="737"/>
      <c r="M33" s="737"/>
    </row>
    <row r="34">
      <c r="A34" s="733" t="str">
        <f>IFERROR(__xludf.DUMMYFUNCTION("""COMPUTED_VALUE"""),"GARA Premio Resilienza Milan Edition (Claudia Borri)")</f>
        <v>GARA Premio Resilienza Milan Edition (Claudia Borri)</v>
      </c>
      <c r="B34" s="732">
        <f>IFERROR(__xludf.DUMMYFUNCTION("""COMPUTED_VALUE"""),45738.0)</f>
        <v>45738</v>
      </c>
      <c r="C34" s="732">
        <f>IFERROR(__xludf.DUMMYFUNCTION("""COMPUTED_VALUE"""),45738.0)</f>
        <v>45738</v>
      </c>
      <c r="D34" s="732"/>
      <c r="E34" s="732"/>
      <c r="F34" s="733"/>
      <c r="G34" s="734"/>
      <c r="H34" s="734"/>
      <c r="I34" s="735" t="str">
        <f>IFERROR(__xludf.DUMMYFUNCTION("""COMPUTED_VALUE"""),"GARA Premio Resilienza Milan Edition (Claudia Borri)")</f>
        <v>GARA Premio Resilienza Milan Edition (Claudia Borri)</v>
      </c>
      <c r="J34" s="736" t="str">
        <f>IFERROR(__xludf.DUMMYFUNCTION("""COMPUTED_VALUE"""),"https://trello.com/c/p7FvRBSV/602-premio-resilienza-milan-edition-opes-22-03-2025")</f>
        <v>https://trello.com/c/p7FvRBSV/602-premio-resilienza-milan-edition-opes-22-03-2025</v>
      </c>
      <c r="K34" s="731" t="str">
        <f>IFERROR(__xludf.DUMMYFUNCTION("""COMPUTED_VALUE"""),"22/03/2025")</f>
        <v>22/03/2025</v>
      </c>
      <c r="L34" s="737"/>
      <c r="M34" s="737"/>
    </row>
    <row r="35">
      <c r="A35" s="733" t="str">
        <f>IFERROR(__xludf.DUMMYFUNCTION("""COMPUTED_VALUE"""),"GARA Stelle della danza (Claudia Borri)")</f>
        <v>GARA Stelle della danza (Claudia Borri)</v>
      </c>
      <c r="B35" s="732">
        <f>IFERROR(__xludf.DUMMYFUNCTION("""COMPUTED_VALUE"""),45754.0)</f>
        <v>45754</v>
      </c>
      <c r="C35" s="732">
        <f>IFERROR(__xludf.DUMMYFUNCTION("""COMPUTED_VALUE"""),45754.0)</f>
        <v>45754</v>
      </c>
      <c r="D35" s="732"/>
      <c r="E35" s="732"/>
      <c r="F35" s="733"/>
      <c r="G35" s="734"/>
      <c r="H35" s="734"/>
      <c r="I35" s="735" t="str">
        <f>IFERROR(__xludf.DUMMYFUNCTION("""COMPUTED_VALUE"""),"GARA Stelle della danza (Claudia Borri)")</f>
        <v>GARA Stelle della danza (Claudia Borri)</v>
      </c>
      <c r="J35" s="736" t="str">
        <f>IFERROR(__xludf.DUMMYFUNCTION("""COMPUTED_VALUE"""),"https://trello.com/c/CgL0qCig/607-le-stelle-della-danza-rossolab-07-04-2025")</f>
        <v>https://trello.com/c/CgL0qCig/607-le-stelle-della-danza-rossolab-07-04-2025</v>
      </c>
      <c r="K35" s="731" t="str">
        <f>IFERROR(__xludf.DUMMYFUNCTION("""COMPUTED_VALUE"""),"07/04/2025")</f>
        <v>07/04/2025</v>
      </c>
      <c r="L35" s="737"/>
      <c r="M35" s="737"/>
    </row>
    <row r="36">
      <c r="A36" s="733" t="str">
        <f>IFERROR(__xludf.DUMMYFUNCTION("""COMPUTED_VALUE"""),"Inizio corsi aerial")</f>
        <v>Inizio corsi aerial</v>
      </c>
      <c r="B36" s="732"/>
      <c r="C36" s="732"/>
      <c r="D36" s="732"/>
      <c r="E36" s="732"/>
      <c r="F36" s="733"/>
      <c r="G36" s="734"/>
      <c r="H36" s="734"/>
      <c r="I36" s="735" t="str">
        <f>IFERROR(__xludf.DUMMYFUNCTION("""COMPUTED_VALUE"""),"Inizio corsi aerial")</f>
        <v>Inizio corsi aerial</v>
      </c>
      <c r="J36" s="735"/>
      <c r="K36" s="731" t="str">
        <f>IFERROR(__xludf.DUMMYFUNCTION("""COMPUTED_VALUE"""),"")</f>
        <v/>
      </c>
      <c r="L36" s="737"/>
      <c r="M36" s="737"/>
    </row>
    <row r="37">
      <c r="A37" s="733" t="str">
        <f>IFERROR(__xludf.DUMMYFUNCTION("""COMPUTED_VALUE"""),"Inizio corsi ballo di coppia")</f>
        <v>Inizio corsi ballo di coppia</v>
      </c>
      <c r="B37" s="732"/>
      <c r="C37" s="732"/>
      <c r="D37" s="732"/>
      <c r="E37" s="732"/>
      <c r="F37" s="734"/>
      <c r="G37" s="734"/>
      <c r="H37" s="734"/>
      <c r="I37" s="735" t="str">
        <f>IFERROR(__xludf.DUMMYFUNCTION("""COMPUTED_VALUE"""),"Inizio corsi ballo di coppia")</f>
        <v>Inizio corsi ballo di coppia</v>
      </c>
      <c r="J37" s="735"/>
      <c r="K37" s="734" t="str">
        <f>IFERROR(__xludf.DUMMYFUNCTION("""COMPUTED_VALUE"""),"")</f>
        <v/>
      </c>
      <c r="L37" s="737"/>
      <c r="M37" s="737"/>
    </row>
    <row r="38">
      <c r="A38" s="733" t="str">
        <f>IFERROR(__xludf.DUMMYFUNCTION("""COMPUTED_VALUE"""),"Inizio corsi bambini")</f>
        <v>Inizio corsi bambini</v>
      </c>
      <c r="B38" s="732"/>
      <c r="C38" s="732"/>
      <c r="D38" s="732"/>
      <c r="E38" s="732"/>
      <c r="F38" s="734"/>
      <c r="G38" s="734"/>
      <c r="H38" s="734"/>
      <c r="I38" s="735" t="str">
        <f>IFERROR(__xludf.DUMMYFUNCTION("""COMPUTED_VALUE"""),"Inizio corsi bambini")</f>
        <v>Inizio corsi bambini</v>
      </c>
      <c r="J38" s="735"/>
      <c r="K38" s="734" t="str">
        <f>IFERROR(__xludf.DUMMYFUNCTION("""COMPUTED_VALUE"""),"")</f>
        <v/>
      </c>
      <c r="L38" s="737"/>
      <c r="M38" s="737"/>
    </row>
    <row r="39">
      <c r="A39" s="733" t="str">
        <f>IFERROR(__xludf.DUMMYFUNCTION("""COMPUTED_VALUE"""),"Inizio corsi danza")</f>
        <v>Inizio corsi danza</v>
      </c>
      <c r="B39" s="732"/>
      <c r="C39" s="732"/>
      <c r="D39" s="732"/>
      <c r="E39" s="732"/>
      <c r="F39" s="734"/>
      <c r="G39" s="734"/>
      <c r="H39" s="734"/>
      <c r="I39" s="735" t="str">
        <f>IFERROR(__xludf.DUMMYFUNCTION("""COMPUTED_VALUE"""),"Inizio corsi danza")</f>
        <v>Inizio corsi danza</v>
      </c>
      <c r="J39" s="735"/>
      <c r="K39" s="734" t="str">
        <f>IFERROR(__xludf.DUMMYFUNCTION("""COMPUTED_VALUE"""),"")</f>
        <v/>
      </c>
      <c r="L39" s="737"/>
      <c r="M39" s="737"/>
    </row>
    <row r="40">
      <c r="A40" s="733" t="str">
        <f>IFERROR(__xludf.DUMMYFUNCTION("""COMPUTED_VALUE"""),"Inizio corsi fitness")</f>
        <v>Inizio corsi fitness</v>
      </c>
      <c r="B40" s="732"/>
      <c r="C40" s="732"/>
      <c r="D40" s="732"/>
      <c r="E40" s="732"/>
      <c r="F40" s="734"/>
      <c r="G40" s="734"/>
      <c r="H40" s="734"/>
      <c r="I40" s="735" t="str">
        <f>IFERROR(__xludf.DUMMYFUNCTION("""COMPUTED_VALUE"""),"Inizio corsi fitness")</f>
        <v>Inizio corsi fitness</v>
      </c>
      <c r="J40" s="735"/>
      <c r="K40" s="734" t="str">
        <f>IFERROR(__xludf.DUMMYFUNCTION("""COMPUTED_VALUE"""),"")</f>
        <v/>
      </c>
      <c r="L40" s="737"/>
      <c r="M40" s="737"/>
    </row>
    <row r="41">
      <c r="A41" s="733" t="str">
        <f>IFERROR(__xludf.DUMMYFUNCTION("""COMPUTED_VALUE"""),"No corsi")</f>
        <v>No corsi</v>
      </c>
      <c r="B41" s="732"/>
      <c r="C41" s="732"/>
      <c r="D41" s="732"/>
      <c r="E41" s="732"/>
      <c r="F41" s="734"/>
      <c r="G41" s="734"/>
      <c r="H41" s="734"/>
      <c r="I41" s="735" t="str">
        <f>IFERROR(__xludf.DUMMYFUNCTION("""COMPUTED_VALUE"""),"No corsi")</f>
        <v>No corsi</v>
      </c>
      <c r="J41" s="735"/>
      <c r="K41" s="734" t="str">
        <f>IFERROR(__xludf.DUMMYFUNCTION("""COMPUTED_VALUE"""),"")</f>
        <v/>
      </c>
      <c r="L41" s="737"/>
      <c r="M41" s="737"/>
    </row>
    <row r="42">
      <c r="A42" s="733" t="str">
        <f>IFERROR(__xludf.DUMMYFUNCTION("""COMPUTED_VALUE"""),"No corsi bambini")</f>
        <v>No corsi bambini</v>
      </c>
      <c r="B42" s="732"/>
      <c r="C42" s="732"/>
      <c r="D42" s="732"/>
      <c r="E42" s="732"/>
      <c r="F42" s="734"/>
      <c r="G42" s="734"/>
      <c r="H42" s="734"/>
      <c r="I42" s="735" t="str">
        <f>IFERROR(__xludf.DUMMYFUNCTION("""COMPUTED_VALUE"""),"No corsi bambini")</f>
        <v>No corsi bambini</v>
      </c>
      <c r="J42" s="735"/>
      <c r="K42" s="734" t="str">
        <f>IFERROR(__xludf.DUMMYFUNCTION("""COMPUTED_VALUE"""),"")</f>
        <v/>
      </c>
      <c r="L42" s="737"/>
      <c r="M42" s="737"/>
    </row>
    <row r="43">
      <c r="A43" s="742" t="str">
        <f>IFERROR(__xludf.DUMMYFUNCTION("""COMPUTED_VALUE"""),"Prova Aerial")</f>
        <v>Prova Aerial</v>
      </c>
      <c r="B43" s="732"/>
      <c r="C43" s="743"/>
      <c r="D43" s="743"/>
      <c r="E43" s="743"/>
      <c r="F43" s="734"/>
      <c r="G43" s="734"/>
      <c r="H43" s="734"/>
      <c r="I43" s="735" t="str">
        <f>IFERROR(__xludf.DUMMYFUNCTION("""COMPUTED_VALUE"""),"Prova Aerial")</f>
        <v>Prova Aerial</v>
      </c>
      <c r="J43" s="735"/>
      <c r="K43" s="734" t="str">
        <f>IFERROR(__xludf.DUMMYFUNCTION("""COMPUTED_VALUE"""),"")</f>
        <v/>
      </c>
      <c r="L43" s="737" t="str">
        <f>IFERROR(__xludf.DUMMYFUNCTION("""COMPUTED_VALUE"""),"lun - 15/09/25
PROVA BALLO
PROVA AERIAL")</f>
        <v>lun - 15/09/25
PROVA BALLO
PROVA AERIAL</v>
      </c>
      <c r="M43" s="737"/>
    </row>
    <row r="44">
      <c r="A44" s="742" t="str">
        <f>IFERROR(__xludf.DUMMYFUNCTION("""COMPUTED_VALUE"""),"Prova Ballo")</f>
        <v>Prova Ballo</v>
      </c>
      <c r="B44" s="732"/>
      <c r="C44" s="743"/>
      <c r="D44" s="743"/>
      <c r="E44" s="743"/>
      <c r="F44" s="734"/>
      <c r="G44" s="734"/>
      <c r="H44" s="734"/>
      <c r="I44" s="735" t="str">
        <f>IFERROR(__xludf.DUMMYFUNCTION("""COMPUTED_VALUE"""),"Prova Ballo")</f>
        <v>Prova Ballo</v>
      </c>
      <c r="J44" s="735"/>
      <c r="K44" s="734" t="str">
        <f>IFERROR(__xludf.DUMMYFUNCTION("""COMPUTED_VALUE"""),"")</f>
        <v/>
      </c>
      <c r="L44" s="737" t="str">
        <f>IFERROR(__xludf.DUMMYFUNCTION("""COMPUTED_VALUE"""),"lun - 15/09/25
PROVA BALLO
PROVA AERIAL")</f>
        <v>lun - 15/09/25
PROVA BALLO
PROVA AERIAL</v>
      </c>
      <c r="M44" s="737"/>
    </row>
    <row r="45">
      <c r="A45" s="742" t="str">
        <f>IFERROR(__xludf.DUMMYFUNCTION("""COMPUTED_VALUE"""),"Prova Bambini e Ragazzi")</f>
        <v>Prova Bambini e Ragazzi</v>
      </c>
      <c r="B45" s="732"/>
      <c r="C45" s="743"/>
      <c r="D45" s="743"/>
      <c r="E45" s="743"/>
      <c r="F45" s="734"/>
      <c r="G45" s="734"/>
      <c r="H45" s="734"/>
      <c r="I45" s="735" t="str">
        <f>IFERROR(__xludf.DUMMYFUNCTION("""COMPUTED_VALUE"""),"Prova Bambini e Ragazzi")</f>
        <v>Prova Bambini e Ragazzi</v>
      </c>
      <c r="J45" s="735"/>
      <c r="K45" s="734" t="str">
        <f>IFERROR(__xludf.DUMMYFUNCTION("""COMPUTED_VALUE"""),"")</f>
        <v/>
      </c>
      <c r="L45" s="737" t="str">
        <f>IFERROR(__xludf.DUMMYFUNCTION("""COMPUTED_VALUE"""),"lun - 22/09/25
PROVA BAMBINI E RAGAZZI")</f>
        <v>lun - 22/09/25
PROVA BAMBINI E RAGAZZI</v>
      </c>
      <c r="M45" s="737"/>
    </row>
    <row r="46">
      <c r="A46" s="742" t="str">
        <f>IFERROR(__xludf.DUMMYFUNCTION("""COMPUTED_VALUE"""),"Prova Danza")</f>
        <v>Prova Danza</v>
      </c>
      <c r="B46" s="732"/>
      <c r="C46" s="743"/>
      <c r="D46" s="743"/>
      <c r="E46" s="743"/>
      <c r="F46" s="734"/>
      <c r="G46" s="734"/>
      <c r="H46" s="734"/>
      <c r="I46" s="735" t="str">
        <f>IFERROR(__xludf.DUMMYFUNCTION("""COMPUTED_VALUE"""),"Prova Danza")</f>
        <v>Prova Danza</v>
      </c>
      <c r="J46" s="735"/>
      <c r="K46" s="734" t="str">
        <f>IFERROR(__xludf.DUMMYFUNCTION("""COMPUTED_VALUE"""),"")</f>
        <v/>
      </c>
      <c r="L46" s="737" t="str">
        <f>IFERROR(__xludf.DUMMYFUNCTION("""COMPUTED_VALUE"""),"lun - 08/09/25
PROVA FITNESS
PROVA DANZA")</f>
        <v>lun - 08/09/25
PROVA FITNESS
PROVA DANZA</v>
      </c>
      <c r="M46" s="737"/>
    </row>
    <row r="47">
      <c r="A47" s="742" t="str">
        <f>IFERROR(__xludf.DUMMYFUNCTION("""COMPUTED_VALUE"""),"Prova Fitness")</f>
        <v>Prova Fitness</v>
      </c>
      <c r="B47" s="732"/>
      <c r="C47" s="743"/>
      <c r="D47" s="743"/>
      <c r="E47" s="743"/>
      <c r="F47" s="734"/>
      <c r="G47" s="734"/>
      <c r="H47" s="734"/>
      <c r="I47" s="735" t="str">
        <f>IFERROR(__xludf.DUMMYFUNCTION("""COMPUTED_VALUE"""),"Prova Fitness")</f>
        <v>Prova Fitness</v>
      </c>
      <c r="J47" s="735"/>
      <c r="K47" s="734" t="str">
        <f>IFERROR(__xludf.DUMMYFUNCTION("""COMPUTED_VALUE"""),"")</f>
        <v/>
      </c>
      <c r="L47" s="737" t="str">
        <f>IFERROR(__xludf.DUMMYFUNCTION("""COMPUTED_VALUE"""),"lun - 08/09/25
PROVA FITNESS
PROVA DANZA")</f>
        <v>lun - 08/09/25
PROVA FITNESS
PROVA DANZA</v>
      </c>
      <c r="M47" s="737"/>
    </row>
    <row r="48">
      <c r="A48" s="742" t="str">
        <f>IFERROR(__xludf.DUMMYFUNCTION("""COMPUTED_VALUE"""),"SAGGI")</f>
        <v>SAGGI</v>
      </c>
      <c r="B48" s="732">
        <f>IFERROR(__xludf.DUMMYFUNCTION("""COMPUTED_VALUE"""),46185.0)</f>
        <v>46185</v>
      </c>
      <c r="C48" s="732">
        <f>IFERROR(__xludf.DUMMYFUNCTION("""COMPUTED_VALUE"""),46187.0)</f>
        <v>46187</v>
      </c>
      <c r="D48" s="743"/>
      <c r="E48" s="743"/>
      <c r="F48" s="734"/>
      <c r="G48" s="734"/>
      <c r="H48" s="734"/>
      <c r="I48" s="735" t="str">
        <f>IFERROR(__xludf.DUMMYFUNCTION("""COMPUTED_VALUE"""),"SAGGI")</f>
        <v>SAGGI</v>
      </c>
      <c r="J48" s="736" t="str">
        <f>IFERROR(__xludf.DUMMYFUNCTION("""COMPUTED_VALUE"""),"https://trello.com/c/JK38QgcR/587-saggi-2025-vendita-biglietti-e-organizzazione?search_id=ed026920-7903-45ba-9d34-ef5c7f6e7905")</f>
        <v>https://trello.com/c/JK38QgcR/587-saggi-2025-vendita-biglietti-e-organizzazione?search_id=ed026920-7903-45ba-9d34-ef5c7f6e7905</v>
      </c>
      <c r="K48" s="733" t="str">
        <f>IFERROR(__xludf.DUMMYFUNCTION("""COMPUTED_VALUE"""),"12/06/2026")</f>
        <v>12/06/2026</v>
      </c>
      <c r="L48" s="737"/>
      <c r="M48" s="737"/>
    </row>
    <row r="49">
      <c r="A49" s="733" t="str">
        <f>IFERROR(__xludf.DUMMYFUNCTION("""COMPUTED_VALUE"""),"Uff aperti 8:30-19:30")</f>
        <v>Uff aperti 8:30-19:30</v>
      </c>
      <c r="B49" s="738"/>
      <c r="C49" s="738"/>
      <c r="D49" s="738"/>
      <c r="E49" s="738"/>
      <c r="F49" s="734"/>
      <c r="G49" s="734"/>
      <c r="H49" s="734"/>
      <c r="I49" s="735" t="str">
        <f>IFERROR(__xludf.DUMMYFUNCTION("""COMPUTED_VALUE"""),"Uff aperti 8:30-19:30")</f>
        <v>Uff aperti 8:30-19:30</v>
      </c>
      <c r="J49" s="735"/>
      <c r="K49" s="734" t="str">
        <f>IFERROR(__xludf.DUMMYFUNCTION("""COMPUTED_VALUE"""),"")</f>
        <v/>
      </c>
      <c r="L49" s="737"/>
      <c r="M49" s="737"/>
    </row>
    <row r="50">
      <c r="A50" s="733" t="str">
        <f>IFERROR(__xludf.DUMMYFUNCTION("""COMPUTED_VALUE"""),"Uff aperti 9:00-17:30")</f>
        <v>Uff aperti 9:00-17:30</v>
      </c>
      <c r="B50" s="738"/>
      <c r="C50" s="738"/>
      <c r="D50" s="738"/>
      <c r="E50" s="738"/>
      <c r="F50" s="734"/>
      <c r="G50" s="734"/>
      <c r="H50" s="734"/>
      <c r="I50" s="735" t="str">
        <f>IFERROR(__xludf.DUMMYFUNCTION("""COMPUTED_VALUE"""),"Uff aperti 9:00-17:30")</f>
        <v>Uff aperti 9:00-17:30</v>
      </c>
      <c r="J50" s="735"/>
      <c r="K50" s="734" t="str">
        <f>IFERROR(__xludf.DUMMYFUNCTION("""COMPUTED_VALUE"""),"")</f>
        <v/>
      </c>
      <c r="L50" s="737"/>
      <c r="M50" s="737"/>
    </row>
    <row r="51">
      <c r="A51" s="733" t="str">
        <f>IFERROR(__xludf.DUMMYFUNCTION("""COMPUTED_VALUE"""),"WS Banana (afrofusion) confermato")</f>
        <v>WS Banana (afrofusion) confermato</v>
      </c>
      <c r="B51" s="732">
        <f>IFERROR(__xludf.DUMMYFUNCTION("""COMPUTED_VALUE"""),45949.0)</f>
        <v>45949</v>
      </c>
      <c r="C51" s="732">
        <f>IFERROR(__xludf.DUMMYFUNCTION("""COMPUTED_VALUE"""),45949.0)</f>
        <v>45949</v>
      </c>
      <c r="D51" s="733" t="str">
        <f>IFERROR(__xludf.DUMMYFUNCTION("""COMPUTED_VALUE"""),"14:30")</f>
        <v>14:30</v>
      </c>
      <c r="E51" s="733" t="str">
        <f>IFERROR(__xludf.DUMMYFUNCTION("""COMPUTED_VALUE"""),"16:30")</f>
        <v>16:30</v>
      </c>
      <c r="F51" s="734" t="str">
        <f>IFERROR(__xludf.DUMMYFUNCTION("""COMPUTED_VALUE"""),"STUDIO 21")</f>
        <v>STUDIO 21</v>
      </c>
      <c r="G51" s="734"/>
      <c r="H51" s="734"/>
      <c r="I51" s="735" t="str">
        <f>IFERROR(__xludf.DUMMYFUNCTION("""COMPUTED_VALUE"""),"WS Banana (afrofusion) confermato • 14:30 • 16:30 • STUDIO 21")</f>
        <v>WS Banana (afrofusion) confermato • 14:30 • 16:30 • STUDIO 21</v>
      </c>
      <c r="J51" s="735"/>
      <c r="K51" s="744" t="str">
        <f>IFERROR(__xludf.DUMMYFUNCTION("""COMPUTED_VALUE"""),"19/10/2025 • 14:30")</f>
        <v>19/10/2025 • 14:30</v>
      </c>
      <c r="L51" s="737"/>
      <c r="M51" s="737"/>
    </row>
    <row r="52">
      <c r="A52" s="733" t="str">
        <f>IFERROR(__xludf.DUMMYFUNCTION("""COMPUTED_VALUE"""),"WS Chiara Saccomanno
(danza del ventre) confermato")</f>
        <v>WS Chiara Saccomanno
(danza del ventre) confermato</v>
      </c>
      <c r="B52" s="732">
        <f>IFERROR(__xludf.DUMMYFUNCTION("""COMPUTED_VALUE"""),45724.0)</f>
        <v>45724</v>
      </c>
      <c r="C52" s="732">
        <f>IFERROR(__xludf.DUMMYFUNCTION("""COMPUTED_VALUE"""),45724.0)</f>
        <v>45724</v>
      </c>
      <c r="D52" s="733" t="str">
        <f>IFERROR(__xludf.DUMMYFUNCTION("""COMPUTED_VALUE"""),"12:00")</f>
        <v>12:00</v>
      </c>
      <c r="E52" s="733" t="str">
        <f>IFERROR(__xludf.DUMMYFUNCTION("""COMPUTED_VALUE"""),"13:30")</f>
        <v>13:30</v>
      </c>
      <c r="F52" s="734"/>
      <c r="G52" s="734"/>
      <c r="H52" s="734"/>
      <c r="I52" s="735" t="str">
        <f>IFERROR(__xludf.DUMMYFUNCTION("""COMPUTED_VALUE"""),"WS Chiara Saccomanno
(danza del ventre) confermato • 12:00 • 13:30")</f>
        <v>WS Chiara Saccomanno
(danza del ventre) confermato • 12:00 • 13:30</v>
      </c>
      <c r="J52" s="736" t="str">
        <f>IFERROR(__xludf.DUMMYFUNCTION("""COMPUTED_VALUE"""),"https://trello.com/c/ZyWd8R3Y/597-chiara-saccomanno-danza-del-ventre-8-marzo-2025")</f>
        <v>https://trello.com/c/ZyWd8R3Y/597-chiara-saccomanno-danza-del-ventre-8-marzo-2025</v>
      </c>
      <c r="K52" s="731" t="str">
        <f>IFERROR(__xludf.DUMMYFUNCTION("""COMPUTED_VALUE"""),"08/03/2025 • 12:00")</f>
        <v>08/03/2025 • 12:00</v>
      </c>
      <c r="L52" s="737"/>
      <c r="M52" s="737"/>
    </row>
    <row r="53">
      <c r="A53" s="733" t="str">
        <f>IFERROR(__xludf.DUMMYFUNCTION("""COMPUTED_VALUE"""),"WS Elena Evangelia (swing) confermato")</f>
        <v>WS Elena Evangelia (swing) confermato</v>
      </c>
      <c r="B53" s="732">
        <f>IFERROR(__xludf.DUMMYFUNCTION("""COMPUTED_VALUE"""),45675.0)</f>
        <v>45675</v>
      </c>
      <c r="C53" s="732">
        <f>IFERROR(__xludf.DUMMYFUNCTION("""COMPUTED_VALUE"""),45675.0)</f>
        <v>45675</v>
      </c>
      <c r="D53" s="733" t="str">
        <f>IFERROR(__xludf.DUMMYFUNCTION("""COMPUTED_VALUE"""),"13:00")</f>
        <v>13:00</v>
      </c>
      <c r="E53" s="733" t="str">
        <f>IFERROR(__xludf.DUMMYFUNCTION("""COMPUTED_VALUE"""),"16:30")</f>
        <v>16:30</v>
      </c>
      <c r="F53" s="734"/>
      <c r="G53" s="734"/>
      <c r="H53" s="734"/>
      <c r="I53" s="735" t="str">
        <f>IFERROR(__xludf.DUMMYFUNCTION("""COMPUTED_VALUE"""),"WS Elena Evangelia (swing) confermato • 13:00 • 16:30")</f>
        <v>WS Elena Evangelia (swing) confermato • 13:00 • 16:30</v>
      </c>
      <c r="J53" s="736" t="str">
        <f>IFERROR(__xludf.DUMMYFUNCTION("""COMPUTED_VALUE"""),"https://trello.com/c/1DKZ1hVO/574-elena-evangelia-swing-18-gennaio-2025")</f>
        <v>https://trello.com/c/1DKZ1hVO/574-elena-evangelia-swing-18-gennaio-2025</v>
      </c>
      <c r="K53" s="731" t="str">
        <f>IFERROR(__xludf.DUMMYFUNCTION("""COMPUTED_VALUE"""),"18/01/2025 • 13:00")</f>
        <v>18/01/2025 • 13:00</v>
      </c>
      <c r="L53" s="737"/>
      <c r="M53" s="737"/>
    </row>
    <row r="54">
      <c r="A54" s="733" t="str">
        <f>IFERROR(__xludf.DUMMYFUNCTION("""COMPUTED_VALUE"""),"WS Emanuel Lo (HipHop) confermato")</f>
        <v>WS Emanuel Lo (HipHop) confermato</v>
      </c>
      <c r="B54" s="732">
        <f>IFERROR(__xludf.DUMMYFUNCTION("""COMPUTED_VALUE"""),46075.0)</f>
        <v>46075</v>
      </c>
      <c r="C54" s="732">
        <f>IFERROR(__xludf.DUMMYFUNCTION("""COMPUTED_VALUE"""),46075.0)</f>
        <v>46075</v>
      </c>
      <c r="D54" s="733" t="str">
        <f>IFERROR(__xludf.DUMMYFUNCTION("""COMPUTED_VALUE"""),"14:00")</f>
        <v>14:00</v>
      </c>
      <c r="E54" s="733" t="str">
        <f>IFERROR(__xludf.DUMMYFUNCTION("""COMPUTED_VALUE"""),"15:45")</f>
        <v>15:45</v>
      </c>
      <c r="F54" s="734" t="str">
        <f>IFERROR(__xludf.DUMMYFUNCTION("""COMPUTED_VALUE"""),"STUDIO 21")</f>
        <v>STUDIO 21</v>
      </c>
      <c r="G54" s="734"/>
      <c r="H54" s="734"/>
      <c r="I54" s="735" t="str">
        <f>IFERROR(__xludf.DUMMYFUNCTION("""COMPUTED_VALUE"""),"WS Emanuel Lo (HipHop) confermato • 14:00 • 15:45 • STUDIO 21")</f>
        <v>WS Emanuel Lo (HipHop) confermato • 14:00 • 15:45 • STUDIO 21</v>
      </c>
      <c r="J54" s="736" t="str">
        <f>IFERROR(__xludf.DUMMYFUNCTION("""COMPUTED_VALUE"""),"https://trello.com/c/LxjspTER/539-emanuel-lo-hiphop-20-ottobre-2024")</f>
        <v>https://trello.com/c/LxjspTER/539-emanuel-lo-hiphop-20-ottobre-2024</v>
      </c>
      <c r="K54" s="731" t="str">
        <f>IFERROR(__xludf.DUMMYFUNCTION("""COMPUTED_VALUE"""),"22/02/2026 • 14:00")</f>
        <v>22/02/2026 • 14:00</v>
      </c>
      <c r="L54" s="737"/>
      <c r="M54" s="737"/>
    </row>
    <row r="55">
      <c r="A55" s="733" t="str">
        <f>IFERROR(__xludf.DUMMYFUNCTION("""COMPUTED_VALUE"""),"WS Giulia Marino (modern-contemporary) confermato")</f>
        <v>WS Giulia Marino (modern-contemporary) confermato</v>
      </c>
      <c r="B55" s="732"/>
      <c r="C55" s="732"/>
      <c r="D55" s="733" t="str">
        <f>IFERROR(__xludf.DUMMYFUNCTION("""COMPUTED_VALUE"""),"11:00")</f>
        <v>11:00</v>
      </c>
      <c r="E55" s="733" t="str">
        <f>IFERROR(__xludf.DUMMYFUNCTION("""COMPUTED_VALUE"""),"13:00")</f>
        <v>13:00</v>
      </c>
      <c r="F55" s="734"/>
      <c r="G55" s="734"/>
      <c r="H55" s="734"/>
      <c r="I55" s="735" t="str">
        <f>IFERROR(__xludf.DUMMYFUNCTION("""COMPUTED_VALUE"""),"WS Giulia Marino (modern-contemporary) confermato • 11:00 • 13:00")</f>
        <v>WS Giulia Marino (modern-contemporary) confermato • 11:00 • 13:00</v>
      </c>
      <c r="J55" s="736" t="str">
        <f>IFERROR(__xludf.DUMMYFUNCTION("""COMPUTED_VALUE"""),"https://trello.com/c/Rt5yef52")</f>
        <v>https://trello.com/c/Rt5yef52</v>
      </c>
      <c r="K55" s="731" t="str">
        <f>IFERROR(__xludf.DUMMYFUNCTION("""COMPUTED_VALUE"""),"11:00")</f>
        <v>11:00</v>
      </c>
      <c r="L55" s="737"/>
      <c r="M55" s="737"/>
    </row>
    <row r="56">
      <c r="A56" s="733" t="str">
        <f>IFERROR(__xludf.DUMMYFUNCTION("""COMPUTED_VALUE"""),"WS Jhesus Aponte (lady style salsa) confermato")</f>
        <v>WS Jhesus Aponte (lady style salsa) confermato</v>
      </c>
      <c r="B56" s="732">
        <f>IFERROR(__xludf.DUMMYFUNCTION("""COMPUTED_VALUE"""),45733.0)</f>
        <v>45733</v>
      </c>
      <c r="C56" s="732">
        <f>IFERROR(__xludf.DUMMYFUNCTION("""COMPUTED_VALUE"""),45733.0)</f>
        <v>45733</v>
      </c>
      <c r="D56" s="733" t="str">
        <f>IFERROR(__xludf.DUMMYFUNCTION("""COMPUTED_VALUE"""),"19:30")</f>
        <v>19:30</v>
      </c>
      <c r="E56" s="733" t="str">
        <f>IFERROR(__xludf.DUMMYFUNCTION("""COMPUTED_VALUE"""),"21:00")</f>
        <v>21:00</v>
      </c>
      <c r="F56" s="734"/>
      <c r="G56" s="734"/>
      <c r="H56" s="734"/>
      <c r="I56" s="735" t="str">
        <f>IFERROR(__xludf.DUMMYFUNCTION("""COMPUTED_VALUE"""),"WS Jhesus Aponte (lady style salsa) confermato • 19:30 • 21:00")</f>
        <v>WS Jhesus Aponte (lady style salsa) confermato • 19:30 • 21:00</v>
      </c>
      <c r="J56" s="736" t="str">
        <f>IFERROR(__xludf.DUMMYFUNCTION("""COMPUTED_VALUE"""),"https://trello.com/c/OnEa0khv/600-jhesus-aponte-lady-style-salsa-17-marzo-2025")</f>
        <v>https://trello.com/c/OnEa0khv/600-jhesus-aponte-lady-style-salsa-17-marzo-2025</v>
      </c>
      <c r="K56" s="731" t="str">
        <f>IFERROR(__xludf.DUMMYFUNCTION("""COMPUTED_VALUE"""),"17/03/2025 • 19:30")</f>
        <v>17/03/2025 • 19:30</v>
      </c>
      <c r="L56" s="737"/>
      <c r="M56" s="737"/>
    </row>
    <row r="57">
      <c r="A57" s="733" t="str">
        <f>IFERROR(__xludf.DUMMYFUNCTION("""COMPUTED_VALUE"""),"WS Kumo (urban) confermato")</f>
        <v>WS Kumo (urban) confermato</v>
      </c>
      <c r="B57" s="732">
        <f>IFERROR(__xludf.DUMMYFUNCTION("""COMPUTED_VALUE"""),45970.0)</f>
        <v>45970</v>
      </c>
      <c r="C57" s="732">
        <f>IFERROR(__xludf.DUMMYFUNCTION("""COMPUTED_VALUE"""),45970.0)</f>
        <v>45970</v>
      </c>
      <c r="D57" s="733" t="str">
        <f>IFERROR(__xludf.DUMMYFUNCTION("""COMPUTED_VALUE"""),"14:30")</f>
        <v>14:30</v>
      </c>
      <c r="E57" s="733" t="str">
        <f>IFERROR(__xludf.DUMMYFUNCTION("""COMPUTED_VALUE"""),"16:30")</f>
        <v>16:30</v>
      </c>
      <c r="F57" s="733" t="str">
        <f>IFERROR(__xludf.DUMMYFUNCTION("""COMPUTED_VALUE"""),"STUDIO 21")</f>
        <v>STUDIO 21</v>
      </c>
      <c r="G57" s="734"/>
      <c r="H57" s="733" t="str">
        <f>IFERROR(__xludf.DUMMYFUNCTION("""COMPUTED_VALUE"""),"2h")</f>
        <v>2h</v>
      </c>
      <c r="I57" s="735" t="str">
        <f>IFERROR(__xludf.DUMMYFUNCTION("""COMPUTED_VALUE"""),"WS Kumo (urban) confermato • 14:30 • 16:30 • STUDIO 21 • 2h")</f>
        <v>WS Kumo (urban) confermato • 14:30 • 16:30 • STUDIO 21 • 2h</v>
      </c>
      <c r="J57" s="736" t="str">
        <f>IFERROR(__xludf.DUMMYFUNCTION("""COMPUTED_VALUE"""),"https://trello.com/c/YzPpKH2D/630-ws-kumo-urban-domenica-09-11-25")</f>
        <v>https://trello.com/c/YzPpKH2D/630-ws-kumo-urban-domenica-09-11-25</v>
      </c>
      <c r="K57" s="734" t="str">
        <f>IFERROR(__xludf.DUMMYFUNCTION("""COMPUTED_VALUE"""),"09/11/2025 • 14:30")</f>
        <v>09/11/2025 • 14:30</v>
      </c>
      <c r="L57" s="737"/>
      <c r="M57" s="737"/>
    </row>
    <row r="58">
      <c r="A58" s="733" t="str">
        <f>IFERROR(__xludf.DUMMYFUNCTION("""COMPUTED_VALUE"""),"WS Leli (Indian Fusion) confermato")</f>
        <v>WS Leli (Indian Fusion) confermato</v>
      </c>
      <c r="B58" s="732">
        <f>IFERROR(__xludf.DUMMYFUNCTION("""COMPUTED_VALUE"""),45970.0)</f>
        <v>45970</v>
      </c>
      <c r="C58" s="732">
        <f>IFERROR(__xludf.DUMMYFUNCTION("""COMPUTED_VALUE"""),45970.0)</f>
        <v>45970</v>
      </c>
      <c r="D58" s="733" t="str">
        <f>IFERROR(__xludf.DUMMYFUNCTION("""COMPUTED_VALUE"""),"14:00")</f>
        <v>14:00</v>
      </c>
      <c r="E58" s="733" t="str">
        <f>IFERROR(__xludf.DUMMYFUNCTION("""COMPUTED_VALUE"""),"15:30")</f>
        <v>15:30</v>
      </c>
      <c r="F58" s="734" t="str">
        <f>IFERROR(__xludf.DUMMYFUNCTION("""COMPUTED_VALUE"""),"STUDIO 24")</f>
        <v>STUDIO 24</v>
      </c>
      <c r="G58" s="734"/>
      <c r="H58" s="734"/>
      <c r="I58" s="735" t="str">
        <f>IFERROR(__xludf.DUMMYFUNCTION("""COMPUTED_VALUE"""),"WS Leli (Indian Fusion) confermato • 14:00 • 15:30 • STUDIO 24")</f>
        <v>WS Leli (Indian Fusion) confermato • 14:00 • 15:30 • STUDIO 24</v>
      </c>
      <c r="J58" s="736" t="str">
        <f>IFERROR(__xludf.DUMMYFUNCTION("""COMPUTED_VALUE"""),"https://trello.com/c/bLyLVkVs/631-ws-leli-indian-fusion-domenica-09-11-25")</f>
        <v>https://trello.com/c/bLyLVkVs/631-ws-leli-indian-fusion-domenica-09-11-25</v>
      </c>
      <c r="K58" s="734" t="str">
        <f>IFERROR(__xludf.DUMMYFUNCTION("""COMPUTED_VALUE"""),"09/11/2025 • 14:00")</f>
        <v>09/11/2025 • 14:00</v>
      </c>
      <c r="L58" s="737"/>
      <c r="M58" s="737"/>
    </row>
    <row r="59">
      <c r="A59" s="733" t="str">
        <f>IFERROR(__xludf.DUMMYFUNCTION("""COMPUTED_VALUE"""),"WS Lucia Ferrari (commercial) confermato")</f>
        <v>WS Lucia Ferrari (commercial) confermato</v>
      </c>
      <c r="B59" s="732">
        <f>IFERROR(__xludf.DUMMYFUNCTION("""COMPUTED_VALUE"""),45696.0)</f>
        <v>45696</v>
      </c>
      <c r="C59" s="732">
        <f>IFERROR(__xludf.DUMMYFUNCTION("""COMPUTED_VALUE"""),45696.0)</f>
        <v>45696</v>
      </c>
      <c r="D59" s="733" t="str">
        <f>IFERROR(__xludf.DUMMYFUNCTION("""COMPUTED_VALUE"""),"14:30")</f>
        <v>14:30</v>
      </c>
      <c r="E59" s="733" t="str">
        <f>IFERROR(__xludf.DUMMYFUNCTION("""COMPUTED_VALUE"""),"16:30")</f>
        <v>16:30</v>
      </c>
      <c r="F59" s="734"/>
      <c r="G59" s="734"/>
      <c r="H59" s="734"/>
      <c r="I59" s="735" t="str">
        <f>IFERROR(__xludf.DUMMYFUNCTION("""COMPUTED_VALUE"""),"WS Lucia Ferrari (commercial) confermato • 14:30 • 16:30")</f>
        <v>WS Lucia Ferrari (commercial) confermato • 14:30 • 16:30</v>
      </c>
      <c r="J59" s="736" t="str">
        <f>IFERROR(__xludf.DUMMYFUNCTION("""COMPUTED_VALUE"""),"https://trello.com/c/bqhVTwOn/578-lucia-ferrari-commercial-8-febbraio-2024")</f>
        <v>https://trello.com/c/bqhVTwOn/578-lucia-ferrari-commercial-8-febbraio-2024</v>
      </c>
      <c r="K59" s="731" t="str">
        <f>IFERROR(__xludf.DUMMYFUNCTION("""COMPUTED_VALUE"""),"08/02/2025 • 14:30")</f>
        <v>08/02/2025 • 14:30</v>
      </c>
      <c r="L59" s="737"/>
      <c r="M59" s="737"/>
    </row>
    <row r="60">
      <c r="A60" s="733" t="str">
        <f>IFERROR(__xludf.DUMMYFUNCTION("""COMPUTED_VALUE"""),"WS Megan Ria (heels) confermato")</f>
        <v>WS Megan Ria (heels) confermato</v>
      </c>
      <c r="B60" s="732">
        <f>IFERROR(__xludf.DUMMYFUNCTION("""COMPUTED_VALUE"""),45711.0)</f>
        <v>45711</v>
      </c>
      <c r="C60" s="732">
        <f>IFERROR(__xludf.DUMMYFUNCTION("""COMPUTED_VALUE"""),45711.0)</f>
        <v>45711</v>
      </c>
      <c r="D60" s="733" t="str">
        <f>IFERROR(__xludf.DUMMYFUNCTION("""COMPUTED_VALUE"""),"14:30")</f>
        <v>14:30</v>
      </c>
      <c r="E60" s="733" t="str">
        <f>IFERROR(__xludf.DUMMYFUNCTION("""COMPUTED_VALUE"""),"16:30")</f>
        <v>16:30</v>
      </c>
      <c r="F60" s="734"/>
      <c r="G60" s="734"/>
      <c r="H60" s="734"/>
      <c r="I60" s="735" t="str">
        <f>IFERROR(__xludf.DUMMYFUNCTION("""COMPUTED_VALUE"""),"WS Megan Ria (heels) confermato • 14:30 • 16:30")</f>
        <v>WS Megan Ria (heels) confermato • 14:30 • 16:30</v>
      </c>
      <c r="J60" s="736" t="str">
        <f>IFERROR(__xludf.DUMMYFUNCTION("""COMPUTED_VALUE"""),"https://trello.com/c/ZARHeXwG/585-megan-ria-heels-23-febbraio-2025")</f>
        <v>https://trello.com/c/ZARHeXwG/585-megan-ria-heels-23-febbraio-2025</v>
      </c>
      <c r="K60" s="731" t="str">
        <f>IFERROR(__xludf.DUMMYFUNCTION("""COMPUTED_VALUE"""),"23/02/2025 • 14:30")</f>
        <v>23/02/2025 • 14:30</v>
      </c>
      <c r="L60" s="737"/>
      <c r="M60" s="737"/>
    </row>
    <row r="61">
      <c r="A61" s="745" t="str">
        <f>IFERROR(__xludf.DUMMYFUNCTION("""COMPUTED_VALUE"""),"WS Nicholas Borgogni (modern) confermato")</f>
        <v>WS Nicholas Borgogni (modern) confermato</v>
      </c>
      <c r="B61" s="740">
        <f>IFERROR(__xludf.DUMMYFUNCTION("""COMPUTED_VALUE"""),45752.0)</f>
        <v>45752</v>
      </c>
      <c r="C61" s="740">
        <f>IFERROR(__xludf.DUMMYFUNCTION("""COMPUTED_VALUE"""),45752.0)</f>
        <v>45752</v>
      </c>
      <c r="D61" s="745" t="str">
        <f>IFERROR(__xludf.DUMMYFUNCTION("""COMPUTED_VALUE"""),"14:30")</f>
        <v>14:30</v>
      </c>
      <c r="E61" s="745" t="str">
        <f>IFERROR(__xludf.DUMMYFUNCTION("""COMPUTED_VALUE"""),"16:30")</f>
        <v>16:30</v>
      </c>
      <c r="F61" s="734"/>
      <c r="G61" s="734"/>
      <c r="H61" s="734"/>
      <c r="I61" s="735" t="str">
        <f>IFERROR(__xludf.DUMMYFUNCTION("""COMPUTED_VALUE"""),"WS Nicholas Borgogni (modern) confermato • 14:30 • 16:30")</f>
        <v>WS Nicholas Borgogni (modern) confermato • 14:30 • 16:30</v>
      </c>
      <c r="J61" s="736" t="str">
        <f>IFERROR(__xludf.DUMMYFUNCTION("""COMPUTED_VALUE"""),"https://trello.com/c/t7kr5fvc/341-workshop-nicholas-borgogni-05-04-2025-modern")</f>
        <v>https://trello.com/c/t7kr5fvc/341-workshop-nicholas-borgogni-05-04-2025-modern</v>
      </c>
      <c r="K61" s="731" t="str">
        <f>IFERROR(__xludf.DUMMYFUNCTION("""COMPUTED_VALUE"""),"05/04/2025 • 14:30")</f>
        <v>05/04/2025 • 14:30</v>
      </c>
      <c r="L61" s="737"/>
      <c r="M61" s="737"/>
    </row>
    <row r="62">
      <c r="A62" s="733" t="str">
        <f>IFERROR(__xludf.DUMMYFUNCTION("""COMPUTED_VALUE"""),"WS Timor Steffens (commercial) confermato")</f>
        <v>WS Timor Steffens (commercial) confermato</v>
      </c>
      <c r="B62" s="732">
        <f>IFERROR(__xludf.DUMMYFUNCTION("""COMPUTED_VALUE"""),45956.0)</f>
        <v>45956</v>
      </c>
      <c r="C62" s="732">
        <f>IFERROR(__xludf.DUMMYFUNCTION("""COMPUTED_VALUE"""),45956.0)</f>
        <v>45956</v>
      </c>
      <c r="D62" s="733" t="str">
        <f>IFERROR(__xludf.DUMMYFUNCTION("""COMPUTED_VALUE"""),"15:30")</f>
        <v>15:30</v>
      </c>
      <c r="E62" s="733" t="str">
        <f>IFERROR(__xludf.DUMMYFUNCTION("""COMPUTED_VALUE"""),"17:00")</f>
        <v>17:00</v>
      </c>
      <c r="F62" s="733" t="str">
        <f>IFERROR(__xludf.DUMMYFUNCTION("""COMPUTED_VALUE"""),"STUDIO 21")</f>
        <v>STUDIO 21</v>
      </c>
      <c r="G62" s="734"/>
      <c r="H62" s="733"/>
      <c r="I62" s="735" t="str">
        <f>IFERROR(__xludf.DUMMYFUNCTION("""COMPUTED_VALUE"""),"WS Timor Steffens (commercial) confermato • 15:30 • 17:00 • STUDIO 21")</f>
        <v>WS Timor Steffens (commercial) confermato • 15:30 • 17:00 • STUDIO 21</v>
      </c>
      <c r="J62" s="736" t="str">
        <f>IFERROR(__xludf.DUMMYFUNCTION("""COMPUTED_VALUE"""),"https://trello.com/c/x2nUozFp/637-ws-timor-steffens-commercial-domenica-26-10-25")</f>
        <v>https://trello.com/c/x2nUozFp/637-ws-timor-steffens-commercial-domenica-26-10-25</v>
      </c>
      <c r="K62" s="744" t="str">
        <f>IFERROR(__xludf.DUMMYFUNCTION("""COMPUTED_VALUE"""),"26/10/2025 • 15:30")</f>
        <v>26/10/2025 • 15:30</v>
      </c>
      <c r="L62" s="737"/>
      <c r="M62" s="737"/>
    </row>
    <row r="63">
      <c r="A63" s="746" t="str">
        <f>IFERROR(__xludf.DUMMYFUNCTION("""COMPUTED_VALUE"""),"TURNI")</f>
        <v>TURNI</v>
      </c>
      <c r="B63" s="747"/>
      <c r="C63" s="747"/>
      <c r="D63" s="747"/>
      <c r="E63" s="747"/>
      <c r="F63" s="733"/>
      <c r="G63" s="734"/>
      <c r="H63" s="734"/>
      <c r="I63" s="735" t="str">
        <f>IFERROR(__xludf.DUMMYFUNCTION("""COMPUTED_VALUE"""),"TURNI")</f>
        <v>TURNI</v>
      </c>
      <c r="J63" s="736" t="str">
        <f>IFERROR(__xludf.DUMMYFUNCTION("""COMPUTED_VALUE"""),"https://docs.google.com/spreadsheets/d/1iQMsg8Xt5XUHzbvXme-d72JMqfVyHkTRcIeOHV9oR_4/edit?usp=drive_link")</f>
        <v>https://docs.google.com/spreadsheets/d/1iQMsg8Xt5XUHzbvXme-d72JMqfVyHkTRcIeOHV9oR_4/edit?usp=drive_link</v>
      </c>
      <c r="K63" s="731" t="str">
        <f>IFERROR(__xludf.DUMMYFUNCTION("""COMPUTED_VALUE"""),"")</f>
        <v/>
      </c>
      <c r="L63" s="737"/>
      <c r="M63" s="737"/>
    </row>
    <row r="64">
      <c r="A64" s="746" t="str">
        <f>IFERROR(__xludf.DUMMYFUNCTION("""COMPUTED_VALUE"""),"25-26 Calendario Corsi")</f>
        <v>25-26 Calendario Corsi</v>
      </c>
      <c r="B64" s="747"/>
      <c r="C64" s="747"/>
      <c r="D64" s="747"/>
      <c r="E64" s="747"/>
      <c r="F64" s="733"/>
      <c r="G64" s="734"/>
      <c r="H64" s="734"/>
      <c r="I64" s="735" t="str">
        <f>IFERROR(__xludf.DUMMYFUNCTION("""COMPUTED_VALUE"""),"25-26 Calendario Corsi")</f>
        <v>25-26 Calendario Corsi</v>
      </c>
      <c r="J64" s="736" t="str">
        <f>IFERROR(__xludf.DUMMYFUNCTION("""COMPUTED_VALUE"""),"https://docs.google.com/spreadsheets/d/18iHbFEZ6msv3IU3InH0K5SEgnjM_8H0uHajc7c4fMiQ/edit?gid=1856535678#gid=1856535678")</f>
        <v>https://docs.google.com/spreadsheets/d/18iHbFEZ6msv3IU3InH0K5SEgnjM_8H0uHajc7c4fMiQ/edit?gid=1856535678#gid=1856535678</v>
      </c>
      <c r="K64" s="733" t="str">
        <f>IFERROR(__xludf.DUMMYFUNCTION("""COMPUTED_VALUE"""),"")</f>
        <v/>
      </c>
      <c r="L64" s="737"/>
      <c r="M64" s="737"/>
    </row>
    <row r="65">
      <c r="A65" s="742" t="str">
        <f>IFERROR(__xludf.DUMMYFUNCTION("""COMPUTED_VALUE"""),"24-25 Luglio Calendario Corsi")</f>
        <v>24-25 Luglio Calendario Corsi</v>
      </c>
      <c r="B65" s="738"/>
      <c r="C65" s="738"/>
      <c r="D65" s="738"/>
      <c r="E65" s="738"/>
      <c r="F65" s="734"/>
      <c r="G65" s="734"/>
      <c r="H65" s="734"/>
      <c r="I65" s="735" t="str">
        <f>IFERROR(__xludf.DUMMYFUNCTION("""COMPUTED_VALUE"""),"24-25 Luglio Calendario Corsi")</f>
        <v>24-25 Luglio Calendario Corsi</v>
      </c>
      <c r="J65" s="736" t="str">
        <f>IFERROR(__xludf.DUMMYFUNCTION("""COMPUTED_VALUE"""),"https://docs.google.com/spreadsheets/d/1D1uiep4dwY22bglUtUerGO9EJ_ZDNc7fe4HhvD6jGC0/edit?gid=1856535678#gid=1856535678")</f>
        <v>https://docs.google.com/spreadsheets/d/1D1uiep4dwY22bglUtUerGO9EJ_ZDNc7fe4HhvD6jGC0/edit?gid=1856535678#gid=1856535678</v>
      </c>
      <c r="K65" s="733" t="str">
        <f>IFERROR(__xludf.DUMMYFUNCTION("""COMPUTED_VALUE"""),"")</f>
        <v/>
      </c>
      <c r="L65" s="737"/>
      <c r="M65" s="737"/>
    </row>
    <row r="66">
      <c r="A66" s="742" t="str">
        <f>IFERROR(__xludf.DUMMYFUNCTION("""COMPUTED_VALUE"""),"25-26 Prenotazioni Sale")</f>
        <v>25-26 Prenotazioni Sale</v>
      </c>
      <c r="B66" s="738"/>
      <c r="C66" s="738"/>
      <c r="D66" s="738"/>
      <c r="E66" s="738"/>
      <c r="F66" s="734"/>
      <c r="G66" s="734"/>
      <c r="H66" s="734"/>
      <c r="I66" s="735" t="str">
        <f>IFERROR(__xludf.DUMMYFUNCTION("""COMPUTED_VALUE"""),"25-26 Prenotazioni Sale")</f>
        <v>25-26 Prenotazioni Sale</v>
      </c>
      <c r="J66" s="735"/>
      <c r="K66" s="734" t="str">
        <f>IFERROR(__xludf.DUMMYFUNCTION("""COMPUTED_VALUE"""),"")</f>
        <v/>
      </c>
      <c r="L66" s="737"/>
      <c r="M66" s="737"/>
    </row>
    <row r="67">
      <c r="A67" s="733"/>
      <c r="B67" s="738"/>
      <c r="C67" s="738"/>
      <c r="D67" s="733" t="str">
        <f>IFERROR(__xludf.DUMMYFUNCTION("""COMPUTED_VALUE"""),"10:00")</f>
        <v>10:00</v>
      </c>
      <c r="E67" s="733" t="str">
        <f>IFERROR(__xludf.DUMMYFUNCTION("""COMPUTED_VALUE"""),"10:50")</f>
        <v>10:50</v>
      </c>
      <c r="F67" s="733" t="str">
        <f>IFERROR(__xludf.DUMMYFUNCTION("""COMPUTED_VALUE"""),"STUDIO 11")</f>
        <v>STUDIO 11</v>
      </c>
      <c r="G67" s="734"/>
      <c r="H67" s="734"/>
      <c r="I67" s="735" t="str">
        <f>IFERROR(__xludf.DUMMYFUNCTION("""COMPUTED_VALUE"""),"10:00 • 10:50 • STUDIO 11")</f>
        <v>10:00 • 10:50 • STUDIO 11</v>
      </c>
      <c r="J67" s="736" t="str">
        <f>IFERROR(__xludf.DUMMYFUNCTION("""COMPUTED_VALUE"""),"https://trello.com/c/tP2uoLen")</f>
        <v>https://trello.com/c/tP2uoLen</v>
      </c>
      <c r="K67" s="734" t="str">
        <f>IFERROR(__xludf.DUMMYFUNCTION("""COMPUTED_VALUE"""),"10:00")</f>
        <v>10:00</v>
      </c>
      <c r="L67" s="737" t="str">
        <f>IFERROR(__xludf.DUMMYFUNCTION("""COMPUTED_VALUE"""),"dom - 05/10/25, dom - 09/11/25, dom - 18/01/26, dom - 15/02/26, dom - 15/03/26")</f>
        <v>dom - 05/10/25, dom - 09/11/25, dom - 18/01/26, dom - 15/02/26, dom - 15/03/26</v>
      </c>
      <c r="M67" s="737"/>
    </row>
    <row r="68">
      <c r="A68" s="733"/>
      <c r="B68" s="738"/>
      <c r="C68" s="738"/>
      <c r="D68" s="733" t="str">
        <f>IFERROR(__xludf.DUMMYFUNCTION("""COMPUTED_VALUE"""),"11:00")</f>
        <v>11:00</v>
      </c>
      <c r="E68" s="733" t="str">
        <f>IFERROR(__xludf.DUMMYFUNCTION("""COMPUTED_VALUE"""),"11:50")</f>
        <v>11:50</v>
      </c>
      <c r="F68" s="733" t="str">
        <f>IFERROR(__xludf.DUMMYFUNCTION("""COMPUTED_VALUE"""),"STUDIO 11")</f>
        <v>STUDIO 11</v>
      </c>
      <c r="G68" s="737"/>
      <c r="H68" s="734"/>
      <c r="I68" s="735" t="str">
        <f>IFERROR(__xludf.DUMMYFUNCTION("""COMPUTED_VALUE"""),"11:00 • 11:50 • STUDIO 11")</f>
        <v>11:00 • 11:50 • STUDIO 11</v>
      </c>
      <c r="J68" s="736" t="str">
        <f>IFERROR(__xludf.DUMMYFUNCTION("""COMPUTED_VALUE"""),"https://trello.com/c/tP2uoLen")</f>
        <v>https://trello.com/c/tP2uoLen</v>
      </c>
      <c r="K68" s="734" t="str">
        <f>IFERROR(__xludf.DUMMYFUNCTION("""COMPUTED_VALUE"""),"11:00")</f>
        <v>11:00</v>
      </c>
      <c r="L68" s="737" t="str">
        <f>IFERROR(__xludf.DUMMYFUNCTION("""COMPUTED_VALUE"""),"dom - 05/10/25, dom - 09/11/25, dom - 18/01/26, dom - 15/02/26, dom - 15/03/26")</f>
        <v>dom - 05/10/25, dom - 09/11/25, dom - 18/01/26, dom - 15/02/26, dom - 15/03/26</v>
      </c>
      <c r="M68" s="737"/>
    </row>
    <row r="69">
      <c r="A69" s="733" t="str">
        <f>IFERROR(__xludf.DUMMYFUNCTION("""COMPUTED_VALUE"""),"WS Lulu (Heels Fusion) confermato")</f>
        <v>WS Lulu (Heels Fusion) confermato</v>
      </c>
      <c r="B69" s="732">
        <f>IFERROR(__xludf.DUMMYFUNCTION("""COMPUTED_VALUE"""),45956.0)</f>
        <v>45956</v>
      </c>
      <c r="C69" s="732">
        <f>IFERROR(__xludf.DUMMYFUNCTION("""COMPUTED_VALUE"""),45956.0)</f>
        <v>45956</v>
      </c>
      <c r="D69" s="733" t="str">
        <f>IFERROR(__xludf.DUMMYFUNCTION("""COMPUTED_VALUE"""),"14:30")</f>
        <v>14:30</v>
      </c>
      <c r="E69" s="733" t="str">
        <f>IFERROR(__xludf.DUMMYFUNCTION("""COMPUTED_VALUE"""),"16:00")</f>
        <v>16:00</v>
      </c>
      <c r="F69" s="733" t="str">
        <f>IFERROR(__xludf.DUMMYFUNCTION("""COMPUTED_VALUE"""),"STUDIO 11")</f>
        <v>STUDIO 11</v>
      </c>
      <c r="G69" s="734"/>
      <c r="H69" s="734"/>
      <c r="I69" s="735" t="str">
        <f>IFERROR(__xludf.DUMMYFUNCTION("""COMPUTED_VALUE"""),"WS Lulu (Heels Fusion) confermato • 14:30 • 16:00 • STUDIO 11")</f>
        <v>WS Lulu (Heels Fusion) confermato • 14:30 • 16:00 • STUDIO 11</v>
      </c>
      <c r="J69" s="736" t="str">
        <f>IFERROR(__xludf.DUMMYFUNCTION("""COMPUTED_VALUE"""),"https://trello.com/c/xGijU2oG/633-ws-lulu-kulova-heels-fusion-domenica-26-10-25")</f>
        <v>https://trello.com/c/xGijU2oG/633-ws-lulu-kulova-heels-fusion-domenica-26-10-25</v>
      </c>
      <c r="K69" s="734" t="str">
        <f>IFERROR(__xludf.DUMMYFUNCTION("""COMPUTED_VALUE"""),"26/10/2025 • 14:30")</f>
        <v>26/10/2025 • 14:30</v>
      </c>
      <c r="L69" s="737" t="str">
        <f>IFERROR(__xludf.DUMMYFUNCTION("""COMPUTED_VALUE"""),"dom - 26/10/25")</f>
        <v>dom - 26/10/25</v>
      </c>
      <c r="M69" s="737"/>
    </row>
    <row r="70">
      <c r="A70" s="733" t="str">
        <f>IFERROR(__xludf.DUMMYFUNCTION("""COMPUTED_VALUE"""),"WS Nicolò De Angelis (Salsa Musicality) confermato")</f>
        <v>WS Nicolò De Angelis (Salsa Musicality) confermato</v>
      </c>
      <c r="B70" s="732">
        <f>IFERROR(__xludf.DUMMYFUNCTION("""COMPUTED_VALUE"""),45977.0)</f>
        <v>45977</v>
      </c>
      <c r="C70" s="732">
        <f>IFERROR(__xludf.DUMMYFUNCTION("""COMPUTED_VALUE"""),45977.0)</f>
        <v>45977</v>
      </c>
      <c r="D70" s="733" t="str">
        <f>IFERROR(__xludf.DUMMYFUNCTION("""COMPUTED_VALUE"""),"14:30")</f>
        <v>14:30</v>
      </c>
      <c r="E70" s="733" t="str">
        <f>IFERROR(__xludf.DUMMYFUNCTION("""COMPUTED_VALUE"""),"16:00")</f>
        <v>16:00</v>
      </c>
      <c r="F70" s="733" t="str">
        <f>IFERROR(__xludf.DUMMYFUNCTION("""COMPUTED_VALUE"""),"STUDIO 21")</f>
        <v>STUDIO 21</v>
      </c>
      <c r="G70" s="734"/>
      <c r="H70" s="734"/>
      <c r="I70" s="735" t="str">
        <f>IFERROR(__xludf.DUMMYFUNCTION("""COMPUTED_VALUE"""),"WS Nicolò De Angelis (Salsa Musicality) confermato • 14:30 • 16:00 • STUDIO 21")</f>
        <v>WS Nicolò De Angelis (Salsa Musicality) confermato • 14:30 • 16:00 • STUDIO 21</v>
      </c>
      <c r="J70" s="736" t="str">
        <f>IFERROR(__xludf.DUMMYFUNCTION("""COMPUTED_VALUE"""),"https://trello.com/c/1WOUg5WC/629-ws-nicol%C3%B2-de-angelis-salsa-musicality-domenica-16-11-25")</f>
        <v>https://trello.com/c/1WOUg5WC/629-ws-nicol%C3%B2-de-angelis-salsa-musicality-domenica-16-11-25</v>
      </c>
      <c r="K70" s="734" t="str">
        <f>IFERROR(__xludf.DUMMYFUNCTION("""COMPUTED_VALUE"""),"16/11/2025 • 14:30")</f>
        <v>16/11/2025 • 14:30</v>
      </c>
      <c r="L70" s="737" t="str">
        <f>IFERROR(__xludf.DUMMYFUNCTION("""COMPUTED_VALUE"""),"dom - 16/11/25")</f>
        <v>dom - 16/11/25</v>
      </c>
      <c r="M70" s="737"/>
    </row>
    <row r="71">
      <c r="A71" s="734"/>
      <c r="B71" s="738"/>
      <c r="C71" s="738"/>
      <c r="D71" s="738"/>
      <c r="E71" s="738"/>
      <c r="F71" s="734"/>
      <c r="G71" s="734"/>
      <c r="H71" s="734"/>
      <c r="I71" s="735" t="str">
        <f>IFERROR(__xludf.DUMMYFUNCTION("""COMPUTED_VALUE"""),"")</f>
        <v/>
      </c>
      <c r="J71" s="735"/>
      <c r="K71" s="734" t="str">
        <f>IFERROR(__xludf.DUMMYFUNCTION("""COMPUTED_VALUE"""),"")</f>
        <v/>
      </c>
      <c r="L71" s="734"/>
      <c r="M71" s="734"/>
    </row>
    <row r="72">
      <c r="A72" s="734" t="str">
        <f>IFERROR(__xludf.DUMMYFUNCTION("""COMPUTED_VALUE"""),"WS Nerea Perez (Pasitos) confermato")</f>
        <v>WS Nerea Perez (Pasitos) confermato</v>
      </c>
      <c r="B72" s="738">
        <f>IFERROR(__xludf.DUMMYFUNCTION("""COMPUTED_VALUE"""),46005.0)</f>
        <v>46005</v>
      </c>
      <c r="C72" s="738">
        <f>IFERROR(__xludf.DUMMYFUNCTION("""COMPUTED_VALUE"""),46005.0)</f>
        <v>46005</v>
      </c>
      <c r="D72" s="738" t="str">
        <f>IFERROR(__xludf.DUMMYFUNCTION("""COMPUTED_VALUE"""),"16:30")</f>
        <v>16:30</v>
      </c>
      <c r="E72" s="738" t="str">
        <f>IFERROR(__xludf.DUMMYFUNCTION("""COMPUTED_VALUE"""),"18:00")</f>
        <v>18:00</v>
      </c>
      <c r="F72" s="734" t="str">
        <f>IFERROR(__xludf.DUMMYFUNCTION("""COMPUTED_VALUE"""),"STUDIO 21")</f>
        <v>STUDIO 21</v>
      </c>
      <c r="G72" s="734"/>
      <c r="H72" s="734"/>
      <c r="I72" s="735" t="str">
        <f>IFERROR(__xludf.DUMMYFUNCTION("""COMPUTED_VALUE"""),"WS Nerea Perez (Pasitos) confermato • 16:30 • 18:00 • STUDIO 21")</f>
        <v>WS Nerea Perez (Pasitos) confermato • 16:30 • 18:00 • STUDIO 21</v>
      </c>
      <c r="J72" s="736" t="str">
        <f>IFERROR(__xludf.DUMMYFUNCTION("""COMPUTED_VALUE"""),"https://trello.com/c/t1510E6Q/635-ws-nerea-pasitos-e-salsa-flamenco-14-12-25")</f>
        <v>https://trello.com/c/t1510E6Q/635-ws-nerea-pasitos-e-salsa-flamenco-14-12-25</v>
      </c>
      <c r="K72" s="734" t="str">
        <f>IFERROR(__xludf.DUMMYFUNCTION("""COMPUTED_VALUE"""),"14/12/2025 • 16:30")</f>
        <v>14/12/2025 • 16:30</v>
      </c>
      <c r="L72" s="734" t="str">
        <f>IFERROR(__xludf.DUMMYFUNCTION("""COMPUTED_VALUE"""),"dom - 14/12/25")</f>
        <v>dom - 14/12/25</v>
      </c>
      <c r="M72" s="734"/>
    </row>
    <row r="73">
      <c r="A73" s="734" t="str">
        <f>IFERROR(__xludf.DUMMYFUNCTION("""COMPUTED_VALUE"""),"WS Deborah Esposito (Heels) confermato")</f>
        <v>WS Deborah Esposito (Heels) confermato</v>
      </c>
      <c r="B73" s="738">
        <f>IFERROR(__xludf.DUMMYFUNCTION("""COMPUTED_VALUE"""),45977.0)</f>
        <v>45977</v>
      </c>
      <c r="C73" s="738">
        <f>IFERROR(__xludf.DUMMYFUNCTION("""COMPUTED_VALUE"""),45977.0)</f>
        <v>45977</v>
      </c>
      <c r="D73" s="738" t="str">
        <f>IFERROR(__xludf.DUMMYFUNCTION("""COMPUTED_VALUE"""),"15:00")</f>
        <v>15:00</v>
      </c>
      <c r="E73" s="738" t="str">
        <f>IFERROR(__xludf.DUMMYFUNCTION("""COMPUTED_VALUE"""),"16:30")</f>
        <v>16:30</v>
      </c>
      <c r="F73" s="734" t="str">
        <f>IFERROR(__xludf.DUMMYFUNCTION("""COMPUTED_VALUE"""),"STUDIO 21")</f>
        <v>STUDIO 21</v>
      </c>
      <c r="G73" s="734"/>
      <c r="H73" s="734"/>
      <c r="I73" s="735" t="str">
        <f>IFERROR(__xludf.DUMMYFUNCTION("""COMPUTED_VALUE"""),"WS Deborah Esposito (Heels) confermato • 15:00 • 16:30 • STUDIO 21")</f>
        <v>WS Deborah Esposito (Heels) confermato • 15:00 • 16:30 • STUDIO 21</v>
      </c>
      <c r="J73" s="736" t="str">
        <f>IFERROR(__xludf.DUMMYFUNCTION("""COMPUTED_VALUE"""),"https://trello.com/c/vmwAth9z/636-ws-deborah-esposito-heels-domenica-16-11-25?search_id=570b1b12-51a2-4a53-a968-915a39ece0e1")</f>
        <v>https://trello.com/c/vmwAth9z/636-ws-deborah-esposito-heels-domenica-16-11-25?search_id=570b1b12-51a2-4a53-a968-915a39ece0e1</v>
      </c>
      <c r="K73" s="734" t="str">
        <f>IFERROR(__xludf.DUMMYFUNCTION("""COMPUTED_VALUE"""),"16/11/2025 • 15:00")</f>
        <v>16/11/2025 • 15:00</v>
      </c>
      <c r="L73" s="734"/>
      <c r="M73" s="734"/>
    </row>
    <row r="74">
      <c r="A74" s="734" t="str">
        <f>IFERROR(__xludf.DUMMYFUNCTION("""COMPUTED_VALUE"""),"AFFITTO EXTRA Beatrice Carbone confermato")</f>
        <v>AFFITTO EXTRA Beatrice Carbone confermato</v>
      </c>
      <c r="B74" s="738">
        <f>IFERROR(__xludf.DUMMYFUNCTION("""COMPUTED_VALUE"""),45956.0)</f>
        <v>45956</v>
      </c>
      <c r="C74" s="738">
        <f>IFERROR(__xludf.DUMMYFUNCTION("""COMPUTED_VALUE"""),45956.0)</f>
        <v>45956</v>
      </c>
      <c r="D74" s="738" t="str">
        <f>IFERROR(__xludf.DUMMYFUNCTION("""COMPUTED_VALUE"""),"10:00")</f>
        <v>10:00</v>
      </c>
      <c r="E74" s="738" t="str">
        <f>IFERROR(__xludf.DUMMYFUNCTION("""COMPUTED_VALUE"""),"15:00")</f>
        <v>15:00</v>
      </c>
      <c r="F74" s="734" t="str">
        <f>IFERROR(__xludf.DUMMYFUNCTION("""COMPUTED_VALUE"""),"STUDIO 25")</f>
        <v>STUDIO 25</v>
      </c>
      <c r="G74" s="734"/>
      <c r="H74" s="734"/>
      <c r="I74" s="735" t="str">
        <f>IFERROR(__xludf.DUMMYFUNCTION("""COMPUTED_VALUE"""),"AFFITTO EXTRA Beatrice Carbone confermato • 10:00 • 15:00 • STUDIO 25")</f>
        <v>AFFITTO EXTRA Beatrice Carbone confermato • 10:00 • 15:00 • STUDIO 25</v>
      </c>
      <c r="J74" s="736" t="str">
        <f>IFERROR(__xludf.DUMMYFUNCTION("""COMPUTED_VALUE"""),"https://trello.com/c/Y1i5ZcRO/177-affitto-sala-beatrice-carbone?search_id=82219b84-c4b9-4b96-af99-df0ef6116675")</f>
        <v>https://trello.com/c/Y1i5ZcRO/177-affitto-sala-beatrice-carbone?search_id=82219b84-c4b9-4b96-af99-df0ef6116675</v>
      </c>
      <c r="K74" s="734" t="str">
        <f>IFERROR(__xludf.DUMMYFUNCTION("""COMPUTED_VALUE"""),"26/10/2025 • 10:00")</f>
        <v>26/10/2025 • 10:00</v>
      </c>
      <c r="L74" s="734"/>
      <c r="M74" s="734"/>
    </row>
    <row r="75">
      <c r="A75" s="734" t="str">
        <f>IFERROR(__xludf.DUMMYFUNCTION("""COMPUTED_VALUE"""),"AFFITTO EXTRA Beatrice Carbone confermato")</f>
        <v>AFFITTO EXTRA Beatrice Carbone confermato</v>
      </c>
      <c r="B75" s="738">
        <f>IFERROR(__xludf.DUMMYFUNCTION("""COMPUTED_VALUE"""),45984.0)</f>
        <v>45984</v>
      </c>
      <c r="C75" s="738">
        <f>IFERROR(__xludf.DUMMYFUNCTION("""COMPUTED_VALUE"""),45984.0)</f>
        <v>45984</v>
      </c>
      <c r="D75" s="738" t="str">
        <f>IFERROR(__xludf.DUMMYFUNCTION("""COMPUTED_VALUE"""),"10:00")</f>
        <v>10:00</v>
      </c>
      <c r="E75" s="738" t="str">
        <f>IFERROR(__xludf.DUMMYFUNCTION("""COMPUTED_VALUE"""),"15:00")</f>
        <v>15:00</v>
      </c>
      <c r="F75" s="734" t="str">
        <f>IFERROR(__xludf.DUMMYFUNCTION("""COMPUTED_VALUE"""),"STUDIO 25")</f>
        <v>STUDIO 25</v>
      </c>
      <c r="G75" s="734"/>
      <c r="H75" s="734"/>
      <c r="I75" s="735" t="str">
        <f>IFERROR(__xludf.DUMMYFUNCTION("""COMPUTED_VALUE"""),"AFFITTO EXTRA Beatrice Carbone confermato • 10:00 • 15:00 • STUDIO 25")</f>
        <v>AFFITTO EXTRA Beatrice Carbone confermato • 10:00 • 15:00 • STUDIO 25</v>
      </c>
      <c r="J75" s="736" t="str">
        <f>IFERROR(__xludf.DUMMYFUNCTION("""COMPUTED_VALUE"""),"https://trello.com/c/Y1i5ZcRO/177-affitto-sala-beatrice-carbone?search_id=82219b84-c4b9-4b96-af99-df0ef6116675")</f>
        <v>https://trello.com/c/Y1i5ZcRO/177-affitto-sala-beatrice-carbone?search_id=82219b84-c4b9-4b96-af99-df0ef6116675</v>
      </c>
      <c r="K75" s="734" t="str">
        <f>IFERROR(__xludf.DUMMYFUNCTION("""COMPUTED_VALUE"""),"23/11/2025 • 10:00")</f>
        <v>23/11/2025 • 10:00</v>
      </c>
      <c r="L75" s="734"/>
      <c r="M75" s="734"/>
    </row>
    <row r="76">
      <c r="A76" s="734" t="str">
        <f>IFERROR(__xludf.DUMMYFUNCTION("""COMPUTED_VALUE"""),"AFFITTO EXTRA Beatrice Carbone da confermare")</f>
        <v>AFFITTO EXTRA Beatrice Carbone da confermare</v>
      </c>
      <c r="B76" s="738">
        <f>IFERROR(__xludf.DUMMYFUNCTION("""COMPUTED_VALUE"""),46096.0)</f>
        <v>46096</v>
      </c>
      <c r="C76" s="738">
        <f>IFERROR(__xludf.DUMMYFUNCTION("""COMPUTED_VALUE"""),46096.0)</f>
        <v>46096</v>
      </c>
      <c r="D76" s="738" t="str">
        <f>IFERROR(__xludf.DUMMYFUNCTION("""COMPUTED_VALUE"""),"10:00")</f>
        <v>10:00</v>
      </c>
      <c r="E76" s="738" t="str">
        <f>IFERROR(__xludf.DUMMYFUNCTION("""COMPUTED_VALUE"""),"15:00")</f>
        <v>15:00</v>
      </c>
      <c r="F76" s="734" t="str">
        <f>IFERROR(__xludf.DUMMYFUNCTION("""COMPUTED_VALUE"""),"STUDIO 25")</f>
        <v>STUDIO 25</v>
      </c>
      <c r="G76" s="734"/>
      <c r="H76" s="734"/>
      <c r="I76" s="735" t="str">
        <f>IFERROR(__xludf.DUMMYFUNCTION("""COMPUTED_VALUE"""),"AFFITTO EXTRA Beatrice Carbone da confermare • 10:00 • 15:00 • STUDIO 25")</f>
        <v>AFFITTO EXTRA Beatrice Carbone da confermare • 10:00 • 15:00 • STUDIO 25</v>
      </c>
      <c r="J76" s="736" t="str">
        <f>IFERROR(__xludf.DUMMYFUNCTION("""COMPUTED_VALUE"""),"https://trello.com/c/Y1i5ZcRO/177-affitto-sala-beatrice-carbone?search_id=82219b84-c4b9-4b96-af99-df0ef6116675")</f>
        <v>https://trello.com/c/Y1i5ZcRO/177-affitto-sala-beatrice-carbone?search_id=82219b84-c4b9-4b96-af99-df0ef6116675</v>
      </c>
      <c r="K76" s="734" t="str">
        <f>IFERROR(__xludf.DUMMYFUNCTION("""COMPUTED_VALUE"""),"15/03/2026 • 10:00")</f>
        <v>15/03/2026 • 10:00</v>
      </c>
      <c r="L76" s="734"/>
      <c r="M76" s="734"/>
    </row>
    <row r="77">
      <c r="A77" s="734" t="str">
        <f>IFERROR(__xludf.DUMMYFUNCTION("""COMPUTED_VALUE"""),"AFFITTO EXTRA Beatrice Carbone da confermare")</f>
        <v>AFFITTO EXTRA Beatrice Carbone da confermare</v>
      </c>
      <c r="B77" s="738">
        <f>IFERROR(__xludf.DUMMYFUNCTION("""COMPUTED_VALUE"""),46138.0)</f>
        <v>46138</v>
      </c>
      <c r="C77" s="738">
        <f>IFERROR(__xludf.DUMMYFUNCTION("""COMPUTED_VALUE"""),46138.0)</f>
        <v>46138</v>
      </c>
      <c r="D77" s="738" t="str">
        <f>IFERROR(__xludf.DUMMYFUNCTION("""COMPUTED_VALUE"""),"10:00")</f>
        <v>10:00</v>
      </c>
      <c r="E77" s="738" t="str">
        <f>IFERROR(__xludf.DUMMYFUNCTION("""COMPUTED_VALUE"""),"15:00")</f>
        <v>15:00</v>
      </c>
      <c r="F77" s="734" t="str">
        <f>IFERROR(__xludf.DUMMYFUNCTION("""COMPUTED_VALUE"""),"STUDIO 25")</f>
        <v>STUDIO 25</v>
      </c>
      <c r="G77" s="734"/>
      <c r="H77" s="734"/>
      <c r="I77" s="735" t="str">
        <f>IFERROR(__xludf.DUMMYFUNCTION("""COMPUTED_VALUE"""),"AFFITTO EXTRA Beatrice Carbone da confermare • 10:00 • 15:00 • STUDIO 25")</f>
        <v>AFFITTO EXTRA Beatrice Carbone da confermare • 10:00 • 15:00 • STUDIO 25</v>
      </c>
      <c r="J77" s="736" t="str">
        <f>IFERROR(__xludf.DUMMYFUNCTION("""COMPUTED_VALUE"""),"https://trello.com/c/Y1i5ZcRO/177-affitto-sala-beatrice-carbone?search_id=82219b84-c4b9-4b96-af99-df0ef6116675")</f>
        <v>https://trello.com/c/Y1i5ZcRO/177-affitto-sala-beatrice-carbone?search_id=82219b84-c4b9-4b96-af99-df0ef6116675</v>
      </c>
      <c r="K77" s="734" t="str">
        <f>IFERROR(__xludf.DUMMYFUNCTION("""COMPUTED_VALUE"""),"26/04/2026 • 10:00")</f>
        <v>26/04/2026 • 10:00</v>
      </c>
      <c r="L77" s="734"/>
      <c r="M77" s="734"/>
    </row>
    <row r="78">
      <c r="A78" s="734" t="str">
        <f>IFERROR(__xludf.DUMMYFUNCTION("""COMPUTED_VALUE"""),"WS Nicolò De Angelis (salsa musicality) confermato")</f>
        <v>WS Nicolò De Angelis (salsa musicality) confermato</v>
      </c>
      <c r="B78" s="738">
        <f>IFERROR(__xludf.DUMMYFUNCTION("""COMPUTED_VALUE"""),45977.0)</f>
        <v>45977</v>
      </c>
      <c r="C78" s="738">
        <f>IFERROR(__xludf.DUMMYFUNCTION("""COMPUTED_VALUE"""),45977.0)</f>
        <v>45977</v>
      </c>
      <c r="D78" s="738" t="str">
        <f>IFERROR(__xludf.DUMMYFUNCTION("""COMPUTED_VALUE"""),"14:30")</f>
        <v>14:30</v>
      </c>
      <c r="E78" s="738" t="str">
        <f>IFERROR(__xludf.DUMMYFUNCTION("""COMPUTED_VALUE"""),"16:00")</f>
        <v>16:00</v>
      </c>
      <c r="F78" s="734" t="str">
        <f>IFERROR(__xludf.DUMMYFUNCTION("""COMPUTED_VALUE"""),"STUDIO 11")</f>
        <v>STUDIO 11</v>
      </c>
      <c r="G78" s="734"/>
      <c r="H78" s="734"/>
      <c r="I78" s="735" t="str">
        <f>IFERROR(__xludf.DUMMYFUNCTION("""COMPUTED_VALUE"""),"WS Nicolò De Angelis (salsa musicality) confermato • 14:30 • 16:00 • STUDIO 11")</f>
        <v>WS Nicolò De Angelis (salsa musicality) confermato • 14:30 • 16:00 • STUDIO 11</v>
      </c>
      <c r="J78" s="736" t="str">
        <f>IFERROR(__xludf.DUMMYFUNCTION("""COMPUTED_VALUE"""),"https://trello.com/c/1WOUg5WC/629-ws-nicol%C3%B2-de-angelis-salsa-musicality-domenica-16-11-25")</f>
        <v>https://trello.com/c/1WOUg5WC/629-ws-nicol%C3%B2-de-angelis-salsa-musicality-domenica-16-11-25</v>
      </c>
      <c r="K78" s="734" t="str">
        <f>IFERROR(__xludf.DUMMYFUNCTION("""COMPUTED_VALUE"""),"16/11/2025 • 14:30")</f>
        <v>16/11/2025 • 14:30</v>
      </c>
      <c r="L78" s="734"/>
      <c r="M78" s="734"/>
    </row>
    <row r="79">
      <c r="A79" s="734" t="str">
        <f>IFERROR(__xludf.DUMMYFUNCTION("""COMPUTED_VALUE"""),"AFFITTO EXTRA Evento Modulo confermato")</f>
        <v>AFFITTO EXTRA Evento Modulo confermato</v>
      </c>
      <c r="B79" s="738">
        <f>IFERROR(__xludf.DUMMYFUNCTION("""COMPUTED_VALUE"""),46068.0)</f>
        <v>46068</v>
      </c>
      <c r="C79" s="738">
        <f>IFERROR(__xludf.DUMMYFUNCTION("""COMPUTED_VALUE"""),46068.0)</f>
        <v>46068</v>
      </c>
      <c r="D79" s="738" t="str">
        <f>IFERROR(__xludf.DUMMYFUNCTION("""COMPUTED_VALUE"""),"11:00")</f>
        <v>11:00</v>
      </c>
      <c r="E79" s="738" t="str">
        <f>IFERROR(__xludf.DUMMYFUNCTION("""COMPUTED_VALUE"""),"17:30")</f>
        <v>17:30</v>
      </c>
      <c r="F79" s="734" t="str">
        <f>IFERROR(__xludf.DUMMYFUNCTION("""COMPUTED_VALUE"""),"STUDIO 21")</f>
        <v>STUDIO 21</v>
      </c>
      <c r="G79" s="734"/>
      <c r="H79" s="734"/>
      <c r="I79" s="735" t="str">
        <f>IFERROR(__xludf.DUMMYFUNCTION("""COMPUTED_VALUE"""),"AFFITTO EXTRA Evento Modulo confermato • 11:00 • 17:30 • STUDIO 21")</f>
        <v>AFFITTO EXTRA Evento Modulo confermato • 11:00 • 17:30 • STUDIO 21</v>
      </c>
      <c r="J79" s="735"/>
      <c r="K79" s="734" t="str">
        <f>IFERROR(__xludf.DUMMYFUNCTION("""COMPUTED_VALUE"""),"15/02/2026 • 11:00")</f>
        <v>15/02/2026 • 11:00</v>
      </c>
      <c r="L79" s="734"/>
      <c r="M79" s="734"/>
    </row>
    <row r="80">
      <c r="A80" s="734" t="str">
        <f>IFERROR(__xludf.DUMMYFUNCTION("""COMPUTED_VALUE"""),"AFFITTO EXTRA Evento Modulo confermato")</f>
        <v>AFFITTO EXTRA Evento Modulo confermato</v>
      </c>
      <c r="B80" s="738">
        <f>IFERROR(__xludf.DUMMYFUNCTION("""COMPUTED_VALUE"""),46096.0)</f>
        <v>46096</v>
      </c>
      <c r="C80" s="738">
        <f>IFERROR(__xludf.DUMMYFUNCTION("""COMPUTED_VALUE"""),46096.0)</f>
        <v>46096</v>
      </c>
      <c r="D80" s="738" t="str">
        <f>IFERROR(__xludf.DUMMYFUNCTION("""COMPUTED_VALUE"""),"11:00")</f>
        <v>11:00</v>
      </c>
      <c r="E80" s="738" t="str">
        <f>IFERROR(__xludf.DUMMYFUNCTION("""COMPUTED_VALUE"""),"17:30")</f>
        <v>17:30</v>
      </c>
      <c r="F80" s="734" t="str">
        <f>IFERROR(__xludf.DUMMYFUNCTION("""COMPUTED_VALUE"""),"STUDIO 21")</f>
        <v>STUDIO 21</v>
      </c>
      <c r="G80" s="734"/>
      <c r="H80" s="734"/>
      <c r="I80" s="735" t="str">
        <f>IFERROR(__xludf.DUMMYFUNCTION("""COMPUTED_VALUE"""),"AFFITTO EXTRA Evento Modulo confermato • 11:00 • 17:30 • STUDIO 21")</f>
        <v>AFFITTO EXTRA Evento Modulo confermato • 11:00 • 17:30 • STUDIO 21</v>
      </c>
      <c r="J80" s="735"/>
      <c r="K80" s="734" t="str">
        <f>IFERROR(__xludf.DUMMYFUNCTION("""COMPUTED_VALUE"""),"15/03/2026 • 11:00")</f>
        <v>15/03/2026 • 11:00</v>
      </c>
      <c r="L80" s="734"/>
      <c r="M80" s="734"/>
    </row>
    <row r="81">
      <c r="A81" s="734" t="str">
        <f>IFERROR(__xludf.DUMMYFUNCTION("""COMPUTED_VALUE"""),"AFFITTO EXTRA Evento Modulo confermato")</f>
        <v>AFFITTO EXTRA Evento Modulo confermato</v>
      </c>
      <c r="B81" s="738">
        <f>IFERROR(__xludf.DUMMYFUNCTION("""COMPUTED_VALUE"""),46131.0)</f>
        <v>46131</v>
      </c>
      <c r="C81" s="738">
        <f>IFERROR(__xludf.DUMMYFUNCTION("""COMPUTED_VALUE"""),46131.0)</f>
        <v>46131</v>
      </c>
      <c r="D81" s="738" t="str">
        <f>IFERROR(__xludf.DUMMYFUNCTION("""COMPUTED_VALUE"""),"11:00")</f>
        <v>11:00</v>
      </c>
      <c r="E81" s="738" t="str">
        <f>IFERROR(__xludf.DUMMYFUNCTION("""COMPUTED_VALUE"""),"17:30")</f>
        <v>17:30</v>
      </c>
      <c r="F81" s="734" t="str">
        <f>IFERROR(__xludf.DUMMYFUNCTION("""COMPUTED_VALUE"""),"STUDIO 21")</f>
        <v>STUDIO 21</v>
      </c>
      <c r="G81" s="734"/>
      <c r="H81" s="734"/>
      <c r="I81" s="735" t="str">
        <f>IFERROR(__xludf.DUMMYFUNCTION("""COMPUTED_VALUE"""),"AFFITTO EXTRA Evento Modulo confermato • 11:00 • 17:30 • STUDIO 21")</f>
        <v>AFFITTO EXTRA Evento Modulo confermato • 11:00 • 17:30 • STUDIO 21</v>
      </c>
      <c r="J81" s="735"/>
      <c r="K81" s="734" t="str">
        <f>IFERROR(__xludf.DUMMYFUNCTION("""COMPUTED_VALUE"""),"19/04/2026 • 11:00")</f>
        <v>19/04/2026 • 11:00</v>
      </c>
      <c r="L81" s="734"/>
      <c r="M81" s="734"/>
    </row>
    <row r="82">
      <c r="A82" s="734" t="str">
        <f>IFERROR(__xludf.DUMMYFUNCTION("""COMPUTED_VALUE"""),"AFFITTO EXTRA Evento Modulo CASTING confermato")</f>
        <v>AFFITTO EXTRA Evento Modulo CASTING confermato</v>
      </c>
      <c r="B82" s="738">
        <f>IFERROR(__xludf.DUMMYFUNCTION("""COMPUTED_VALUE"""),45921.0)</f>
        <v>45921</v>
      </c>
      <c r="C82" s="738">
        <f>IFERROR(__xludf.DUMMYFUNCTION("""COMPUTED_VALUE"""),45921.0)</f>
        <v>45921</v>
      </c>
      <c r="D82" s="738" t="str">
        <f>IFERROR(__xludf.DUMMYFUNCTION("""COMPUTED_VALUE"""),"12:00")</f>
        <v>12:00</v>
      </c>
      <c r="E82" s="738" t="str">
        <f>IFERROR(__xludf.DUMMYFUNCTION("""COMPUTED_VALUE"""),"17:00")</f>
        <v>17:00</v>
      </c>
      <c r="F82" s="734" t="str">
        <f>IFERROR(__xludf.DUMMYFUNCTION("""COMPUTED_VALUE"""),"STUDIO 21")</f>
        <v>STUDIO 21</v>
      </c>
      <c r="G82" s="734"/>
      <c r="H82" s="734"/>
      <c r="I82" s="735" t="str">
        <f>IFERROR(__xludf.DUMMYFUNCTION("""COMPUTED_VALUE"""),"AFFITTO EXTRA Evento Modulo CASTING confermato • 12:00 • 17:00 • STUDIO 21")</f>
        <v>AFFITTO EXTRA Evento Modulo CASTING confermato • 12:00 • 17:00 • STUDIO 21</v>
      </c>
      <c r="J82" s="735"/>
      <c r="K82" s="734" t="str">
        <f>IFERROR(__xludf.DUMMYFUNCTION("""COMPUTED_VALUE"""),"21/09/2025 • 12:00")</f>
        <v>21/09/2025 • 12:00</v>
      </c>
      <c r="L82" s="734"/>
      <c r="M82" s="734"/>
    </row>
    <row r="83">
      <c r="A83" s="734" t="str">
        <f>IFERROR(__xludf.DUMMYFUNCTION("""COMPUTED_VALUE"""),"EVENTO ESTERNO Mind Fest Openclass In forma Ballando")</f>
        <v>EVENTO ESTERNO Mind Fest Openclass In forma Ballando</v>
      </c>
      <c r="B83" s="738">
        <f>IFERROR(__xludf.DUMMYFUNCTION("""COMPUTED_VALUE"""),45928.0)</f>
        <v>45928</v>
      </c>
      <c r="C83" s="738">
        <f>IFERROR(__xludf.DUMMYFUNCTION("""COMPUTED_VALUE"""),45928.0)</f>
        <v>45928</v>
      </c>
      <c r="D83" s="738" t="str">
        <f>IFERROR(__xludf.DUMMYFUNCTION("""COMPUTED_VALUE"""),"12:00")</f>
        <v>12:00</v>
      </c>
      <c r="E83" s="738" t="str">
        <f>IFERROR(__xludf.DUMMYFUNCTION("""COMPUTED_VALUE"""),"13:00")</f>
        <v>13:00</v>
      </c>
      <c r="F83" s="734"/>
      <c r="G83" s="734"/>
      <c r="H83" s="734"/>
      <c r="I83" s="735" t="str">
        <f>IFERROR(__xludf.DUMMYFUNCTION("""COMPUTED_VALUE"""),"EVENTO ESTERNO Mind Fest Openclass In forma Ballando • 12:00 • 13:00")</f>
        <v>EVENTO ESTERNO Mind Fest Openclass In forma Ballando • 12:00 • 13:00</v>
      </c>
      <c r="J83" s="736" t="str">
        <f>IFERROR(__xludf.DUMMYFUNCTION("""COMPUTED_VALUE"""),"https://trello.com/c/m1kuAHdm/638-mind-fest-parco-ravizza-domenica-28-10-25")</f>
        <v>https://trello.com/c/m1kuAHdm/638-mind-fest-parco-ravizza-domenica-28-10-25</v>
      </c>
      <c r="K83" s="734" t="str">
        <f>IFERROR(__xludf.DUMMYFUNCTION("""COMPUTED_VALUE"""),"28/09/2025 • 12:00")</f>
        <v>28/09/2025 • 12:00</v>
      </c>
      <c r="L83" s="734"/>
      <c r="M83" s="734"/>
    </row>
    <row r="84">
      <c r="A84" s="734" t="str">
        <f>IFERROR(__xludf.DUMMYFUNCTION("""COMPUTED_VALUE"""),"EVENTO ESTERNO Mind Fest Openclass Danze caraibiche")</f>
        <v>EVENTO ESTERNO Mind Fest Openclass Danze caraibiche</v>
      </c>
      <c r="B84" s="738">
        <f>IFERROR(__xludf.DUMMYFUNCTION("""COMPUTED_VALUE"""),45928.0)</f>
        <v>45928</v>
      </c>
      <c r="C84" s="738">
        <f>IFERROR(__xludf.DUMMYFUNCTION("""COMPUTED_VALUE"""),45928.0)</f>
        <v>45928</v>
      </c>
      <c r="D84" s="738" t="str">
        <f>IFERROR(__xludf.DUMMYFUNCTION("""COMPUTED_VALUE"""),"13:00")</f>
        <v>13:00</v>
      </c>
      <c r="E84" s="738" t="str">
        <f>IFERROR(__xludf.DUMMYFUNCTION("""COMPUTED_VALUE"""),"14:00")</f>
        <v>14:00</v>
      </c>
      <c r="F84" s="734"/>
      <c r="G84" s="734"/>
      <c r="H84" s="734"/>
      <c r="I84" s="735" t="str">
        <f>IFERROR(__xludf.DUMMYFUNCTION("""COMPUTED_VALUE"""),"EVENTO ESTERNO Mind Fest Openclass Danze caraibiche • 13:00 • 14:00")</f>
        <v>EVENTO ESTERNO Mind Fest Openclass Danze caraibiche • 13:00 • 14:00</v>
      </c>
      <c r="J84" s="736" t="str">
        <f>IFERROR(__xludf.DUMMYFUNCTION("""COMPUTED_VALUE"""),"https://trello.com/c/m1kuAHdm/638-mind-fest-parco-ravizza-domenica-28-10-25")</f>
        <v>https://trello.com/c/m1kuAHdm/638-mind-fest-parco-ravizza-domenica-28-10-25</v>
      </c>
      <c r="K84" s="734" t="str">
        <f>IFERROR(__xludf.DUMMYFUNCTION("""COMPUTED_VALUE"""),"28/09/2025 • 13:00")</f>
        <v>28/09/2025 • 13:00</v>
      </c>
      <c r="L84" s="734"/>
      <c r="M84" s="734"/>
    </row>
    <row r="85">
      <c r="A85" s="734" t="str">
        <f>IFERROR(__xludf.DUMMYFUNCTION("""COMPUTED_VALUE"""),"Gestualità afro con Raffaella")</f>
        <v>Gestualità afro con Raffaella</v>
      </c>
      <c r="B85" s="738">
        <f>IFERROR(__xludf.DUMMYFUNCTION("""COMPUTED_VALUE"""),45949.0)</f>
        <v>45949</v>
      </c>
      <c r="C85" s="738">
        <f>IFERROR(__xludf.DUMMYFUNCTION("""COMPUTED_VALUE"""),45949.0)</f>
        <v>45949</v>
      </c>
      <c r="D85" s="738" t="str">
        <f>IFERROR(__xludf.DUMMYFUNCTION("""COMPUTED_VALUE"""),"10:00")</f>
        <v>10:00</v>
      </c>
      <c r="E85" s="738" t="str">
        <f>IFERROR(__xludf.DUMMYFUNCTION("""COMPUTED_VALUE"""),"11:50")</f>
        <v>11:50</v>
      </c>
      <c r="F85" s="734" t="str">
        <f>IFERROR(__xludf.DUMMYFUNCTION("""COMPUTED_VALUE"""),"STUDIO 12")</f>
        <v>STUDIO 12</v>
      </c>
      <c r="G85" s="734"/>
      <c r="H85" s="734"/>
      <c r="I85" s="735" t="str">
        <f>IFERROR(__xludf.DUMMYFUNCTION("""COMPUTED_VALUE"""),"Gestualità afro con Raffaella • 10:00 • 11:50 • STUDIO 12")</f>
        <v>Gestualità afro con Raffaella • 10:00 • 11:50 • STUDIO 12</v>
      </c>
      <c r="J85" s="736" t="str">
        <f>IFERROR(__xludf.DUMMYFUNCTION("""COMPUTED_VALUE"""),"https://trello.com/c/tP2uoLen")</f>
        <v>https://trello.com/c/tP2uoLen</v>
      </c>
      <c r="K85" s="734" t="str">
        <f>IFERROR(__xludf.DUMMYFUNCTION("""COMPUTED_VALUE"""),"19/10/2025 • 10:00")</f>
        <v>19/10/2025 • 10:00</v>
      </c>
      <c r="L85" s="734"/>
      <c r="M85" s="734"/>
    </row>
    <row r="86">
      <c r="A86" s="734" t="str">
        <f>IFERROR(__xludf.DUMMYFUNCTION("""COMPUTED_VALUE"""),"AFFITTO EXTRA Silvia Grande confermato")</f>
        <v>AFFITTO EXTRA Silvia Grande confermato</v>
      </c>
      <c r="B86" s="738">
        <f>IFERROR(__xludf.DUMMYFUNCTION("""COMPUTED_VALUE"""),45956.0)</f>
        <v>45956</v>
      </c>
      <c r="C86" s="738">
        <f>IFERROR(__xludf.DUMMYFUNCTION("""COMPUTED_VALUE"""),45956.0)</f>
        <v>45956</v>
      </c>
      <c r="D86" s="738" t="str">
        <f>IFERROR(__xludf.DUMMYFUNCTION("""COMPUTED_VALUE"""),"10:30")</f>
        <v>10:30</v>
      </c>
      <c r="E86" s="738" t="str">
        <f>IFERROR(__xludf.DUMMYFUNCTION("""COMPUTED_VALUE"""),"12:30")</f>
        <v>12:30</v>
      </c>
      <c r="F86" s="734" t="str">
        <f>IFERROR(__xludf.DUMMYFUNCTION("""COMPUTED_VALUE"""),"STUDIO 21")</f>
        <v>STUDIO 21</v>
      </c>
      <c r="G86" s="734"/>
      <c r="H86" s="734"/>
      <c r="I86" s="735" t="str">
        <f>IFERROR(__xludf.DUMMYFUNCTION("""COMPUTED_VALUE"""),"AFFITTO EXTRA Silvia Grande confermato • 10:30 • 12:30 • STUDIO 21")</f>
        <v>AFFITTO EXTRA Silvia Grande confermato • 10:30 • 12:30 • STUDIO 21</v>
      </c>
      <c r="J86" s="736" t="str">
        <f>IFERROR(__xludf.DUMMYFUNCTION("""COMPUTED_VALUE"""),"https://trello.com/c/V9e6TCEg/394-workshop-andrea-truzzi-domenica-26-10-25-pilates-per-ballerini")</f>
        <v>https://trello.com/c/V9e6TCEg/394-workshop-andrea-truzzi-domenica-26-10-25-pilates-per-ballerini</v>
      </c>
      <c r="K86" s="734" t="str">
        <f>IFERROR(__xludf.DUMMYFUNCTION("""COMPUTED_VALUE"""),"26/10/2025 • 10:30")</f>
        <v>26/10/2025 • 10:30</v>
      </c>
      <c r="L86" s="734"/>
      <c r="M86" s="734"/>
    </row>
    <row r="87">
      <c r="A87" s="734" t="str">
        <f>IFERROR(__xludf.DUMMYFUNCTION("""COMPUTED_VALUE"""),"AFFITTO EXTRA Evento Modulo confermato")</f>
        <v>AFFITTO EXTRA Evento Modulo confermato</v>
      </c>
      <c r="B87" s="738">
        <f>IFERROR(__xludf.DUMMYFUNCTION("""COMPUTED_VALUE"""),45949.0)</f>
        <v>45949</v>
      </c>
      <c r="C87" s="738">
        <f>IFERROR(__xludf.DUMMYFUNCTION("""COMPUTED_VALUE"""),45949.0)</f>
        <v>45949</v>
      </c>
      <c r="D87" s="738" t="str">
        <f>IFERROR(__xludf.DUMMYFUNCTION("""COMPUTED_VALUE"""),"10:00")</f>
        <v>10:00</v>
      </c>
      <c r="E87" s="738" t="str">
        <f>IFERROR(__xludf.DUMMYFUNCTION("""COMPUTED_VALUE"""),"17:20")</f>
        <v>17:20</v>
      </c>
      <c r="F87" s="734" t="str">
        <f>IFERROR(__xludf.DUMMYFUNCTION("""COMPUTED_VALUE"""),"STUDIO 24")</f>
        <v>STUDIO 24</v>
      </c>
      <c r="G87" s="734"/>
      <c r="H87" s="734"/>
      <c r="I87" s="735" t="str">
        <f>IFERROR(__xludf.DUMMYFUNCTION("""COMPUTED_VALUE"""),"AFFITTO EXTRA Evento Modulo confermato • 10:00 • 17:20 • STUDIO 24")</f>
        <v>AFFITTO EXTRA Evento Modulo confermato • 10:00 • 17:20 • STUDIO 24</v>
      </c>
      <c r="J87" s="735"/>
      <c r="K87" s="734" t="str">
        <f>IFERROR(__xludf.DUMMYFUNCTION("""COMPUTED_VALUE"""),"19/10/2025 • 10:00")</f>
        <v>19/10/2025 • 10:00</v>
      </c>
      <c r="L87" s="734"/>
      <c r="M87" s="734"/>
    </row>
    <row r="88">
      <c r="A88" s="734" t="str">
        <f>IFERROR(__xludf.DUMMYFUNCTION("""COMPUTED_VALUE"""),"Afroheels e Gestulità con Consuelo dos Santos")</f>
        <v>Afroheels e Gestulità con Consuelo dos Santos</v>
      </c>
      <c r="B88" s="738">
        <f>IFERROR(__xludf.DUMMYFUNCTION("""COMPUTED_VALUE"""),45970.0)</f>
        <v>45970</v>
      </c>
      <c r="C88" s="738">
        <f>IFERROR(__xludf.DUMMYFUNCTION("""COMPUTED_VALUE"""),45970.0)</f>
        <v>45970</v>
      </c>
      <c r="D88" s="738" t="str">
        <f>IFERROR(__xludf.DUMMYFUNCTION("""COMPUTED_VALUE"""),"10:00")</f>
        <v>10:00</v>
      </c>
      <c r="E88" s="738" t="str">
        <f>IFERROR(__xludf.DUMMYFUNCTION("""COMPUTED_VALUE"""),"11:50")</f>
        <v>11:50</v>
      </c>
      <c r="F88" s="734" t="str">
        <f>IFERROR(__xludf.DUMMYFUNCTION("""COMPUTED_VALUE"""),"STUDIO 12")</f>
        <v>STUDIO 12</v>
      </c>
      <c r="G88" s="734"/>
      <c r="H88" s="734"/>
      <c r="I88" s="735" t="str">
        <f>IFERROR(__xludf.DUMMYFUNCTION("""COMPUTED_VALUE"""),"Afroheels e Gestulità con Consuelo dos Santos • 10:00 • 11:50 • STUDIO 12")</f>
        <v>Afroheels e Gestulità con Consuelo dos Santos • 10:00 • 11:50 • STUDIO 12</v>
      </c>
      <c r="J88" s="735"/>
      <c r="K88" s="734" t="str">
        <f>IFERROR(__xludf.DUMMYFUNCTION("""COMPUTED_VALUE"""),"09/11/2025 • 10:00")</f>
        <v>09/11/2025 • 10:00</v>
      </c>
      <c r="L88" s="734"/>
      <c r="M88" s="734"/>
    </row>
    <row r="89">
      <c r="A89" s="734" t="str">
        <f>IFERROR(__xludf.DUMMYFUNCTION("""COMPUTED_VALUE"""),"WS Alessio Cavaliere (Urban) confermato")</f>
        <v>WS Alessio Cavaliere (Urban) confermato</v>
      </c>
      <c r="B89" s="738">
        <f>IFERROR(__xludf.DUMMYFUNCTION("""COMPUTED_VALUE"""),46054.0)</f>
        <v>46054</v>
      </c>
      <c r="C89" s="738">
        <f>IFERROR(__xludf.DUMMYFUNCTION("""COMPUTED_VALUE"""),46054.0)</f>
        <v>46054</v>
      </c>
      <c r="D89" s="738" t="str">
        <f>IFERROR(__xludf.DUMMYFUNCTION("""COMPUTED_VALUE"""),"14:00")</f>
        <v>14:00</v>
      </c>
      <c r="E89" s="738" t="str">
        <f>IFERROR(__xludf.DUMMYFUNCTION("""COMPUTED_VALUE"""),"15:30")</f>
        <v>15:30</v>
      </c>
      <c r="F89" s="734" t="str">
        <f>IFERROR(__xludf.DUMMYFUNCTION("""COMPUTED_VALUE"""),"STUDIO 21")</f>
        <v>STUDIO 21</v>
      </c>
      <c r="G89" s="734"/>
      <c r="H89" s="734"/>
      <c r="I89" s="735" t="str">
        <f>IFERROR(__xludf.DUMMYFUNCTION("""COMPUTED_VALUE"""),"WS Alessio Cavaliere (Urban) confermato • 14:00 • 15:30 • STUDIO 21")</f>
        <v>WS Alessio Cavaliere (Urban) confermato • 14:00 • 15:30 • STUDIO 21</v>
      </c>
      <c r="J89" s="736" t="str">
        <f>IFERROR(__xludf.DUMMYFUNCTION("""COMPUTED_VALUE"""),"https://trello.com/c/rIFD7GvW/650-ws-alessio-cavaliere-urban-domenica-01-02-26")</f>
        <v>https://trello.com/c/rIFD7GvW/650-ws-alessio-cavaliere-urban-domenica-01-02-26</v>
      </c>
      <c r="K89" s="734" t="str">
        <f>IFERROR(__xludf.DUMMYFUNCTION("""COMPUTED_VALUE"""),"01/02/2026 • 14:00")</f>
        <v>01/02/2026 • 14:00</v>
      </c>
      <c r="L89" s="734"/>
      <c r="M89" s="734"/>
    </row>
    <row r="90">
      <c r="A90" s="734" t="str">
        <f>IFERROR(__xludf.DUMMYFUNCTION("""COMPUTED_VALUE"""),"GARA Premio Vienna Danza
(Silvia Grande)")</f>
        <v>GARA Premio Vienna Danza
(Silvia Grande)</v>
      </c>
      <c r="B90" s="738">
        <f>IFERROR(__xludf.DUMMYFUNCTION("""COMPUTED_VALUE"""),45991.0)</f>
        <v>45991</v>
      </c>
      <c r="C90" s="738">
        <f>IFERROR(__xludf.DUMMYFUNCTION("""COMPUTED_VALUE"""),45991.0)</f>
        <v>45991</v>
      </c>
      <c r="D90" s="738"/>
      <c r="E90" s="738"/>
      <c r="F90" s="734"/>
      <c r="G90" s="734"/>
      <c r="H90" s="734"/>
      <c r="I90" s="735" t="str">
        <f>IFERROR(__xludf.DUMMYFUNCTION("""COMPUTED_VALUE"""),"GARA Premio Vienna Danza
(Silvia Grande)")</f>
        <v>GARA Premio Vienna Danza
(Silvia Grande)</v>
      </c>
      <c r="J90" s="736" t="str">
        <f>IFERROR(__xludf.DUMMYFUNCTION("""COMPUTED_VALUE"""),"https://trello.com/c/f7gSAceO/642-premio-vienna-danza-30-11-25-acsi")</f>
        <v>https://trello.com/c/f7gSAceO/642-premio-vienna-danza-30-11-25-acsi</v>
      </c>
      <c r="K90" s="734" t="str">
        <f>IFERROR(__xludf.DUMMYFUNCTION("""COMPUTED_VALUE"""),"30/11/2025")</f>
        <v>30/11/2025</v>
      </c>
      <c r="L90" s="734"/>
      <c r="M90" s="734"/>
    </row>
    <row r="91">
      <c r="A91" s="734" t="str">
        <f>IFERROR(__xludf.DUMMYFUNCTION("""COMPUTED_VALUE"""),"WS Dìa en Cuba (Salsa Cubana) confermato")</f>
        <v>WS Dìa en Cuba (Salsa Cubana) confermato</v>
      </c>
      <c r="B91" s="738">
        <f>IFERROR(__xludf.DUMMYFUNCTION("""COMPUTED_VALUE"""),46075.0)</f>
        <v>46075</v>
      </c>
      <c r="C91" s="738">
        <f>IFERROR(__xludf.DUMMYFUNCTION("""COMPUTED_VALUE"""),46075.0)</f>
        <v>46075</v>
      </c>
      <c r="D91" s="738" t="str">
        <f>IFERROR(__xludf.DUMMYFUNCTION("""COMPUTED_VALUE"""),"14:30")</f>
        <v>14:30</v>
      </c>
      <c r="E91" s="738" t="str">
        <f>IFERROR(__xludf.DUMMYFUNCTION("""COMPUTED_VALUE"""),"16:30")</f>
        <v>16:30</v>
      </c>
      <c r="F91" s="734" t="str">
        <f>IFERROR(__xludf.DUMMYFUNCTION("""COMPUTED_VALUE"""),"STUDIO 11")</f>
        <v>STUDIO 11</v>
      </c>
      <c r="G91" s="734"/>
      <c r="H91" s="734"/>
      <c r="I91" s="735" t="str">
        <f>IFERROR(__xludf.DUMMYFUNCTION("""COMPUTED_VALUE"""),"WS Dìa en Cuba (Salsa Cubana) confermato • 14:30 • 16:30 • STUDIO 11")</f>
        <v>WS Dìa en Cuba (Salsa Cubana) confermato • 14:30 • 16:30 • STUDIO 11</v>
      </c>
      <c r="J91" s="735"/>
      <c r="K91" s="734" t="str">
        <f>IFERROR(__xludf.DUMMYFUNCTION("""COMPUTED_VALUE"""),"22/02/2026 • 14:30")</f>
        <v>22/02/2026 • 14:30</v>
      </c>
      <c r="L91" s="734"/>
      <c r="M91" s="734"/>
    </row>
    <row r="92">
      <c r="A92" s="734" t="str">
        <f>IFERROR(__xludf.DUMMYFUNCTION("""COMPUTED_VALUE"""),"Festa di Natale")</f>
        <v>Festa di Natale</v>
      </c>
      <c r="B92" s="738">
        <f>IFERROR(__xludf.DUMMYFUNCTION("""COMPUTED_VALUE"""),46005.0)</f>
        <v>46005</v>
      </c>
      <c r="C92" s="738">
        <f>IFERROR(__xludf.DUMMYFUNCTION("""COMPUTED_VALUE"""),46005.0)</f>
        <v>46005</v>
      </c>
      <c r="D92" s="738" t="str">
        <f>IFERROR(__xludf.DUMMYFUNCTION("""COMPUTED_VALUE"""),"15:00")</f>
        <v>15:00</v>
      </c>
      <c r="E92" s="738" t="str">
        <f>IFERROR(__xludf.DUMMYFUNCTION("""COMPUTED_VALUE"""),"23:10")</f>
        <v>23:10</v>
      </c>
      <c r="F92" s="734" t="str">
        <f>IFERROR(__xludf.DUMMYFUNCTION("""COMPUTED_VALUE"""),"STUDIO 11")</f>
        <v>STUDIO 11</v>
      </c>
      <c r="G92" s="734"/>
      <c r="H92" s="734"/>
      <c r="I92" s="735" t="str">
        <f>IFERROR(__xludf.DUMMYFUNCTION("""COMPUTED_VALUE"""),"Festa di Natale • 15:00 • 23:10 • STUDIO 11")</f>
        <v>Festa di Natale • 15:00 • 23:10 • STUDIO 11</v>
      </c>
      <c r="J92" s="736" t="str">
        <f>IFERROR(__xludf.DUMMYFUNCTION("""COMPUTED_VALUE"""),"https://trello.com/c/v6inwDs4")</f>
        <v>https://trello.com/c/v6inwDs4</v>
      </c>
      <c r="K92" s="734" t="str">
        <f>IFERROR(__xludf.DUMMYFUNCTION("""COMPUTED_VALUE"""),"14/12/2025 • 15:00")</f>
        <v>14/12/2025 • 15:00</v>
      </c>
      <c r="L92" s="734"/>
      <c r="M92" s="734"/>
    </row>
    <row r="93">
      <c r="A93" s="734" t="str">
        <f>IFERROR(__xludf.DUMMYFUNCTION("""COMPUTED_VALUE"""),"GARA Grand Prix di Natale - videoconcorso
(Anna Franzini)")</f>
        <v>GARA Grand Prix di Natale - videoconcorso
(Anna Franzini)</v>
      </c>
      <c r="B93" s="738">
        <f>IFERROR(__xludf.DUMMYFUNCTION("""COMPUTED_VALUE"""),46012.0)</f>
        <v>46012</v>
      </c>
      <c r="C93" s="738">
        <f>IFERROR(__xludf.DUMMYFUNCTION("""COMPUTED_VALUE"""),46012.0)</f>
        <v>46012</v>
      </c>
      <c r="D93" s="738"/>
      <c r="E93" s="738"/>
      <c r="F93" s="734"/>
      <c r="G93" s="734"/>
      <c r="H93" s="734"/>
      <c r="I93" s="735" t="str">
        <f>IFERROR(__xludf.DUMMYFUNCTION("""COMPUTED_VALUE"""),"GARA Grand Prix di Natale - videoconcorso
(Anna Franzini)")</f>
        <v>GARA Grand Prix di Natale - videoconcorso
(Anna Franzini)</v>
      </c>
      <c r="J93" s="736" t="str">
        <f>IFERROR(__xludf.DUMMYFUNCTION("""COMPUTED_VALUE"""),"https://trello.com/b/HcJMAmEy/comunicazione-online-offline-17-1")</f>
        <v>https://trello.com/b/HcJMAmEy/comunicazione-online-offline-17-1</v>
      </c>
      <c r="K93" s="734" t="str">
        <f>IFERROR(__xludf.DUMMYFUNCTION("""COMPUTED_VALUE"""),"21/12/2025")</f>
        <v>21/12/2025</v>
      </c>
      <c r="L93" s="734"/>
      <c r="M93" s="734"/>
    </row>
    <row r="94">
      <c r="A94" s="734"/>
      <c r="B94" s="738"/>
      <c r="C94" s="738"/>
      <c r="D94" s="738"/>
      <c r="E94" s="738"/>
      <c r="F94" s="734"/>
      <c r="G94" s="734"/>
      <c r="H94" s="734"/>
      <c r="I94" s="735" t="str">
        <f>IFERROR(__xludf.DUMMYFUNCTION("""COMPUTED_VALUE"""),"")</f>
        <v/>
      </c>
      <c r="J94" s="735"/>
      <c r="K94" s="734" t="str">
        <f>IFERROR(__xludf.DUMMYFUNCTION("""COMPUTED_VALUE"""),"")</f>
        <v/>
      </c>
      <c r="L94" s="734"/>
      <c r="M94" s="734"/>
    </row>
    <row r="95">
      <c r="A95" s="734"/>
      <c r="B95" s="738"/>
      <c r="C95" s="738"/>
      <c r="D95" s="738"/>
      <c r="E95" s="738"/>
      <c r="F95" s="734"/>
      <c r="G95" s="734"/>
      <c r="H95" s="734"/>
      <c r="I95" s="735" t="str">
        <f>IFERROR(__xludf.DUMMYFUNCTION("""COMPUTED_VALUE"""),"")</f>
        <v/>
      </c>
      <c r="J95" s="735"/>
      <c r="K95" s="734" t="str">
        <f>IFERROR(__xludf.DUMMYFUNCTION("""COMPUTED_VALUE"""),"")</f>
        <v/>
      </c>
      <c r="L95" s="734"/>
      <c r="M95" s="734"/>
    </row>
    <row r="96">
      <c r="A96" s="734" t="str">
        <f>IFERROR(__xludf.DUMMYFUNCTION("""COMPUTED_VALUE"""),"AFFITTO EXTRA Kinectivibe confermato")</f>
        <v>AFFITTO EXTRA Kinectivibe confermato</v>
      </c>
      <c r="B96" s="738">
        <f>IFERROR(__xludf.DUMMYFUNCTION("""COMPUTED_VALUE"""),46075.0)</f>
        <v>46075</v>
      </c>
      <c r="C96" s="738">
        <f>IFERROR(__xludf.DUMMYFUNCTION("""COMPUTED_VALUE"""),46075.0)</f>
        <v>46075</v>
      </c>
      <c r="D96" s="738" t="str">
        <f>IFERROR(__xludf.DUMMYFUNCTION("""COMPUTED_VALUE"""),"09:00")</f>
        <v>09:00</v>
      </c>
      <c r="E96" s="738" t="str">
        <f>IFERROR(__xludf.DUMMYFUNCTION("""COMPUTED_VALUE"""),"17:00")</f>
        <v>17:00</v>
      </c>
      <c r="F96" s="734" t="str">
        <f>IFERROR(__xludf.DUMMYFUNCTION("""COMPUTED_VALUE"""),"STUDIO 11")</f>
        <v>STUDIO 11</v>
      </c>
      <c r="G96" s="734"/>
      <c r="H96" s="734"/>
      <c r="I96" s="735" t="str">
        <f>IFERROR(__xludf.DUMMYFUNCTION("""COMPUTED_VALUE"""),"AFFITTO EXTRA Kinectivibe confermato • 09:00 • 17:00 • STUDIO 11")</f>
        <v>AFFITTO EXTRA Kinectivibe confermato • 09:00 • 17:00 • STUDIO 11</v>
      </c>
      <c r="J96" s="736" t="str">
        <f>IFERROR(__xludf.DUMMYFUNCTION("""COMPUTED_VALUE"""),"https://trello.com/c/oA0hGPwt")</f>
        <v>https://trello.com/c/oA0hGPwt</v>
      </c>
      <c r="K96" s="734" t="str">
        <f>IFERROR(__xludf.DUMMYFUNCTION("""COMPUTED_VALUE"""),"22/02/2026 • 09:00")</f>
        <v>22/02/2026 • 09:00</v>
      </c>
      <c r="L96" s="734"/>
      <c r="M96" s="734"/>
    </row>
    <row r="97">
      <c r="A97" s="734" t="str">
        <f>IFERROR(__xludf.DUMMYFUNCTION("""COMPUTED_VALUE"""),"OPENCLASS Amber &amp; Aldrin (Urban coreografico) confermato")</f>
        <v>OPENCLASS Amber &amp; Aldrin (Urban coreografico) confermato</v>
      </c>
      <c r="B97" s="738">
        <f>IFERROR(__xludf.DUMMYFUNCTION("""COMPUTED_VALUE"""),46096.0)</f>
        <v>46096</v>
      </c>
      <c r="C97" s="738">
        <f>IFERROR(__xludf.DUMMYFUNCTION("""COMPUTED_VALUE"""),46096.0)</f>
        <v>46096</v>
      </c>
      <c r="D97" s="738" t="str">
        <f>IFERROR(__xludf.DUMMYFUNCTION("""COMPUTED_VALUE"""),"14:30")</f>
        <v>14:30</v>
      </c>
      <c r="E97" s="738" t="str">
        <f>IFERROR(__xludf.DUMMYFUNCTION("""COMPUTED_VALUE"""),"16:30")</f>
        <v>16:30</v>
      </c>
      <c r="F97" s="734" t="str">
        <f>IFERROR(__xludf.DUMMYFUNCTION("""COMPUTED_VALUE"""),"STUDIO 24")</f>
        <v>STUDIO 24</v>
      </c>
      <c r="G97" s="734"/>
      <c r="H97" s="734"/>
      <c r="I97" s="735" t="str">
        <f>IFERROR(__xludf.DUMMYFUNCTION("""COMPUTED_VALUE"""),"OPENCLASS Amber &amp; Aldrin (Urban coreografico) confermato • 14:30 • 16:30 • STUDIO 24")</f>
        <v>OPENCLASS Amber &amp; Aldrin (Urban coreografico) confermato • 14:30 • 16:30 • STUDIO 24</v>
      </c>
      <c r="J97" s="735"/>
      <c r="K97" s="734" t="str">
        <f>IFERROR(__xludf.DUMMYFUNCTION("""COMPUTED_VALUE"""),"15/03/2026 • 14:30")</f>
        <v>15/03/2026 • 14:30</v>
      </c>
      <c r="L97" s="734"/>
      <c r="M97" s="734"/>
    </row>
    <row r="98">
      <c r="A98" s="734" t="str">
        <f>IFERROR(__xludf.DUMMYFUNCTION("""COMPUTED_VALUE"""),"GARA Brianza Danza Festival (Silvia Grande)")</f>
        <v>GARA Brianza Danza Festival (Silvia Grande)</v>
      </c>
      <c r="B98" s="738">
        <f>IFERROR(__xludf.DUMMYFUNCTION("""COMPUTED_VALUE"""),46082.0)</f>
        <v>46082</v>
      </c>
      <c r="C98" s="738">
        <f>IFERROR(__xludf.DUMMYFUNCTION("""COMPUTED_VALUE"""),46082.0)</f>
        <v>46082</v>
      </c>
      <c r="D98" s="738"/>
      <c r="E98" s="738"/>
      <c r="F98" s="734"/>
      <c r="G98" s="734"/>
      <c r="H98" s="734"/>
      <c r="I98" s="735" t="str">
        <f>IFERROR(__xludf.DUMMYFUNCTION("""COMPUTED_VALUE"""),"GARA Brianza Danza Festival (Silvia Grande)")</f>
        <v>GARA Brianza Danza Festival (Silvia Grande)</v>
      </c>
      <c r="J98" s="736" t="str">
        <f>IFERROR(__xludf.DUMMYFUNCTION("""COMPUTED_VALUE"""),"https://trello.com/c/pHkwoDbX/657-brianza-danza-festival-acsi-01-03-2026")</f>
        <v>https://trello.com/c/pHkwoDbX/657-brianza-danza-festival-acsi-01-03-2026</v>
      </c>
      <c r="K98" s="734" t="str">
        <f>IFERROR(__xludf.DUMMYFUNCTION("""COMPUTED_VALUE"""),"01/03/2026")</f>
        <v>01/03/2026</v>
      </c>
      <c r="L98" s="734"/>
      <c r="M98" s="734"/>
    </row>
    <row r="99">
      <c r="A99" s="734"/>
      <c r="B99" s="738"/>
      <c r="C99" s="738"/>
      <c r="D99" s="738"/>
      <c r="E99" s="738"/>
      <c r="F99" s="734"/>
      <c r="G99" s="734"/>
      <c r="H99" s="734"/>
      <c r="I99" s="735" t="str">
        <f>IFERROR(__xludf.DUMMYFUNCTION("""COMPUTED_VALUE"""),"")</f>
        <v/>
      </c>
      <c r="J99" s="735"/>
      <c r="K99" s="734" t="str">
        <f>IFERROR(__xludf.DUMMYFUNCTION("""COMPUTED_VALUE"""),"")</f>
        <v/>
      </c>
      <c r="L99" s="734"/>
      <c r="M99" s="734"/>
    </row>
    <row r="100">
      <c r="A100" s="734" t="str">
        <f>IFERROR(__xludf.DUMMYFUNCTION("""COMPUTED_VALUE"""),"OPENCLASS Anahita (Heels) confermato")</f>
        <v>OPENCLASS Anahita (Heels) confermato</v>
      </c>
      <c r="B100" s="738">
        <f>IFERROR(__xludf.DUMMYFUNCTION("""COMPUTED_VALUE"""),46082.0)</f>
        <v>46082</v>
      </c>
      <c r="C100" s="738">
        <f>IFERROR(__xludf.DUMMYFUNCTION("""COMPUTED_VALUE"""),46082.0)</f>
        <v>46082</v>
      </c>
      <c r="D100" s="738" t="str">
        <f>IFERROR(__xludf.DUMMYFUNCTION("""COMPUTED_VALUE"""),"14:30")</f>
        <v>14:30</v>
      </c>
      <c r="E100" s="738" t="str">
        <f>IFERROR(__xludf.DUMMYFUNCTION("""COMPUTED_VALUE"""),"16:00")</f>
        <v>16:00</v>
      </c>
      <c r="F100" s="734" t="str">
        <f>IFERROR(__xludf.DUMMYFUNCTION("""COMPUTED_VALUE"""),"STUDIO 21")</f>
        <v>STUDIO 21</v>
      </c>
      <c r="G100" s="734"/>
      <c r="H100" s="734"/>
      <c r="I100" s="735" t="str">
        <f>IFERROR(__xludf.DUMMYFUNCTION("""COMPUTED_VALUE"""),"OPENCLASS Anahita (Heels) confermato • 14:30 • 16:00 • STUDIO 21")</f>
        <v>OPENCLASS Anahita (Heels) confermato • 14:30 • 16:00 • STUDIO 21</v>
      </c>
      <c r="J100" s="736" t="str">
        <f>IFERROR(__xludf.DUMMYFUNCTION("""COMPUTED_VALUE"""),"https://trello.com/c/Q5gzazPR/656-openclass-anahita-heels-domenica-01-03-2026")</f>
        <v>https://trello.com/c/Q5gzazPR/656-openclass-anahita-heels-domenica-01-03-2026</v>
      </c>
      <c r="K100" s="734" t="str">
        <f>IFERROR(__xludf.DUMMYFUNCTION("""COMPUTED_VALUE"""),"01/03/2026 • 14:30")</f>
        <v>01/03/2026 • 14:30</v>
      </c>
      <c r="L100" s="734"/>
      <c r="M100" s="734"/>
    </row>
    <row r="101">
      <c r="A101" s="734" t="str">
        <f>IFERROR(__xludf.DUMMYFUNCTION("""COMPUTED_VALUE"""),"GARA Danzando sotto le stelle (Silvia Grande)")</f>
        <v>GARA Danzando sotto le stelle (Silvia Grande)</v>
      </c>
      <c r="B101" s="738">
        <f>IFERROR(__xludf.DUMMYFUNCTION("""COMPUTED_VALUE"""),46088.0)</f>
        <v>46088</v>
      </c>
      <c r="C101" s="738">
        <f>IFERROR(__xludf.DUMMYFUNCTION("""COMPUTED_VALUE"""),46088.0)</f>
        <v>46088</v>
      </c>
      <c r="D101" s="738"/>
      <c r="E101" s="738"/>
      <c r="F101" s="734"/>
      <c r="G101" s="734"/>
      <c r="H101" s="734"/>
      <c r="I101" s="735" t="str">
        <f>IFERROR(__xludf.DUMMYFUNCTION("""COMPUTED_VALUE"""),"GARA Danzando sotto le stelle (Silvia Grande)")</f>
        <v>GARA Danzando sotto le stelle (Silvia Grande)</v>
      </c>
      <c r="J101" s="736" t="str">
        <f>IFERROR(__xludf.DUMMYFUNCTION("""COMPUTED_VALUE"""),"https://trello.com/c/djFTe7te/662-danzando-sotto-le-stelle-07-03-2026-asi")</f>
        <v>https://trello.com/c/djFTe7te/662-danzando-sotto-le-stelle-07-03-2026-asi</v>
      </c>
      <c r="K101" s="734" t="str">
        <f>IFERROR(__xludf.DUMMYFUNCTION("""COMPUTED_VALUE"""),"07/03/2026")</f>
        <v>07/03/2026</v>
      </c>
      <c r="L101" s="734"/>
      <c r="M101" s="734"/>
    </row>
    <row r="102">
      <c r="A102" s="734" t="str">
        <f>IFERROR(__xludf.DUMMYFUNCTION("""COMPUTED_VALUE"""),"GARA The Heels Gala (Andrea Piccirillo)")</f>
        <v>GARA The Heels Gala (Andrea Piccirillo)</v>
      </c>
      <c r="B102" s="738">
        <f>IFERROR(__xludf.DUMMYFUNCTION("""COMPUTED_VALUE"""),46131.0)</f>
        <v>46131</v>
      </c>
      <c r="C102" s="738">
        <f>IFERROR(__xludf.DUMMYFUNCTION("""COMPUTED_VALUE"""),46131.0)</f>
        <v>46131</v>
      </c>
      <c r="D102" s="738"/>
      <c r="E102" s="738"/>
      <c r="F102" s="734"/>
      <c r="G102" s="734"/>
      <c r="H102" s="734"/>
      <c r="I102" s="735" t="str">
        <f>IFERROR(__xludf.DUMMYFUNCTION("""COMPUTED_VALUE"""),"GARA The Heels Gala (Andrea Piccirillo)")</f>
        <v>GARA The Heels Gala (Andrea Piccirillo)</v>
      </c>
      <c r="J102" s="736" t="str">
        <f>IFERROR(__xludf.DUMMYFUNCTION("""COMPUTED_VALUE"""),"https://trello.com/c/7poF6OTP/666-the-heels-gala-19-04-26")</f>
        <v>https://trello.com/c/7poF6OTP/666-the-heels-gala-19-04-26</v>
      </c>
      <c r="K102" s="734" t="str">
        <f>IFERROR(__xludf.DUMMYFUNCTION("""COMPUTED_VALUE"""),"19/04/2026")</f>
        <v>19/04/2026</v>
      </c>
      <c r="L102" s="734"/>
      <c r="M102" s="734"/>
    </row>
    <row r="103">
      <c r="A103" s="734" t="str">
        <f>IFERROR(__xludf.DUMMYFUNCTION("""COMPUTED_VALUE"""),"festa scuola porta Agnesi")</f>
        <v>festa scuola porta Agnesi</v>
      </c>
      <c r="B103" s="738">
        <f>IFERROR(__xludf.DUMMYFUNCTION("""COMPUTED_VALUE"""),46168.0)</f>
        <v>46168</v>
      </c>
      <c r="C103" s="738">
        <f>IFERROR(__xludf.DUMMYFUNCTION("""COMPUTED_VALUE"""),46168.0)</f>
        <v>46168</v>
      </c>
      <c r="D103" s="738" t="str">
        <f>IFERROR(__xludf.DUMMYFUNCTION("""COMPUTED_VALUE"""),"16:30")</f>
        <v>16:30</v>
      </c>
      <c r="E103" s="738" t="str">
        <f>IFERROR(__xludf.DUMMYFUNCTION("""COMPUTED_VALUE"""),"18:00")</f>
        <v>18:00</v>
      </c>
      <c r="F103" s="734"/>
      <c r="G103" s="734"/>
      <c r="H103" s="734"/>
      <c r="I103" s="735" t="str">
        <f>IFERROR(__xludf.DUMMYFUNCTION("""COMPUTED_VALUE"""),"festa scuola porta Agnesi • 16:30 • 18:00")</f>
        <v>festa scuola porta Agnesi • 16:30 • 18:00</v>
      </c>
      <c r="J103" s="735"/>
      <c r="K103" s="734" t="str">
        <f>IFERROR(__xludf.DUMMYFUNCTION("""COMPUTED_VALUE"""),"26/05/2026 • 16:30")</f>
        <v>26/05/2026 • 16:30</v>
      </c>
      <c r="L103" s="734"/>
      <c r="M103" s="734"/>
    </row>
    <row r="104">
      <c r="A104" s="734" t="str">
        <f>IFERROR(__xludf.DUMMYFUNCTION("""COMPUTED_VALUE"""),"GARA Stelle della danza (Claudia Borri e Anna Franzini)")</f>
        <v>GARA Stelle della danza (Claudia Borri e Anna Franzini)</v>
      </c>
      <c r="B104" s="738">
        <f>IFERROR(__xludf.DUMMYFUNCTION("""COMPUTED_VALUE"""),46119.0)</f>
        <v>46119</v>
      </c>
      <c r="C104" s="738">
        <f>IFERROR(__xludf.DUMMYFUNCTION("""COMPUTED_VALUE"""),46119.0)</f>
        <v>46119</v>
      </c>
      <c r="D104" s="738"/>
      <c r="E104" s="738"/>
      <c r="F104" s="734"/>
      <c r="G104" s="734"/>
      <c r="H104" s="734"/>
      <c r="I104" s="735" t="str">
        <f>IFERROR(__xludf.DUMMYFUNCTION("""COMPUTED_VALUE"""),"GARA Stelle della danza (Claudia Borri e Anna Franzini)")</f>
        <v>GARA Stelle della danza (Claudia Borri e Anna Franzini)</v>
      </c>
      <c r="J104" s="736" t="str">
        <f>IFERROR(__xludf.DUMMYFUNCTION("""COMPUTED_VALUE"""),"https://trello.com/c/Kg8t2fC8/665-le-stelle-della-danza-rossolab-06-04-26")</f>
        <v>https://trello.com/c/Kg8t2fC8/665-le-stelle-della-danza-rossolab-06-04-26</v>
      </c>
      <c r="K104" s="734" t="str">
        <f>IFERROR(__xludf.DUMMYFUNCTION("""COMPUTED_VALUE"""),"07/04/2026")</f>
        <v>07/04/2026</v>
      </c>
      <c r="L104" s="734"/>
      <c r="M104" s="734"/>
    </row>
    <row r="105">
      <c r="A105" s="734" t="str">
        <f>IFERROR(__xludf.DUMMYFUNCTION("""COMPUTED_VALUE"""),"GARA All you can dance
(Silvia Grande)")</f>
        <v>GARA All you can dance
(Silvia Grande)</v>
      </c>
      <c r="B105" s="738">
        <f>IFERROR(__xludf.DUMMYFUNCTION("""COMPUTED_VALUE"""),46138.0)</f>
        <v>46138</v>
      </c>
      <c r="C105" s="738">
        <f>IFERROR(__xludf.DUMMYFUNCTION("""COMPUTED_VALUE"""),46138.0)</f>
        <v>46138</v>
      </c>
      <c r="D105" s="738"/>
      <c r="E105" s="738"/>
      <c r="F105" s="734"/>
      <c r="G105" s="734"/>
      <c r="H105" s="734"/>
      <c r="I105" s="735" t="str">
        <f>IFERROR(__xludf.DUMMYFUNCTION("""COMPUTED_VALUE"""),"GARA All you can dance
(Silvia Grande)")</f>
        <v>GARA All you can dance
(Silvia Grande)</v>
      </c>
      <c r="J105" s="736" t="str">
        <f>IFERROR(__xludf.DUMMYFUNCTION("""COMPUTED_VALUE"""),"https://trello.com/c/rJ3y5dZD/667-all-you-can-dance-26-04-2026-csain")</f>
        <v>https://trello.com/c/rJ3y5dZD/667-all-you-can-dance-26-04-2026-csain</v>
      </c>
      <c r="K105" s="734" t="str">
        <f>IFERROR(__xludf.DUMMYFUNCTION("""COMPUTED_VALUE"""),"26/04/2026")</f>
        <v>26/04/2026</v>
      </c>
      <c r="L105" s="734"/>
      <c r="M105" s="734"/>
    </row>
    <row r="106">
      <c r="A106" s="734" t="str">
        <f>IFERROR(__xludf.DUMMYFUNCTION("""COMPUTED_VALUE"""),"Festa scuola Leonardo da vinci")</f>
        <v>Festa scuola Leonardo da vinci</v>
      </c>
      <c r="B106" s="738">
        <f>IFERROR(__xludf.DUMMYFUNCTION("""COMPUTED_VALUE"""),46179.0)</f>
        <v>46179</v>
      </c>
      <c r="C106" s="738">
        <f>IFERROR(__xludf.DUMMYFUNCTION("""COMPUTED_VALUE"""),46179.0)</f>
        <v>46179</v>
      </c>
      <c r="D106" s="738" t="str">
        <f>IFERROR(__xludf.DUMMYFUNCTION("""COMPUTED_VALUE"""),"18:00")</f>
        <v>18:00</v>
      </c>
      <c r="E106" s="738" t="str">
        <f>IFERROR(__xludf.DUMMYFUNCTION("""COMPUTED_VALUE"""),"19:30")</f>
        <v>19:30</v>
      </c>
      <c r="F106" s="734"/>
      <c r="G106" s="734"/>
      <c r="H106" s="734"/>
      <c r="I106" s="735" t="str">
        <f>IFERROR(__xludf.DUMMYFUNCTION("""COMPUTED_VALUE"""),"Festa scuola Leonardo da vinci • 18:00 • 19:30")</f>
        <v>Festa scuola Leonardo da vinci • 18:00 • 19:30</v>
      </c>
      <c r="J106" s="735"/>
      <c r="K106" s="734" t="str">
        <f>IFERROR(__xludf.DUMMYFUNCTION("""COMPUTED_VALUE"""),"06/06/2026 • 18:00")</f>
        <v>06/06/2026 • 18:00</v>
      </c>
      <c r="L106" s="734"/>
      <c r="M106" s="734"/>
    </row>
    <row r="107">
      <c r="A107" s="734"/>
      <c r="B107" s="738"/>
      <c r="C107" s="738"/>
      <c r="D107" s="738"/>
      <c r="E107" s="738"/>
      <c r="F107" s="734"/>
      <c r="G107" s="734"/>
      <c r="H107" s="734"/>
      <c r="I107" s="735" t="str">
        <f>IFERROR(__xludf.DUMMYFUNCTION("""COMPUTED_VALUE"""),"")</f>
        <v/>
      </c>
      <c r="J107" s="735"/>
      <c r="K107" s="734" t="str">
        <f>IFERROR(__xludf.DUMMYFUNCTION("""COMPUTED_VALUE"""),"")</f>
        <v/>
      </c>
      <c r="L107" s="734"/>
      <c r="M107" s="734"/>
    </row>
    <row r="108">
      <c r="A108" s="734"/>
      <c r="B108" s="738"/>
      <c r="C108" s="738"/>
      <c r="D108" s="738"/>
      <c r="E108" s="738"/>
      <c r="F108" s="734"/>
      <c r="G108" s="734"/>
      <c r="H108" s="734"/>
      <c r="I108" s="735" t="str">
        <f>IFERROR(__xludf.DUMMYFUNCTION("""COMPUTED_VALUE"""),"")</f>
        <v/>
      </c>
      <c r="J108" s="735"/>
      <c r="K108" s="734" t="str">
        <f>IFERROR(__xludf.DUMMYFUNCTION("""COMPUTED_VALUE"""),"")</f>
        <v/>
      </c>
      <c r="L108" s="734"/>
      <c r="M108" s="734"/>
    </row>
    <row r="109">
      <c r="A109" s="734"/>
      <c r="B109" s="738"/>
      <c r="C109" s="738"/>
      <c r="D109" s="738"/>
      <c r="E109" s="738"/>
      <c r="F109" s="734"/>
      <c r="G109" s="734"/>
      <c r="H109" s="734"/>
      <c r="I109" s="735" t="str">
        <f>IFERROR(__xludf.DUMMYFUNCTION("""COMPUTED_VALUE"""),"")</f>
        <v/>
      </c>
      <c r="J109" s="735"/>
      <c r="K109" s="734" t="str">
        <f>IFERROR(__xludf.DUMMYFUNCTION("""COMPUTED_VALUE"""),"")</f>
        <v/>
      </c>
      <c r="L109" s="734"/>
      <c r="M109" s="734"/>
    </row>
    <row r="110">
      <c r="A110" s="734"/>
      <c r="B110" s="738"/>
      <c r="C110" s="738"/>
      <c r="D110" s="738"/>
      <c r="E110" s="738"/>
      <c r="F110" s="734"/>
      <c r="G110" s="734"/>
      <c r="H110" s="734"/>
      <c r="I110" s="735" t="str">
        <f>IFERROR(__xludf.DUMMYFUNCTION("""COMPUTED_VALUE"""),"")</f>
        <v/>
      </c>
      <c r="J110" s="735"/>
      <c r="K110" s="734" t="str">
        <f>IFERROR(__xludf.DUMMYFUNCTION("""COMPUTED_VALUE"""),"")</f>
        <v/>
      </c>
      <c r="L110" s="734"/>
      <c r="M110" s="734"/>
    </row>
    <row r="111">
      <c r="A111" s="734"/>
      <c r="B111" s="738"/>
      <c r="C111" s="738"/>
      <c r="D111" s="738"/>
      <c r="E111" s="738"/>
      <c r="F111" s="734"/>
      <c r="G111" s="734"/>
      <c r="H111" s="734"/>
      <c r="I111" s="735" t="str">
        <f>IFERROR(__xludf.DUMMYFUNCTION("""COMPUTED_VALUE"""),"")</f>
        <v/>
      </c>
      <c r="J111" s="735"/>
      <c r="K111" s="734" t="str">
        <f>IFERROR(__xludf.DUMMYFUNCTION("""COMPUTED_VALUE"""),"")</f>
        <v/>
      </c>
      <c r="L111" s="734"/>
      <c r="M111" s="734"/>
    </row>
    <row r="112">
      <c r="A112" s="734"/>
      <c r="B112" s="738"/>
      <c r="C112" s="738"/>
      <c r="D112" s="738"/>
      <c r="E112" s="738"/>
      <c r="F112" s="734"/>
      <c r="G112" s="734"/>
      <c r="H112" s="734"/>
      <c r="I112" s="735" t="str">
        <f>IFERROR(__xludf.DUMMYFUNCTION("""COMPUTED_VALUE"""),"")</f>
        <v/>
      </c>
      <c r="J112" s="735"/>
      <c r="K112" s="734" t="str">
        <f>IFERROR(__xludf.DUMMYFUNCTION("""COMPUTED_VALUE"""),"")</f>
        <v/>
      </c>
      <c r="L112" s="734"/>
      <c r="M112" s="734"/>
    </row>
    <row r="113">
      <c r="A113" s="734"/>
      <c r="B113" s="738"/>
      <c r="C113" s="738"/>
      <c r="D113" s="738"/>
      <c r="E113" s="738"/>
      <c r="F113" s="734"/>
      <c r="G113" s="734"/>
      <c r="H113" s="734"/>
      <c r="I113" s="735" t="str">
        <f>IFERROR(__xludf.DUMMYFUNCTION("""COMPUTED_VALUE"""),"")</f>
        <v/>
      </c>
      <c r="J113" s="735"/>
      <c r="K113" s="734" t="str">
        <f>IFERROR(__xludf.DUMMYFUNCTION("""COMPUTED_VALUE"""),"")</f>
        <v/>
      </c>
      <c r="L113" s="734"/>
      <c r="M113" s="734"/>
    </row>
    <row r="114">
      <c r="A114" s="734"/>
      <c r="B114" s="738"/>
      <c r="C114" s="738"/>
      <c r="D114" s="738"/>
      <c r="E114" s="738"/>
      <c r="F114" s="734"/>
      <c r="G114" s="734"/>
      <c r="H114" s="734"/>
      <c r="I114" s="735" t="str">
        <f>IFERROR(__xludf.DUMMYFUNCTION("""COMPUTED_VALUE"""),"")</f>
        <v/>
      </c>
      <c r="J114" s="735"/>
      <c r="K114" s="734" t="str">
        <f>IFERROR(__xludf.DUMMYFUNCTION("""COMPUTED_VALUE"""),"")</f>
        <v/>
      </c>
      <c r="L114" s="734"/>
      <c r="M114" s="734"/>
    </row>
    <row r="115">
      <c r="A115" s="734"/>
      <c r="B115" s="738"/>
      <c r="C115" s="738"/>
      <c r="D115" s="738"/>
      <c r="E115" s="738"/>
      <c r="F115" s="734"/>
      <c r="G115" s="734"/>
      <c r="H115" s="734"/>
      <c r="I115" s="735" t="str">
        <f>IFERROR(__xludf.DUMMYFUNCTION("""COMPUTED_VALUE"""),"")</f>
        <v/>
      </c>
      <c r="J115" s="735"/>
      <c r="K115" s="734" t="str">
        <f>IFERROR(__xludf.DUMMYFUNCTION("""COMPUTED_VALUE"""),"")</f>
        <v/>
      </c>
      <c r="L115" s="734"/>
      <c r="M115" s="734"/>
    </row>
    <row r="116">
      <c r="A116" s="734"/>
      <c r="B116" s="738"/>
      <c r="C116" s="738"/>
      <c r="D116" s="738"/>
      <c r="E116" s="738"/>
      <c r="F116" s="734"/>
      <c r="G116" s="734"/>
      <c r="H116" s="734"/>
      <c r="I116" s="735" t="str">
        <f>IFERROR(__xludf.DUMMYFUNCTION("""COMPUTED_VALUE"""),"")</f>
        <v/>
      </c>
      <c r="J116" s="735"/>
      <c r="K116" s="734" t="str">
        <f>IFERROR(__xludf.DUMMYFUNCTION("""COMPUTED_VALUE"""),"")</f>
        <v/>
      </c>
      <c r="L116" s="734"/>
      <c r="M116" s="734"/>
    </row>
    <row r="117">
      <c r="A117" s="734"/>
      <c r="B117" s="738"/>
      <c r="C117" s="738"/>
      <c r="D117" s="738"/>
      <c r="E117" s="738"/>
      <c r="F117" s="734"/>
      <c r="G117" s="734"/>
      <c r="H117" s="734"/>
      <c r="I117" s="735" t="str">
        <f>IFERROR(__xludf.DUMMYFUNCTION("""COMPUTED_VALUE"""),"")</f>
        <v/>
      </c>
      <c r="J117" s="735"/>
      <c r="K117" s="734" t="str">
        <f>IFERROR(__xludf.DUMMYFUNCTION("""COMPUTED_VALUE"""),"")</f>
        <v/>
      </c>
      <c r="L117" s="734"/>
      <c r="M117" s="734"/>
    </row>
    <row r="118">
      <c r="A118" s="734"/>
      <c r="B118" s="738"/>
      <c r="C118" s="738"/>
      <c r="D118" s="738"/>
      <c r="E118" s="738"/>
      <c r="F118" s="734"/>
      <c r="G118" s="734"/>
      <c r="H118" s="734"/>
      <c r="I118" s="735" t="str">
        <f>IFERROR(__xludf.DUMMYFUNCTION("""COMPUTED_VALUE"""),"")</f>
        <v/>
      </c>
      <c r="J118" s="735"/>
      <c r="K118" s="734" t="str">
        <f>IFERROR(__xludf.DUMMYFUNCTION("""COMPUTED_VALUE"""),"")</f>
        <v/>
      </c>
      <c r="L118" s="734"/>
      <c r="M118" s="734"/>
    </row>
    <row r="119">
      <c r="A119" s="734"/>
      <c r="B119" s="738"/>
      <c r="C119" s="738"/>
      <c r="D119" s="738"/>
      <c r="E119" s="738"/>
      <c r="F119" s="734"/>
      <c r="G119" s="734"/>
      <c r="H119" s="734"/>
      <c r="I119" s="735" t="str">
        <f>IFERROR(__xludf.DUMMYFUNCTION("""COMPUTED_VALUE"""),"")</f>
        <v/>
      </c>
      <c r="J119" s="735"/>
      <c r="K119" s="734" t="str">
        <f>IFERROR(__xludf.DUMMYFUNCTION("""COMPUTED_VALUE"""),"")</f>
        <v/>
      </c>
      <c r="L119" s="734"/>
      <c r="M119" s="734"/>
    </row>
    <row r="120">
      <c r="A120" s="734"/>
      <c r="B120" s="738"/>
      <c r="C120" s="738"/>
      <c r="D120" s="738"/>
      <c r="E120" s="738"/>
      <c r="F120" s="734"/>
      <c r="G120" s="734"/>
      <c r="H120" s="734"/>
      <c r="I120" s="735" t="str">
        <f>IFERROR(__xludf.DUMMYFUNCTION("""COMPUTED_VALUE"""),"")</f>
        <v/>
      </c>
      <c r="J120" s="735"/>
      <c r="K120" s="734" t="str">
        <f>IFERROR(__xludf.DUMMYFUNCTION("""COMPUTED_VALUE"""),"")</f>
        <v/>
      </c>
      <c r="L120" s="734"/>
      <c r="M120" s="734"/>
    </row>
    <row r="121">
      <c r="A121" s="734"/>
      <c r="B121" s="738"/>
      <c r="C121" s="738"/>
      <c r="D121" s="738"/>
      <c r="E121" s="738"/>
      <c r="F121" s="734"/>
      <c r="G121" s="734"/>
      <c r="H121" s="734"/>
      <c r="I121" s="735" t="str">
        <f>IFERROR(__xludf.DUMMYFUNCTION("""COMPUTED_VALUE"""),"")</f>
        <v/>
      </c>
      <c r="J121" s="735"/>
      <c r="K121" s="734" t="str">
        <f>IFERROR(__xludf.DUMMYFUNCTION("""COMPUTED_VALUE"""),"")</f>
        <v/>
      </c>
      <c r="L121" s="734"/>
      <c r="M121" s="734"/>
    </row>
    <row r="122">
      <c r="A122" s="734"/>
      <c r="B122" s="738"/>
      <c r="C122" s="738"/>
      <c r="D122" s="738"/>
      <c r="E122" s="738"/>
      <c r="F122" s="734"/>
      <c r="G122" s="734"/>
      <c r="H122" s="734"/>
      <c r="I122" s="735" t="str">
        <f>IFERROR(__xludf.DUMMYFUNCTION("""COMPUTED_VALUE"""),"")</f>
        <v/>
      </c>
      <c r="J122" s="735"/>
      <c r="K122" s="734" t="str">
        <f>IFERROR(__xludf.DUMMYFUNCTION("""COMPUTED_VALUE"""),"")</f>
        <v/>
      </c>
      <c r="L122" s="734"/>
      <c r="M122" s="734"/>
    </row>
    <row r="123">
      <c r="A123" s="734"/>
      <c r="B123" s="738"/>
      <c r="C123" s="738"/>
      <c r="D123" s="738"/>
      <c r="E123" s="738"/>
      <c r="F123" s="734"/>
      <c r="G123" s="734"/>
      <c r="H123" s="734"/>
      <c r="I123" s="735" t="str">
        <f>IFERROR(__xludf.DUMMYFUNCTION("""COMPUTED_VALUE"""),"")</f>
        <v/>
      </c>
      <c r="J123" s="735"/>
      <c r="K123" s="734" t="str">
        <f>IFERROR(__xludf.DUMMYFUNCTION("""COMPUTED_VALUE"""),"")</f>
        <v/>
      </c>
      <c r="L123" s="734"/>
      <c r="M123" s="734"/>
    </row>
    <row r="124">
      <c r="A124" s="734"/>
      <c r="B124" s="738"/>
      <c r="C124" s="738"/>
      <c r="D124" s="738"/>
      <c r="E124" s="738"/>
      <c r="F124" s="734"/>
      <c r="G124" s="734"/>
      <c r="H124" s="734"/>
      <c r="I124" s="735" t="str">
        <f>IFERROR(__xludf.DUMMYFUNCTION("""COMPUTED_VALUE"""),"")</f>
        <v/>
      </c>
      <c r="J124" s="735"/>
      <c r="K124" s="734" t="str">
        <f>IFERROR(__xludf.DUMMYFUNCTION("""COMPUTED_VALUE"""),"")</f>
        <v/>
      </c>
      <c r="L124" s="734"/>
      <c r="M124" s="734"/>
    </row>
    <row r="125">
      <c r="A125" s="734"/>
      <c r="B125" s="738"/>
      <c r="C125" s="738"/>
      <c r="D125" s="738"/>
      <c r="E125" s="738"/>
      <c r="F125" s="734"/>
      <c r="G125" s="734"/>
      <c r="H125" s="734"/>
      <c r="I125" s="735" t="str">
        <f>IFERROR(__xludf.DUMMYFUNCTION("""COMPUTED_VALUE"""),"")</f>
        <v/>
      </c>
      <c r="J125" s="735"/>
      <c r="K125" s="734" t="str">
        <f>IFERROR(__xludf.DUMMYFUNCTION("""COMPUTED_VALUE"""),"")</f>
        <v/>
      </c>
      <c r="L125" s="734"/>
      <c r="M125" s="734"/>
    </row>
    <row r="126">
      <c r="A126" s="734"/>
      <c r="B126" s="738"/>
      <c r="C126" s="738"/>
      <c r="D126" s="738"/>
      <c r="E126" s="738"/>
      <c r="F126" s="734"/>
      <c r="G126" s="734"/>
      <c r="H126" s="734"/>
      <c r="I126" s="735" t="str">
        <f>IFERROR(__xludf.DUMMYFUNCTION("""COMPUTED_VALUE"""),"")</f>
        <v/>
      </c>
      <c r="J126" s="735"/>
      <c r="K126" s="734" t="str">
        <f>IFERROR(__xludf.DUMMYFUNCTION("""COMPUTED_VALUE"""),"")</f>
        <v/>
      </c>
      <c r="L126" s="734"/>
      <c r="M126" s="734"/>
    </row>
    <row r="127">
      <c r="A127" s="734"/>
      <c r="B127" s="738"/>
      <c r="C127" s="738"/>
      <c r="D127" s="738"/>
      <c r="E127" s="738"/>
      <c r="F127" s="734"/>
      <c r="G127" s="734"/>
      <c r="H127" s="734"/>
      <c r="I127" s="735" t="str">
        <f>IFERROR(__xludf.DUMMYFUNCTION("""COMPUTED_VALUE"""),"")</f>
        <v/>
      </c>
      <c r="J127" s="735"/>
      <c r="K127" s="734" t="str">
        <f>IFERROR(__xludf.DUMMYFUNCTION("""COMPUTED_VALUE"""),"")</f>
        <v/>
      </c>
      <c r="L127" s="734"/>
      <c r="M127" s="734"/>
    </row>
    <row r="128">
      <c r="A128" s="734"/>
      <c r="B128" s="738"/>
      <c r="C128" s="738"/>
      <c r="D128" s="738"/>
      <c r="E128" s="738"/>
      <c r="F128" s="734"/>
      <c r="G128" s="734"/>
      <c r="H128" s="734"/>
      <c r="I128" s="735" t="str">
        <f>IFERROR(__xludf.DUMMYFUNCTION("""COMPUTED_VALUE"""),"")</f>
        <v/>
      </c>
      <c r="J128" s="735"/>
      <c r="K128" s="734" t="str">
        <f>IFERROR(__xludf.DUMMYFUNCTION("""COMPUTED_VALUE"""),"")</f>
        <v/>
      </c>
      <c r="L128" s="734"/>
      <c r="M128" s="734"/>
    </row>
    <row r="129">
      <c r="A129" s="734"/>
      <c r="B129" s="738"/>
      <c r="C129" s="738"/>
      <c r="D129" s="738"/>
      <c r="E129" s="738"/>
      <c r="F129" s="734"/>
      <c r="G129" s="734"/>
      <c r="H129" s="734"/>
      <c r="I129" s="735" t="str">
        <f>IFERROR(__xludf.DUMMYFUNCTION("""COMPUTED_VALUE"""),"")</f>
        <v/>
      </c>
      <c r="J129" s="735"/>
      <c r="K129" s="734" t="str">
        <f>IFERROR(__xludf.DUMMYFUNCTION("""COMPUTED_VALUE"""),"")</f>
        <v/>
      </c>
      <c r="L129" s="734"/>
      <c r="M129" s="734"/>
    </row>
    <row r="130">
      <c r="A130" s="734"/>
      <c r="B130" s="738"/>
      <c r="C130" s="738"/>
      <c r="D130" s="738"/>
      <c r="E130" s="738"/>
      <c r="F130" s="734"/>
      <c r="G130" s="734"/>
      <c r="H130" s="734"/>
      <c r="I130" s="735" t="str">
        <f>IFERROR(__xludf.DUMMYFUNCTION("""COMPUTED_VALUE"""),"")</f>
        <v/>
      </c>
      <c r="J130" s="735"/>
      <c r="K130" s="734" t="str">
        <f>IFERROR(__xludf.DUMMYFUNCTION("""COMPUTED_VALUE"""),"")</f>
        <v/>
      </c>
      <c r="L130" s="734"/>
      <c r="M130" s="734"/>
    </row>
    <row r="131">
      <c r="A131" s="734"/>
      <c r="B131" s="738"/>
      <c r="C131" s="738"/>
      <c r="D131" s="738"/>
      <c r="E131" s="738"/>
      <c r="F131" s="734"/>
      <c r="G131" s="734"/>
      <c r="H131" s="734"/>
      <c r="I131" s="735" t="str">
        <f>IFERROR(__xludf.DUMMYFUNCTION("""COMPUTED_VALUE"""),"")</f>
        <v/>
      </c>
      <c r="J131" s="735"/>
      <c r="K131" s="734" t="str">
        <f>IFERROR(__xludf.DUMMYFUNCTION("""COMPUTED_VALUE"""),"")</f>
        <v/>
      </c>
      <c r="L131" s="734"/>
      <c r="M131" s="734"/>
    </row>
    <row r="132">
      <c r="A132" s="734"/>
      <c r="B132" s="738"/>
      <c r="C132" s="738"/>
      <c r="D132" s="738"/>
      <c r="E132" s="738"/>
      <c r="F132" s="734"/>
      <c r="G132" s="734"/>
      <c r="H132" s="734"/>
      <c r="I132" s="735" t="str">
        <f>IFERROR(__xludf.DUMMYFUNCTION("""COMPUTED_VALUE"""),"")</f>
        <v/>
      </c>
      <c r="J132" s="735"/>
      <c r="K132" s="734" t="str">
        <f>IFERROR(__xludf.DUMMYFUNCTION("""COMPUTED_VALUE"""),"")</f>
        <v/>
      </c>
      <c r="L132" s="734"/>
      <c r="M132" s="734"/>
    </row>
    <row r="133">
      <c r="A133" s="734"/>
      <c r="B133" s="738"/>
      <c r="C133" s="738"/>
      <c r="D133" s="738"/>
      <c r="E133" s="738"/>
      <c r="F133" s="734"/>
      <c r="G133" s="734"/>
      <c r="H133" s="734"/>
      <c r="I133" s="735" t="str">
        <f>IFERROR(__xludf.DUMMYFUNCTION("""COMPUTED_VALUE"""),"")</f>
        <v/>
      </c>
      <c r="J133" s="735"/>
      <c r="K133" s="734" t="str">
        <f>IFERROR(__xludf.DUMMYFUNCTION("""COMPUTED_VALUE"""),"")</f>
        <v/>
      </c>
      <c r="L133" s="734"/>
      <c r="M133" s="734"/>
    </row>
    <row r="134">
      <c r="A134" s="734"/>
      <c r="B134" s="738"/>
      <c r="C134" s="738"/>
      <c r="D134" s="738"/>
      <c r="E134" s="738"/>
      <c r="F134" s="734"/>
      <c r="G134" s="734"/>
      <c r="H134" s="734"/>
      <c r="I134" s="735" t="str">
        <f>IFERROR(__xludf.DUMMYFUNCTION("""COMPUTED_VALUE"""),"")</f>
        <v/>
      </c>
      <c r="J134" s="735"/>
      <c r="K134" s="734" t="str">
        <f>IFERROR(__xludf.DUMMYFUNCTION("""COMPUTED_VALUE"""),"")</f>
        <v/>
      </c>
      <c r="L134" s="734"/>
      <c r="M134" s="734"/>
    </row>
    <row r="135">
      <c r="A135" s="734"/>
      <c r="B135" s="738"/>
      <c r="C135" s="738"/>
      <c r="D135" s="738"/>
      <c r="E135" s="738"/>
      <c r="F135" s="734"/>
      <c r="G135" s="734"/>
      <c r="H135" s="734"/>
      <c r="I135" s="735" t="str">
        <f>IFERROR(__xludf.DUMMYFUNCTION("""COMPUTED_VALUE"""),"")</f>
        <v/>
      </c>
      <c r="J135" s="735"/>
      <c r="K135" s="734" t="str">
        <f>IFERROR(__xludf.DUMMYFUNCTION("""COMPUTED_VALUE"""),"")</f>
        <v/>
      </c>
      <c r="L135" s="734"/>
      <c r="M135" s="734"/>
    </row>
    <row r="136">
      <c r="A136" s="734"/>
      <c r="B136" s="738"/>
      <c r="C136" s="738"/>
      <c r="D136" s="738"/>
      <c r="E136" s="738"/>
      <c r="F136" s="734"/>
      <c r="G136" s="734"/>
      <c r="H136" s="734"/>
      <c r="I136" s="735" t="str">
        <f>IFERROR(__xludf.DUMMYFUNCTION("""COMPUTED_VALUE"""),"")</f>
        <v/>
      </c>
      <c r="J136" s="735"/>
      <c r="K136" s="734" t="str">
        <f>IFERROR(__xludf.DUMMYFUNCTION("""COMPUTED_VALUE"""),"")</f>
        <v/>
      </c>
      <c r="L136" s="734"/>
      <c r="M136" s="734"/>
    </row>
    <row r="137">
      <c r="A137" s="734"/>
      <c r="B137" s="738"/>
      <c r="C137" s="738"/>
      <c r="D137" s="738"/>
      <c r="E137" s="738"/>
      <c r="F137" s="734"/>
      <c r="G137" s="734"/>
      <c r="H137" s="734"/>
      <c r="I137" s="735" t="str">
        <f>IFERROR(__xludf.DUMMYFUNCTION("""COMPUTED_VALUE"""),"")</f>
        <v/>
      </c>
      <c r="J137" s="735"/>
      <c r="K137" s="734" t="str">
        <f>IFERROR(__xludf.DUMMYFUNCTION("""COMPUTED_VALUE"""),"")</f>
        <v/>
      </c>
      <c r="L137" s="734"/>
      <c r="M137" s="734"/>
    </row>
    <row r="138">
      <c r="A138" s="734"/>
      <c r="B138" s="738"/>
      <c r="C138" s="738"/>
      <c r="D138" s="738"/>
      <c r="E138" s="738"/>
      <c r="F138" s="734"/>
      <c r="G138" s="734"/>
      <c r="H138" s="734"/>
      <c r="I138" s="735" t="str">
        <f>IFERROR(__xludf.DUMMYFUNCTION("""COMPUTED_VALUE"""),"")</f>
        <v/>
      </c>
      <c r="J138" s="735"/>
      <c r="K138" s="734" t="str">
        <f>IFERROR(__xludf.DUMMYFUNCTION("""COMPUTED_VALUE"""),"")</f>
        <v/>
      </c>
      <c r="L138" s="734"/>
      <c r="M138" s="734"/>
    </row>
    <row r="139">
      <c r="A139" s="734"/>
      <c r="B139" s="738"/>
      <c r="C139" s="738"/>
      <c r="D139" s="738"/>
      <c r="E139" s="738"/>
      <c r="F139" s="734"/>
      <c r="G139" s="734"/>
      <c r="H139" s="734"/>
      <c r="I139" s="735" t="str">
        <f>IFERROR(__xludf.DUMMYFUNCTION("""COMPUTED_VALUE"""),"")</f>
        <v/>
      </c>
      <c r="J139" s="735"/>
      <c r="K139" s="734" t="str">
        <f>IFERROR(__xludf.DUMMYFUNCTION("""COMPUTED_VALUE"""),"")</f>
        <v/>
      </c>
      <c r="L139" s="734"/>
      <c r="M139" s="734"/>
    </row>
    <row r="140">
      <c r="A140" s="734"/>
      <c r="B140" s="738"/>
      <c r="C140" s="738"/>
      <c r="D140" s="738"/>
      <c r="E140" s="738"/>
      <c r="F140" s="734"/>
      <c r="G140" s="734"/>
      <c r="H140" s="734"/>
      <c r="I140" s="735" t="str">
        <f>IFERROR(__xludf.DUMMYFUNCTION("""COMPUTED_VALUE"""),"")</f>
        <v/>
      </c>
      <c r="J140" s="735"/>
      <c r="K140" s="734" t="str">
        <f>IFERROR(__xludf.DUMMYFUNCTION("""COMPUTED_VALUE"""),"")</f>
        <v/>
      </c>
      <c r="L140" s="734"/>
      <c r="M140" s="734"/>
    </row>
    <row r="141">
      <c r="A141" s="734"/>
      <c r="B141" s="738"/>
      <c r="C141" s="738"/>
      <c r="D141" s="738"/>
      <c r="E141" s="738"/>
      <c r="F141" s="734"/>
      <c r="G141" s="734"/>
      <c r="H141" s="734"/>
      <c r="I141" s="735" t="str">
        <f>IFERROR(__xludf.DUMMYFUNCTION("""COMPUTED_VALUE"""),"")</f>
        <v/>
      </c>
      <c r="J141" s="735"/>
      <c r="K141" s="734" t="str">
        <f>IFERROR(__xludf.DUMMYFUNCTION("""COMPUTED_VALUE"""),"")</f>
        <v/>
      </c>
      <c r="L141" s="734"/>
      <c r="M141" s="734"/>
    </row>
    <row r="142">
      <c r="A142" s="734"/>
      <c r="B142" s="738"/>
      <c r="C142" s="738"/>
      <c r="D142" s="738"/>
      <c r="E142" s="738"/>
      <c r="F142" s="734"/>
      <c r="G142" s="734"/>
      <c r="H142" s="734"/>
      <c r="I142" s="735" t="str">
        <f>IFERROR(__xludf.DUMMYFUNCTION("""COMPUTED_VALUE"""),"")</f>
        <v/>
      </c>
      <c r="J142" s="735"/>
      <c r="K142" s="734" t="str">
        <f>IFERROR(__xludf.DUMMYFUNCTION("""COMPUTED_VALUE"""),"")</f>
        <v/>
      </c>
      <c r="L142" s="734"/>
      <c r="M142" s="734"/>
    </row>
    <row r="143">
      <c r="A143" s="734"/>
      <c r="B143" s="738"/>
      <c r="C143" s="738"/>
      <c r="D143" s="738"/>
      <c r="E143" s="738"/>
      <c r="F143" s="734"/>
      <c r="G143" s="734"/>
      <c r="H143" s="734"/>
      <c r="I143" s="735" t="str">
        <f>IFERROR(__xludf.DUMMYFUNCTION("""COMPUTED_VALUE"""),"")</f>
        <v/>
      </c>
      <c r="J143" s="735"/>
      <c r="K143" s="734" t="str">
        <f>IFERROR(__xludf.DUMMYFUNCTION("""COMPUTED_VALUE"""),"")</f>
        <v/>
      </c>
      <c r="L143" s="734"/>
      <c r="M143" s="734"/>
    </row>
    <row r="144">
      <c r="A144" s="734"/>
      <c r="B144" s="738"/>
      <c r="C144" s="738"/>
      <c r="D144" s="738"/>
      <c r="E144" s="738"/>
      <c r="F144" s="734"/>
      <c r="G144" s="734"/>
      <c r="H144" s="734"/>
      <c r="I144" s="735" t="str">
        <f>IFERROR(__xludf.DUMMYFUNCTION("""COMPUTED_VALUE"""),"")</f>
        <v/>
      </c>
      <c r="J144" s="735"/>
      <c r="K144" s="734" t="str">
        <f>IFERROR(__xludf.DUMMYFUNCTION("""COMPUTED_VALUE"""),"")</f>
        <v/>
      </c>
      <c r="L144" s="734"/>
      <c r="M144" s="734"/>
    </row>
    <row r="145">
      <c r="A145" s="734"/>
      <c r="B145" s="738"/>
      <c r="C145" s="738"/>
      <c r="D145" s="738"/>
      <c r="E145" s="738"/>
      <c r="F145" s="734"/>
      <c r="G145" s="734"/>
      <c r="H145" s="734"/>
      <c r="I145" s="735" t="str">
        <f>IFERROR(__xludf.DUMMYFUNCTION("""COMPUTED_VALUE"""),"")</f>
        <v/>
      </c>
      <c r="J145" s="735"/>
      <c r="K145" s="734" t="str">
        <f>IFERROR(__xludf.DUMMYFUNCTION("""COMPUTED_VALUE"""),"")</f>
        <v/>
      </c>
      <c r="L145" s="734"/>
      <c r="M145" s="734"/>
    </row>
    <row r="146">
      <c r="A146" s="734"/>
      <c r="B146" s="738"/>
      <c r="C146" s="738"/>
      <c r="D146" s="738"/>
      <c r="E146" s="738"/>
      <c r="F146" s="734"/>
      <c r="G146" s="734"/>
      <c r="H146" s="734"/>
      <c r="I146" s="735" t="str">
        <f>IFERROR(__xludf.DUMMYFUNCTION("""COMPUTED_VALUE"""),"")</f>
        <v/>
      </c>
      <c r="J146" s="735"/>
      <c r="K146" s="734" t="str">
        <f>IFERROR(__xludf.DUMMYFUNCTION("""COMPUTED_VALUE"""),"")</f>
        <v/>
      </c>
      <c r="L146" s="734"/>
      <c r="M146" s="734"/>
    </row>
    <row r="147">
      <c r="A147" s="734"/>
      <c r="B147" s="738"/>
      <c r="C147" s="738"/>
      <c r="D147" s="738"/>
      <c r="E147" s="738"/>
      <c r="F147" s="734"/>
      <c r="G147" s="734"/>
      <c r="H147" s="734"/>
      <c r="I147" s="735" t="str">
        <f>IFERROR(__xludf.DUMMYFUNCTION("""COMPUTED_VALUE"""),"")</f>
        <v/>
      </c>
      <c r="J147" s="735"/>
      <c r="K147" s="734" t="str">
        <f>IFERROR(__xludf.DUMMYFUNCTION("""COMPUTED_VALUE"""),"")</f>
        <v/>
      </c>
      <c r="L147" s="734"/>
      <c r="M147" s="734"/>
    </row>
    <row r="148">
      <c r="A148" s="734"/>
      <c r="B148" s="738"/>
      <c r="C148" s="738"/>
      <c r="D148" s="738"/>
      <c r="E148" s="738"/>
      <c r="F148" s="734"/>
      <c r="G148" s="734"/>
      <c r="H148" s="734"/>
      <c r="I148" s="735" t="str">
        <f>IFERROR(__xludf.DUMMYFUNCTION("""COMPUTED_VALUE"""),"")</f>
        <v/>
      </c>
      <c r="J148" s="735"/>
      <c r="K148" s="734" t="str">
        <f>IFERROR(__xludf.DUMMYFUNCTION("""COMPUTED_VALUE"""),"")</f>
        <v/>
      </c>
      <c r="L148" s="734"/>
      <c r="M148" s="734"/>
    </row>
    <row r="149">
      <c r="A149" s="734"/>
      <c r="B149" s="738"/>
      <c r="C149" s="738"/>
      <c r="D149" s="738"/>
      <c r="E149" s="738"/>
      <c r="F149" s="734"/>
      <c r="G149" s="734"/>
      <c r="H149" s="734"/>
      <c r="I149" s="735" t="str">
        <f>IFERROR(__xludf.DUMMYFUNCTION("""COMPUTED_VALUE"""),"")</f>
        <v/>
      </c>
      <c r="J149" s="735"/>
      <c r="K149" s="734" t="str">
        <f>IFERROR(__xludf.DUMMYFUNCTION("""COMPUTED_VALUE"""),"")</f>
        <v/>
      </c>
      <c r="L149" s="734"/>
      <c r="M149" s="734"/>
    </row>
    <row r="150">
      <c r="A150" s="734"/>
      <c r="B150" s="738"/>
      <c r="C150" s="738"/>
      <c r="D150" s="738"/>
      <c r="E150" s="738"/>
      <c r="F150" s="734"/>
      <c r="G150" s="734"/>
      <c r="H150" s="734"/>
      <c r="I150" s="735" t="str">
        <f>IFERROR(__xludf.DUMMYFUNCTION("""COMPUTED_VALUE"""),"")</f>
        <v/>
      </c>
      <c r="J150" s="735"/>
      <c r="K150" s="734" t="str">
        <f>IFERROR(__xludf.DUMMYFUNCTION("""COMPUTED_VALUE"""),"")</f>
        <v/>
      </c>
      <c r="L150" s="734"/>
      <c r="M150" s="734"/>
    </row>
  </sheetData>
  <dataValidations>
    <dataValidation type="custom" allowBlank="1" showDropDown="1" showErrorMessage="1" sqref="B2:C150">
      <formula1>OR(NOT(ISERROR(DATEVALUE(B2))), AND(ISNUMBER(B2), LEFT(CELL("format", B2))="D"))</formula1>
    </dataValidation>
  </dataValidations>
  <hyperlinks>
    <hyperlink r:id="rId1" ref="J2"/>
    <hyperlink r:id="rId2" ref="J6"/>
    <hyperlink r:id="rId3" ref="J9"/>
    <hyperlink r:id="rId4" ref="J10"/>
    <hyperlink r:id="rId5" ref="J11"/>
    <hyperlink r:id="rId6" ref="J12"/>
    <hyperlink r:id="rId7" ref="J13"/>
    <hyperlink r:id="rId8" ref="J14"/>
    <hyperlink r:id="rId9" ref="J29"/>
    <hyperlink r:id="rId10" ref="J30"/>
    <hyperlink r:id="rId11" ref="J31"/>
    <hyperlink r:id="rId12" ref="J32"/>
    <hyperlink r:id="rId13" ref="J33"/>
    <hyperlink r:id="rId14" ref="J34"/>
    <hyperlink r:id="rId15" ref="J35"/>
    <hyperlink r:id="rId16" ref="J48"/>
    <hyperlink r:id="rId17" ref="J52"/>
    <hyperlink r:id="rId18" ref="J53"/>
    <hyperlink r:id="rId19" ref="J54"/>
    <hyperlink r:id="rId20" ref="J55"/>
    <hyperlink r:id="rId21" ref="J56"/>
    <hyperlink r:id="rId22" ref="J57"/>
    <hyperlink r:id="rId23" ref="J58"/>
    <hyperlink r:id="rId24" ref="J59"/>
    <hyperlink r:id="rId25" ref="J60"/>
    <hyperlink r:id="rId26" ref="J61"/>
    <hyperlink r:id="rId27" ref="J62"/>
    <hyperlink r:id="rId28" ref="J63"/>
    <hyperlink r:id="rId29" location="gid=1856535678" ref="J64"/>
    <hyperlink r:id="rId30" location="gid=1856535678" ref="J65"/>
    <hyperlink r:id="rId31" ref="J67"/>
    <hyperlink r:id="rId32" ref="J68"/>
    <hyperlink r:id="rId33" ref="J69"/>
    <hyperlink r:id="rId34" ref="J70"/>
    <hyperlink r:id="rId35" ref="J72"/>
    <hyperlink r:id="rId36" ref="J73"/>
    <hyperlink r:id="rId37" ref="J74"/>
    <hyperlink r:id="rId38" ref="J75"/>
    <hyperlink r:id="rId39" ref="J76"/>
    <hyperlink r:id="rId40" ref="J77"/>
    <hyperlink r:id="rId41" ref="J78"/>
    <hyperlink r:id="rId42" ref="J83"/>
    <hyperlink r:id="rId43" ref="J84"/>
    <hyperlink r:id="rId44" ref="J85"/>
    <hyperlink r:id="rId45" ref="J86"/>
    <hyperlink r:id="rId46" ref="J89"/>
    <hyperlink r:id="rId47" ref="J90"/>
    <hyperlink r:id="rId48" ref="J92"/>
    <hyperlink r:id="rId49" ref="J93"/>
    <hyperlink r:id="rId50" ref="J96"/>
    <hyperlink r:id="rId51" ref="J98"/>
    <hyperlink r:id="rId52" ref="J100"/>
    <hyperlink r:id="rId53" ref="J101"/>
    <hyperlink r:id="rId54" ref="J102"/>
    <hyperlink r:id="rId55" ref="J104"/>
    <hyperlink r:id="rId56" ref="J105"/>
  </hyperlinks>
  <drawing r:id="rId5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2" width="19.63"/>
    <col customWidth="1" min="3" max="3" width="30.75"/>
    <col customWidth="1" min="4" max="8" width="19.63"/>
  </cols>
  <sheetData>
    <row r="1">
      <c r="A1" s="748" t="s">
        <v>2989</v>
      </c>
      <c r="B1" s="749" t="s">
        <v>2990</v>
      </c>
      <c r="C1" s="749" t="s">
        <v>2991</v>
      </c>
      <c r="D1" s="749"/>
      <c r="E1" s="750"/>
      <c r="F1" s="750"/>
      <c r="G1" s="750"/>
      <c r="H1" s="750"/>
    </row>
    <row r="2">
      <c r="A2" s="751" t="s">
        <v>2992</v>
      </c>
      <c r="B2" s="752"/>
      <c r="C2" s="753" t="s">
        <v>2993</v>
      </c>
      <c r="D2" s="754"/>
      <c r="E2" s="752"/>
      <c r="F2" s="752"/>
      <c r="G2" s="752"/>
      <c r="H2" s="752"/>
    </row>
    <row r="3">
      <c r="A3" s="751" t="s">
        <v>2994</v>
      </c>
      <c r="B3" s="752"/>
      <c r="C3" s="753" t="s">
        <v>2995</v>
      </c>
      <c r="D3" s="755"/>
      <c r="E3" s="752"/>
      <c r="F3" s="752"/>
      <c r="G3" s="752"/>
      <c r="H3" s="752"/>
    </row>
    <row r="4">
      <c r="A4" s="751" t="s">
        <v>2969</v>
      </c>
      <c r="B4" s="752"/>
      <c r="C4" s="753" t="s">
        <v>2996</v>
      </c>
      <c r="D4" s="755"/>
      <c r="E4" s="752"/>
      <c r="F4" s="752"/>
      <c r="G4" s="752"/>
      <c r="H4" s="752"/>
    </row>
    <row r="5">
      <c r="A5" s="751" t="s">
        <v>2997</v>
      </c>
      <c r="B5" s="752"/>
      <c r="C5" s="753" t="s">
        <v>2998</v>
      </c>
      <c r="D5" s="755"/>
      <c r="E5" s="752"/>
      <c r="F5" s="752"/>
      <c r="G5" s="752"/>
      <c r="H5" s="752"/>
    </row>
    <row r="6">
      <c r="A6" s="751" t="s">
        <v>2999</v>
      </c>
      <c r="B6" s="752"/>
      <c r="C6" s="753" t="s">
        <v>3000</v>
      </c>
      <c r="D6" s="755"/>
      <c r="E6" s="752"/>
      <c r="F6" s="752"/>
      <c r="G6" s="752"/>
      <c r="H6" s="752"/>
    </row>
    <row r="7">
      <c r="A7" s="751" t="s">
        <v>3001</v>
      </c>
      <c r="B7" s="752"/>
      <c r="C7" s="753" t="s">
        <v>3002</v>
      </c>
      <c r="D7" s="755"/>
      <c r="E7" s="752"/>
      <c r="F7" s="752"/>
      <c r="G7" s="752"/>
      <c r="H7" s="752"/>
    </row>
    <row r="8">
      <c r="A8" s="751" t="s">
        <v>3003</v>
      </c>
      <c r="B8" s="752"/>
      <c r="C8" s="753" t="s">
        <v>3004</v>
      </c>
      <c r="D8" s="755"/>
      <c r="E8" s="752"/>
      <c r="F8" s="752"/>
      <c r="G8" s="752"/>
      <c r="H8" s="752"/>
    </row>
    <row r="9">
      <c r="A9" s="751" t="s">
        <v>3005</v>
      </c>
      <c r="B9" s="752"/>
      <c r="D9" s="755"/>
      <c r="E9" s="752"/>
      <c r="F9" s="752"/>
      <c r="G9" s="752"/>
      <c r="H9" s="752"/>
    </row>
    <row r="10">
      <c r="A10" s="751" t="s">
        <v>3006</v>
      </c>
      <c r="B10" s="752"/>
      <c r="D10" s="755"/>
      <c r="E10" s="752"/>
      <c r="F10" s="752"/>
      <c r="G10" s="752"/>
      <c r="H10" s="752"/>
    </row>
    <row r="11">
      <c r="A11" s="751" t="s">
        <v>3007</v>
      </c>
      <c r="B11" s="752"/>
      <c r="C11" s="756"/>
      <c r="D11" s="755"/>
      <c r="E11" s="752"/>
      <c r="F11" s="752"/>
      <c r="G11" s="752"/>
      <c r="H11" s="752"/>
    </row>
    <row r="12">
      <c r="A12" s="751" t="s">
        <v>3008</v>
      </c>
      <c r="B12" s="752"/>
      <c r="C12" s="756"/>
      <c r="D12" s="755"/>
      <c r="E12" s="752"/>
      <c r="F12" s="752"/>
      <c r="G12" s="752"/>
      <c r="H12" s="752"/>
    </row>
    <row r="13">
      <c r="A13" s="751" t="s">
        <v>3009</v>
      </c>
      <c r="B13" s="752"/>
      <c r="C13" s="756"/>
      <c r="D13" s="755"/>
      <c r="E13" s="752"/>
      <c r="F13" s="752"/>
      <c r="G13" s="752"/>
      <c r="H13" s="752"/>
    </row>
    <row r="14">
      <c r="A14" s="751" t="s">
        <v>3010</v>
      </c>
      <c r="B14" s="752"/>
      <c r="C14" s="756"/>
      <c r="D14" s="755"/>
      <c r="E14" s="752"/>
      <c r="F14" s="752"/>
      <c r="G14" s="752"/>
      <c r="H14" s="752"/>
    </row>
    <row r="15">
      <c r="A15" s="757" t="s">
        <v>2970</v>
      </c>
      <c r="B15" s="752"/>
      <c r="C15" s="756"/>
      <c r="D15" s="755"/>
      <c r="E15" s="752"/>
      <c r="F15" s="752"/>
      <c r="G15" s="752"/>
      <c r="H15" s="752"/>
    </row>
    <row r="16">
      <c r="A16" s="757" t="s">
        <v>2972</v>
      </c>
      <c r="B16" s="752"/>
      <c r="C16" s="756"/>
      <c r="D16" s="755"/>
      <c r="E16" s="752"/>
      <c r="F16" s="752"/>
      <c r="G16" s="752"/>
      <c r="H16" s="752"/>
    </row>
    <row r="17">
      <c r="A17" s="757" t="s">
        <v>2987</v>
      </c>
      <c r="B17" s="752"/>
      <c r="C17" s="756"/>
      <c r="D17" s="755"/>
      <c r="E17" s="752"/>
      <c r="F17" s="752"/>
      <c r="G17" s="752"/>
      <c r="H17" s="752"/>
    </row>
    <row r="18">
      <c r="A18" s="751"/>
      <c r="B18" s="752"/>
      <c r="C18" s="756"/>
      <c r="D18" s="755"/>
      <c r="E18" s="752"/>
      <c r="F18" s="752"/>
      <c r="G18" s="752"/>
      <c r="H18" s="752"/>
    </row>
    <row r="19">
      <c r="A19" s="751"/>
      <c r="B19" s="752"/>
      <c r="C19" s="756"/>
      <c r="D19" s="755"/>
      <c r="E19" s="752"/>
      <c r="F19" s="752"/>
      <c r="G19" s="752"/>
      <c r="H19" s="752"/>
    </row>
    <row r="20">
      <c r="A20" s="751"/>
      <c r="B20" s="752"/>
      <c r="C20" s="756"/>
      <c r="D20" s="755"/>
      <c r="E20" s="752"/>
      <c r="F20" s="752"/>
      <c r="G20" s="752"/>
      <c r="H20" s="752"/>
    </row>
    <row r="21">
      <c r="A21" s="751"/>
      <c r="B21" s="752"/>
      <c r="C21" s="756"/>
      <c r="D21" s="755"/>
      <c r="E21" s="752"/>
      <c r="F21" s="752"/>
      <c r="G21" s="752"/>
      <c r="H21" s="752"/>
    </row>
    <row r="22">
      <c r="A22" s="751"/>
      <c r="B22" s="752"/>
      <c r="C22" s="756"/>
      <c r="D22" s="755"/>
      <c r="E22" s="752"/>
      <c r="F22" s="752"/>
      <c r="G22" s="752"/>
      <c r="H22" s="752"/>
    </row>
    <row r="23">
      <c r="A23" s="751"/>
      <c r="B23" s="752"/>
      <c r="C23" s="756"/>
      <c r="D23" s="755"/>
      <c r="E23" s="752"/>
      <c r="F23" s="752"/>
      <c r="G23" s="752"/>
      <c r="H23" s="752"/>
    </row>
    <row r="24">
      <c r="A24" s="751"/>
      <c r="B24" s="752"/>
      <c r="C24" s="756"/>
      <c r="D24" s="755"/>
      <c r="E24" s="752"/>
      <c r="F24" s="752"/>
      <c r="G24" s="752"/>
      <c r="H24" s="752"/>
    </row>
    <row r="25">
      <c r="A25" s="751"/>
      <c r="B25" s="752"/>
      <c r="C25" s="756"/>
      <c r="D25" s="755"/>
      <c r="E25" s="752"/>
      <c r="F25" s="752"/>
      <c r="G25" s="752"/>
      <c r="H25" s="752"/>
    </row>
    <row r="26">
      <c r="A26" s="751"/>
      <c r="B26" s="752"/>
      <c r="C26" s="756"/>
      <c r="D26" s="755"/>
      <c r="E26" s="752"/>
      <c r="F26" s="752"/>
      <c r="G26" s="752"/>
      <c r="H26" s="752"/>
    </row>
    <row r="27">
      <c r="A27" s="751"/>
      <c r="B27" s="752"/>
      <c r="C27" s="756"/>
      <c r="D27" s="755"/>
      <c r="E27" s="752"/>
      <c r="F27" s="752"/>
      <c r="G27" s="752"/>
      <c r="H27" s="752"/>
    </row>
    <row r="28">
      <c r="A28" s="751"/>
      <c r="B28" s="752"/>
      <c r="C28" s="756"/>
      <c r="D28" s="755"/>
      <c r="E28" s="752"/>
      <c r="F28" s="752"/>
      <c r="G28" s="752"/>
      <c r="H28" s="752"/>
    </row>
    <row r="29">
      <c r="A29" s="751"/>
      <c r="B29" s="752"/>
      <c r="C29" s="756"/>
      <c r="D29" s="755"/>
      <c r="E29" s="752"/>
      <c r="F29" s="752"/>
      <c r="G29" s="752"/>
      <c r="H29" s="752"/>
    </row>
    <row r="30">
      <c r="A30" s="751"/>
      <c r="B30" s="752"/>
      <c r="C30" s="756"/>
      <c r="D30" s="755"/>
      <c r="E30" s="752"/>
      <c r="F30" s="752"/>
      <c r="G30" s="752"/>
      <c r="H30" s="752"/>
    </row>
    <row r="31">
      <c r="A31" s="751"/>
      <c r="B31" s="752"/>
      <c r="C31" s="756"/>
      <c r="D31" s="755"/>
      <c r="E31" s="752"/>
      <c r="F31" s="752"/>
      <c r="G31" s="752"/>
      <c r="H31" s="752"/>
    </row>
    <row r="32">
      <c r="A32" s="751"/>
      <c r="B32" s="752"/>
      <c r="C32" s="756"/>
      <c r="D32" s="755"/>
      <c r="E32" s="752"/>
      <c r="F32" s="752"/>
      <c r="G32" s="752"/>
      <c r="H32" s="752"/>
    </row>
    <row r="33">
      <c r="A33" s="751"/>
      <c r="B33" s="752"/>
      <c r="C33" s="756"/>
      <c r="D33" s="755"/>
      <c r="E33" s="752"/>
      <c r="F33" s="752"/>
      <c r="G33" s="752"/>
      <c r="H33" s="752"/>
    </row>
    <row r="34">
      <c r="A34" s="751"/>
      <c r="B34" s="752"/>
      <c r="C34" s="756"/>
      <c r="D34" s="755"/>
      <c r="E34" s="752"/>
      <c r="F34" s="752"/>
      <c r="G34" s="752"/>
      <c r="H34" s="752"/>
    </row>
    <row r="35">
      <c r="A35" s="751"/>
      <c r="B35" s="752"/>
      <c r="C35" s="756"/>
      <c r="D35" s="755"/>
      <c r="E35" s="752"/>
      <c r="F35" s="752"/>
      <c r="G35" s="752"/>
      <c r="H35" s="752"/>
    </row>
    <row r="36">
      <c r="A36" s="751"/>
      <c r="B36" s="752"/>
      <c r="C36" s="756"/>
      <c r="D36" s="755"/>
      <c r="E36" s="752"/>
      <c r="F36" s="752"/>
      <c r="G36" s="752"/>
      <c r="H36" s="752"/>
    </row>
    <row r="37">
      <c r="A37" s="751"/>
      <c r="B37" s="752"/>
      <c r="C37" s="756"/>
      <c r="D37" s="755"/>
      <c r="E37" s="752"/>
      <c r="F37" s="752"/>
      <c r="G37" s="752"/>
      <c r="H37" s="752"/>
    </row>
    <row r="38">
      <c r="A38" s="751"/>
      <c r="B38" s="752"/>
      <c r="C38" s="756"/>
      <c r="D38" s="755"/>
      <c r="E38" s="752"/>
      <c r="F38" s="752"/>
      <c r="G38" s="752"/>
      <c r="H38" s="752"/>
    </row>
    <row r="39">
      <c r="A39" s="751"/>
      <c r="B39" s="752"/>
      <c r="C39" s="756"/>
      <c r="D39" s="755"/>
      <c r="E39" s="752"/>
      <c r="F39" s="752"/>
      <c r="G39" s="752"/>
      <c r="H39" s="752"/>
    </row>
    <row r="40">
      <c r="A40" s="751"/>
      <c r="B40" s="752"/>
      <c r="C40" s="756"/>
      <c r="D40" s="755"/>
      <c r="E40" s="752"/>
      <c r="F40" s="752"/>
      <c r="G40" s="752"/>
      <c r="H40" s="752"/>
    </row>
    <row r="41">
      <c r="A41" s="751"/>
      <c r="B41" s="752"/>
      <c r="C41" s="756"/>
      <c r="D41" s="755"/>
      <c r="E41" s="752"/>
      <c r="F41" s="752"/>
      <c r="G41" s="752"/>
      <c r="H41" s="752"/>
    </row>
    <row r="42">
      <c r="A42" s="751"/>
      <c r="B42" s="752"/>
      <c r="C42" s="756"/>
      <c r="D42" s="755"/>
      <c r="E42" s="752"/>
      <c r="F42" s="752"/>
      <c r="G42" s="752"/>
      <c r="H42" s="752"/>
    </row>
    <row r="43">
      <c r="A43" s="751"/>
      <c r="B43" s="752"/>
      <c r="C43" s="756"/>
      <c r="D43" s="755"/>
      <c r="E43" s="752"/>
      <c r="F43" s="752"/>
      <c r="G43" s="752"/>
      <c r="H43" s="752"/>
    </row>
    <row r="44">
      <c r="A44" s="751"/>
      <c r="B44" s="752"/>
      <c r="C44" s="756"/>
      <c r="D44" s="755"/>
      <c r="E44" s="752"/>
      <c r="F44" s="752"/>
      <c r="G44" s="752"/>
      <c r="H44" s="752"/>
    </row>
    <row r="45">
      <c r="A45" s="751"/>
      <c r="B45" s="752"/>
      <c r="C45" s="756"/>
      <c r="D45" s="755"/>
      <c r="E45" s="752"/>
      <c r="F45" s="752"/>
      <c r="G45" s="752"/>
      <c r="H45" s="752"/>
    </row>
    <row r="46">
      <c r="A46" s="751"/>
      <c r="B46" s="752"/>
      <c r="C46" s="756"/>
      <c r="D46" s="755"/>
      <c r="E46" s="752"/>
      <c r="F46" s="752"/>
      <c r="G46" s="752"/>
      <c r="H46" s="752"/>
    </row>
    <row r="47">
      <c r="A47" s="751"/>
      <c r="B47" s="752"/>
      <c r="C47" s="756"/>
      <c r="D47" s="755"/>
      <c r="E47" s="752"/>
      <c r="F47" s="752"/>
      <c r="G47" s="752"/>
      <c r="H47" s="752"/>
    </row>
    <row r="48">
      <c r="A48" s="751"/>
      <c r="B48" s="752"/>
      <c r="C48" s="756"/>
      <c r="D48" s="755"/>
      <c r="E48" s="752"/>
      <c r="F48" s="752"/>
      <c r="G48" s="752"/>
      <c r="H48" s="752"/>
    </row>
    <row r="49">
      <c r="A49" s="751"/>
      <c r="B49" s="752"/>
      <c r="C49" s="756"/>
      <c r="D49" s="755"/>
      <c r="E49" s="752"/>
      <c r="F49" s="752"/>
      <c r="G49" s="752"/>
      <c r="H49" s="752"/>
    </row>
    <row r="50">
      <c r="A50" s="751"/>
      <c r="B50" s="752"/>
      <c r="C50" s="756"/>
      <c r="D50" s="755"/>
      <c r="E50" s="752"/>
      <c r="F50" s="752"/>
      <c r="G50" s="752"/>
      <c r="H50" s="75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outlineLevelCol="1"/>
  <cols>
    <col customWidth="1" min="1" max="1" width="10.13"/>
    <col customWidth="1" min="2" max="2" width="11.13"/>
    <col customWidth="1" min="3" max="3" width="16.5"/>
    <col customWidth="1" min="4" max="4" width="9.0"/>
    <col customWidth="1" min="5" max="5" width="17.13"/>
    <col customWidth="1" min="6" max="6" width="15.5"/>
    <col customWidth="1" min="7" max="7" width="28.5"/>
    <col customWidth="1" min="8" max="8" width="14.0"/>
    <col customWidth="1" min="9" max="9" width="16.88"/>
    <col customWidth="1" min="10" max="10" width="27.0"/>
    <col customWidth="1" min="11" max="11" width="13.38"/>
    <col customWidth="1" min="12" max="12" width="15.63"/>
    <col customWidth="1" min="13" max="13" width="16.0"/>
    <col customWidth="1" min="14" max="14" width="13.0"/>
    <col customWidth="1" min="15" max="15" width="11.0"/>
    <col customWidth="1" min="16" max="16" width="9.38"/>
    <col customWidth="1" min="17" max="17" width="5.63"/>
    <col customWidth="1" min="18" max="18" width="9.0"/>
    <col customWidth="1" min="19" max="19" width="196.13"/>
    <col customWidth="1" min="20" max="20" width="4.38"/>
    <col customWidth="1" min="21" max="21" width="6.0"/>
    <col customWidth="1" min="22" max="22" width="7.25"/>
    <col customWidth="1" min="23" max="23" width="9.13"/>
    <col customWidth="1" min="24" max="24" width="8.88"/>
    <col customWidth="1" min="25" max="25" width="97.75"/>
    <col collapsed="1" customWidth="1" min="26" max="26" width="49.0"/>
    <col customWidth="1" hidden="1" min="27" max="27" width="12.63" outlineLevel="1"/>
    <col customWidth="1" hidden="1" min="28" max="29" width="12.5" outlineLevel="1"/>
    <col customWidth="1" hidden="1" min="30" max="30" width="12.38" outlineLevel="1"/>
    <col customWidth="1" hidden="1" min="31" max="31" width="8.38" outlineLevel="1"/>
    <col customWidth="1" hidden="1" min="32" max="32" width="9.38" outlineLevel="1"/>
    <col customWidth="1" hidden="1" min="33" max="33" width="11.25" outlineLevel="1"/>
    <col customWidth="1" hidden="1" min="34" max="34" width="9.63" outlineLevel="1"/>
    <col customWidth="1" hidden="1" min="35" max="35" width="10.25" outlineLevel="1"/>
    <col customWidth="1" hidden="1" min="36" max="37" width="15.13" outlineLevel="1"/>
    <col customWidth="1" hidden="1" min="38" max="38" width="14.63" outlineLevel="1"/>
    <col customWidth="1" hidden="1" min="39" max="40" width="14.5" outlineLevel="1"/>
    <col customWidth="1" hidden="1" min="41" max="41" width="14.38" outlineLevel="1"/>
    <col customWidth="1" hidden="1" min="42" max="42" width="10.38" outlineLevel="1"/>
    <col customWidth="1" hidden="1" min="43" max="43" width="11.38" outlineLevel="1"/>
    <col customWidth="1" hidden="1" min="44" max="44" width="13.38" outlineLevel="1"/>
    <col customWidth="1" hidden="1" min="45" max="45" width="8.75" outlineLevel="1"/>
    <col customWidth="1" hidden="1" min="46" max="46" width="8.13" outlineLevel="1"/>
    <col customWidth="1" hidden="1" min="47" max="47" width="8.88" outlineLevel="1"/>
    <col customWidth="1" hidden="1" min="48" max="48" width="4.38" outlineLevel="1"/>
    <col customWidth="1" hidden="1" min="49" max="49" width="11.13" outlineLevel="1"/>
    <col customWidth="1" hidden="1" min="50" max="50" width="14.13" outlineLevel="1"/>
    <col customWidth="1" hidden="1" min="51" max="51" width="7.25" outlineLevel="1"/>
    <col customWidth="1" hidden="1" min="52" max="52" width="7.13" outlineLevel="1"/>
    <col customWidth="1" hidden="1" min="53" max="53" width="9.75" outlineLevel="1"/>
    <col customWidth="1" hidden="1" min="54" max="54" width="7.63" outlineLevel="1"/>
    <col customWidth="1" hidden="1" min="55" max="55" width="10.25" outlineLevel="1"/>
    <col customWidth="1" hidden="1" min="56" max="56" width="13.0" outlineLevel="1"/>
    <col customWidth="1" hidden="1" min="57" max="57" width="12.25" outlineLevel="1"/>
    <col customWidth="1" hidden="1" min="58" max="58" width="18.88" outlineLevel="1"/>
    <col customWidth="1" min="59" max="62" width="18.88"/>
  </cols>
  <sheetData>
    <row r="1">
      <c r="A1" s="758" t="str">
        <f>IFERROR(__xludf.DUMMYFUNCTION("IMPORTRANGE(""https://docs.google.com/spreadsheets/d/1ZLcEs2GOnmzjxhgffO5jFMR_rfVlwp0_5E8EFIwU2qY/edit?gid=419449546#gid=419449546"", ""Workshop!A1:BJ1000"")"),"OrderID")</f>
        <v>OrderID</v>
      </c>
      <c r="B1" s="758" t="str">
        <f>IFERROR(__xludf.DUMMYFUNCTION("""COMPUTED_VALUE"""),"OrderNumber")</f>
        <v>OrderNumber</v>
      </c>
      <c r="C1" s="758" t="str">
        <f>IFERROR(__xludf.DUMMYFUNCTION("""COMPUTED_VALUE"""),"DataOrdine")</f>
        <v>DataOrdine</v>
      </c>
      <c r="D1" s="758" t="str">
        <f>IFERROR(__xludf.DUMMYFUNCTION("""COMPUTED_VALUE"""),"Stato")</f>
        <v>Stato</v>
      </c>
      <c r="E1" s="758" t="str">
        <f>IFERROR(__xludf.DUMMYFUNCTION("""COMPUTED_VALUE"""),"ClienteNome")</f>
        <v>ClienteNome</v>
      </c>
      <c r="F1" s="758" t="str">
        <f>IFERROR(__xludf.DUMMYFUNCTION("""COMPUTED_VALUE"""),"ClienteCognome")</f>
        <v>ClienteCognome</v>
      </c>
      <c r="G1" s="758" t="str">
        <f>IFERROR(__xludf.DUMMYFUNCTION("""COMPUTED_VALUE"""),"Email")</f>
        <v>Email</v>
      </c>
      <c r="H1" s="758" t="str">
        <f>IFERROR(__xludf.DUMMYFUNCTION("""COMPUTED_VALUE"""),"Telefono")</f>
        <v>Telefono</v>
      </c>
      <c r="I1" s="758" t="str">
        <f>IFERROR(__xludf.DUMMYFUNCTION("""COMPUTED_VALUE"""),"Billing_City")</f>
        <v>Billing_City</v>
      </c>
      <c r="J1" s="758" t="str">
        <f>IFERROR(__xludf.DUMMYFUNCTION("""COMPUTED_VALUE"""),"Billing_Address1")</f>
        <v>Billing_Address1</v>
      </c>
      <c r="K1" s="758" t="str">
        <f>IFERROR(__xludf.DUMMYFUNCTION("""COMPUTED_VALUE"""),"Billing_Postcode")</f>
        <v>Billing_Postcode</v>
      </c>
      <c r="L1" s="758" t="str">
        <f>IFERROR(__xludf.DUMMYFUNCTION("""COMPUTED_VALUE"""),"PaymentMethod")</f>
        <v>PaymentMethod</v>
      </c>
      <c r="M1" s="758" t="str">
        <f>IFERROR(__xludf.DUMMYFUNCTION("""COMPUTED_VALUE"""),"CouponCodes")</f>
        <v>CouponCodes</v>
      </c>
      <c r="N1" s="758" t="str">
        <f>IFERROR(__xludf.DUMMYFUNCTION("""COMPUTED_VALUE"""),"TransactionID")</f>
        <v>TransactionID</v>
      </c>
      <c r="O1" s="758" t="str">
        <f>IFERROR(__xludf.DUMMYFUNCTION("""COMPUTED_VALUE"""),"ShippingTotal")</f>
        <v>ShippingTotal</v>
      </c>
      <c r="P1" s="758" t="str">
        <f>IFERROR(__xludf.DUMMYFUNCTION("""COMPUTED_VALUE"""),"OrderTotal")</f>
        <v>OrderTotal</v>
      </c>
      <c r="Q1" s="758" t="str">
        <f>IFERROR(__xludf.DUMMYFUNCTION("""COMPUTED_VALUE"""),"Valuta")</f>
        <v>Valuta</v>
      </c>
      <c r="R1" s="758" t="str">
        <f>IFERROR(__xludf.DUMMYFUNCTION("""COMPUTED_VALUE"""),"LineItemID")</f>
        <v>LineItemID</v>
      </c>
      <c r="S1" s="758" t="str">
        <f>IFERROR(__xludf.DUMMYFUNCTION("""COMPUTED_VALUE"""),"Prodotto")</f>
        <v>Prodotto</v>
      </c>
      <c r="T1" s="758" t="str">
        <f>IFERROR(__xludf.DUMMYFUNCTION("""COMPUTED_VALUE"""),"SKU")</f>
        <v>SKU</v>
      </c>
      <c r="U1" s="758" t="str">
        <f>IFERROR(__xludf.DUMMYFUNCTION("""COMPUTED_VALUE"""),"VarAttr")</f>
        <v>VarAttr</v>
      </c>
      <c r="V1" s="758" t="str">
        <f>IFERROR(__xludf.DUMMYFUNCTION("""COMPUTED_VALUE"""),"Quantità")</f>
        <v>Quantità</v>
      </c>
      <c r="W1" s="758" t="str">
        <f>IFERROR(__xludf.DUMMYFUNCTION("""COMPUTED_VALUE"""),"PrezzoUnit")</f>
        <v>PrezzoUnit</v>
      </c>
      <c r="X1" s="758" t="str">
        <f>IFERROR(__xludf.DUMMYFUNCTION("""COMPUTED_VALUE"""),"TotaleRiga")</f>
        <v>TotaleRiga</v>
      </c>
      <c r="Y1" s="758" t="str">
        <f>IFERROR(__xludf.DUMMYFUNCTION("""COMPUTED_VALUE"""),"NoteCliente")</f>
        <v>NoteCliente</v>
      </c>
      <c r="Z1" s="758" t="str">
        <f>IFERROR(__xludf.DUMMYFUNCTION("""COMPUTED_VALUE"""),"AdminLink")</f>
        <v>AdminLink</v>
      </c>
      <c r="AA1" s="758" t="str">
        <f>IFERROR(__xludf.DUMMYFUNCTION("""COMPUTED_VALUE"""),"BillingCompany")</f>
        <v>BillingCompany</v>
      </c>
      <c r="AB1" s="758" t="str">
        <f>IFERROR(__xludf.DUMMYFUNCTION("""COMPUTED_VALUE"""),"BillingAddress1")</f>
        <v>BillingAddress1</v>
      </c>
      <c r="AC1" s="758" t="str">
        <f>IFERROR(__xludf.DUMMYFUNCTION("""COMPUTED_VALUE"""),"BillingAddress2")</f>
        <v>BillingAddress2</v>
      </c>
      <c r="AD1" s="758" t="str">
        <f>IFERROR(__xludf.DUMMYFUNCTION("""COMPUTED_VALUE"""),"BillingPostcode")</f>
        <v>BillingPostcode</v>
      </c>
      <c r="AE1" s="758" t="str">
        <f>IFERROR(__xludf.DUMMYFUNCTION("""COMPUTED_VALUE"""),"BillingCity")</f>
        <v>BillingCity</v>
      </c>
      <c r="AF1" s="758" t="str">
        <f>IFERROR(__xludf.DUMMYFUNCTION("""COMPUTED_VALUE"""),"BillingState")</f>
        <v>BillingState</v>
      </c>
      <c r="AG1" s="758" t="str">
        <f>IFERROR(__xludf.DUMMYFUNCTION("""COMPUTED_VALUE"""),"BillingCountry")</f>
        <v>BillingCountry</v>
      </c>
      <c r="AH1" s="758" t="str">
        <f>IFERROR(__xludf.DUMMYFUNCTION("""COMPUTED_VALUE"""),"BillingEmail")</f>
        <v>BillingEmail</v>
      </c>
      <c r="AI1" s="758" t="str">
        <f>IFERROR(__xludf.DUMMYFUNCTION("""COMPUTED_VALUE"""),"BillingPhone")</f>
        <v>BillingPhone</v>
      </c>
      <c r="AJ1" s="758" t="str">
        <f>IFERROR(__xludf.DUMMYFUNCTION("""COMPUTED_VALUE"""),"ShippingFirstName")</f>
        <v>ShippingFirstName</v>
      </c>
      <c r="AK1" s="758" t="str">
        <f>IFERROR(__xludf.DUMMYFUNCTION("""COMPUTED_VALUE"""),"ShippingLastName")</f>
        <v>ShippingLastName</v>
      </c>
      <c r="AL1" s="758" t="str">
        <f>IFERROR(__xludf.DUMMYFUNCTION("""COMPUTED_VALUE"""),"ShippingCompany")</f>
        <v>ShippingCompany</v>
      </c>
      <c r="AM1" s="758" t="str">
        <f>IFERROR(__xludf.DUMMYFUNCTION("""COMPUTED_VALUE"""),"ShippingAddress1")</f>
        <v>ShippingAddress1</v>
      </c>
      <c r="AN1" s="758" t="str">
        <f>IFERROR(__xludf.DUMMYFUNCTION("""COMPUTED_VALUE"""),"ShippingAddress2")</f>
        <v>ShippingAddress2</v>
      </c>
      <c r="AO1" s="758" t="str">
        <f>IFERROR(__xludf.DUMMYFUNCTION("""COMPUTED_VALUE"""),"ShippingPostcode")</f>
        <v>ShippingPostcode</v>
      </c>
      <c r="AP1" s="758" t="str">
        <f>IFERROR(__xludf.DUMMYFUNCTION("""COMPUTED_VALUE"""),"ShippingCity")</f>
        <v>ShippingCity</v>
      </c>
      <c r="AQ1" s="758" t="str">
        <f>IFERROR(__xludf.DUMMYFUNCTION("""COMPUTED_VALUE"""),"ShippingState")</f>
        <v>ShippingState</v>
      </c>
      <c r="AR1" s="758" t="str">
        <f>IFERROR(__xludf.DUMMYFUNCTION("""COMPUTED_VALUE"""),"ShippingCountry")</f>
        <v>ShippingCountry</v>
      </c>
      <c r="AS1" s="758" t="str">
        <f>IFERROR(__xludf.DUMMYFUNCTION("""COMPUTED_VALUE"""),"LineItemId")</f>
        <v>LineItemId</v>
      </c>
      <c r="AT1" s="758" t="str">
        <f>IFERROR(__xludf.DUMMYFUNCTION("""COMPUTED_VALUE"""),"ProductId")</f>
        <v>ProductId</v>
      </c>
      <c r="AU1" s="758" t="str">
        <f>IFERROR(__xludf.DUMMYFUNCTION("""COMPUTED_VALUE"""),"VariationId")</f>
        <v>VariationId</v>
      </c>
      <c r="AV1" s="758" t="str">
        <f>IFERROR(__xludf.DUMMYFUNCTION("""COMPUTED_VALUE"""),"SKU")</f>
        <v>SKU</v>
      </c>
      <c r="AW1" s="758" t="str">
        <f>IFERROR(__xludf.DUMMYFUNCTION("""COMPUTED_VALUE"""),"ProductName")</f>
        <v>ProductName</v>
      </c>
      <c r="AX1" s="758" t="str">
        <f>IFERROR(__xludf.DUMMYFUNCTION("""COMPUTED_VALUE"""),"ProductPermalink")</f>
        <v>ProductPermalink</v>
      </c>
      <c r="AY1" s="758" t="str">
        <f>IFERROR(__xludf.DUMMYFUNCTION("""COMPUTED_VALUE"""),"Quantity")</f>
        <v>Quantity</v>
      </c>
      <c r="AZ1" s="758" t="str">
        <f>IFERROR(__xludf.DUMMYFUNCTION("""COMPUTED_VALUE"""),"Subtotal")</f>
        <v>Subtotal</v>
      </c>
      <c r="BA1" s="758" t="str">
        <f>IFERROR(__xludf.DUMMYFUNCTION("""COMPUTED_VALUE"""),"SubtotalTax")</f>
        <v>SubtotalTax</v>
      </c>
      <c r="BB1" s="758" t="str">
        <f>IFERROR(__xludf.DUMMYFUNCTION("""COMPUTED_VALUE"""),"LineTotal")</f>
        <v>LineTotal</v>
      </c>
      <c r="BC1" s="758" t="str">
        <f>IFERROR(__xludf.DUMMYFUNCTION("""COMPUTED_VALUE"""),"LineTotalTax")</f>
        <v>LineTotalTax</v>
      </c>
      <c r="BD1" s="758" t="str">
        <f>IFERROR(__xludf.DUMMYFUNCTION("""COMPUTED_VALUE"""),"LineTaxesJSON")</f>
        <v>LineTaxesJSON</v>
      </c>
      <c r="BE1" s="758" t="str">
        <f>IFERROR(__xludf.DUMMYFUNCTION("""COMPUTED_VALUE"""),"LineMetaJSON")</f>
        <v>LineMetaJSON</v>
      </c>
      <c r="BF1" s="758" t="str">
        <f>IFERROR(__xludf.DUMMYFUNCTION("""COMPUTED_VALUE"""),"VariationAttributesJSON")</f>
        <v>VariationAttributesJSON</v>
      </c>
      <c r="BG1" s="759" t="str">
        <f>IFERROR(__xludf.DUMMYFUNCTION("""COMPUTED_VALUE"""),"ARRIVATO VIA EMAIL")</f>
        <v>ARRIVATO VIA EMAIL</v>
      </c>
      <c r="BH1" s="760" t="str">
        <f>IFERROR(__xludf.DUMMYFUNCTION("""COMPUTED_VALUE"""),"X SANTO: PAGAMENTO VERIFICATO")</f>
        <v>X SANTO: PAGAMENTO VERIFICATO</v>
      </c>
      <c r="BI1" s="761" t="str">
        <f>IFERROR(__xludf.DUMMYFUNCTION("""COMPUTED_VALUE"""),"IMPORTATO NEL FILE 2526_ISCRITTI_WS")</f>
        <v>IMPORTATO NEL FILE 2526_ISCRITTI_WS</v>
      </c>
      <c r="BJ1" s="758" t="str">
        <f>IFERROR(__xludf.DUMMYFUNCTION("""COMPUTED_VALUE"""),"IMPORTATO SU ATHENA")</f>
        <v>IMPORTATO SU ATHENA</v>
      </c>
    </row>
    <row r="2">
      <c r="A2" s="762">
        <f>IFERROR(__xludf.DUMMYFUNCTION("""COMPUTED_VALUE"""),60263.0)</f>
        <v>60263</v>
      </c>
      <c r="B2" s="538">
        <f>IFERROR(__xludf.DUMMYFUNCTION("""COMPUTED_VALUE"""),60263.0)</f>
        <v>60263</v>
      </c>
      <c r="C2" s="538" t="str">
        <f>IFERROR(__xludf.DUMMYFUNCTION("""COMPUTED_VALUE"""),"2025-02-03 09:25:52")</f>
        <v>2025-02-03 09:25:52</v>
      </c>
      <c r="D2" s="538" t="str">
        <f>IFERROR(__xludf.DUMMYFUNCTION("""COMPUTED_VALUE"""),"completed")</f>
        <v>completed</v>
      </c>
      <c r="E2" s="538" t="str">
        <f>IFERROR(__xludf.DUMMYFUNCTION("""COMPUTED_VALUE"""),"ago")</f>
        <v>ago</v>
      </c>
      <c r="F2" s="538" t="str">
        <f>IFERROR(__xludf.DUMMYFUNCTION("""COMPUTED_VALUE"""),"genc")</f>
        <v>genc</v>
      </c>
      <c r="G2" s="538" t="str">
        <f>IFERROR(__xludf.DUMMYFUNCTION("""COMPUTED_VALUE"""),"ago@agogo.com")</f>
        <v>ago@agogo.com</v>
      </c>
      <c r="H2" s="538">
        <f>IFERROR(__xludf.DUMMYFUNCTION("""COMPUTED_VALUE"""),3.356385854E9)</f>
        <v>3356385854</v>
      </c>
      <c r="I2" s="538" t="str">
        <f>IFERROR(__xludf.DUMMYFUNCTION("""COMPUTED_VALUE"""),"monza")</f>
        <v>monza</v>
      </c>
      <c r="J2" s="538" t="str">
        <f>IFERROR(__xludf.DUMMYFUNCTION("""COMPUTED_VALUE"""),"via montanari 19")</f>
        <v>via montanari 19</v>
      </c>
      <c r="K2" s="538">
        <f>IFERROR(__xludf.DUMMYFUNCTION("""COMPUTED_VALUE"""),20900.0)</f>
        <v>20900</v>
      </c>
      <c r="L2" s="538" t="str">
        <f>IFERROR(__xludf.DUMMYFUNCTION("""COMPUTED_VALUE"""),"Google Pay")</f>
        <v>Google Pay</v>
      </c>
      <c r="M2" s="763"/>
      <c r="N2" s="763"/>
      <c r="O2" s="762">
        <f>IFERROR(__xludf.DUMMYFUNCTION("""COMPUTED_VALUE"""),0.0)</f>
        <v>0</v>
      </c>
      <c r="P2" s="764">
        <f>IFERROR(__xludf.DUMMYFUNCTION("""COMPUTED_VALUE"""),0.9166666666666666)</f>
        <v>0.9166666667</v>
      </c>
      <c r="Q2" s="538" t="str">
        <f>IFERROR(__xludf.DUMMYFUNCTION("""COMPUTED_VALUE"""),"EUR")</f>
        <v>EUR</v>
      </c>
      <c r="R2" s="762">
        <f>IFERROR(__xludf.DUMMYFUNCTION("""COMPUTED_VALUE"""),144.0)</f>
        <v>144</v>
      </c>
      <c r="S2" s="538" t="str">
        <f>IFERROR(__xludf.DUMMYFUNCTION("""COMPUTED_VALUE"""),"workshop Commercial con Lucia Ferrari: Workshop Commercial Lucia Ferrari")</f>
        <v>workshop Commercial con Lucia Ferrari: Workshop Commercial Lucia Ferrari</v>
      </c>
      <c r="T2" s="763"/>
      <c r="U2" s="763"/>
      <c r="V2" s="762">
        <f>IFERROR(__xludf.DUMMYFUNCTION("""COMPUTED_VALUE"""),1.0)</f>
        <v>1</v>
      </c>
      <c r="W2" s="762">
        <f>IFERROR(__xludf.DUMMYFUNCTION("""COMPUTED_VALUE"""),22.0)</f>
        <v>22</v>
      </c>
      <c r="X2" s="762">
        <f>IFERROR(__xludf.DUMMYFUNCTION("""COMPUTED_VALUE"""),22.0)</f>
        <v>22</v>
      </c>
      <c r="Y2" s="763"/>
      <c r="Z2" s="765" t="str">
        <f>IFERROR(__xludf.DUMMYFUNCTION("""COMPUTED_VALUE"""),"https://studio-gem.it/wp-admin/post.php?post=60263&amp;action=edit")</f>
        <v>https://studio-gem.it/wp-admin/post.php?post=60263&amp;action=edit</v>
      </c>
      <c r="AA2" s="763"/>
      <c r="AB2" s="763"/>
      <c r="AC2" s="763"/>
      <c r="AD2" s="763"/>
      <c r="AE2" s="763"/>
      <c r="AF2" s="763"/>
      <c r="AG2" s="763"/>
      <c r="AH2" s="763"/>
      <c r="AI2" s="763"/>
      <c r="AJ2" s="763"/>
      <c r="AK2" s="763"/>
      <c r="AL2" s="763"/>
      <c r="AM2" s="763"/>
      <c r="AN2" s="763"/>
      <c r="AO2" s="763"/>
      <c r="AP2" s="763"/>
      <c r="AQ2" s="763"/>
      <c r="AR2" s="763"/>
      <c r="AS2" s="763"/>
      <c r="AT2" s="763"/>
      <c r="AU2" s="763"/>
      <c r="AV2" s="763"/>
      <c r="AW2" s="763"/>
      <c r="AX2" s="763"/>
      <c r="AY2" s="763"/>
      <c r="AZ2" s="763"/>
      <c r="BA2" s="763"/>
      <c r="BB2" s="763"/>
      <c r="BC2" s="763"/>
      <c r="BD2" s="763"/>
      <c r="BE2" s="763"/>
      <c r="BF2" s="763"/>
      <c r="BG2" s="763" t="b">
        <f>IFERROR(__xludf.DUMMYFUNCTION("""COMPUTED_VALUE"""),FALSE)</f>
        <v>0</v>
      </c>
      <c r="BH2" s="763" t="b">
        <f>IFERROR(__xludf.DUMMYFUNCTION("""COMPUTED_VALUE"""),FALSE)</f>
        <v>0</v>
      </c>
      <c r="BI2" s="763" t="b">
        <f>IFERROR(__xludf.DUMMYFUNCTION("""COMPUTED_VALUE"""),FALSE)</f>
        <v>0</v>
      </c>
      <c r="BJ2" s="763" t="b">
        <f>IFERROR(__xludf.DUMMYFUNCTION("""COMPUTED_VALUE"""),FALSE)</f>
        <v>0</v>
      </c>
    </row>
    <row r="3">
      <c r="A3" s="762">
        <f>IFERROR(__xludf.DUMMYFUNCTION("""COMPUTED_VALUE"""),60682.0)</f>
        <v>60682</v>
      </c>
      <c r="B3" s="538">
        <f>IFERROR(__xludf.DUMMYFUNCTION("""COMPUTED_VALUE"""),60682.0)</f>
        <v>60682</v>
      </c>
      <c r="C3" s="538" t="str">
        <f>IFERROR(__xludf.DUMMYFUNCTION("""COMPUTED_VALUE"""),"2025-02-07 17:11:42")</f>
        <v>2025-02-07 17:11:42</v>
      </c>
      <c r="D3" s="538" t="str">
        <f>IFERROR(__xludf.DUMMYFUNCTION("""COMPUTED_VALUE"""),"completed")</f>
        <v>completed</v>
      </c>
      <c r="E3" s="538" t="str">
        <f>IFERROR(__xludf.DUMMYFUNCTION("""COMPUTED_VALUE"""),"Augusto")</f>
        <v>Augusto</v>
      </c>
      <c r="F3" s="538" t="str">
        <f>IFERROR(__xludf.DUMMYFUNCTION("""COMPUTED_VALUE"""),"Genca")</f>
        <v>Genca</v>
      </c>
      <c r="G3" s="538" t="str">
        <f>IFERROR(__xludf.DUMMYFUNCTION("""COMPUTED_VALUE"""),"a@agogo.it")</f>
        <v>a@agogo.it</v>
      </c>
      <c r="H3" s="538">
        <f>IFERROR(__xludf.DUMMYFUNCTION("""COMPUTED_VALUE"""),3.35699999E8)</f>
        <v>335699999</v>
      </c>
      <c r="I3" s="538" t="str">
        <f>IFERROR(__xludf.DUMMYFUNCTION("""COMPUTED_VALUE"""),"Bresso")</f>
        <v>Bresso</v>
      </c>
      <c r="J3" s="538" t="str">
        <f>IFERROR(__xludf.DUMMYFUNCTION("""COMPUTED_VALUE"""),"VIa aldo villa 16")</f>
        <v>VIa aldo villa 16</v>
      </c>
      <c r="K3" s="538">
        <f>IFERROR(__xludf.DUMMYFUNCTION("""COMPUTED_VALUE"""),20097.0)</f>
        <v>20097</v>
      </c>
      <c r="L3" s="538" t="str">
        <f>IFERROR(__xludf.DUMMYFUNCTION("""COMPUTED_VALUE"""),"Carte di pagamento")</f>
        <v>Carte di pagamento</v>
      </c>
      <c r="M3" s="538" t="str">
        <f>IFERROR(__xludf.DUMMYFUNCTION("""COMPUTED_VALUE"""),"agotest25")</f>
        <v>agotest25</v>
      </c>
      <c r="N3" s="763">
        <f>IFERROR(__xludf.DUMMYFUNCTION("""COMPUTED_VALUE"""),1.23456789E9)</f>
        <v>1234567890</v>
      </c>
      <c r="O3" s="762">
        <f>IFERROR(__xludf.DUMMYFUNCTION("""COMPUTED_VALUE"""),0.0)</f>
        <v>0</v>
      </c>
      <c r="P3" s="764">
        <f>IFERROR(__xludf.DUMMYFUNCTION("""COMPUTED_VALUE"""),0.7083333333333334)</f>
        <v>0.7083333333</v>
      </c>
      <c r="Q3" s="538" t="str">
        <f>IFERROR(__xludf.DUMMYFUNCTION("""COMPUTED_VALUE"""),"EUR")</f>
        <v>EUR</v>
      </c>
      <c r="R3" s="762">
        <f>IFERROR(__xludf.DUMMYFUNCTION("""COMPUTED_VALUE"""),163.0)</f>
        <v>163</v>
      </c>
      <c r="S3" s="538" t="str">
        <f>IFERROR(__xludf.DUMMYFUNCTION("""COMPUTED_VALUE"""),"workshop Commercial con Lucia Ferrari: Workshop Commercial Lucia Ferrari")</f>
        <v>workshop Commercial con Lucia Ferrari: Workshop Commercial Lucia Ferrari</v>
      </c>
      <c r="T3" s="763"/>
      <c r="U3" s="763"/>
      <c r="V3" s="762">
        <f>IFERROR(__xludf.DUMMYFUNCTION("""COMPUTED_VALUE"""),1.0)</f>
        <v>1</v>
      </c>
      <c r="W3" s="762">
        <f>IFERROR(__xludf.DUMMYFUNCTION("""COMPUTED_VALUE"""),17.0)</f>
        <v>17</v>
      </c>
      <c r="X3" s="762">
        <f>IFERROR(__xludf.DUMMYFUNCTION("""COMPUTED_VALUE"""),17.0)</f>
        <v>17</v>
      </c>
      <c r="Y3" s="763"/>
      <c r="Z3" s="765" t="str">
        <f>IFERROR(__xludf.DUMMYFUNCTION("""COMPUTED_VALUE"""),"https://studio-gem.it/wp-admin/post.php?post=60682&amp;action=edit")</f>
        <v>https://studio-gem.it/wp-admin/post.php?post=60682&amp;action=edit</v>
      </c>
      <c r="AA3" s="763"/>
      <c r="AB3" s="763"/>
      <c r="AC3" s="763"/>
      <c r="AD3" s="763"/>
      <c r="AE3" s="763"/>
      <c r="AF3" s="763"/>
      <c r="AG3" s="763"/>
      <c r="AH3" s="763"/>
      <c r="AI3" s="763"/>
      <c r="AJ3" s="763"/>
      <c r="AK3" s="763"/>
      <c r="AL3" s="763"/>
      <c r="AM3" s="763"/>
      <c r="AN3" s="763"/>
      <c r="AO3" s="763"/>
      <c r="AP3" s="763"/>
      <c r="AQ3" s="763"/>
      <c r="AR3" s="763"/>
      <c r="AS3" s="763"/>
      <c r="AT3" s="763"/>
      <c r="AU3" s="763"/>
      <c r="AV3" s="763"/>
      <c r="AW3" s="763"/>
      <c r="AX3" s="763"/>
      <c r="AY3" s="763"/>
      <c r="AZ3" s="763"/>
      <c r="BA3" s="763"/>
      <c r="BB3" s="763"/>
      <c r="BC3" s="763"/>
      <c r="BD3" s="763"/>
      <c r="BE3" s="763"/>
      <c r="BF3" s="763"/>
      <c r="BG3" s="763" t="b">
        <f>IFERROR(__xludf.DUMMYFUNCTION("""COMPUTED_VALUE"""),FALSE)</f>
        <v>0</v>
      </c>
      <c r="BH3" s="763" t="b">
        <f>IFERROR(__xludf.DUMMYFUNCTION("""COMPUTED_VALUE"""),TRUE)</f>
        <v>1</v>
      </c>
      <c r="BI3" s="763" t="b">
        <f>IFERROR(__xludf.DUMMYFUNCTION("""COMPUTED_VALUE"""),FALSE)</f>
        <v>0</v>
      </c>
      <c r="BJ3" s="763" t="b">
        <f>IFERROR(__xludf.DUMMYFUNCTION("""COMPUTED_VALUE"""),FALSE)</f>
        <v>0</v>
      </c>
    </row>
    <row r="4">
      <c r="A4" s="762">
        <f>IFERROR(__xludf.DUMMYFUNCTION("""COMPUTED_VALUE"""),60882.0)</f>
        <v>60882</v>
      </c>
      <c r="B4" s="538">
        <f>IFERROR(__xludf.DUMMYFUNCTION("""COMPUTED_VALUE"""),60882.0)</f>
        <v>60882</v>
      </c>
      <c r="C4" s="538" t="str">
        <f>IFERROR(__xludf.DUMMYFUNCTION("""COMPUTED_VALUE"""),"2025-02-11 18:16:04")</f>
        <v>2025-02-11 18:16:04</v>
      </c>
      <c r="D4" s="538" t="str">
        <f>IFERROR(__xludf.DUMMYFUNCTION("""COMPUTED_VALUE"""),"cancelled")</f>
        <v>cancelled</v>
      </c>
      <c r="E4" s="538" t="str">
        <f>IFERROR(__xludf.DUMMYFUNCTION("""COMPUTED_VALUE"""),"ago")</f>
        <v>ago</v>
      </c>
      <c r="F4" s="538" t="str">
        <f>IFERROR(__xludf.DUMMYFUNCTION("""COMPUTED_VALUE"""),"genc")</f>
        <v>genc</v>
      </c>
      <c r="G4" s="538" t="str">
        <f>IFERROR(__xludf.DUMMYFUNCTION("""COMPUTED_VALUE"""),"ago@agogo.com")</f>
        <v>ago@agogo.com</v>
      </c>
      <c r="H4" s="538">
        <f>IFERROR(__xludf.DUMMYFUNCTION("""COMPUTED_VALUE"""),3.356385854E9)</f>
        <v>3356385854</v>
      </c>
      <c r="I4" s="538" t="str">
        <f>IFERROR(__xludf.DUMMYFUNCTION("""COMPUTED_VALUE"""),"monza")</f>
        <v>monza</v>
      </c>
      <c r="J4" s="538" t="str">
        <f>IFERROR(__xludf.DUMMYFUNCTION("""COMPUTED_VALUE"""),"via montanari 19")</f>
        <v>via montanari 19</v>
      </c>
      <c r="K4" s="538">
        <f>IFERROR(__xludf.DUMMYFUNCTION("""COMPUTED_VALUE"""),20900.0)</f>
        <v>20900</v>
      </c>
      <c r="L4" s="538" t="str">
        <f>IFERROR(__xludf.DUMMYFUNCTION("""COMPUTED_VALUE"""),"Satispay")</f>
        <v>Satispay</v>
      </c>
      <c r="M4" s="538" t="str">
        <f>IFERROR(__xludf.DUMMYFUNCTION("""COMPUTED_VALUE"""),"agotest25")</f>
        <v>agotest25</v>
      </c>
      <c r="N4" s="763" t="str">
        <f>IFERROR(__xludf.DUMMYFUNCTION("""COMPUTED_VALUE"""),"d8db4cb1-cbd1-4b63-811b-8ac5bd2f1099")</f>
        <v>d8db4cb1-cbd1-4b63-811b-8ac5bd2f1099</v>
      </c>
      <c r="O4" s="762">
        <f>IFERROR(__xludf.DUMMYFUNCTION("""COMPUTED_VALUE"""),0.0)</f>
        <v>0</v>
      </c>
      <c r="P4" s="764">
        <f>IFERROR(__xludf.DUMMYFUNCTION("""COMPUTED_VALUE"""),0.0375)</f>
        <v>0.0375</v>
      </c>
      <c r="Q4" s="538" t="str">
        <f>IFERROR(__xludf.DUMMYFUNCTION("""COMPUTED_VALUE"""),"EUR")</f>
        <v>EUR</v>
      </c>
      <c r="R4" s="762">
        <f>IFERROR(__xludf.DUMMYFUNCTION("""COMPUTED_VALUE"""),178.0)</f>
        <v>178</v>
      </c>
      <c r="S4" s="538" t="str">
        <f>IFERROR(__xludf.DUMMYFUNCTION("""COMPUTED_VALUE"""),"workshop Commercial con Lucia Ferrari: Workshop Commercial Lucia Ferrari")</f>
        <v>workshop Commercial con Lucia Ferrari: Workshop Commercial Lucia Ferrari</v>
      </c>
      <c r="T4" s="763"/>
      <c r="U4" s="763"/>
      <c r="V4" s="762">
        <f>IFERROR(__xludf.DUMMYFUNCTION("""COMPUTED_VALUE"""),1.0)</f>
        <v>1</v>
      </c>
      <c r="W4" s="762">
        <f>IFERROR(__xludf.DUMMYFUNCTION("""COMPUTED_VALUE"""),0.22)</f>
        <v>0.22</v>
      </c>
      <c r="X4" s="762">
        <f>IFERROR(__xludf.DUMMYFUNCTION("""COMPUTED_VALUE"""),0.22)</f>
        <v>0.22</v>
      </c>
      <c r="Y4" s="763"/>
      <c r="Z4" s="765" t="str">
        <f>IFERROR(__xludf.DUMMYFUNCTION("""COMPUTED_VALUE"""),"https://studio-gem.it/wp-admin/post.php?post=60882&amp;action=edit")</f>
        <v>https://studio-gem.it/wp-admin/post.php?post=60882&amp;action=edit</v>
      </c>
      <c r="AA4" s="763"/>
      <c r="AB4" s="763"/>
      <c r="AC4" s="763"/>
      <c r="AD4" s="763"/>
      <c r="AE4" s="763"/>
      <c r="AF4" s="763"/>
      <c r="AG4" s="763"/>
      <c r="AH4" s="763"/>
      <c r="AI4" s="763"/>
      <c r="AJ4" s="763"/>
      <c r="AK4" s="763"/>
      <c r="AL4" s="763"/>
      <c r="AM4" s="763"/>
      <c r="AN4" s="763"/>
      <c r="AO4" s="763"/>
      <c r="AP4" s="763"/>
      <c r="AQ4" s="763"/>
      <c r="AR4" s="763"/>
      <c r="AS4" s="763"/>
      <c r="AT4" s="763"/>
      <c r="AU4" s="763"/>
      <c r="AV4" s="763"/>
      <c r="AW4" s="763"/>
      <c r="AX4" s="763"/>
      <c r="AY4" s="763"/>
      <c r="AZ4" s="763"/>
      <c r="BA4" s="763"/>
      <c r="BB4" s="763"/>
      <c r="BC4" s="763"/>
      <c r="BD4" s="763"/>
      <c r="BE4" s="763"/>
      <c r="BF4" s="763"/>
      <c r="BG4" s="763" t="b">
        <f>IFERROR(__xludf.DUMMYFUNCTION("""COMPUTED_VALUE"""),FALSE)</f>
        <v>0</v>
      </c>
      <c r="BH4" s="763" t="b">
        <f>IFERROR(__xludf.DUMMYFUNCTION("""COMPUTED_VALUE"""),TRUE)</f>
        <v>1</v>
      </c>
      <c r="BI4" s="763" t="b">
        <f>IFERROR(__xludf.DUMMYFUNCTION("""COMPUTED_VALUE"""),FALSE)</f>
        <v>0</v>
      </c>
      <c r="BJ4" s="763" t="b">
        <f>IFERROR(__xludf.DUMMYFUNCTION("""COMPUTED_VALUE"""),FALSE)</f>
        <v>0</v>
      </c>
    </row>
    <row r="5">
      <c r="A5" s="762">
        <f>IFERROR(__xludf.DUMMYFUNCTION("""COMPUTED_VALUE"""),60882.0)</f>
        <v>60882</v>
      </c>
      <c r="B5" s="538">
        <f>IFERROR(__xludf.DUMMYFUNCTION("""COMPUTED_VALUE"""),60882.0)</f>
        <v>60882</v>
      </c>
      <c r="C5" s="538" t="str">
        <f>IFERROR(__xludf.DUMMYFUNCTION("""COMPUTED_VALUE"""),"2025-02-11 18:16:04")</f>
        <v>2025-02-11 18:16:04</v>
      </c>
      <c r="D5" s="538" t="str">
        <f>IFERROR(__xludf.DUMMYFUNCTION("""COMPUTED_VALUE"""),"cancelled")</f>
        <v>cancelled</v>
      </c>
      <c r="E5" s="538" t="str">
        <f>IFERROR(__xludf.DUMMYFUNCTION("""COMPUTED_VALUE"""),"ago")</f>
        <v>ago</v>
      </c>
      <c r="F5" s="538" t="str">
        <f>IFERROR(__xludf.DUMMYFUNCTION("""COMPUTED_VALUE"""),"genc")</f>
        <v>genc</v>
      </c>
      <c r="G5" s="538" t="str">
        <f>IFERROR(__xludf.DUMMYFUNCTION("""COMPUTED_VALUE"""),"ago@agogo.com")</f>
        <v>ago@agogo.com</v>
      </c>
      <c r="H5" s="538">
        <f>IFERROR(__xludf.DUMMYFUNCTION("""COMPUTED_VALUE"""),3.356385854E9)</f>
        <v>3356385854</v>
      </c>
      <c r="I5" s="538" t="str">
        <f>IFERROR(__xludf.DUMMYFUNCTION("""COMPUTED_VALUE"""),"monza")</f>
        <v>monza</v>
      </c>
      <c r="J5" s="538" t="str">
        <f>IFERROR(__xludf.DUMMYFUNCTION("""COMPUTED_VALUE"""),"via montanari 19")</f>
        <v>via montanari 19</v>
      </c>
      <c r="K5" s="538">
        <f>IFERROR(__xludf.DUMMYFUNCTION("""COMPUTED_VALUE"""),20900.0)</f>
        <v>20900</v>
      </c>
      <c r="L5" s="538" t="str">
        <f>IFERROR(__xludf.DUMMYFUNCTION("""COMPUTED_VALUE"""),"Satispay")</f>
        <v>Satispay</v>
      </c>
      <c r="M5" s="538" t="str">
        <f>IFERROR(__xludf.DUMMYFUNCTION("""COMPUTED_VALUE"""),"agotest25")</f>
        <v>agotest25</v>
      </c>
      <c r="N5" s="763" t="str">
        <f>IFERROR(__xludf.DUMMYFUNCTION("""COMPUTED_VALUE"""),"d8db4cb1-cbd1-4b63-811b-8ac5bd2f1099")</f>
        <v>d8db4cb1-cbd1-4b63-811b-8ac5bd2f1099</v>
      </c>
      <c r="O5" s="762">
        <f>IFERROR(__xludf.DUMMYFUNCTION("""COMPUTED_VALUE"""),0.0)</f>
        <v>0</v>
      </c>
      <c r="P5" s="764">
        <f>IFERROR(__xludf.DUMMYFUNCTION("""COMPUTED_VALUE"""),0.0375)</f>
        <v>0.0375</v>
      </c>
      <c r="Q5" s="538" t="str">
        <f>IFERROR(__xludf.DUMMYFUNCTION("""COMPUTED_VALUE"""),"EUR")</f>
        <v>EUR</v>
      </c>
      <c r="R5" s="762">
        <f>IFERROR(__xludf.DUMMYFUNCTION("""COMPUTED_VALUE"""),179.0)</f>
        <v>179</v>
      </c>
      <c r="S5" s="538" t="str">
        <f>IFERROR(__xludf.DUMMYFUNCTION("""COMPUTED_VALUE"""),"Workshop Heels con Megan Ria - workshop Heels con Megan Ria")</f>
        <v>Workshop Heels con Megan Ria - workshop Heels con Megan Ria</v>
      </c>
      <c r="T5" s="763"/>
      <c r="U5" s="763"/>
      <c r="V5" s="762">
        <f>IFERROR(__xludf.DUMMYFUNCTION("""COMPUTED_VALUE"""),1.0)</f>
        <v>1</v>
      </c>
      <c r="W5" s="762">
        <f>IFERROR(__xludf.DUMMYFUNCTION("""COMPUTED_VALUE"""),0.32)</f>
        <v>0.32</v>
      </c>
      <c r="X5" s="762">
        <f>IFERROR(__xludf.DUMMYFUNCTION("""COMPUTED_VALUE"""),0.32)</f>
        <v>0.32</v>
      </c>
      <c r="Y5" s="763"/>
      <c r="Z5" s="765" t="str">
        <f>IFERROR(__xludf.DUMMYFUNCTION("""COMPUTED_VALUE"""),"https://studio-gem.it/wp-admin/post.php?post=60882&amp;action=edit")</f>
        <v>https://studio-gem.it/wp-admin/post.php?post=60882&amp;action=edit</v>
      </c>
      <c r="AA5" s="763"/>
      <c r="AB5" s="763"/>
      <c r="AC5" s="763"/>
      <c r="AD5" s="763"/>
      <c r="AE5" s="763"/>
      <c r="AF5" s="763"/>
      <c r="AG5" s="763"/>
      <c r="AH5" s="763"/>
      <c r="AI5" s="763"/>
      <c r="AJ5" s="763"/>
      <c r="AK5" s="763"/>
      <c r="AL5" s="763"/>
      <c r="AM5" s="763"/>
      <c r="AN5" s="763"/>
      <c r="AO5" s="763"/>
      <c r="AP5" s="763"/>
      <c r="AQ5" s="763"/>
      <c r="AR5" s="763"/>
      <c r="AS5" s="763"/>
      <c r="AT5" s="763"/>
      <c r="AU5" s="763"/>
      <c r="AV5" s="763"/>
      <c r="AW5" s="763"/>
      <c r="AX5" s="763"/>
      <c r="AY5" s="763"/>
      <c r="AZ5" s="763"/>
      <c r="BA5" s="763"/>
      <c r="BB5" s="763"/>
      <c r="BC5" s="763"/>
      <c r="BD5" s="763"/>
      <c r="BE5" s="763"/>
      <c r="BF5" s="763"/>
      <c r="BG5" s="763" t="b">
        <f>IFERROR(__xludf.DUMMYFUNCTION("""COMPUTED_VALUE"""),FALSE)</f>
        <v>0</v>
      </c>
      <c r="BH5" s="763" t="b">
        <f>IFERROR(__xludf.DUMMYFUNCTION("""COMPUTED_VALUE"""),TRUE)</f>
        <v>1</v>
      </c>
      <c r="BI5" s="763" t="b">
        <f>IFERROR(__xludf.DUMMYFUNCTION("""COMPUTED_VALUE"""),FALSE)</f>
        <v>0</v>
      </c>
      <c r="BJ5" s="763" t="b">
        <f>IFERROR(__xludf.DUMMYFUNCTION("""COMPUTED_VALUE"""),FALSE)</f>
        <v>0</v>
      </c>
    </row>
    <row r="6">
      <c r="A6" s="762">
        <f>IFERROR(__xludf.DUMMYFUNCTION("""COMPUTED_VALUE"""),60883.0)</f>
        <v>60883</v>
      </c>
      <c r="B6" s="538">
        <f>IFERROR(__xludf.DUMMYFUNCTION("""COMPUTED_VALUE"""),60883.0)</f>
        <v>60883</v>
      </c>
      <c r="C6" s="538" t="str">
        <f>IFERROR(__xludf.DUMMYFUNCTION("""COMPUTED_VALUE"""),"2025-02-11 18:19:26")</f>
        <v>2025-02-11 18:19:26</v>
      </c>
      <c r="D6" s="538" t="str">
        <f>IFERROR(__xludf.DUMMYFUNCTION("""COMPUTED_VALUE"""),"cancelled")</f>
        <v>cancelled</v>
      </c>
      <c r="E6" s="538" t="str">
        <f>IFERROR(__xludf.DUMMYFUNCTION("""COMPUTED_VALUE"""),"ago")</f>
        <v>ago</v>
      </c>
      <c r="F6" s="538" t="str">
        <f>IFERROR(__xludf.DUMMYFUNCTION("""COMPUTED_VALUE"""),"genc")</f>
        <v>genc</v>
      </c>
      <c r="G6" s="538" t="str">
        <f>IFERROR(__xludf.DUMMYFUNCTION("""COMPUTED_VALUE"""),"ago@agogo.com")</f>
        <v>ago@agogo.com</v>
      </c>
      <c r="H6" s="538">
        <f>IFERROR(__xludf.DUMMYFUNCTION("""COMPUTED_VALUE"""),3.356385854E9)</f>
        <v>3356385854</v>
      </c>
      <c r="I6" s="538" t="str">
        <f>IFERROR(__xludf.DUMMYFUNCTION("""COMPUTED_VALUE"""),"monza")</f>
        <v>monza</v>
      </c>
      <c r="J6" s="538" t="str">
        <f>IFERROR(__xludf.DUMMYFUNCTION("""COMPUTED_VALUE"""),"via montanari 19")</f>
        <v>via montanari 19</v>
      </c>
      <c r="K6" s="538">
        <f>IFERROR(__xludf.DUMMYFUNCTION("""COMPUTED_VALUE"""),20900.0)</f>
        <v>20900</v>
      </c>
      <c r="L6" s="538" t="str">
        <f>IFERROR(__xludf.DUMMYFUNCTION("""COMPUTED_VALUE"""),"Satispay")</f>
        <v>Satispay</v>
      </c>
      <c r="M6" s="538" t="str">
        <f>IFERROR(__xludf.DUMMYFUNCTION("""COMPUTED_VALUE"""),"agotest25")</f>
        <v>agotest25</v>
      </c>
      <c r="N6" s="763" t="str">
        <f>IFERROR(__xludf.DUMMYFUNCTION("""COMPUTED_VALUE"""),"1b3cd1c0-f8a1-4886-b098-45cf59c39117")</f>
        <v>1b3cd1c0-f8a1-4886-b098-45cf59c39117</v>
      </c>
      <c r="O6" s="762">
        <f>IFERROR(__xludf.DUMMYFUNCTION("""COMPUTED_VALUE"""),0.0)</f>
        <v>0</v>
      </c>
      <c r="P6" s="764">
        <f>IFERROR(__xludf.DUMMYFUNCTION("""COMPUTED_VALUE"""),0.044444444444444446)</f>
        <v>0.04444444444</v>
      </c>
      <c r="Q6" s="538" t="str">
        <f>IFERROR(__xludf.DUMMYFUNCTION("""COMPUTED_VALUE"""),"EUR")</f>
        <v>EUR</v>
      </c>
      <c r="R6" s="762">
        <f>IFERROR(__xludf.DUMMYFUNCTION("""COMPUTED_VALUE"""),195.0)</f>
        <v>195</v>
      </c>
      <c r="S6" s="538" t="str">
        <f>IFERROR(__xludf.DUMMYFUNCTION("""COMPUTED_VALUE"""),"Workshop Heels con Megan Ria - workshop Heels con Megan Ria")</f>
        <v>Workshop Heels con Megan Ria - workshop Heels con Megan Ria</v>
      </c>
      <c r="T6" s="763"/>
      <c r="U6" s="763"/>
      <c r="V6" s="762">
        <f>IFERROR(__xludf.DUMMYFUNCTION("""COMPUTED_VALUE"""),1.0)</f>
        <v>1</v>
      </c>
      <c r="W6" s="762">
        <f>IFERROR(__xludf.DUMMYFUNCTION("""COMPUTED_VALUE"""),0.32)</f>
        <v>0.32</v>
      </c>
      <c r="X6" s="762">
        <f>IFERROR(__xludf.DUMMYFUNCTION("""COMPUTED_VALUE"""),0.32)</f>
        <v>0.32</v>
      </c>
      <c r="Y6" s="763"/>
      <c r="Z6" s="765" t="str">
        <f>IFERROR(__xludf.DUMMYFUNCTION("""COMPUTED_VALUE"""),"https://studio-gem.it/wp-admin/post.php?post=60883&amp;action=edit")</f>
        <v>https://studio-gem.it/wp-admin/post.php?post=60883&amp;action=edit</v>
      </c>
      <c r="AA6" s="763"/>
      <c r="AB6" s="763"/>
      <c r="AC6" s="763"/>
      <c r="AD6" s="763"/>
      <c r="AE6" s="763"/>
      <c r="AF6" s="763"/>
      <c r="AG6" s="763"/>
      <c r="AH6" s="763"/>
      <c r="AI6" s="763"/>
      <c r="AJ6" s="763"/>
      <c r="AK6" s="763"/>
      <c r="AL6" s="763"/>
      <c r="AM6" s="763"/>
      <c r="AN6" s="763"/>
      <c r="AO6" s="763"/>
      <c r="AP6" s="763"/>
      <c r="AQ6" s="763"/>
      <c r="AR6" s="763"/>
      <c r="AS6" s="763"/>
      <c r="AT6" s="763"/>
      <c r="AU6" s="763"/>
      <c r="AV6" s="763"/>
      <c r="AW6" s="763"/>
      <c r="AX6" s="763"/>
      <c r="AY6" s="763"/>
      <c r="AZ6" s="763"/>
      <c r="BA6" s="763"/>
      <c r="BB6" s="763"/>
      <c r="BC6" s="763"/>
      <c r="BD6" s="763"/>
      <c r="BE6" s="763"/>
      <c r="BF6" s="763"/>
      <c r="BG6" s="763" t="b">
        <f>IFERROR(__xludf.DUMMYFUNCTION("""COMPUTED_VALUE"""),FALSE)</f>
        <v>0</v>
      </c>
      <c r="BH6" s="763" t="b">
        <f>IFERROR(__xludf.DUMMYFUNCTION("""COMPUTED_VALUE"""),TRUE)</f>
        <v>1</v>
      </c>
      <c r="BI6" s="763" t="b">
        <f>IFERROR(__xludf.DUMMYFUNCTION("""COMPUTED_VALUE"""),FALSE)</f>
        <v>0</v>
      </c>
      <c r="BJ6" s="763" t="b">
        <f>IFERROR(__xludf.DUMMYFUNCTION("""COMPUTED_VALUE"""),FALSE)</f>
        <v>0</v>
      </c>
    </row>
    <row r="7">
      <c r="A7" s="762">
        <f>IFERROR(__xludf.DUMMYFUNCTION("""COMPUTED_VALUE"""),60883.0)</f>
        <v>60883</v>
      </c>
      <c r="B7" s="538">
        <f>IFERROR(__xludf.DUMMYFUNCTION("""COMPUTED_VALUE"""),60883.0)</f>
        <v>60883</v>
      </c>
      <c r="C7" s="538" t="str">
        <f>IFERROR(__xludf.DUMMYFUNCTION("""COMPUTED_VALUE"""),"2025-02-11 18:19:26")</f>
        <v>2025-02-11 18:19:26</v>
      </c>
      <c r="D7" s="538" t="str">
        <f>IFERROR(__xludf.DUMMYFUNCTION("""COMPUTED_VALUE"""),"cancelled")</f>
        <v>cancelled</v>
      </c>
      <c r="E7" s="538" t="str">
        <f>IFERROR(__xludf.DUMMYFUNCTION("""COMPUTED_VALUE"""),"ago")</f>
        <v>ago</v>
      </c>
      <c r="F7" s="538" t="str">
        <f>IFERROR(__xludf.DUMMYFUNCTION("""COMPUTED_VALUE"""),"genc")</f>
        <v>genc</v>
      </c>
      <c r="G7" s="538" t="str">
        <f>IFERROR(__xludf.DUMMYFUNCTION("""COMPUTED_VALUE"""),"ago@agogo.com")</f>
        <v>ago@agogo.com</v>
      </c>
      <c r="H7" s="538">
        <f>IFERROR(__xludf.DUMMYFUNCTION("""COMPUTED_VALUE"""),3.356385854E9)</f>
        <v>3356385854</v>
      </c>
      <c r="I7" s="538" t="str">
        <f>IFERROR(__xludf.DUMMYFUNCTION("""COMPUTED_VALUE"""),"monza")</f>
        <v>monza</v>
      </c>
      <c r="J7" s="538" t="str">
        <f>IFERROR(__xludf.DUMMYFUNCTION("""COMPUTED_VALUE"""),"via montanari 19")</f>
        <v>via montanari 19</v>
      </c>
      <c r="K7" s="538">
        <f>IFERROR(__xludf.DUMMYFUNCTION("""COMPUTED_VALUE"""),20900.0)</f>
        <v>20900</v>
      </c>
      <c r="L7" s="538" t="str">
        <f>IFERROR(__xludf.DUMMYFUNCTION("""COMPUTED_VALUE"""),"Satispay")</f>
        <v>Satispay</v>
      </c>
      <c r="M7" s="538" t="str">
        <f>IFERROR(__xludf.DUMMYFUNCTION("""COMPUTED_VALUE"""),"agotest25")</f>
        <v>agotest25</v>
      </c>
      <c r="N7" s="763" t="str">
        <f>IFERROR(__xludf.DUMMYFUNCTION("""COMPUTED_VALUE"""),"1b3cd1c0-f8a1-4886-b098-45cf59c39117")</f>
        <v>1b3cd1c0-f8a1-4886-b098-45cf59c39117</v>
      </c>
      <c r="O7" s="762">
        <f>IFERROR(__xludf.DUMMYFUNCTION("""COMPUTED_VALUE"""),0.0)</f>
        <v>0</v>
      </c>
      <c r="P7" s="764">
        <f>IFERROR(__xludf.DUMMYFUNCTION("""COMPUTED_VALUE"""),0.044444444444444446)</f>
        <v>0.04444444444</v>
      </c>
      <c r="Q7" s="538" t="str">
        <f>IFERROR(__xludf.DUMMYFUNCTION("""COMPUTED_VALUE"""),"EUR")</f>
        <v>EUR</v>
      </c>
      <c r="R7" s="762">
        <f>IFERROR(__xludf.DUMMYFUNCTION("""COMPUTED_VALUE"""),196.0)</f>
        <v>196</v>
      </c>
      <c r="S7" s="538" t="str">
        <f>IFERROR(__xludf.DUMMYFUNCTION("""COMPUTED_VALUE"""),"Workshop Heels con Megan Ria - workshop Heels con Megan Ria")</f>
        <v>Workshop Heels con Megan Ria - workshop Heels con Megan Ria</v>
      </c>
      <c r="T7" s="763"/>
      <c r="U7" s="763"/>
      <c r="V7" s="762">
        <f>IFERROR(__xludf.DUMMYFUNCTION("""COMPUTED_VALUE"""),1.0)</f>
        <v>1</v>
      </c>
      <c r="W7" s="762">
        <f>IFERROR(__xludf.DUMMYFUNCTION("""COMPUTED_VALUE"""),0.32)</f>
        <v>0.32</v>
      </c>
      <c r="X7" s="762">
        <f>IFERROR(__xludf.DUMMYFUNCTION("""COMPUTED_VALUE"""),0.32)</f>
        <v>0.32</v>
      </c>
      <c r="Y7" s="763"/>
      <c r="Z7" s="765" t="str">
        <f>IFERROR(__xludf.DUMMYFUNCTION("""COMPUTED_VALUE"""),"https://studio-gem.it/wp-admin/post.php?post=60883&amp;action=edit")</f>
        <v>https://studio-gem.it/wp-admin/post.php?post=60883&amp;action=edit</v>
      </c>
      <c r="AA7" s="763"/>
      <c r="AB7" s="763"/>
      <c r="AC7" s="763"/>
      <c r="AD7" s="763"/>
      <c r="AE7" s="763"/>
      <c r="AF7" s="763"/>
      <c r="AG7" s="763"/>
      <c r="AH7" s="763"/>
      <c r="AI7" s="763"/>
      <c r="AJ7" s="763"/>
      <c r="AK7" s="763"/>
      <c r="AL7" s="763"/>
      <c r="AM7" s="763"/>
      <c r="AN7" s="763"/>
      <c r="AO7" s="763"/>
      <c r="AP7" s="763"/>
      <c r="AQ7" s="763"/>
      <c r="AR7" s="763"/>
      <c r="AS7" s="763"/>
      <c r="AT7" s="763"/>
      <c r="AU7" s="763"/>
      <c r="AV7" s="763"/>
      <c r="AW7" s="763"/>
      <c r="AX7" s="763"/>
      <c r="AY7" s="763"/>
      <c r="AZ7" s="763"/>
      <c r="BA7" s="763"/>
      <c r="BB7" s="763"/>
      <c r="BC7" s="763"/>
      <c r="BD7" s="763"/>
      <c r="BE7" s="763"/>
      <c r="BF7" s="763"/>
      <c r="BG7" s="763" t="b">
        <f>IFERROR(__xludf.DUMMYFUNCTION("""COMPUTED_VALUE"""),FALSE)</f>
        <v>0</v>
      </c>
      <c r="BH7" s="763" t="b">
        <f>IFERROR(__xludf.DUMMYFUNCTION("""COMPUTED_VALUE"""),TRUE)</f>
        <v>1</v>
      </c>
      <c r="BI7" s="763" t="b">
        <f>IFERROR(__xludf.DUMMYFUNCTION("""COMPUTED_VALUE"""),FALSE)</f>
        <v>0</v>
      </c>
      <c r="BJ7" s="763" t="b">
        <f>IFERROR(__xludf.DUMMYFUNCTION("""COMPUTED_VALUE"""),FALSE)</f>
        <v>0</v>
      </c>
    </row>
    <row r="8">
      <c r="A8" s="762">
        <f>IFERROR(__xludf.DUMMYFUNCTION("""COMPUTED_VALUE"""),61472.0)</f>
        <v>61472</v>
      </c>
      <c r="B8" s="538">
        <f>IFERROR(__xludf.DUMMYFUNCTION("""COMPUTED_VALUE"""),61472.0)</f>
        <v>61472</v>
      </c>
      <c r="C8" s="538" t="str">
        <f>IFERROR(__xludf.DUMMYFUNCTION("""COMPUTED_VALUE"""),"2025-03-04 18:38:37")</f>
        <v>2025-03-04 18:38:37</v>
      </c>
      <c r="D8" s="538" t="str">
        <f>IFERROR(__xludf.DUMMYFUNCTION("""COMPUTED_VALUE"""),"cancelled")</f>
        <v>cancelled</v>
      </c>
      <c r="E8" s="538" t="str">
        <f>IFERROR(__xludf.DUMMYFUNCTION("""COMPUTED_VALUE"""),"Geronimo")</f>
        <v>Geronimo</v>
      </c>
      <c r="F8" s="538" t="str">
        <f>IFERROR(__xludf.DUMMYFUNCTION("""COMPUTED_VALUE"""),"Stilyon")</f>
        <v>Stilyon</v>
      </c>
      <c r="G8" s="538" t="str">
        <f>IFERROR(__xludf.DUMMYFUNCTION("""COMPUTED_VALUE"""),"gerp@agogo.it")</f>
        <v>gerp@agogo.it</v>
      </c>
      <c r="H8" s="763"/>
      <c r="I8" s="538" t="str">
        <f>IFERROR(__xludf.DUMMYFUNCTION("""COMPUTED_VALUE"""),"Topazia")</f>
        <v>Topazia</v>
      </c>
      <c r="J8" s="538" t="str">
        <f>IFERROR(__xludf.DUMMYFUNCTION("""COMPUTED_VALUE"""),"Via regno della fantasia 12")</f>
        <v>Via regno della fantasia 12</v>
      </c>
      <c r="K8" s="538">
        <f>IFERROR(__xludf.DUMMYFUNCTION("""COMPUTED_VALUE"""),20100.0)</f>
        <v>20100</v>
      </c>
      <c r="L8" s="538" t="str">
        <f>IFERROR(__xludf.DUMMYFUNCTION("""COMPUTED_VALUE"""),"Carte di pagamento")</f>
        <v>Carte di pagamento</v>
      </c>
      <c r="M8" s="763"/>
      <c r="N8" s="763"/>
      <c r="O8" s="762">
        <f>IFERROR(__xludf.DUMMYFUNCTION("""COMPUTED_VALUE"""),0.0)</f>
        <v>0</v>
      </c>
      <c r="P8" s="766">
        <f>IFERROR(__xludf.DUMMYFUNCTION("""COMPUTED_VALUE"""),1.25)</f>
        <v>1.25</v>
      </c>
      <c r="Q8" s="538" t="str">
        <f>IFERROR(__xludf.DUMMYFUNCTION("""COMPUTED_VALUE"""),"EUR")</f>
        <v>EUR</v>
      </c>
      <c r="R8" s="762">
        <f>IFERROR(__xludf.DUMMYFUNCTION("""COMPUTED_VALUE"""),276.0)</f>
        <v>276</v>
      </c>
      <c r="S8" s="538" t="str">
        <f>IFERROR(__xludf.DUMMYFUNCTION("""COMPUTED_VALUE"""),"Workshop Modern con Nicholas Borgogni - Workshop Modern con Nicholas Borgogni&lt;br /&gt;&lt;span class=""mec-woo-cart-product-name""&gt;&lt;a href=""https://studio-gem.it/""&gt;Studio Gem Milano &amp;#8211; Danza Ballo Fitness &amp;#8211; Affitto Sale &amp;#8211; Eventi&lt;/a&gt;&lt;span&gt;")</f>
        <v>Workshop Modern con Nicholas Borgogni - Workshop Modern con Nicholas Borgogni&lt;br /&gt;&lt;span class="mec-woo-cart-product-name"&gt;&lt;a href="https://studio-gem.it/"&gt;Studio Gem Milano &amp;#8211; Danza Ballo Fitness &amp;#8211; Affitto Sale &amp;#8211; Eventi&lt;/a&gt;&lt;span&gt;</v>
      </c>
      <c r="T8" s="763"/>
      <c r="U8" s="763"/>
      <c r="V8" s="762">
        <f>IFERROR(__xludf.DUMMYFUNCTION("""COMPUTED_VALUE"""),1.0)</f>
        <v>1</v>
      </c>
      <c r="W8" s="762">
        <f>IFERROR(__xludf.DUMMYFUNCTION("""COMPUTED_VALUE"""),30.0)</f>
        <v>30</v>
      </c>
      <c r="X8" s="762">
        <f>IFERROR(__xludf.DUMMYFUNCTION("""COMPUTED_VALUE"""),30.0)</f>
        <v>30</v>
      </c>
      <c r="Y8" s="763"/>
      <c r="Z8" s="765" t="str">
        <f>IFERROR(__xludf.DUMMYFUNCTION("""COMPUTED_VALUE"""),"https://studio-gem.it/wp-admin/post.php?post=61472&amp;action=edit")</f>
        <v>https://studio-gem.it/wp-admin/post.php?post=61472&amp;action=edit</v>
      </c>
      <c r="AA8" s="763"/>
      <c r="AB8" s="763"/>
      <c r="AC8" s="763"/>
      <c r="AD8" s="763"/>
      <c r="AE8" s="763"/>
      <c r="AF8" s="763"/>
      <c r="AG8" s="763"/>
      <c r="AH8" s="763"/>
      <c r="AI8" s="763"/>
      <c r="AJ8" s="763"/>
      <c r="AK8" s="763"/>
      <c r="AL8" s="763"/>
      <c r="AM8" s="763"/>
      <c r="AN8" s="763"/>
      <c r="AO8" s="763"/>
      <c r="AP8" s="763"/>
      <c r="AQ8" s="763"/>
      <c r="AR8" s="763"/>
      <c r="AS8" s="763"/>
      <c r="AT8" s="763"/>
      <c r="AU8" s="763"/>
      <c r="AV8" s="763"/>
      <c r="AW8" s="763"/>
      <c r="AX8" s="763"/>
      <c r="AY8" s="763"/>
      <c r="AZ8" s="763"/>
      <c r="BA8" s="763"/>
      <c r="BB8" s="763"/>
      <c r="BC8" s="763"/>
      <c r="BD8" s="763"/>
      <c r="BE8" s="763"/>
      <c r="BF8" s="763"/>
      <c r="BG8" s="763" t="b">
        <f>IFERROR(__xludf.DUMMYFUNCTION("""COMPUTED_VALUE"""),FALSE)</f>
        <v>0</v>
      </c>
      <c r="BH8" s="763" t="b">
        <f>IFERROR(__xludf.DUMMYFUNCTION("""COMPUTED_VALUE"""),FALSE)</f>
        <v>0</v>
      </c>
      <c r="BI8" s="763" t="b">
        <f>IFERROR(__xludf.DUMMYFUNCTION("""COMPUTED_VALUE"""),FALSE)</f>
        <v>0</v>
      </c>
      <c r="BJ8" s="763" t="b">
        <f>IFERROR(__xludf.DUMMYFUNCTION("""COMPUTED_VALUE"""),FALSE)</f>
        <v>0</v>
      </c>
    </row>
    <row r="9">
      <c r="A9" s="762">
        <f>IFERROR(__xludf.DUMMYFUNCTION("""COMPUTED_VALUE"""),61645.0)</f>
        <v>61645</v>
      </c>
      <c r="B9" s="538">
        <f>IFERROR(__xludf.DUMMYFUNCTION("""COMPUTED_VALUE"""),61645.0)</f>
        <v>61645</v>
      </c>
      <c r="C9" s="538" t="str">
        <f>IFERROR(__xludf.DUMMYFUNCTION("""COMPUTED_VALUE"""),"2025-03-12 16:38:30")</f>
        <v>2025-03-12 16:38:30</v>
      </c>
      <c r="D9" s="538" t="str">
        <f>IFERROR(__xludf.DUMMYFUNCTION("""COMPUTED_VALUE"""),"refunded")</f>
        <v>refunded</v>
      </c>
      <c r="E9" s="538" t="str">
        <f>IFERROR(__xludf.DUMMYFUNCTION("""COMPUTED_VALUE"""),"ago")</f>
        <v>ago</v>
      </c>
      <c r="F9" s="538" t="str">
        <f>IFERROR(__xludf.DUMMYFUNCTION("""COMPUTED_VALUE"""),"genc")</f>
        <v>genc</v>
      </c>
      <c r="G9" s="538" t="str">
        <f>IFERROR(__xludf.DUMMYFUNCTION("""COMPUTED_VALUE"""),"ago@agogo.com")</f>
        <v>ago@agogo.com</v>
      </c>
      <c r="H9" s="538">
        <f>IFERROR(__xludf.DUMMYFUNCTION("""COMPUTED_VALUE"""),3.356385854E9)</f>
        <v>3356385854</v>
      </c>
      <c r="I9" s="538" t="str">
        <f>IFERROR(__xludf.DUMMYFUNCTION("""COMPUTED_VALUE"""),"Bresso")</f>
        <v>Bresso</v>
      </c>
      <c r="J9" s="538" t="str">
        <f>IFERROR(__xludf.DUMMYFUNCTION("""COMPUTED_VALUE"""),"Via Aldo villa 16")</f>
        <v>Via Aldo villa 16</v>
      </c>
      <c r="K9" s="538">
        <f>IFERROR(__xludf.DUMMYFUNCTION("""COMPUTED_VALUE"""),20900.0)</f>
        <v>20900</v>
      </c>
      <c r="L9" s="538" t="str">
        <f>IFERROR(__xludf.DUMMYFUNCTION("""COMPUTED_VALUE"""),"Google Pay")</f>
        <v>Google Pay</v>
      </c>
      <c r="M9" s="538" t="str">
        <f>IFERROR(__xludf.DUMMYFUNCTION("""COMPUTED_VALUE"""),"agotest25")</f>
        <v>agotest25</v>
      </c>
      <c r="N9" s="763" t="str">
        <f>IFERROR(__xludf.DUMMYFUNCTION("""COMPUTED_VALUE"""),"61645-1741797512")</f>
        <v>61645-1741797512</v>
      </c>
      <c r="O9" s="762">
        <f>IFERROR(__xludf.DUMMYFUNCTION("""COMPUTED_VALUE"""),0.0)</f>
        <v>0</v>
      </c>
      <c r="P9" s="764">
        <f>IFERROR(__xludf.DUMMYFUNCTION("""COMPUTED_VALUE"""),0.020833333333333332)</f>
        <v>0.02083333333</v>
      </c>
      <c r="Q9" s="538" t="str">
        <f>IFERROR(__xludf.DUMMYFUNCTION("""COMPUTED_VALUE"""),"EUR")</f>
        <v>EUR</v>
      </c>
      <c r="R9" s="762">
        <f>IFERROR(__xludf.DUMMYFUNCTION("""COMPUTED_VALUE"""),295.0)</f>
        <v>295</v>
      </c>
      <c r="S9" s="538" t="str">
        <f>IFERROR(__xludf.DUMMYFUNCTION("""COMPUTED_VALUE"""),"Workshop Modern con Nicholas Borgogni - Workshop Modern con Nicholas Borgogni&lt;br /&gt;&lt;span class=""mec-woo-cart-product-name""&gt;&lt;a href=""https://studio-gem.it/""&gt;Studio Gem Milano &amp;#8211; Danza Ballo Fitness &amp;#8211; Affitto Sale &amp;#8211; Eventi&lt;/a&gt;&lt;span&gt;")</f>
        <v>Workshop Modern con Nicholas Borgogni - Workshop Modern con Nicholas Borgogni&lt;br /&gt;&lt;span class="mec-woo-cart-product-name"&gt;&lt;a href="https://studio-gem.it/"&gt;Studio Gem Milano &amp;#8211; Danza Ballo Fitness &amp;#8211; Affitto Sale &amp;#8211; Eventi&lt;/a&gt;&lt;span&gt;</v>
      </c>
      <c r="T9" s="763"/>
      <c r="U9" s="763"/>
      <c r="V9" s="762">
        <f>IFERROR(__xludf.DUMMYFUNCTION("""COMPUTED_VALUE"""),1.0)</f>
        <v>1</v>
      </c>
      <c r="W9" s="762">
        <f>IFERROR(__xludf.DUMMYFUNCTION("""COMPUTED_VALUE"""),0.3)</f>
        <v>0.3</v>
      </c>
      <c r="X9" s="762">
        <f>IFERROR(__xludf.DUMMYFUNCTION("""COMPUTED_VALUE"""),0.3)</f>
        <v>0.3</v>
      </c>
      <c r="Y9" s="538" t="str">
        <f>IFERROR(__xludf.DUMMYFUNCTION("""COMPUTED_VALUE"""),"note")</f>
        <v>note</v>
      </c>
      <c r="Z9" s="765" t="str">
        <f>IFERROR(__xludf.DUMMYFUNCTION("""COMPUTED_VALUE"""),"https://studio-gem.it/wp-admin/post.php?post=61645&amp;action=edit")</f>
        <v>https://studio-gem.it/wp-admin/post.php?post=61645&amp;action=edit</v>
      </c>
      <c r="AA9" s="763"/>
      <c r="AB9" s="763"/>
      <c r="AC9" s="763"/>
      <c r="AD9" s="763"/>
      <c r="AE9" s="763"/>
      <c r="AF9" s="763"/>
      <c r="AG9" s="763"/>
      <c r="AH9" s="763"/>
      <c r="AI9" s="763"/>
      <c r="AJ9" s="763"/>
      <c r="AK9" s="763"/>
      <c r="AL9" s="763"/>
      <c r="AM9" s="763"/>
      <c r="AN9" s="763"/>
      <c r="AO9" s="763"/>
      <c r="AP9" s="763"/>
      <c r="AQ9" s="763"/>
      <c r="AR9" s="763"/>
      <c r="AS9" s="763"/>
      <c r="AT9" s="763"/>
      <c r="AU9" s="763"/>
      <c r="AV9" s="763"/>
      <c r="AW9" s="763"/>
      <c r="AX9" s="763"/>
      <c r="AY9" s="763"/>
      <c r="AZ9" s="763"/>
      <c r="BA9" s="763"/>
      <c r="BB9" s="763"/>
      <c r="BC9" s="763"/>
      <c r="BD9" s="763"/>
      <c r="BE9" s="763"/>
      <c r="BF9" s="763"/>
      <c r="BG9" s="763" t="b">
        <f>IFERROR(__xludf.DUMMYFUNCTION("""COMPUTED_VALUE"""),FALSE)</f>
        <v>0</v>
      </c>
      <c r="BH9" s="763" t="b">
        <f>IFERROR(__xludf.DUMMYFUNCTION("""COMPUTED_VALUE"""),TRUE)</f>
        <v>1</v>
      </c>
      <c r="BI9" s="763" t="b">
        <f>IFERROR(__xludf.DUMMYFUNCTION("""COMPUTED_VALUE"""),FALSE)</f>
        <v>0</v>
      </c>
      <c r="BJ9" s="763" t="b">
        <f>IFERROR(__xludf.DUMMYFUNCTION("""COMPUTED_VALUE"""),FALSE)</f>
        <v>0</v>
      </c>
    </row>
    <row r="10">
      <c r="A10" s="762">
        <f>IFERROR(__xludf.DUMMYFUNCTION("""COMPUTED_VALUE"""),61654.0)</f>
        <v>61654</v>
      </c>
      <c r="B10" s="538">
        <f>IFERROR(__xludf.DUMMYFUNCTION("""COMPUTED_VALUE"""),61654.0)</f>
        <v>61654</v>
      </c>
      <c r="C10" s="538" t="str">
        <f>IFERROR(__xludf.DUMMYFUNCTION("""COMPUTED_VALUE"""),"2025-03-12 18:05:02")</f>
        <v>2025-03-12 18:05:02</v>
      </c>
      <c r="D10" s="538" t="str">
        <f>IFERROR(__xludf.DUMMYFUNCTION("""COMPUTED_VALUE"""),"cancelled")</f>
        <v>cancelled</v>
      </c>
      <c r="E10" s="538" t="str">
        <f>IFERROR(__xludf.DUMMYFUNCTION("""COMPUTED_VALUE"""),"ago")</f>
        <v>ago</v>
      </c>
      <c r="F10" s="538" t="str">
        <f>IFERROR(__xludf.DUMMYFUNCTION("""COMPUTED_VALUE"""),"genc")</f>
        <v>genc</v>
      </c>
      <c r="G10" s="538" t="str">
        <f>IFERROR(__xludf.DUMMYFUNCTION("""COMPUTED_VALUE"""),"ago@agogo.it")</f>
        <v>ago@agogo.it</v>
      </c>
      <c r="H10" s="538">
        <f>IFERROR(__xludf.DUMMYFUNCTION("""COMPUTED_VALUE"""),3.356385854E9)</f>
        <v>3356385854</v>
      </c>
      <c r="I10" s="538" t="str">
        <f>IFERROR(__xludf.DUMMYFUNCTION("""COMPUTED_VALUE"""),"Bresso")</f>
        <v>Bresso</v>
      </c>
      <c r="J10" s="538" t="str">
        <f>IFERROR(__xludf.DUMMYFUNCTION("""COMPUTED_VALUE"""),"Via Aldo villa 16")</f>
        <v>Via Aldo villa 16</v>
      </c>
      <c r="K10" s="538">
        <f>IFERROR(__xludf.DUMMYFUNCTION("""COMPUTED_VALUE"""),20900.0)</f>
        <v>20900</v>
      </c>
      <c r="L10" s="538" t="str">
        <f>IFERROR(__xludf.DUMMYFUNCTION("""COMPUTED_VALUE"""),"Google Pay")</f>
        <v>Google Pay</v>
      </c>
      <c r="M10" s="538" t="str">
        <f>IFERROR(__xludf.DUMMYFUNCTION("""COMPUTED_VALUE"""),"agotest25")</f>
        <v>agotest25</v>
      </c>
      <c r="N10" s="763"/>
      <c r="O10" s="762">
        <f>IFERROR(__xludf.DUMMYFUNCTION("""COMPUTED_VALUE"""),0.0)</f>
        <v>0</v>
      </c>
      <c r="P10" s="764">
        <f>IFERROR(__xludf.DUMMYFUNCTION("""COMPUTED_VALUE"""),0.0625)</f>
        <v>0.0625</v>
      </c>
      <c r="Q10" s="538" t="str">
        <f>IFERROR(__xludf.DUMMYFUNCTION("""COMPUTED_VALUE"""),"EUR")</f>
        <v>EUR</v>
      </c>
      <c r="R10" s="762">
        <f>IFERROR(__xludf.DUMMYFUNCTION("""COMPUTED_VALUE"""),298.0)</f>
        <v>298</v>
      </c>
      <c r="S10" s="538" t="str">
        <f>IFERROR(__xludf.DUMMYFUNCTION("""COMPUTED_VALUE"""),"Workshop Modern con Nicholas Borgogni - Workshop Modern con Nicholas Borgogni&lt;br /&gt;&lt;span class=""mec-woo-cart-product-name""&gt;&lt;a href=""https://studio-gem.it/""&gt;Studio Gem Milano &amp;#8211; Danza Ballo Fitness &amp;#8211; Affitto Sale &amp;#8211; Eventi&lt;/a&gt;&lt;span&gt;")</f>
        <v>Workshop Modern con Nicholas Borgogni - Workshop Modern con Nicholas Borgogni&lt;br /&gt;&lt;span class="mec-woo-cart-product-name"&gt;&lt;a href="https://studio-gem.it/"&gt;Studio Gem Milano &amp;#8211; Danza Ballo Fitness &amp;#8211; Affitto Sale &amp;#8211; Eventi&lt;/a&gt;&lt;span&gt;</v>
      </c>
      <c r="T10" s="763"/>
      <c r="U10" s="763"/>
      <c r="V10" s="762">
        <f>IFERROR(__xludf.DUMMYFUNCTION("""COMPUTED_VALUE"""),3.0)</f>
        <v>3</v>
      </c>
      <c r="W10" s="762">
        <f>IFERROR(__xludf.DUMMYFUNCTION("""COMPUTED_VALUE"""),0.3)</f>
        <v>0.3</v>
      </c>
      <c r="X10" s="762">
        <f>IFERROR(__xludf.DUMMYFUNCTION("""COMPUTED_VALUE"""),0.9)</f>
        <v>0.9</v>
      </c>
      <c r="Y10" s="763"/>
      <c r="Z10" s="765" t="str">
        <f>IFERROR(__xludf.DUMMYFUNCTION("""COMPUTED_VALUE"""),"https://studio-gem.it/wp-admin/post.php?post=61654&amp;action=edit")</f>
        <v>https://studio-gem.it/wp-admin/post.php?post=61654&amp;action=edit</v>
      </c>
      <c r="AA10" s="763"/>
      <c r="AB10" s="763"/>
      <c r="AC10" s="763"/>
      <c r="AD10" s="763"/>
      <c r="AE10" s="763"/>
      <c r="AF10" s="763"/>
      <c r="AG10" s="763"/>
      <c r="AH10" s="763"/>
      <c r="AI10" s="763"/>
      <c r="AJ10" s="763"/>
      <c r="AK10" s="763"/>
      <c r="AL10" s="763"/>
      <c r="AM10" s="763"/>
      <c r="AN10" s="763"/>
      <c r="AO10" s="763"/>
      <c r="AP10" s="763"/>
      <c r="AQ10" s="763"/>
      <c r="AR10" s="763"/>
      <c r="AS10" s="763"/>
      <c r="AT10" s="763"/>
      <c r="AU10" s="763"/>
      <c r="AV10" s="763"/>
      <c r="AW10" s="763"/>
      <c r="AX10" s="763"/>
      <c r="AY10" s="763"/>
      <c r="AZ10" s="763"/>
      <c r="BA10" s="763"/>
      <c r="BB10" s="763"/>
      <c r="BC10" s="763"/>
      <c r="BD10" s="763"/>
      <c r="BE10" s="763"/>
      <c r="BF10" s="763"/>
      <c r="BG10" s="763" t="b">
        <f>IFERROR(__xludf.DUMMYFUNCTION("""COMPUTED_VALUE"""),FALSE)</f>
        <v>0</v>
      </c>
      <c r="BH10" s="763" t="b">
        <f>IFERROR(__xludf.DUMMYFUNCTION("""COMPUTED_VALUE"""),FALSE)</f>
        <v>0</v>
      </c>
      <c r="BI10" s="763" t="b">
        <f>IFERROR(__xludf.DUMMYFUNCTION("""COMPUTED_VALUE"""),FALSE)</f>
        <v>0</v>
      </c>
      <c r="BJ10" s="763" t="b">
        <f>IFERROR(__xludf.DUMMYFUNCTION("""COMPUTED_VALUE"""),FALSE)</f>
        <v>0</v>
      </c>
    </row>
    <row r="11">
      <c r="A11" s="762">
        <f>IFERROR(__xludf.DUMMYFUNCTION("""COMPUTED_VALUE"""),61655.0)</f>
        <v>61655</v>
      </c>
      <c r="B11" s="538">
        <f>IFERROR(__xludf.DUMMYFUNCTION("""COMPUTED_VALUE"""),61655.0)</f>
        <v>61655</v>
      </c>
      <c r="C11" s="538" t="str">
        <f>IFERROR(__xludf.DUMMYFUNCTION("""COMPUTED_VALUE"""),"2025-03-12 18:08:16")</f>
        <v>2025-03-12 18:08:16</v>
      </c>
      <c r="D11" s="538" t="str">
        <f>IFERROR(__xludf.DUMMYFUNCTION("""COMPUTED_VALUE"""),"cancelled")</f>
        <v>cancelled</v>
      </c>
      <c r="E11" s="538" t="str">
        <f>IFERROR(__xludf.DUMMYFUNCTION("""COMPUTED_VALUE"""),"ago")</f>
        <v>ago</v>
      </c>
      <c r="F11" s="538" t="str">
        <f>IFERROR(__xludf.DUMMYFUNCTION("""COMPUTED_VALUE"""),"genc")</f>
        <v>genc</v>
      </c>
      <c r="G11" s="538" t="str">
        <f>IFERROR(__xludf.DUMMYFUNCTION("""COMPUTED_VALUE"""),"ago@agogo.it")</f>
        <v>ago@agogo.it</v>
      </c>
      <c r="H11" s="538">
        <f>IFERROR(__xludf.DUMMYFUNCTION("""COMPUTED_VALUE"""),3.356385854E9)</f>
        <v>3356385854</v>
      </c>
      <c r="I11" s="538" t="str">
        <f>IFERROR(__xludf.DUMMYFUNCTION("""COMPUTED_VALUE"""),"Bresso")</f>
        <v>Bresso</v>
      </c>
      <c r="J11" s="538" t="str">
        <f>IFERROR(__xludf.DUMMYFUNCTION("""COMPUTED_VALUE"""),"Via Aldo villa 16")</f>
        <v>Via Aldo villa 16</v>
      </c>
      <c r="K11" s="538">
        <f>IFERROR(__xludf.DUMMYFUNCTION("""COMPUTED_VALUE"""),20900.0)</f>
        <v>20900</v>
      </c>
      <c r="L11" s="538" t="str">
        <f>IFERROR(__xludf.DUMMYFUNCTION("""COMPUTED_VALUE"""),"Google Pay")</f>
        <v>Google Pay</v>
      </c>
      <c r="M11" s="538" t="str">
        <f>IFERROR(__xludf.DUMMYFUNCTION("""COMPUTED_VALUE"""),"agotest25")</f>
        <v>agotest25</v>
      </c>
      <c r="N11" s="763"/>
      <c r="O11" s="762">
        <f>IFERROR(__xludf.DUMMYFUNCTION("""COMPUTED_VALUE"""),0.0)</f>
        <v>0</v>
      </c>
      <c r="P11" s="764">
        <f>IFERROR(__xludf.DUMMYFUNCTION("""COMPUTED_VALUE"""),0.0763888888888889)</f>
        <v>0.07638888889</v>
      </c>
      <c r="Q11" s="538" t="str">
        <f>IFERROR(__xludf.DUMMYFUNCTION("""COMPUTED_VALUE"""),"EUR")</f>
        <v>EUR</v>
      </c>
      <c r="R11" s="762">
        <f>IFERROR(__xludf.DUMMYFUNCTION("""COMPUTED_VALUE"""),300.0)</f>
        <v>300</v>
      </c>
      <c r="S11" s="538" t="str">
        <f>IFERROR(__xludf.DUMMYFUNCTION("""COMPUTED_VALUE"""),"Workshop Modern con Nicholas Borgogni - Workshop Modern con Nicholas Borgogni&lt;br /&gt;&lt;span class=""mec-woo-cart-product-name""&gt;&lt;a href=""https://studio-gem.it/""&gt;Studio Gem Milano &amp;#8211; Danza Ballo Fitness &amp;#8211; Affitto Sale &amp;#8211; Eventi&lt;/a&gt;&lt;span&gt;")</f>
        <v>Workshop Modern con Nicholas Borgogni - Workshop Modern con Nicholas Borgogni&lt;br /&gt;&lt;span class="mec-woo-cart-product-name"&gt;&lt;a href="https://studio-gem.it/"&gt;Studio Gem Milano &amp;#8211; Danza Ballo Fitness &amp;#8211; Affitto Sale &amp;#8211; Eventi&lt;/a&gt;&lt;span&gt;</v>
      </c>
      <c r="T11" s="763"/>
      <c r="U11" s="763"/>
      <c r="V11" s="762">
        <f>IFERROR(__xludf.DUMMYFUNCTION("""COMPUTED_VALUE"""),5.0)</f>
        <v>5</v>
      </c>
      <c r="W11" s="762">
        <f>IFERROR(__xludf.DUMMYFUNCTION("""COMPUTED_VALUE"""),0.3)</f>
        <v>0.3</v>
      </c>
      <c r="X11" s="762">
        <f>IFERROR(__xludf.DUMMYFUNCTION("""COMPUTED_VALUE"""),1.5)</f>
        <v>1.5</v>
      </c>
      <c r="Y11" s="763"/>
      <c r="Z11" s="765" t="str">
        <f>IFERROR(__xludf.DUMMYFUNCTION("""COMPUTED_VALUE"""),"https://studio-gem.it/wp-admin/post.php?post=61655&amp;action=edit")</f>
        <v>https://studio-gem.it/wp-admin/post.php?post=61655&amp;action=edit</v>
      </c>
      <c r="AA11" s="763"/>
      <c r="AB11" s="763"/>
      <c r="AC11" s="763"/>
      <c r="AD11" s="763"/>
      <c r="AE11" s="763"/>
      <c r="AF11" s="763"/>
      <c r="AG11" s="763"/>
      <c r="AH11" s="763"/>
      <c r="AI11" s="763"/>
      <c r="AJ11" s="763"/>
      <c r="AK11" s="763"/>
      <c r="AL11" s="763"/>
      <c r="AM11" s="763"/>
      <c r="AN11" s="763"/>
      <c r="AO11" s="763"/>
      <c r="AP11" s="763"/>
      <c r="AQ11" s="763"/>
      <c r="AR11" s="763"/>
      <c r="AS11" s="763"/>
      <c r="AT11" s="763"/>
      <c r="AU11" s="763"/>
      <c r="AV11" s="763"/>
      <c r="AW11" s="763"/>
      <c r="AX11" s="763"/>
      <c r="AY11" s="763"/>
      <c r="AZ11" s="763"/>
      <c r="BA11" s="763"/>
      <c r="BB11" s="763"/>
      <c r="BC11" s="763"/>
      <c r="BD11" s="763"/>
      <c r="BE11" s="763"/>
      <c r="BF11" s="763"/>
      <c r="BG11" s="763" t="b">
        <f>IFERROR(__xludf.DUMMYFUNCTION("""COMPUTED_VALUE"""),FALSE)</f>
        <v>0</v>
      </c>
      <c r="BH11" s="763" t="b">
        <f>IFERROR(__xludf.DUMMYFUNCTION("""COMPUTED_VALUE"""),FALSE)</f>
        <v>0</v>
      </c>
      <c r="BI11" s="763" t="b">
        <f>IFERROR(__xludf.DUMMYFUNCTION("""COMPUTED_VALUE"""),FALSE)</f>
        <v>0</v>
      </c>
      <c r="BJ11" s="763" t="b">
        <f>IFERROR(__xludf.DUMMYFUNCTION("""COMPUTED_VALUE"""),FALSE)</f>
        <v>0</v>
      </c>
    </row>
    <row r="12">
      <c r="A12" s="762">
        <f>IFERROR(__xludf.DUMMYFUNCTION("""COMPUTED_VALUE"""),61745.0)</f>
        <v>61745</v>
      </c>
      <c r="B12" s="538">
        <f>IFERROR(__xludf.DUMMYFUNCTION("""COMPUTED_VALUE"""),61745.0)</f>
        <v>61745</v>
      </c>
      <c r="C12" s="538" t="str">
        <f>IFERROR(__xludf.DUMMYFUNCTION("""COMPUTED_VALUE"""),"2025-03-13 15:20:39")</f>
        <v>2025-03-13 15:20:39</v>
      </c>
      <c r="D12" s="538" t="str">
        <f>IFERROR(__xludf.DUMMYFUNCTION("""COMPUTED_VALUE"""),"cancelled")</f>
        <v>cancelled</v>
      </c>
      <c r="E12" s="538" t="str">
        <f>IFERROR(__xludf.DUMMYFUNCTION("""COMPUTED_VALUE"""),"Geronimo")</f>
        <v>Geronimo</v>
      </c>
      <c r="F12" s="538" t="str">
        <f>IFERROR(__xludf.DUMMYFUNCTION("""COMPUTED_VALUE"""),"Stilton")</f>
        <v>Stilton</v>
      </c>
      <c r="G12" s="538" t="str">
        <f>IFERROR(__xludf.DUMMYFUNCTION("""COMPUTED_VALUE"""),"info1@agogo.it")</f>
        <v>info1@agogo.it</v>
      </c>
      <c r="H12" s="538">
        <f>IFERROR(__xludf.DUMMYFUNCTION("""COMPUTED_VALUE"""),3.356385854E9)</f>
        <v>3356385854</v>
      </c>
      <c r="I12" s="538" t="str">
        <f>IFERROR(__xludf.DUMMYFUNCTION("""COMPUTED_VALUE"""),"Milano")</f>
        <v>Milano</v>
      </c>
      <c r="J12" s="538" t="str">
        <f>IFERROR(__xludf.DUMMYFUNCTION("""COMPUTED_VALUE"""),"Della fantasia 12")</f>
        <v>Della fantasia 12</v>
      </c>
      <c r="K12" s="538">
        <f>IFERROR(__xludf.DUMMYFUNCTION("""COMPUTED_VALUE"""),20100.0)</f>
        <v>20100</v>
      </c>
      <c r="L12" s="538" t="str">
        <f>IFERROR(__xludf.DUMMYFUNCTION("""COMPUTED_VALUE"""),"Carte di pagamento")</f>
        <v>Carte di pagamento</v>
      </c>
      <c r="M12" s="538" t="str">
        <f>IFERROR(__xludf.DUMMYFUNCTION("""COMPUTED_VALUE"""),"agotest25")</f>
        <v>agotest25</v>
      </c>
      <c r="N12" s="763"/>
      <c r="O12" s="762">
        <f>IFERROR(__xludf.DUMMYFUNCTION("""COMPUTED_VALUE"""),0.0)</f>
        <v>0</v>
      </c>
      <c r="P12" s="764">
        <f>IFERROR(__xludf.DUMMYFUNCTION("""COMPUTED_VALUE"""),0.017361111111111112)</f>
        <v>0.01736111111</v>
      </c>
      <c r="Q12" s="538" t="str">
        <f>IFERROR(__xludf.DUMMYFUNCTION("""COMPUTED_VALUE"""),"EUR")</f>
        <v>EUR</v>
      </c>
      <c r="R12" s="762">
        <f>IFERROR(__xludf.DUMMYFUNCTION("""COMPUTED_VALUE"""),313.0)</f>
        <v>313</v>
      </c>
      <c r="S12" s="538" t="str">
        <f>IFERROR(__xludf.DUMMYFUNCTION("""COMPUTED_VALUE"""),"Workshop Salsa lady style con Jhesus Aponte - Workshop Salsa lady style con Jhesus Aponte")</f>
        <v>Workshop Salsa lady style con Jhesus Aponte - Workshop Salsa lady style con Jhesus Aponte</v>
      </c>
      <c r="T12" s="763"/>
      <c r="U12" s="763"/>
      <c r="V12" s="762">
        <f>IFERROR(__xludf.DUMMYFUNCTION("""COMPUTED_VALUE"""),1.0)</f>
        <v>1</v>
      </c>
      <c r="W12" s="762">
        <f>IFERROR(__xludf.DUMMYFUNCTION("""COMPUTED_VALUE"""),0.25)</f>
        <v>0.25</v>
      </c>
      <c r="X12" s="762">
        <f>IFERROR(__xludf.DUMMYFUNCTION("""COMPUTED_VALUE"""),0.25)</f>
        <v>0.25</v>
      </c>
      <c r="Y12" s="763"/>
      <c r="Z12" s="765" t="str">
        <f>IFERROR(__xludf.DUMMYFUNCTION("""COMPUTED_VALUE"""),"https://studio-gem.it/wp-admin/post.php?post=61745&amp;action=edit")</f>
        <v>https://studio-gem.it/wp-admin/post.php?post=61745&amp;action=edit</v>
      </c>
      <c r="AA12" s="763"/>
      <c r="AB12" s="763"/>
      <c r="AC12" s="763"/>
      <c r="AD12" s="763"/>
      <c r="AE12" s="763"/>
      <c r="AF12" s="763"/>
      <c r="AG12" s="763"/>
      <c r="AH12" s="763"/>
      <c r="AI12" s="763"/>
      <c r="AJ12" s="763"/>
      <c r="AK12" s="763"/>
      <c r="AL12" s="763"/>
      <c r="AM12" s="763"/>
      <c r="AN12" s="763"/>
      <c r="AO12" s="763"/>
      <c r="AP12" s="763"/>
      <c r="AQ12" s="763"/>
      <c r="AR12" s="763"/>
      <c r="AS12" s="763"/>
      <c r="AT12" s="763"/>
      <c r="AU12" s="763"/>
      <c r="AV12" s="763"/>
      <c r="AW12" s="763"/>
      <c r="AX12" s="763"/>
      <c r="AY12" s="763"/>
      <c r="AZ12" s="763"/>
      <c r="BA12" s="763"/>
      <c r="BB12" s="763"/>
      <c r="BC12" s="763"/>
      <c r="BD12" s="763"/>
      <c r="BE12" s="763"/>
      <c r="BF12" s="763"/>
      <c r="BG12" s="763" t="b">
        <f>IFERROR(__xludf.DUMMYFUNCTION("""COMPUTED_VALUE"""),FALSE)</f>
        <v>0</v>
      </c>
      <c r="BH12" s="763" t="b">
        <f>IFERROR(__xludf.DUMMYFUNCTION("""COMPUTED_VALUE"""),FALSE)</f>
        <v>0</v>
      </c>
      <c r="BI12" s="763" t="b">
        <f>IFERROR(__xludf.DUMMYFUNCTION("""COMPUTED_VALUE"""),FALSE)</f>
        <v>0</v>
      </c>
      <c r="BJ12" s="763" t="b">
        <f>IFERROR(__xludf.DUMMYFUNCTION("""COMPUTED_VALUE"""),FALSE)</f>
        <v>0</v>
      </c>
    </row>
    <row r="13">
      <c r="A13" s="762">
        <f>IFERROR(__xludf.DUMMYFUNCTION("""COMPUTED_VALUE"""),61746.0)</f>
        <v>61746</v>
      </c>
      <c r="B13" s="538">
        <f>IFERROR(__xludf.DUMMYFUNCTION("""COMPUTED_VALUE"""),61746.0)</f>
        <v>61746</v>
      </c>
      <c r="C13" s="538" t="str">
        <f>IFERROR(__xludf.DUMMYFUNCTION("""COMPUTED_VALUE"""),"2025-03-13 15:25:05")</f>
        <v>2025-03-13 15:25:05</v>
      </c>
      <c r="D13" s="538" t="str">
        <f>IFERROR(__xludf.DUMMYFUNCTION("""COMPUTED_VALUE"""),"completed")</f>
        <v>completed</v>
      </c>
      <c r="E13" s="538" t="str">
        <f>IFERROR(__xludf.DUMMYFUNCTION("""COMPUTED_VALUE"""),"Luciana")</f>
        <v>Luciana</v>
      </c>
      <c r="F13" s="538" t="str">
        <f>IFERROR(__xludf.DUMMYFUNCTION("""COMPUTED_VALUE"""),"Vianello")</f>
        <v>Vianello</v>
      </c>
      <c r="G13" s="538" t="str">
        <f>IFERROR(__xludf.DUMMYFUNCTION("""COMPUTED_VALUE"""),"luvianello@yahoo.com")</f>
        <v>luvianello@yahoo.com</v>
      </c>
      <c r="H13" s="538">
        <f>IFERROR(__xludf.DUMMYFUNCTION("""COMPUTED_VALUE"""),3.474889283E9)</f>
        <v>3474889283</v>
      </c>
      <c r="I13" s="538" t="str">
        <f>IFERROR(__xludf.DUMMYFUNCTION("""COMPUTED_VALUE"""),"Milano")</f>
        <v>Milano</v>
      </c>
      <c r="J13" s="538" t="str">
        <f>IFERROR(__xludf.DUMMYFUNCTION("""COMPUTED_VALUE"""),"Viale Umbria 60")</f>
        <v>Viale Umbria 60</v>
      </c>
      <c r="K13" s="538">
        <f>IFERROR(__xludf.DUMMYFUNCTION("""COMPUTED_VALUE"""),20135.0)</f>
        <v>20135</v>
      </c>
      <c r="L13" s="538" t="str">
        <f>IFERROR(__xludf.DUMMYFUNCTION("""COMPUTED_VALUE"""),"Carte di pagamento")</f>
        <v>Carte di pagamento</v>
      </c>
      <c r="M13" s="763"/>
      <c r="N13" s="763" t="str">
        <f>IFERROR(__xludf.DUMMYFUNCTION("""COMPUTED_VALUE"""),"61746-1741879507")</f>
        <v>61746-1741879507</v>
      </c>
      <c r="O13" s="762">
        <f>IFERROR(__xludf.DUMMYFUNCTION("""COMPUTED_VALUE"""),0.0)</f>
        <v>0</v>
      </c>
      <c r="P13" s="766">
        <f>IFERROR(__xludf.DUMMYFUNCTION("""COMPUTED_VALUE"""),1.0416666666666667)</f>
        <v>1.041666667</v>
      </c>
      <c r="Q13" s="538" t="str">
        <f>IFERROR(__xludf.DUMMYFUNCTION("""COMPUTED_VALUE"""),"EUR")</f>
        <v>EUR</v>
      </c>
      <c r="R13" s="762">
        <f>IFERROR(__xludf.DUMMYFUNCTION("""COMPUTED_VALUE"""),315.0)</f>
        <v>315</v>
      </c>
      <c r="S13" s="538" t="str">
        <f>IFERROR(__xludf.DUMMYFUNCTION("""COMPUTED_VALUE"""),"Workshop Salsa lady style con Jhesus Aponte - Workshop Salsa lady style con Jhesus Aponte")</f>
        <v>Workshop Salsa lady style con Jhesus Aponte - Workshop Salsa lady style con Jhesus Aponte</v>
      </c>
      <c r="T13" s="763"/>
      <c r="U13" s="763"/>
      <c r="V13" s="762">
        <f>IFERROR(__xludf.DUMMYFUNCTION("""COMPUTED_VALUE"""),1.0)</f>
        <v>1</v>
      </c>
      <c r="W13" s="762">
        <f>IFERROR(__xludf.DUMMYFUNCTION("""COMPUTED_VALUE"""),25.0)</f>
        <v>25</v>
      </c>
      <c r="X13" s="762">
        <f>IFERROR(__xludf.DUMMYFUNCTION("""COMPUTED_VALUE"""),25.0)</f>
        <v>25</v>
      </c>
      <c r="Y13" s="763"/>
      <c r="Z13" s="765" t="str">
        <f>IFERROR(__xludf.DUMMYFUNCTION("""COMPUTED_VALUE"""),"https://studio-gem.it/wp-admin/post.php?post=61746&amp;action=edit")</f>
        <v>https://studio-gem.it/wp-admin/post.php?post=61746&amp;action=edit</v>
      </c>
      <c r="AA13" s="763"/>
      <c r="AB13" s="763"/>
      <c r="AC13" s="763"/>
      <c r="AD13" s="763"/>
      <c r="AE13" s="763"/>
      <c r="AF13" s="763"/>
      <c r="AG13" s="763"/>
      <c r="AH13" s="763"/>
      <c r="AI13" s="763"/>
      <c r="AJ13" s="763"/>
      <c r="AK13" s="763"/>
      <c r="AL13" s="763"/>
      <c r="AM13" s="763"/>
      <c r="AN13" s="763"/>
      <c r="AO13" s="763"/>
      <c r="AP13" s="763"/>
      <c r="AQ13" s="763"/>
      <c r="AR13" s="763"/>
      <c r="AS13" s="763"/>
      <c r="AT13" s="763"/>
      <c r="AU13" s="763"/>
      <c r="AV13" s="763"/>
      <c r="AW13" s="763"/>
      <c r="AX13" s="763"/>
      <c r="AY13" s="763"/>
      <c r="AZ13" s="763"/>
      <c r="BA13" s="763"/>
      <c r="BB13" s="763"/>
      <c r="BC13" s="763"/>
      <c r="BD13" s="763"/>
      <c r="BE13" s="763"/>
      <c r="BF13" s="763"/>
      <c r="BG13" s="763" t="b">
        <f>IFERROR(__xludf.DUMMYFUNCTION("""COMPUTED_VALUE"""),FALSE)</f>
        <v>0</v>
      </c>
      <c r="BH13" s="763" t="b">
        <f>IFERROR(__xludf.DUMMYFUNCTION("""COMPUTED_VALUE"""),TRUE)</f>
        <v>1</v>
      </c>
      <c r="BI13" s="763" t="b">
        <f>IFERROR(__xludf.DUMMYFUNCTION("""COMPUTED_VALUE"""),FALSE)</f>
        <v>0</v>
      </c>
      <c r="BJ13" s="763" t="b">
        <f>IFERROR(__xludf.DUMMYFUNCTION("""COMPUTED_VALUE"""),FALSE)</f>
        <v>0</v>
      </c>
    </row>
    <row r="14">
      <c r="A14" s="762">
        <f>IFERROR(__xludf.DUMMYFUNCTION("""COMPUTED_VALUE"""),61749.0)</f>
        <v>61749</v>
      </c>
      <c r="B14" s="538">
        <f>IFERROR(__xludf.DUMMYFUNCTION("""COMPUTED_VALUE"""),61749.0)</f>
        <v>61749</v>
      </c>
      <c r="C14" s="538" t="str">
        <f>IFERROR(__xludf.DUMMYFUNCTION("""COMPUTED_VALUE"""),"2025-03-13 15:51:28")</f>
        <v>2025-03-13 15:51:28</v>
      </c>
      <c r="D14" s="538" t="str">
        <f>IFERROR(__xludf.DUMMYFUNCTION("""COMPUTED_VALUE"""),"completed")</f>
        <v>completed</v>
      </c>
      <c r="E14" s="538" t="str">
        <f>IFERROR(__xludf.DUMMYFUNCTION("""COMPUTED_VALUE"""),"Alessia")</f>
        <v>Alessia</v>
      </c>
      <c r="F14" s="538" t="str">
        <f>IFERROR(__xludf.DUMMYFUNCTION("""COMPUTED_VALUE"""),"Aiello")</f>
        <v>Aiello</v>
      </c>
      <c r="G14" s="538" t="str">
        <f>IFERROR(__xludf.DUMMYFUNCTION("""COMPUTED_VALUE"""),"alessiaaiello11@gmail.com")</f>
        <v>alessiaaiello11@gmail.com</v>
      </c>
      <c r="H14" s="538">
        <f>IFERROR(__xludf.DUMMYFUNCTION("""COMPUTED_VALUE"""),3.348264949E9)</f>
        <v>3348264949</v>
      </c>
      <c r="I14" s="538" t="str">
        <f>IFERROR(__xludf.DUMMYFUNCTION("""COMPUTED_VALUE"""),"Milano")</f>
        <v>Milano</v>
      </c>
      <c r="J14" s="538" t="str">
        <f>IFERROR(__xludf.DUMMYFUNCTION("""COMPUTED_VALUE"""),"Via Fratelli Bronzetti 16")</f>
        <v>Via Fratelli Bronzetti 16</v>
      </c>
      <c r="K14" s="538">
        <f>IFERROR(__xludf.DUMMYFUNCTION("""COMPUTED_VALUE"""),20129.0)</f>
        <v>20129</v>
      </c>
      <c r="L14" s="538" t="str">
        <f>IFERROR(__xludf.DUMMYFUNCTION("""COMPUTED_VALUE"""),"Google Pay")</f>
        <v>Google Pay</v>
      </c>
      <c r="M14" s="763"/>
      <c r="N14" s="763" t="str">
        <f>IFERROR(__xludf.DUMMYFUNCTION("""COMPUTED_VALUE"""),"61749-1741881089")</f>
        <v>61749-1741881089</v>
      </c>
      <c r="O14" s="762">
        <f>IFERROR(__xludf.DUMMYFUNCTION("""COMPUTED_VALUE"""),0.0)</f>
        <v>0</v>
      </c>
      <c r="P14" s="766">
        <f>IFERROR(__xludf.DUMMYFUNCTION("""COMPUTED_VALUE"""),1.0416666666666667)</f>
        <v>1.041666667</v>
      </c>
      <c r="Q14" s="538" t="str">
        <f>IFERROR(__xludf.DUMMYFUNCTION("""COMPUTED_VALUE"""),"EUR")</f>
        <v>EUR</v>
      </c>
      <c r="R14" s="762">
        <f>IFERROR(__xludf.DUMMYFUNCTION("""COMPUTED_VALUE"""),316.0)</f>
        <v>316</v>
      </c>
      <c r="S14" s="538" t="str">
        <f>IFERROR(__xludf.DUMMYFUNCTION("""COMPUTED_VALUE"""),"Workshop Salsa lady style con Jhesus Aponte - Workshop Salsa lady style con Jhesus Aponte")</f>
        <v>Workshop Salsa lady style con Jhesus Aponte - Workshop Salsa lady style con Jhesus Aponte</v>
      </c>
      <c r="T14" s="763"/>
      <c r="U14" s="763"/>
      <c r="V14" s="762">
        <f>IFERROR(__xludf.DUMMYFUNCTION("""COMPUTED_VALUE"""),1.0)</f>
        <v>1</v>
      </c>
      <c r="W14" s="762">
        <f>IFERROR(__xludf.DUMMYFUNCTION("""COMPUTED_VALUE"""),25.0)</f>
        <v>25</v>
      </c>
      <c r="X14" s="762">
        <f>IFERROR(__xludf.DUMMYFUNCTION("""COMPUTED_VALUE"""),25.0)</f>
        <v>25</v>
      </c>
      <c r="Y14" s="763"/>
      <c r="Z14" s="765" t="str">
        <f>IFERROR(__xludf.DUMMYFUNCTION("""COMPUTED_VALUE"""),"https://studio-gem.it/wp-admin/post.php?post=61749&amp;action=edit")</f>
        <v>https://studio-gem.it/wp-admin/post.php?post=61749&amp;action=edit</v>
      </c>
      <c r="AA14" s="763"/>
      <c r="AB14" s="763"/>
      <c r="AC14" s="763"/>
      <c r="AD14" s="763"/>
      <c r="AE14" s="763"/>
      <c r="AF14" s="763"/>
      <c r="AG14" s="763"/>
      <c r="AH14" s="763"/>
      <c r="AI14" s="763"/>
      <c r="AJ14" s="763"/>
      <c r="AK14" s="763"/>
      <c r="AL14" s="763"/>
      <c r="AM14" s="763"/>
      <c r="AN14" s="763"/>
      <c r="AO14" s="763"/>
      <c r="AP14" s="763"/>
      <c r="AQ14" s="763"/>
      <c r="AR14" s="763"/>
      <c r="AS14" s="763"/>
      <c r="AT14" s="763"/>
      <c r="AU14" s="763"/>
      <c r="AV14" s="763"/>
      <c r="AW14" s="763"/>
      <c r="AX14" s="763"/>
      <c r="AY14" s="763"/>
      <c r="AZ14" s="763"/>
      <c r="BA14" s="763"/>
      <c r="BB14" s="763"/>
      <c r="BC14" s="763"/>
      <c r="BD14" s="763"/>
      <c r="BE14" s="763"/>
      <c r="BF14" s="763"/>
      <c r="BG14" s="763" t="b">
        <f>IFERROR(__xludf.DUMMYFUNCTION("""COMPUTED_VALUE"""),FALSE)</f>
        <v>0</v>
      </c>
      <c r="BH14" s="763" t="b">
        <f>IFERROR(__xludf.DUMMYFUNCTION("""COMPUTED_VALUE"""),TRUE)</f>
        <v>1</v>
      </c>
      <c r="BI14" s="763" t="b">
        <f>IFERROR(__xludf.DUMMYFUNCTION("""COMPUTED_VALUE"""),FALSE)</f>
        <v>0</v>
      </c>
      <c r="BJ14" s="763" t="b">
        <f>IFERROR(__xludf.DUMMYFUNCTION("""COMPUTED_VALUE"""),FALSE)</f>
        <v>0</v>
      </c>
    </row>
    <row r="15">
      <c r="A15" s="762">
        <f>IFERROR(__xludf.DUMMYFUNCTION("""COMPUTED_VALUE"""),61801.0)</f>
        <v>61801</v>
      </c>
      <c r="B15" s="538">
        <f>IFERROR(__xludf.DUMMYFUNCTION("""COMPUTED_VALUE"""),61801.0)</f>
        <v>61801</v>
      </c>
      <c r="C15" s="538" t="str">
        <f>IFERROR(__xludf.DUMMYFUNCTION("""COMPUTED_VALUE"""),"2025-03-14 11:10:12")</f>
        <v>2025-03-14 11:10:12</v>
      </c>
      <c r="D15" s="538" t="str">
        <f>IFERROR(__xludf.DUMMYFUNCTION("""COMPUTED_VALUE"""),"cancelled")</f>
        <v>cancelled</v>
      </c>
      <c r="E15" s="538" t="str">
        <f>IFERROR(__xludf.DUMMYFUNCTION("""COMPUTED_VALUE"""),"ago")</f>
        <v>ago</v>
      </c>
      <c r="F15" s="538" t="str">
        <f>IFERROR(__xludf.DUMMYFUNCTION("""COMPUTED_VALUE"""),"genc")</f>
        <v>genc</v>
      </c>
      <c r="G15" s="538" t="str">
        <f>IFERROR(__xludf.DUMMYFUNCTION("""COMPUTED_VALUE"""),"ago@agogo.it")</f>
        <v>ago@agogo.it</v>
      </c>
      <c r="H15" s="538">
        <f>IFERROR(__xludf.DUMMYFUNCTION("""COMPUTED_VALUE"""),3.356385854E9)</f>
        <v>3356385854</v>
      </c>
      <c r="I15" s="538" t="str">
        <f>IFERROR(__xludf.DUMMYFUNCTION("""COMPUTED_VALUE"""),"Bresso")</f>
        <v>Bresso</v>
      </c>
      <c r="J15" s="538" t="str">
        <f>IFERROR(__xludf.DUMMYFUNCTION("""COMPUTED_VALUE"""),"Via Aldo villa 16")</f>
        <v>Via Aldo villa 16</v>
      </c>
      <c r="K15" s="538">
        <f>IFERROR(__xludf.DUMMYFUNCTION("""COMPUTED_VALUE"""),20900.0)</f>
        <v>20900</v>
      </c>
      <c r="L15" s="538" t="str">
        <f>IFERROR(__xludf.DUMMYFUNCTION("""COMPUTED_VALUE"""),"Carte di pagamento")</f>
        <v>Carte di pagamento</v>
      </c>
      <c r="M15" s="538" t="str">
        <f>IFERROR(__xludf.DUMMYFUNCTION("""COMPUTED_VALUE"""),"agotest25")</f>
        <v>agotest25</v>
      </c>
      <c r="N15" s="763"/>
      <c r="O15" s="762">
        <f>IFERROR(__xludf.DUMMYFUNCTION("""COMPUTED_VALUE"""),0.0)</f>
        <v>0</v>
      </c>
      <c r="P15" s="764">
        <f>IFERROR(__xludf.DUMMYFUNCTION("""COMPUTED_VALUE"""),0.017361111111111112)</f>
        <v>0.01736111111</v>
      </c>
      <c r="Q15" s="538" t="str">
        <f>IFERROR(__xludf.DUMMYFUNCTION("""COMPUTED_VALUE"""),"EUR")</f>
        <v>EUR</v>
      </c>
      <c r="R15" s="762">
        <f>IFERROR(__xludf.DUMMYFUNCTION("""COMPUTED_VALUE"""),317.0)</f>
        <v>317</v>
      </c>
      <c r="S15" s="538" t="str">
        <f>IFERROR(__xludf.DUMMYFUNCTION("""COMPUTED_VALUE"""),"Workshop Salsa lady style con Jhesus Aponte - Workshop Salsa lady style con Jhesus Aponte")</f>
        <v>Workshop Salsa lady style con Jhesus Aponte - Workshop Salsa lady style con Jhesus Aponte</v>
      </c>
      <c r="T15" s="763"/>
      <c r="U15" s="763"/>
      <c r="V15" s="762">
        <f>IFERROR(__xludf.DUMMYFUNCTION("""COMPUTED_VALUE"""),1.0)</f>
        <v>1</v>
      </c>
      <c r="W15" s="762">
        <f>IFERROR(__xludf.DUMMYFUNCTION("""COMPUTED_VALUE"""),0.25)</f>
        <v>0.25</v>
      </c>
      <c r="X15" s="762">
        <f>IFERROR(__xludf.DUMMYFUNCTION("""COMPUTED_VALUE"""),0.25)</f>
        <v>0.25</v>
      </c>
      <c r="Y15" s="763"/>
      <c r="Z15" s="765" t="str">
        <f>IFERROR(__xludf.DUMMYFUNCTION("""COMPUTED_VALUE"""),"https://studio-gem.it/wp-admin/post.php?post=61801&amp;action=edit")</f>
        <v>https://studio-gem.it/wp-admin/post.php?post=61801&amp;action=edit</v>
      </c>
      <c r="AA15" s="763"/>
      <c r="AB15" s="763"/>
      <c r="AC15" s="763"/>
      <c r="AD15" s="763"/>
      <c r="AE15" s="763"/>
      <c r="AF15" s="763"/>
      <c r="AG15" s="763"/>
      <c r="AH15" s="763"/>
      <c r="AI15" s="763"/>
      <c r="AJ15" s="763"/>
      <c r="AK15" s="763"/>
      <c r="AL15" s="763"/>
      <c r="AM15" s="763"/>
      <c r="AN15" s="763"/>
      <c r="AO15" s="763"/>
      <c r="AP15" s="763"/>
      <c r="AQ15" s="763"/>
      <c r="AR15" s="763"/>
      <c r="AS15" s="763"/>
      <c r="AT15" s="763"/>
      <c r="AU15" s="763"/>
      <c r="AV15" s="763"/>
      <c r="AW15" s="763"/>
      <c r="AX15" s="763"/>
      <c r="AY15" s="763"/>
      <c r="AZ15" s="763"/>
      <c r="BA15" s="763"/>
      <c r="BB15" s="763"/>
      <c r="BC15" s="763"/>
      <c r="BD15" s="763"/>
      <c r="BE15" s="763"/>
      <c r="BF15" s="763"/>
      <c r="BG15" s="763" t="b">
        <f>IFERROR(__xludf.DUMMYFUNCTION("""COMPUTED_VALUE"""),FALSE)</f>
        <v>0</v>
      </c>
      <c r="BH15" s="763" t="b">
        <f>IFERROR(__xludf.DUMMYFUNCTION("""COMPUTED_VALUE"""),FALSE)</f>
        <v>0</v>
      </c>
      <c r="BI15" s="763" t="b">
        <f>IFERROR(__xludf.DUMMYFUNCTION("""COMPUTED_VALUE"""),FALSE)</f>
        <v>0</v>
      </c>
      <c r="BJ15" s="763" t="b">
        <f>IFERROR(__xludf.DUMMYFUNCTION("""COMPUTED_VALUE"""),FALSE)</f>
        <v>0</v>
      </c>
    </row>
    <row r="16">
      <c r="A16" s="762">
        <f>IFERROR(__xludf.DUMMYFUNCTION("""COMPUTED_VALUE"""),61813.0)</f>
        <v>61813</v>
      </c>
      <c r="B16" s="538">
        <f>IFERROR(__xludf.DUMMYFUNCTION("""COMPUTED_VALUE"""),61813.0)</f>
        <v>61813</v>
      </c>
      <c r="C16" s="538" t="str">
        <f>IFERROR(__xludf.DUMMYFUNCTION("""COMPUTED_VALUE"""),"2025-03-14 16:49:33")</f>
        <v>2025-03-14 16:49:33</v>
      </c>
      <c r="D16" s="538" t="str">
        <f>IFERROR(__xludf.DUMMYFUNCTION("""COMPUTED_VALUE"""),"cancelled")</f>
        <v>cancelled</v>
      </c>
      <c r="E16" s="538" t="str">
        <f>IFERROR(__xludf.DUMMYFUNCTION("""COMPUTED_VALUE"""),"Augusto")</f>
        <v>Augusto</v>
      </c>
      <c r="F16" s="538" t="str">
        <f>IFERROR(__xludf.DUMMYFUNCTION("""COMPUTED_VALUE"""),"Genca")</f>
        <v>Genca</v>
      </c>
      <c r="G16" s="538" t="str">
        <f>IFERROR(__xludf.DUMMYFUNCTION("""COMPUTED_VALUE"""),"augusto.genca@gmail.com")</f>
        <v>augusto.genca@gmail.com</v>
      </c>
      <c r="H16" s="538">
        <f>IFERROR(__xludf.DUMMYFUNCTION("""COMPUTED_VALUE"""),3.356385854E9)</f>
        <v>3356385854</v>
      </c>
      <c r="I16" s="538" t="str">
        <f>IFERROR(__xludf.DUMMYFUNCTION("""COMPUTED_VALUE"""),"bresso")</f>
        <v>bresso</v>
      </c>
      <c r="J16" s="538" t="str">
        <f>IFERROR(__xludf.DUMMYFUNCTION("""COMPUTED_VALUE"""),"Via aldo villa 14")</f>
        <v>Via aldo villa 14</v>
      </c>
      <c r="K16" s="538">
        <f>IFERROR(__xludf.DUMMYFUNCTION("""COMPUTED_VALUE"""),20097.0)</f>
        <v>20097</v>
      </c>
      <c r="L16" s="538" t="str">
        <f>IFERROR(__xludf.DUMMYFUNCTION("""COMPUTED_VALUE"""),"Carte di pagamento")</f>
        <v>Carte di pagamento</v>
      </c>
      <c r="M16" s="763"/>
      <c r="N16" s="763"/>
      <c r="O16" s="762">
        <f>IFERROR(__xludf.DUMMYFUNCTION("""COMPUTED_VALUE"""),0.0)</f>
        <v>0</v>
      </c>
      <c r="P16" s="766">
        <f>IFERROR(__xludf.DUMMYFUNCTION("""COMPUTED_VALUE"""),10.833333333333334)</f>
        <v>10.83333333</v>
      </c>
      <c r="Q16" s="538" t="str">
        <f>IFERROR(__xludf.DUMMYFUNCTION("""COMPUTED_VALUE"""),"EUR")</f>
        <v>EUR</v>
      </c>
      <c r="R16" s="762">
        <f>IFERROR(__xludf.DUMMYFUNCTION("""COMPUTED_VALUE"""),319.0)</f>
        <v>319</v>
      </c>
      <c r="S16" s="538" t="str">
        <f>IFERROR(__xludf.DUMMYFUNCTION("""COMPUTED_VALUE"""),"Campus estivo per bambini e ragazzi 2025 - Campus estivo 2 settimane")</f>
        <v>Campus estivo per bambini e ragazzi 2025 - Campus estivo 2 settimane</v>
      </c>
      <c r="T16" s="763"/>
      <c r="U16" s="763"/>
      <c r="V16" s="762">
        <f>IFERROR(__xludf.DUMMYFUNCTION("""COMPUTED_VALUE"""),2.0)</f>
        <v>2</v>
      </c>
      <c r="W16" s="762">
        <f>IFERROR(__xludf.DUMMYFUNCTION("""COMPUTED_VALUE"""),130.0)</f>
        <v>130</v>
      </c>
      <c r="X16" s="762">
        <f>IFERROR(__xludf.DUMMYFUNCTION("""COMPUTED_VALUE"""),260.0)</f>
        <v>260</v>
      </c>
      <c r="Y16" s="763"/>
      <c r="Z16" s="765" t="str">
        <f>IFERROR(__xludf.DUMMYFUNCTION("""COMPUTED_VALUE"""),"https://studio-gem.it/wp-admin/post.php?post=61813&amp;action=edit")</f>
        <v>https://studio-gem.it/wp-admin/post.php?post=61813&amp;action=edit</v>
      </c>
      <c r="AA16" s="763"/>
      <c r="AB16" s="763"/>
      <c r="AC16" s="763"/>
      <c r="AD16" s="763"/>
      <c r="AE16" s="763"/>
      <c r="AF16" s="763"/>
      <c r="AG16" s="763"/>
      <c r="AH16" s="763"/>
      <c r="AI16" s="763"/>
      <c r="AJ16" s="763"/>
      <c r="AK16" s="763"/>
      <c r="AL16" s="763"/>
      <c r="AM16" s="763"/>
      <c r="AN16" s="763"/>
      <c r="AO16" s="763"/>
      <c r="AP16" s="763"/>
      <c r="AQ16" s="763"/>
      <c r="AR16" s="763"/>
      <c r="AS16" s="763"/>
      <c r="AT16" s="763"/>
      <c r="AU16" s="763"/>
      <c r="AV16" s="763"/>
      <c r="AW16" s="763"/>
      <c r="AX16" s="763"/>
      <c r="AY16" s="763"/>
      <c r="AZ16" s="763"/>
      <c r="BA16" s="763"/>
      <c r="BB16" s="763"/>
      <c r="BC16" s="763"/>
      <c r="BD16" s="763"/>
      <c r="BE16" s="763"/>
      <c r="BF16" s="763"/>
      <c r="BG16" s="763" t="b">
        <f>IFERROR(__xludf.DUMMYFUNCTION("""COMPUTED_VALUE"""),FALSE)</f>
        <v>0</v>
      </c>
      <c r="BH16" s="763" t="b">
        <f>IFERROR(__xludf.DUMMYFUNCTION("""COMPUTED_VALUE"""),FALSE)</f>
        <v>0</v>
      </c>
      <c r="BI16" s="763" t="b">
        <f>IFERROR(__xludf.DUMMYFUNCTION("""COMPUTED_VALUE"""),FALSE)</f>
        <v>0</v>
      </c>
      <c r="BJ16" s="763" t="b">
        <f>IFERROR(__xludf.DUMMYFUNCTION("""COMPUTED_VALUE"""),FALSE)</f>
        <v>0</v>
      </c>
    </row>
    <row r="17">
      <c r="A17" s="762">
        <f>IFERROR(__xludf.DUMMYFUNCTION("""COMPUTED_VALUE"""),61814.0)</f>
        <v>61814</v>
      </c>
      <c r="B17" s="538">
        <f>IFERROR(__xludf.DUMMYFUNCTION("""COMPUTED_VALUE"""),61814.0)</f>
        <v>61814</v>
      </c>
      <c r="C17" s="538" t="str">
        <f>IFERROR(__xludf.DUMMYFUNCTION("""COMPUTED_VALUE"""),"2025-03-14 17:00:49")</f>
        <v>2025-03-14 17:00:49</v>
      </c>
      <c r="D17" s="538" t="str">
        <f>IFERROR(__xludf.DUMMYFUNCTION("""COMPUTED_VALUE"""),"completed")</f>
        <v>completed</v>
      </c>
      <c r="E17" s="538" t="str">
        <f>IFERROR(__xludf.DUMMYFUNCTION("""COMPUTED_VALUE"""),"ago")</f>
        <v>ago</v>
      </c>
      <c r="F17" s="538" t="str">
        <f>IFERROR(__xludf.DUMMYFUNCTION("""COMPUTED_VALUE"""),"genc")</f>
        <v>genc</v>
      </c>
      <c r="G17" s="538" t="str">
        <f>IFERROR(__xludf.DUMMYFUNCTION("""COMPUTED_VALUE"""),"ago@agogo.it")</f>
        <v>ago@agogo.it</v>
      </c>
      <c r="H17" s="538">
        <f>IFERROR(__xludf.DUMMYFUNCTION("""COMPUTED_VALUE"""),3.356385854E9)</f>
        <v>3356385854</v>
      </c>
      <c r="I17" s="538" t="str">
        <f>IFERROR(__xludf.DUMMYFUNCTION("""COMPUTED_VALUE"""),"Bresso")</f>
        <v>Bresso</v>
      </c>
      <c r="J17" s="538" t="str">
        <f>IFERROR(__xludf.DUMMYFUNCTION("""COMPUTED_VALUE"""),"Via Aldo villa 16")</f>
        <v>Via Aldo villa 16</v>
      </c>
      <c r="K17" s="538">
        <f>IFERROR(__xludf.DUMMYFUNCTION("""COMPUTED_VALUE"""),20900.0)</f>
        <v>20900</v>
      </c>
      <c r="L17" s="538" t="str">
        <f>IFERROR(__xludf.DUMMYFUNCTION("""COMPUTED_VALUE"""),"Google Pay")</f>
        <v>Google Pay</v>
      </c>
      <c r="M17" s="538" t="str">
        <f>IFERROR(__xludf.DUMMYFUNCTION("""COMPUTED_VALUE"""),"agotest25")</f>
        <v>agotest25</v>
      </c>
      <c r="N17" s="763" t="str">
        <f>IFERROR(__xludf.DUMMYFUNCTION("""COMPUTED_VALUE"""),"61814-1741971833")</f>
        <v>61814-1741971833</v>
      </c>
      <c r="O17" s="762">
        <f>IFERROR(__xludf.DUMMYFUNCTION("""COMPUTED_VALUE"""),0.0)</f>
        <v>0</v>
      </c>
      <c r="P17" s="764">
        <f>IFERROR(__xludf.DUMMYFUNCTION("""COMPUTED_VALUE"""),0.10069444444444445)</f>
        <v>0.1006944444</v>
      </c>
      <c r="Q17" s="538" t="str">
        <f>IFERROR(__xludf.DUMMYFUNCTION("""COMPUTED_VALUE"""),"EUR")</f>
        <v>EUR</v>
      </c>
      <c r="R17" s="762">
        <f>IFERROR(__xludf.DUMMYFUNCTION("""COMPUTED_VALUE"""),328.0)</f>
        <v>328</v>
      </c>
      <c r="S17" s="538" t="str">
        <f>IFERROR(__xludf.DUMMYFUNCTION("""COMPUTED_VALUE"""),"Workshop Salsa lady style con Jhesus Aponte - Workshop Salsa lady style con Jhesus Aponte")</f>
        <v>Workshop Salsa lady style con Jhesus Aponte - Workshop Salsa lady style con Jhesus Aponte</v>
      </c>
      <c r="T17" s="763"/>
      <c r="U17" s="763"/>
      <c r="V17" s="762">
        <f>IFERROR(__xludf.DUMMYFUNCTION("""COMPUTED_VALUE"""),1.0)</f>
        <v>1</v>
      </c>
      <c r="W17" s="762">
        <f>IFERROR(__xludf.DUMMYFUNCTION("""COMPUTED_VALUE"""),0.25)</f>
        <v>0.25</v>
      </c>
      <c r="X17" s="762">
        <f>IFERROR(__xludf.DUMMYFUNCTION("""COMPUTED_VALUE"""),0.25)</f>
        <v>0.25</v>
      </c>
      <c r="Y17" s="763"/>
      <c r="Z17" s="765" t="str">
        <f>IFERROR(__xludf.DUMMYFUNCTION("""COMPUTED_VALUE"""),"https://studio-gem.it/wp-admin/post.php?post=61814&amp;action=edit")</f>
        <v>https://studio-gem.it/wp-admin/post.php?post=61814&amp;action=edit</v>
      </c>
      <c r="AA17" s="763"/>
      <c r="AB17" s="763"/>
      <c r="AC17" s="763"/>
      <c r="AD17" s="763"/>
      <c r="AE17" s="763"/>
      <c r="AF17" s="763"/>
      <c r="AG17" s="763"/>
      <c r="AH17" s="763"/>
      <c r="AI17" s="763"/>
      <c r="AJ17" s="763"/>
      <c r="AK17" s="763"/>
      <c r="AL17" s="763"/>
      <c r="AM17" s="763"/>
      <c r="AN17" s="763"/>
      <c r="AO17" s="763"/>
      <c r="AP17" s="763"/>
      <c r="AQ17" s="763"/>
      <c r="AR17" s="763"/>
      <c r="AS17" s="763"/>
      <c r="AT17" s="763"/>
      <c r="AU17" s="763"/>
      <c r="AV17" s="763"/>
      <c r="AW17" s="763"/>
      <c r="AX17" s="763"/>
      <c r="AY17" s="763"/>
      <c r="AZ17" s="763"/>
      <c r="BA17" s="763"/>
      <c r="BB17" s="763"/>
      <c r="BC17" s="763"/>
      <c r="BD17" s="763"/>
      <c r="BE17" s="763"/>
      <c r="BF17" s="763"/>
      <c r="BG17" s="763" t="b">
        <f>IFERROR(__xludf.DUMMYFUNCTION("""COMPUTED_VALUE"""),FALSE)</f>
        <v>0</v>
      </c>
      <c r="BH17" s="763" t="b">
        <f>IFERROR(__xludf.DUMMYFUNCTION("""COMPUTED_VALUE"""),TRUE)</f>
        <v>1</v>
      </c>
      <c r="BI17" s="763" t="b">
        <f>IFERROR(__xludf.DUMMYFUNCTION("""COMPUTED_VALUE"""),FALSE)</f>
        <v>0</v>
      </c>
      <c r="BJ17" s="763" t="b">
        <f>IFERROR(__xludf.DUMMYFUNCTION("""COMPUTED_VALUE"""),FALSE)</f>
        <v>0</v>
      </c>
    </row>
    <row r="18">
      <c r="A18" s="762">
        <f>IFERROR(__xludf.DUMMYFUNCTION("""COMPUTED_VALUE"""),61814.0)</f>
        <v>61814</v>
      </c>
      <c r="B18" s="538">
        <f>IFERROR(__xludf.DUMMYFUNCTION("""COMPUTED_VALUE"""),61814.0)</f>
        <v>61814</v>
      </c>
      <c r="C18" s="538" t="str">
        <f>IFERROR(__xludf.DUMMYFUNCTION("""COMPUTED_VALUE"""),"2025-03-14 17:00:49")</f>
        <v>2025-03-14 17:00:49</v>
      </c>
      <c r="D18" s="538" t="str">
        <f>IFERROR(__xludf.DUMMYFUNCTION("""COMPUTED_VALUE"""),"completed")</f>
        <v>completed</v>
      </c>
      <c r="E18" s="538" t="str">
        <f>IFERROR(__xludf.DUMMYFUNCTION("""COMPUTED_VALUE"""),"ago")</f>
        <v>ago</v>
      </c>
      <c r="F18" s="538" t="str">
        <f>IFERROR(__xludf.DUMMYFUNCTION("""COMPUTED_VALUE"""),"genc")</f>
        <v>genc</v>
      </c>
      <c r="G18" s="538" t="str">
        <f>IFERROR(__xludf.DUMMYFUNCTION("""COMPUTED_VALUE"""),"ago@agogo.it")</f>
        <v>ago@agogo.it</v>
      </c>
      <c r="H18" s="538">
        <f>IFERROR(__xludf.DUMMYFUNCTION("""COMPUTED_VALUE"""),3.356385854E9)</f>
        <v>3356385854</v>
      </c>
      <c r="I18" s="538" t="str">
        <f>IFERROR(__xludf.DUMMYFUNCTION("""COMPUTED_VALUE"""),"Bresso")</f>
        <v>Bresso</v>
      </c>
      <c r="J18" s="538" t="str">
        <f>IFERROR(__xludf.DUMMYFUNCTION("""COMPUTED_VALUE"""),"Via Aldo villa 16")</f>
        <v>Via Aldo villa 16</v>
      </c>
      <c r="K18" s="538">
        <f>IFERROR(__xludf.DUMMYFUNCTION("""COMPUTED_VALUE"""),20900.0)</f>
        <v>20900</v>
      </c>
      <c r="L18" s="538" t="str">
        <f>IFERROR(__xludf.DUMMYFUNCTION("""COMPUTED_VALUE"""),"Google Pay")</f>
        <v>Google Pay</v>
      </c>
      <c r="M18" s="538" t="str">
        <f>IFERROR(__xludf.DUMMYFUNCTION("""COMPUTED_VALUE"""),"agotest25")</f>
        <v>agotest25</v>
      </c>
      <c r="N18" s="763" t="str">
        <f>IFERROR(__xludf.DUMMYFUNCTION("""COMPUTED_VALUE"""),"61814-1741971833")</f>
        <v>61814-1741971833</v>
      </c>
      <c r="O18" s="762">
        <f>IFERROR(__xludf.DUMMYFUNCTION("""COMPUTED_VALUE"""),0.0)</f>
        <v>0</v>
      </c>
      <c r="P18" s="764">
        <f>IFERROR(__xludf.DUMMYFUNCTION("""COMPUTED_VALUE"""),0.10069444444444445)</f>
        <v>0.1006944444</v>
      </c>
      <c r="Q18" s="538" t="str">
        <f>IFERROR(__xludf.DUMMYFUNCTION("""COMPUTED_VALUE"""),"EUR")</f>
        <v>EUR</v>
      </c>
      <c r="R18" s="762">
        <f>IFERROR(__xludf.DUMMYFUNCTION("""COMPUTED_VALUE"""),329.0)</f>
        <v>329</v>
      </c>
      <c r="S18" s="538" t="str">
        <f>IFERROR(__xludf.DUMMYFUNCTION("""COMPUTED_VALUE"""),"Campus estivo per bambini e ragazzi 2025 - Campus estivo 2 settimane")</f>
        <v>Campus estivo per bambini e ragazzi 2025 - Campus estivo 2 settimane</v>
      </c>
      <c r="T18" s="763"/>
      <c r="U18" s="763"/>
      <c r="V18" s="762">
        <f>IFERROR(__xludf.DUMMYFUNCTION("""COMPUTED_VALUE"""),1.0)</f>
        <v>1</v>
      </c>
      <c r="W18" s="762">
        <f>IFERROR(__xludf.DUMMYFUNCTION("""COMPUTED_VALUE"""),1.3)</f>
        <v>1.3</v>
      </c>
      <c r="X18" s="762">
        <f>IFERROR(__xludf.DUMMYFUNCTION("""COMPUTED_VALUE"""),1.3)</f>
        <v>1.3</v>
      </c>
      <c r="Y18" s="763"/>
      <c r="Z18" s="765" t="str">
        <f>IFERROR(__xludf.DUMMYFUNCTION("""COMPUTED_VALUE"""),"https://studio-gem.it/wp-admin/post.php?post=61814&amp;action=edit")</f>
        <v>https://studio-gem.it/wp-admin/post.php?post=61814&amp;action=edit</v>
      </c>
      <c r="AA18" s="763"/>
      <c r="AB18" s="763"/>
      <c r="AC18" s="763"/>
      <c r="AD18" s="763"/>
      <c r="AE18" s="763"/>
      <c r="AF18" s="763"/>
      <c r="AG18" s="763"/>
      <c r="AH18" s="763"/>
      <c r="AI18" s="763"/>
      <c r="AJ18" s="763"/>
      <c r="AK18" s="763"/>
      <c r="AL18" s="763"/>
      <c r="AM18" s="763"/>
      <c r="AN18" s="763"/>
      <c r="AO18" s="763"/>
      <c r="AP18" s="763"/>
      <c r="AQ18" s="763"/>
      <c r="AR18" s="763"/>
      <c r="AS18" s="763"/>
      <c r="AT18" s="763"/>
      <c r="AU18" s="763"/>
      <c r="AV18" s="763"/>
      <c r="AW18" s="763"/>
      <c r="AX18" s="763"/>
      <c r="AY18" s="763"/>
      <c r="AZ18" s="763"/>
      <c r="BA18" s="763"/>
      <c r="BB18" s="763"/>
      <c r="BC18" s="763"/>
      <c r="BD18" s="763"/>
      <c r="BE18" s="763"/>
      <c r="BF18" s="763"/>
      <c r="BG18" s="763" t="b">
        <f>IFERROR(__xludf.DUMMYFUNCTION("""COMPUTED_VALUE"""),FALSE)</f>
        <v>0</v>
      </c>
      <c r="BH18" s="763" t="b">
        <f>IFERROR(__xludf.DUMMYFUNCTION("""COMPUTED_VALUE"""),TRUE)</f>
        <v>1</v>
      </c>
      <c r="BI18" s="763" t="b">
        <f>IFERROR(__xludf.DUMMYFUNCTION("""COMPUTED_VALUE"""),FALSE)</f>
        <v>0</v>
      </c>
      <c r="BJ18" s="763" t="b">
        <f>IFERROR(__xludf.DUMMYFUNCTION("""COMPUTED_VALUE"""),FALSE)</f>
        <v>0</v>
      </c>
    </row>
    <row r="19">
      <c r="A19" s="762">
        <f>IFERROR(__xludf.DUMMYFUNCTION("""COMPUTED_VALUE"""),61814.0)</f>
        <v>61814</v>
      </c>
      <c r="B19" s="538">
        <f>IFERROR(__xludf.DUMMYFUNCTION("""COMPUTED_VALUE"""),61814.0)</f>
        <v>61814</v>
      </c>
      <c r="C19" s="538" t="str">
        <f>IFERROR(__xludf.DUMMYFUNCTION("""COMPUTED_VALUE"""),"2025-03-14 17:00:49")</f>
        <v>2025-03-14 17:00:49</v>
      </c>
      <c r="D19" s="538" t="str">
        <f>IFERROR(__xludf.DUMMYFUNCTION("""COMPUTED_VALUE"""),"completed")</f>
        <v>completed</v>
      </c>
      <c r="E19" s="538" t="str">
        <f>IFERROR(__xludf.DUMMYFUNCTION("""COMPUTED_VALUE"""),"ago")</f>
        <v>ago</v>
      </c>
      <c r="F19" s="538" t="str">
        <f>IFERROR(__xludf.DUMMYFUNCTION("""COMPUTED_VALUE"""),"genc")</f>
        <v>genc</v>
      </c>
      <c r="G19" s="538" t="str">
        <f>IFERROR(__xludf.DUMMYFUNCTION("""COMPUTED_VALUE"""),"ago@agogo.it")</f>
        <v>ago@agogo.it</v>
      </c>
      <c r="H19" s="538">
        <f>IFERROR(__xludf.DUMMYFUNCTION("""COMPUTED_VALUE"""),3.356385854E9)</f>
        <v>3356385854</v>
      </c>
      <c r="I19" s="538" t="str">
        <f>IFERROR(__xludf.DUMMYFUNCTION("""COMPUTED_VALUE"""),"Bresso")</f>
        <v>Bresso</v>
      </c>
      <c r="J19" s="538" t="str">
        <f>IFERROR(__xludf.DUMMYFUNCTION("""COMPUTED_VALUE"""),"Via Aldo villa 16")</f>
        <v>Via Aldo villa 16</v>
      </c>
      <c r="K19" s="538">
        <f>IFERROR(__xludf.DUMMYFUNCTION("""COMPUTED_VALUE"""),20900.0)</f>
        <v>20900</v>
      </c>
      <c r="L19" s="538" t="str">
        <f>IFERROR(__xludf.DUMMYFUNCTION("""COMPUTED_VALUE"""),"Google Pay")</f>
        <v>Google Pay</v>
      </c>
      <c r="M19" s="538" t="str">
        <f>IFERROR(__xludf.DUMMYFUNCTION("""COMPUTED_VALUE"""),"agotest25")</f>
        <v>agotest25</v>
      </c>
      <c r="N19" s="763" t="str">
        <f>IFERROR(__xludf.DUMMYFUNCTION("""COMPUTED_VALUE"""),"61814-1741971833")</f>
        <v>61814-1741971833</v>
      </c>
      <c r="O19" s="762">
        <f>IFERROR(__xludf.DUMMYFUNCTION("""COMPUTED_VALUE"""),0.0)</f>
        <v>0</v>
      </c>
      <c r="P19" s="764">
        <f>IFERROR(__xludf.DUMMYFUNCTION("""COMPUTED_VALUE"""),0.10069444444444445)</f>
        <v>0.1006944444</v>
      </c>
      <c r="Q19" s="538" t="str">
        <f>IFERROR(__xludf.DUMMYFUNCTION("""COMPUTED_VALUE"""),"EUR")</f>
        <v>EUR</v>
      </c>
      <c r="R19" s="762">
        <f>IFERROR(__xludf.DUMMYFUNCTION("""COMPUTED_VALUE"""),330.0)</f>
        <v>330</v>
      </c>
      <c r="S19" s="538" t="str">
        <f>IFERROR(__xludf.DUMMYFUNCTION("""COMPUTED_VALUE"""),"Workshop Modern con Nicholas Borgogni - Workshop Modern con Nicholas Borgogni")</f>
        <v>Workshop Modern con Nicholas Borgogni - Workshop Modern con Nicholas Borgogni</v>
      </c>
      <c r="T19" s="763"/>
      <c r="U19" s="763"/>
      <c r="V19" s="762">
        <f>IFERROR(__xludf.DUMMYFUNCTION("""COMPUTED_VALUE"""),1.0)</f>
        <v>1</v>
      </c>
      <c r="W19" s="762">
        <f>IFERROR(__xludf.DUMMYFUNCTION("""COMPUTED_VALUE"""),0.3)</f>
        <v>0.3</v>
      </c>
      <c r="X19" s="762">
        <f>IFERROR(__xludf.DUMMYFUNCTION("""COMPUTED_VALUE"""),0.3)</f>
        <v>0.3</v>
      </c>
      <c r="Y19" s="763"/>
      <c r="Z19" s="765" t="str">
        <f>IFERROR(__xludf.DUMMYFUNCTION("""COMPUTED_VALUE"""),"https://studio-gem.it/wp-admin/post.php?post=61814&amp;action=edit")</f>
        <v>https://studio-gem.it/wp-admin/post.php?post=61814&amp;action=edit</v>
      </c>
      <c r="AA19" s="763"/>
      <c r="AB19" s="763"/>
      <c r="AC19" s="763"/>
      <c r="AD19" s="763"/>
      <c r="AE19" s="763"/>
      <c r="AF19" s="763"/>
      <c r="AG19" s="763"/>
      <c r="AH19" s="763"/>
      <c r="AI19" s="763"/>
      <c r="AJ19" s="763"/>
      <c r="AK19" s="763"/>
      <c r="AL19" s="763"/>
      <c r="AM19" s="763"/>
      <c r="AN19" s="763"/>
      <c r="AO19" s="763"/>
      <c r="AP19" s="763"/>
      <c r="AQ19" s="763"/>
      <c r="AR19" s="763"/>
      <c r="AS19" s="763"/>
      <c r="AT19" s="763"/>
      <c r="AU19" s="763"/>
      <c r="AV19" s="763"/>
      <c r="AW19" s="763"/>
      <c r="AX19" s="763"/>
      <c r="AY19" s="763"/>
      <c r="AZ19" s="763"/>
      <c r="BA19" s="763"/>
      <c r="BB19" s="763"/>
      <c r="BC19" s="763"/>
      <c r="BD19" s="763"/>
      <c r="BE19" s="763"/>
      <c r="BF19" s="763"/>
      <c r="BG19" s="763" t="b">
        <f>IFERROR(__xludf.DUMMYFUNCTION("""COMPUTED_VALUE"""),FALSE)</f>
        <v>0</v>
      </c>
      <c r="BH19" s="763" t="b">
        <f>IFERROR(__xludf.DUMMYFUNCTION("""COMPUTED_VALUE"""),TRUE)</f>
        <v>1</v>
      </c>
      <c r="BI19" s="763" t="b">
        <f>IFERROR(__xludf.DUMMYFUNCTION("""COMPUTED_VALUE"""),FALSE)</f>
        <v>0</v>
      </c>
      <c r="BJ19" s="763" t="b">
        <f>IFERROR(__xludf.DUMMYFUNCTION("""COMPUTED_VALUE"""),FALSE)</f>
        <v>0</v>
      </c>
    </row>
    <row r="20">
      <c r="A20" s="762">
        <f>IFERROR(__xludf.DUMMYFUNCTION("""COMPUTED_VALUE"""),61821.0)</f>
        <v>61821</v>
      </c>
      <c r="B20" s="538">
        <f>IFERROR(__xludf.DUMMYFUNCTION("""COMPUTED_VALUE"""),61821.0)</f>
        <v>61821</v>
      </c>
      <c r="C20" s="538" t="str">
        <f>IFERROR(__xludf.DUMMYFUNCTION("""COMPUTED_VALUE"""),"2025-03-14 17:59:57")</f>
        <v>2025-03-14 17:59:57</v>
      </c>
      <c r="D20" s="538" t="str">
        <f>IFERROR(__xludf.DUMMYFUNCTION("""COMPUTED_VALUE"""),"completed")</f>
        <v>completed</v>
      </c>
      <c r="E20" s="538" t="str">
        <f>IFERROR(__xludf.DUMMYFUNCTION("""COMPUTED_VALUE"""),"Joel")</f>
        <v>Joel</v>
      </c>
      <c r="F20" s="538" t="str">
        <f>IFERROR(__xludf.DUMMYFUNCTION("""COMPUTED_VALUE"""),"Villon")</f>
        <v>Villon</v>
      </c>
      <c r="G20" s="538" t="str">
        <f>IFERROR(__xludf.DUMMYFUNCTION("""COMPUTED_VALUE"""),"joel@studio-gem.it")</f>
        <v>joel@studio-gem.it</v>
      </c>
      <c r="H20" s="538">
        <f>IFERROR(__xludf.DUMMYFUNCTION("""COMPUTED_VALUE"""),3.281346607E9)</f>
        <v>3281346607</v>
      </c>
      <c r="I20" s="538" t="str">
        <f>IFERROR(__xludf.DUMMYFUNCTION("""COMPUTED_VALUE"""),"Milano")</f>
        <v>Milano</v>
      </c>
      <c r="J20" s="538" t="str">
        <f>IFERROR(__xludf.DUMMYFUNCTION("""COMPUTED_VALUE"""),"Via Novara")</f>
        <v>Via Novara</v>
      </c>
      <c r="K20" s="538">
        <f>IFERROR(__xludf.DUMMYFUNCTION("""COMPUTED_VALUE"""),20153.0)</f>
        <v>20153</v>
      </c>
      <c r="L20" s="538" t="str">
        <f>IFERROR(__xludf.DUMMYFUNCTION("""COMPUTED_VALUE"""),"Carte di pagamento")</f>
        <v>Carte di pagamento</v>
      </c>
      <c r="M20" s="538" t="str">
        <f>IFERROR(__xludf.DUMMYFUNCTION("""COMPUTED_VALUE"""),"agotest25")</f>
        <v>agotest25</v>
      </c>
      <c r="N20" s="763" t="str">
        <f>IFERROR(__xludf.DUMMYFUNCTION("""COMPUTED_VALUE"""),"61821-1741975198")</f>
        <v>61821-1741975198</v>
      </c>
      <c r="O20" s="762">
        <f>IFERROR(__xludf.DUMMYFUNCTION("""COMPUTED_VALUE"""),0.0)</f>
        <v>0</v>
      </c>
      <c r="P20" s="764">
        <f>IFERROR(__xludf.DUMMYFUNCTION("""COMPUTED_VALUE"""),0.017361111111111112)</f>
        <v>0.01736111111</v>
      </c>
      <c r="Q20" s="538" t="str">
        <f>IFERROR(__xludf.DUMMYFUNCTION("""COMPUTED_VALUE"""),"EUR")</f>
        <v>EUR</v>
      </c>
      <c r="R20" s="762">
        <f>IFERROR(__xludf.DUMMYFUNCTION("""COMPUTED_VALUE"""),332.0)</f>
        <v>332</v>
      </c>
      <c r="S20" s="538" t="str">
        <f>IFERROR(__xludf.DUMMYFUNCTION("""COMPUTED_VALUE"""),"Workshop Salsa lady style con Jhesus Aponte - Workshop Salsa lady style con Jhesus Aponte")</f>
        <v>Workshop Salsa lady style con Jhesus Aponte - Workshop Salsa lady style con Jhesus Aponte</v>
      </c>
      <c r="T20" s="763"/>
      <c r="U20" s="763"/>
      <c r="V20" s="762">
        <f>IFERROR(__xludf.DUMMYFUNCTION("""COMPUTED_VALUE"""),1.0)</f>
        <v>1</v>
      </c>
      <c r="W20" s="762">
        <f>IFERROR(__xludf.DUMMYFUNCTION("""COMPUTED_VALUE"""),0.25)</f>
        <v>0.25</v>
      </c>
      <c r="X20" s="762">
        <f>IFERROR(__xludf.DUMMYFUNCTION("""COMPUTED_VALUE"""),0.25)</f>
        <v>0.25</v>
      </c>
      <c r="Y20" s="763"/>
      <c r="Z20" s="765" t="str">
        <f>IFERROR(__xludf.DUMMYFUNCTION("""COMPUTED_VALUE"""),"https://studio-gem.it/wp-admin/post.php?post=61821&amp;action=edit")</f>
        <v>https://studio-gem.it/wp-admin/post.php?post=61821&amp;action=edit</v>
      </c>
      <c r="AA20" s="763"/>
      <c r="AB20" s="763"/>
      <c r="AC20" s="763"/>
      <c r="AD20" s="763"/>
      <c r="AE20" s="763"/>
      <c r="AF20" s="763"/>
      <c r="AG20" s="763"/>
      <c r="AH20" s="763"/>
      <c r="AI20" s="763"/>
      <c r="AJ20" s="763"/>
      <c r="AK20" s="763"/>
      <c r="AL20" s="763"/>
      <c r="AM20" s="763"/>
      <c r="AN20" s="763"/>
      <c r="AO20" s="763"/>
      <c r="AP20" s="763"/>
      <c r="AQ20" s="763"/>
      <c r="AR20" s="763"/>
      <c r="AS20" s="763"/>
      <c r="AT20" s="763"/>
      <c r="AU20" s="763"/>
      <c r="AV20" s="763"/>
      <c r="AW20" s="763"/>
      <c r="AX20" s="763"/>
      <c r="AY20" s="763"/>
      <c r="AZ20" s="763"/>
      <c r="BA20" s="763"/>
      <c r="BB20" s="763"/>
      <c r="BC20" s="763"/>
      <c r="BD20" s="763"/>
      <c r="BE20" s="763"/>
      <c r="BF20" s="763"/>
      <c r="BG20" s="763" t="b">
        <f>IFERROR(__xludf.DUMMYFUNCTION("""COMPUTED_VALUE"""),FALSE)</f>
        <v>0</v>
      </c>
      <c r="BH20" s="763" t="b">
        <f>IFERROR(__xludf.DUMMYFUNCTION("""COMPUTED_VALUE"""),TRUE)</f>
        <v>1</v>
      </c>
      <c r="BI20" s="763" t="b">
        <f>IFERROR(__xludf.DUMMYFUNCTION("""COMPUTED_VALUE"""),FALSE)</f>
        <v>0</v>
      </c>
      <c r="BJ20" s="763" t="b">
        <f>IFERROR(__xludf.DUMMYFUNCTION("""COMPUTED_VALUE"""),FALSE)</f>
        <v>0</v>
      </c>
    </row>
    <row r="21">
      <c r="A21" s="762">
        <f>IFERROR(__xludf.DUMMYFUNCTION("""COMPUTED_VALUE"""),61825.0)</f>
        <v>61825</v>
      </c>
      <c r="B21" s="538">
        <f>IFERROR(__xludf.DUMMYFUNCTION("""COMPUTED_VALUE"""),61825.0)</f>
        <v>61825</v>
      </c>
      <c r="C21" s="538" t="str">
        <f>IFERROR(__xludf.DUMMYFUNCTION("""COMPUTED_VALUE"""),"2025-03-15 16:08:28")</f>
        <v>2025-03-15 16:08:28</v>
      </c>
      <c r="D21" s="538" t="str">
        <f>IFERROR(__xludf.DUMMYFUNCTION("""COMPUTED_VALUE"""),"completed")</f>
        <v>completed</v>
      </c>
      <c r="E21" s="538" t="str">
        <f>IFERROR(__xludf.DUMMYFUNCTION("""COMPUTED_VALUE"""),"Rosy")</f>
        <v>Rosy</v>
      </c>
      <c r="F21" s="538" t="str">
        <f>IFERROR(__xludf.DUMMYFUNCTION("""COMPUTED_VALUE"""),"Luliquis")</f>
        <v>Luliquis</v>
      </c>
      <c r="G21" s="538" t="str">
        <f>IFERROR(__xludf.DUMMYFUNCTION("""COMPUTED_VALUE"""),"rosy.ciao123@mail.com")</f>
        <v>rosy.ciao123@mail.com</v>
      </c>
      <c r="H21" s="538">
        <f>IFERROR(__xludf.DUMMYFUNCTION("""COMPUTED_VALUE"""),3.472971913E9)</f>
        <v>3472971913</v>
      </c>
      <c r="I21" s="538" t="str">
        <f>IFERROR(__xludf.DUMMYFUNCTION("""COMPUTED_VALUE"""),"Rovello Porro")</f>
        <v>Rovello Porro</v>
      </c>
      <c r="J21" s="538" t="str">
        <f>IFERROR(__xludf.DUMMYFUNCTION("""COMPUTED_VALUE"""),"Via Vincenzo Monti 1")</f>
        <v>Via Vincenzo Monti 1</v>
      </c>
      <c r="K21" s="538">
        <f>IFERROR(__xludf.DUMMYFUNCTION("""COMPUTED_VALUE"""),22070.0)</f>
        <v>22070</v>
      </c>
      <c r="L21" s="538" t="str">
        <f>IFERROR(__xludf.DUMMYFUNCTION("""COMPUTED_VALUE"""),"Apple Pay")</f>
        <v>Apple Pay</v>
      </c>
      <c r="M21" s="763"/>
      <c r="N21" s="763" t="str">
        <f>IFERROR(__xludf.DUMMYFUNCTION("""COMPUTED_VALUE"""),"61825-1742054909")</f>
        <v>61825-1742054909</v>
      </c>
      <c r="O21" s="762">
        <f>IFERROR(__xludf.DUMMYFUNCTION("""COMPUTED_VALUE"""),0.0)</f>
        <v>0</v>
      </c>
      <c r="P21" s="766">
        <f>IFERROR(__xludf.DUMMYFUNCTION("""COMPUTED_VALUE"""),1.0416666666666667)</f>
        <v>1.041666667</v>
      </c>
      <c r="Q21" s="538" t="str">
        <f>IFERROR(__xludf.DUMMYFUNCTION("""COMPUTED_VALUE"""),"EUR")</f>
        <v>EUR</v>
      </c>
      <c r="R21" s="762">
        <f>IFERROR(__xludf.DUMMYFUNCTION("""COMPUTED_VALUE"""),334.0)</f>
        <v>334</v>
      </c>
      <c r="S21" s="538" t="str">
        <f>IFERROR(__xludf.DUMMYFUNCTION("""COMPUTED_VALUE"""),"Workshop Salsa lady style con Jhesus Aponte - Workshop Salsa lady style con Jhesus Aponte")</f>
        <v>Workshop Salsa lady style con Jhesus Aponte - Workshop Salsa lady style con Jhesus Aponte</v>
      </c>
      <c r="T21" s="763"/>
      <c r="U21" s="763"/>
      <c r="V21" s="762">
        <f>IFERROR(__xludf.DUMMYFUNCTION("""COMPUTED_VALUE"""),1.0)</f>
        <v>1</v>
      </c>
      <c r="W21" s="762">
        <f>IFERROR(__xludf.DUMMYFUNCTION("""COMPUTED_VALUE"""),25.0)</f>
        <v>25</v>
      </c>
      <c r="X21" s="762">
        <f>IFERROR(__xludf.DUMMYFUNCTION("""COMPUTED_VALUE"""),25.0)</f>
        <v>25</v>
      </c>
      <c r="Y21" s="763"/>
      <c r="Z21" s="765" t="str">
        <f>IFERROR(__xludf.DUMMYFUNCTION("""COMPUTED_VALUE"""),"https://studio-gem.it/wp-admin/post.php?post=61825&amp;action=edit")</f>
        <v>https://studio-gem.it/wp-admin/post.php?post=61825&amp;action=edit</v>
      </c>
      <c r="AA21" s="763"/>
      <c r="AB21" s="763"/>
      <c r="AC21" s="763"/>
      <c r="AD21" s="763"/>
      <c r="AE21" s="763"/>
      <c r="AF21" s="763"/>
      <c r="AG21" s="763"/>
      <c r="AH21" s="763"/>
      <c r="AI21" s="763"/>
      <c r="AJ21" s="763"/>
      <c r="AK21" s="763"/>
      <c r="AL21" s="763"/>
      <c r="AM21" s="763"/>
      <c r="AN21" s="763"/>
      <c r="AO21" s="763"/>
      <c r="AP21" s="763"/>
      <c r="AQ21" s="763"/>
      <c r="AR21" s="763"/>
      <c r="AS21" s="763"/>
      <c r="AT21" s="763"/>
      <c r="AU21" s="763"/>
      <c r="AV21" s="763"/>
      <c r="AW21" s="763"/>
      <c r="AX21" s="763"/>
      <c r="AY21" s="763"/>
      <c r="AZ21" s="763"/>
      <c r="BA21" s="763"/>
      <c r="BB21" s="763"/>
      <c r="BC21" s="763"/>
      <c r="BD21" s="763"/>
      <c r="BE21" s="763"/>
      <c r="BF21" s="763"/>
      <c r="BG21" s="763" t="b">
        <f>IFERROR(__xludf.DUMMYFUNCTION("""COMPUTED_VALUE"""),FALSE)</f>
        <v>0</v>
      </c>
      <c r="BH21" s="763" t="b">
        <f>IFERROR(__xludf.DUMMYFUNCTION("""COMPUTED_VALUE"""),TRUE)</f>
        <v>1</v>
      </c>
      <c r="BI21" s="763" t="b">
        <f>IFERROR(__xludf.DUMMYFUNCTION("""COMPUTED_VALUE"""),FALSE)</f>
        <v>0</v>
      </c>
      <c r="BJ21" s="763" t="b">
        <f>IFERROR(__xludf.DUMMYFUNCTION("""COMPUTED_VALUE"""),FALSE)</f>
        <v>0</v>
      </c>
    </row>
    <row r="22">
      <c r="A22" s="762">
        <f>IFERROR(__xludf.DUMMYFUNCTION("""COMPUTED_VALUE"""),61829.0)</f>
        <v>61829</v>
      </c>
      <c r="B22" s="538">
        <f>IFERROR(__xludf.DUMMYFUNCTION("""COMPUTED_VALUE"""),61829.0)</f>
        <v>61829</v>
      </c>
      <c r="C22" s="538" t="str">
        <f>IFERROR(__xludf.DUMMYFUNCTION("""COMPUTED_VALUE"""),"2025-03-16 09:50:30")</f>
        <v>2025-03-16 09:50:30</v>
      </c>
      <c r="D22" s="538" t="str">
        <f>IFERROR(__xludf.DUMMYFUNCTION("""COMPUTED_VALUE"""),"failed")</f>
        <v>failed</v>
      </c>
      <c r="E22" s="538" t="str">
        <f>IFERROR(__xludf.DUMMYFUNCTION("""COMPUTED_VALUE"""),"Carmen")</f>
        <v>Carmen</v>
      </c>
      <c r="F22" s="538" t="str">
        <f>IFERROR(__xludf.DUMMYFUNCTION("""COMPUTED_VALUE"""),"Torres Martinez")</f>
        <v>Torres Martinez</v>
      </c>
      <c r="G22" s="538" t="str">
        <f>IFERROR(__xludf.DUMMYFUNCTION("""COMPUTED_VALUE"""),"carmentorresmar12@gmail.com")</f>
        <v>carmentorresmar12@gmail.com</v>
      </c>
      <c r="H22" s="538">
        <f>IFERROR(__xludf.DUMMYFUNCTION("""COMPUTED_VALUE"""),3.513213087E9)</f>
        <v>3513213087</v>
      </c>
      <c r="I22" s="538" t="str">
        <f>IFERROR(__xludf.DUMMYFUNCTION("""COMPUTED_VALUE"""),"Milano")</f>
        <v>Milano</v>
      </c>
      <c r="J22" s="538" t="str">
        <f>IFERROR(__xludf.DUMMYFUNCTION("""COMPUTED_VALUE"""),"Viale Lucania 12")</f>
        <v>Viale Lucania 12</v>
      </c>
      <c r="K22" s="538">
        <f>IFERROR(__xludf.DUMMYFUNCTION("""COMPUTED_VALUE"""),20139.0)</f>
        <v>20139</v>
      </c>
      <c r="L22" s="538" t="str">
        <f>IFERROR(__xludf.DUMMYFUNCTION("""COMPUTED_VALUE"""),"Google Pay")</f>
        <v>Google Pay</v>
      </c>
      <c r="M22" s="763"/>
      <c r="N22" s="763"/>
      <c r="O22" s="762">
        <f>IFERROR(__xludf.DUMMYFUNCTION("""COMPUTED_VALUE"""),0.0)</f>
        <v>0</v>
      </c>
      <c r="P22" s="766">
        <f>IFERROR(__xludf.DUMMYFUNCTION("""COMPUTED_VALUE"""),1.0416666666666667)</f>
        <v>1.041666667</v>
      </c>
      <c r="Q22" s="538" t="str">
        <f>IFERROR(__xludf.DUMMYFUNCTION("""COMPUTED_VALUE"""),"EUR")</f>
        <v>EUR</v>
      </c>
      <c r="R22" s="762">
        <f>IFERROR(__xludf.DUMMYFUNCTION("""COMPUTED_VALUE"""),337.0)</f>
        <v>337</v>
      </c>
      <c r="S22" s="538" t="str">
        <f>IFERROR(__xludf.DUMMYFUNCTION("""COMPUTED_VALUE"""),"Workshop Salsa lady style con Jhesus Aponte - Workshop Salsa lady style con Jhesus Aponte")</f>
        <v>Workshop Salsa lady style con Jhesus Aponte - Workshop Salsa lady style con Jhesus Aponte</v>
      </c>
      <c r="T22" s="763"/>
      <c r="U22" s="763"/>
      <c r="V22" s="762">
        <f>IFERROR(__xludf.DUMMYFUNCTION("""COMPUTED_VALUE"""),1.0)</f>
        <v>1</v>
      </c>
      <c r="W22" s="762">
        <f>IFERROR(__xludf.DUMMYFUNCTION("""COMPUTED_VALUE"""),25.0)</f>
        <v>25</v>
      </c>
      <c r="X22" s="762">
        <f>IFERROR(__xludf.DUMMYFUNCTION("""COMPUTED_VALUE"""),25.0)</f>
        <v>25</v>
      </c>
      <c r="Y22" s="763"/>
      <c r="Z22" s="765" t="str">
        <f>IFERROR(__xludf.DUMMYFUNCTION("""COMPUTED_VALUE"""),"https://studio-gem.it/wp-admin/post.php?post=61829&amp;action=edit")</f>
        <v>https://studio-gem.it/wp-admin/post.php?post=61829&amp;action=edit</v>
      </c>
      <c r="AA22" s="763"/>
      <c r="AB22" s="763"/>
      <c r="AC22" s="763"/>
      <c r="AD22" s="763"/>
      <c r="AE22" s="763"/>
      <c r="AF22" s="763"/>
      <c r="AG22" s="763"/>
      <c r="AH22" s="763"/>
      <c r="AI22" s="763"/>
      <c r="AJ22" s="763"/>
      <c r="AK22" s="763"/>
      <c r="AL22" s="763"/>
      <c r="AM22" s="763"/>
      <c r="AN22" s="763"/>
      <c r="AO22" s="763"/>
      <c r="AP22" s="763"/>
      <c r="AQ22" s="763"/>
      <c r="AR22" s="763"/>
      <c r="AS22" s="763"/>
      <c r="AT22" s="763"/>
      <c r="AU22" s="763"/>
      <c r="AV22" s="763"/>
      <c r="AW22" s="763"/>
      <c r="AX22" s="763"/>
      <c r="AY22" s="763"/>
      <c r="AZ22" s="763"/>
      <c r="BA22" s="763"/>
      <c r="BB22" s="763"/>
      <c r="BC22" s="763"/>
      <c r="BD22" s="763"/>
      <c r="BE22" s="763"/>
      <c r="BF22" s="763"/>
      <c r="BG22" s="763" t="b">
        <f>IFERROR(__xludf.DUMMYFUNCTION("""COMPUTED_VALUE"""),FALSE)</f>
        <v>0</v>
      </c>
      <c r="BH22" s="763" t="b">
        <f>IFERROR(__xludf.DUMMYFUNCTION("""COMPUTED_VALUE"""),FALSE)</f>
        <v>0</v>
      </c>
      <c r="BI22" s="763" t="b">
        <f>IFERROR(__xludf.DUMMYFUNCTION("""COMPUTED_VALUE"""),FALSE)</f>
        <v>0</v>
      </c>
      <c r="BJ22" s="763" t="b">
        <f>IFERROR(__xludf.DUMMYFUNCTION("""COMPUTED_VALUE"""),FALSE)</f>
        <v>0</v>
      </c>
    </row>
    <row r="23">
      <c r="A23" s="762">
        <f>IFERROR(__xludf.DUMMYFUNCTION("""COMPUTED_VALUE"""),61830.0)</f>
        <v>61830</v>
      </c>
      <c r="B23" s="538">
        <f>IFERROR(__xludf.DUMMYFUNCTION("""COMPUTED_VALUE"""),61830.0)</f>
        <v>61830</v>
      </c>
      <c r="C23" s="538" t="str">
        <f>IFERROR(__xludf.DUMMYFUNCTION("""COMPUTED_VALUE"""),"2025-03-16 09:57:03")</f>
        <v>2025-03-16 09:57:03</v>
      </c>
      <c r="D23" s="538" t="str">
        <f>IFERROR(__xludf.DUMMYFUNCTION("""COMPUTED_VALUE"""),"completed")</f>
        <v>completed</v>
      </c>
      <c r="E23" s="538" t="str">
        <f>IFERROR(__xludf.DUMMYFUNCTION("""COMPUTED_VALUE"""),"Sabrina")</f>
        <v>Sabrina</v>
      </c>
      <c r="F23" s="538" t="str">
        <f>IFERROR(__xludf.DUMMYFUNCTION("""COMPUTED_VALUE"""),"De Benedetto")</f>
        <v>De Benedetto</v>
      </c>
      <c r="G23" s="538" t="str">
        <f>IFERROR(__xludf.DUMMYFUNCTION("""COMPUTED_VALUE"""),"rinadebenedetto@gmail.com")</f>
        <v>rinadebenedetto@gmail.com</v>
      </c>
      <c r="H23" s="538">
        <f>IFERROR(__xludf.DUMMYFUNCTION("""COMPUTED_VALUE"""),3.515213421E9)</f>
        <v>3515213421</v>
      </c>
      <c r="I23" s="538" t="str">
        <f>IFERROR(__xludf.DUMMYFUNCTION("""COMPUTED_VALUE"""),"Milano")</f>
        <v>Milano</v>
      </c>
      <c r="J23" s="538" t="str">
        <f>IFERROR(__xludf.DUMMYFUNCTION("""COMPUTED_VALUE"""),"Viale Tunisia, 30")</f>
        <v>Viale Tunisia, 30</v>
      </c>
      <c r="K23" s="538">
        <f>IFERROR(__xludf.DUMMYFUNCTION("""COMPUTED_VALUE"""),20124.0)</f>
        <v>20124</v>
      </c>
      <c r="L23" s="538" t="str">
        <f>IFERROR(__xludf.DUMMYFUNCTION("""COMPUTED_VALUE"""),"Google Pay")</f>
        <v>Google Pay</v>
      </c>
      <c r="M23" s="763"/>
      <c r="N23" s="763" t="str">
        <f>IFERROR(__xludf.DUMMYFUNCTION("""COMPUTED_VALUE"""),"61830-1742119024")</f>
        <v>61830-1742119024</v>
      </c>
      <c r="O23" s="762">
        <f>IFERROR(__xludf.DUMMYFUNCTION("""COMPUTED_VALUE"""),0.0)</f>
        <v>0</v>
      </c>
      <c r="P23" s="766">
        <f>IFERROR(__xludf.DUMMYFUNCTION("""COMPUTED_VALUE"""),1.25)</f>
        <v>1.25</v>
      </c>
      <c r="Q23" s="538" t="str">
        <f>IFERROR(__xludf.DUMMYFUNCTION("""COMPUTED_VALUE"""),"EUR")</f>
        <v>EUR</v>
      </c>
      <c r="R23" s="762">
        <f>IFERROR(__xludf.DUMMYFUNCTION("""COMPUTED_VALUE"""),336.0)</f>
        <v>336</v>
      </c>
      <c r="S23" s="538" t="str">
        <f>IFERROR(__xludf.DUMMYFUNCTION("""COMPUTED_VALUE"""),"Workshop Modern con Nicholas Borgogni - Workshop Modern con Nicholas Borgogni")</f>
        <v>Workshop Modern con Nicholas Borgogni - Workshop Modern con Nicholas Borgogni</v>
      </c>
      <c r="T23" s="763"/>
      <c r="U23" s="763"/>
      <c r="V23" s="762">
        <f>IFERROR(__xludf.DUMMYFUNCTION("""COMPUTED_VALUE"""),1.0)</f>
        <v>1</v>
      </c>
      <c r="W23" s="762">
        <f>IFERROR(__xludf.DUMMYFUNCTION("""COMPUTED_VALUE"""),30.0)</f>
        <v>30</v>
      </c>
      <c r="X23" s="762">
        <f>IFERROR(__xludf.DUMMYFUNCTION("""COMPUTED_VALUE"""),30.0)</f>
        <v>30</v>
      </c>
      <c r="Y23" s="763"/>
      <c r="Z23" s="765" t="str">
        <f>IFERROR(__xludf.DUMMYFUNCTION("""COMPUTED_VALUE"""),"https://studio-gem.it/wp-admin/post.php?post=61830&amp;action=edit")</f>
        <v>https://studio-gem.it/wp-admin/post.php?post=61830&amp;action=edit</v>
      </c>
      <c r="AA23" s="763"/>
      <c r="AB23" s="763"/>
      <c r="AC23" s="763"/>
      <c r="AD23" s="763"/>
      <c r="AE23" s="763"/>
      <c r="AF23" s="763"/>
      <c r="AG23" s="763"/>
      <c r="AH23" s="763"/>
      <c r="AI23" s="763"/>
      <c r="AJ23" s="763"/>
      <c r="AK23" s="763"/>
      <c r="AL23" s="763"/>
      <c r="AM23" s="763"/>
      <c r="AN23" s="763"/>
      <c r="AO23" s="763"/>
      <c r="AP23" s="763"/>
      <c r="AQ23" s="763"/>
      <c r="AR23" s="763"/>
      <c r="AS23" s="763"/>
      <c r="AT23" s="763"/>
      <c r="AU23" s="763"/>
      <c r="AV23" s="763"/>
      <c r="AW23" s="763"/>
      <c r="AX23" s="763"/>
      <c r="AY23" s="763"/>
      <c r="AZ23" s="763"/>
      <c r="BA23" s="763"/>
      <c r="BB23" s="763"/>
      <c r="BC23" s="763"/>
      <c r="BD23" s="763"/>
      <c r="BE23" s="763"/>
      <c r="BF23" s="763"/>
      <c r="BG23" s="763" t="b">
        <f>IFERROR(__xludf.DUMMYFUNCTION("""COMPUTED_VALUE"""),FALSE)</f>
        <v>0</v>
      </c>
      <c r="BH23" s="763" t="b">
        <f>IFERROR(__xludf.DUMMYFUNCTION("""COMPUTED_VALUE"""),TRUE)</f>
        <v>1</v>
      </c>
      <c r="BI23" s="763" t="b">
        <f>IFERROR(__xludf.DUMMYFUNCTION("""COMPUTED_VALUE"""),FALSE)</f>
        <v>0</v>
      </c>
      <c r="BJ23" s="763" t="b">
        <f>IFERROR(__xludf.DUMMYFUNCTION("""COMPUTED_VALUE"""),FALSE)</f>
        <v>0</v>
      </c>
    </row>
    <row r="24">
      <c r="A24" s="762">
        <f>IFERROR(__xludf.DUMMYFUNCTION("""COMPUTED_VALUE"""),61833.0)</f>
        <v>61833</v>
      </c>
      <c r="B24" s="538">
        <f>IFERROR(__xludf.DUMMYFUNCTION("""COMPUTED_VALUE"""),61833.0)</f>
        <v>61833</v>
      </c>
      <c r="C24" s="538" t="str">
        <f>IFERROR(__xludf.DUMMYFUNCTION("""COMPUTED_VALUE"""),"2025-03-16 10:07:31")</f>
        <v>2025-03-16 10:07:31</v>
      </c>
      <c r="D24" s="538" t="str">
        <f>IFERROR(__xludf.DUMMYFUNCTION("""COMPUTED_VALUE"""),"completed")</f>
        <v>completed</v>
      </c>
      <c r="E24" s="538" t="str">
        <f>IFERROR(__xludf.DUMMYFUNCTION("""COMPUTED_VALUE"""),"Rossana")</f>
        <v>Rossana</v>
      </c>
      <c r="F24" s="538" t="str">
        <f>IFERROR(__xludf.DUMMYFUNCTION("""COMPUTED_VALUE"""),"Bosello")</f>
        <v>Bosello</v>
      </c>
      <c r="G24" s="538" t="str">
        <f>IFERROR(__xludf.DUMMYFUNCTION("""COMPUTED_VALUE"""),"bosellorossana@gmail.com")</f>
        <v>bosellorossana@gmail.com</v>
      </c>
      <c r="H24" s="538">
        <f>IFERROR(__xludf.DUMMYFUNCTION("""COMPUTED_VALUE"""),3.493067365E9)</f>
        <v>3493067365</v>
      </c>
      <c r="I24" s="538" t="str">
        <f>IFERROR(__xludf.DUMMYFUNCTION("""COMPUTED_VALUE"""),"Bologna")</f>
        <v>Bologna</v>
      </c>
      <c r="J24" s="538" t="str">
        <f>IFERROR(__xludf.DUMMYFUNCTION("""COMPUTED_VALUE"""),"Pelagio Palagi 2")</f>
        <v>Pelagio Palagi 2</v>
      </c>
      <c r="K24" s="538">
        <f>IFERROR(__xludf.DUMMYFUNCTION("""COMPUTED_VALUE"""),40138.0)</f>
        <v>40138</v>
      </c>
      <c r="L24" s="538" t="str">
        <f>IFERROR(__xludf.DUMMYFUNCTION("""COMPUTED_VALUE"""),"Carte di pagamento")</f>
        <v>Carte di pagamento</v>
      </c>
      <c r="M24" s="763"/>
      <c r="N24" s="763" t="str">
        <f>IFERROR(__xludf.DUMMYFUNCTION("""COMPUTED_VALUE"""),"61833-1742119652")</f>
        <v>61833-1742119652</v>
      </c>
      <c r="O24" s="762">
        <f>IFERROR(__xludf.DUMMYFUNCTION("""COMPUTED_VALUE"""),0.0)</f>
        <v>0</v>
      </c>
      <c r="P24" s="766">
        <f>IFERROR(__xludf.DUMMYFUNCTION("""COMPUTED_VALUE"""),1.25)</f>
        <v>1.25</v>
      </c>
      <c r="Q24" s="538" t="str">
        <f>IFERROR(__xludf.DUMMYFUNCTION("""COMPUTED_VALUE"""),"EUR")</f>
        <v>EUR</v>
      </c>
      <c r="R24" s="762">
        <f>IFERROR(__xludf.DUMMYFUNCTION("""COMPUTED_VALUE"""),338.0)</f>
        <v>338</v>
      </c>
      <c r="S24" s="538" t="str">
        <f>IFERROR(__xludf.DUMMYFUNCTION("""COMPUTED_VALUE"""),"Workshop Modern con Nicholas Borgogni - Workshop Modern con Nicholas Borgogni")</f>
        <v>Workshop Modern con Nicholas Borgogni - Workshop Modern con Nicholas Borgogni</v>
      </c>
      <c r="T24" s="763"/>
      <c r="U24" s="763"/>
      <c r="V24" s="762">
        <f>IFERROR(__xludf.DUMMYFUNCTION("""COMPUTED_VALUE"""),1.0)</f>
        <v>1</v>
      </c>
      <c r="W24" s="762">
        <f>IFERROR(__xludf.DUMMYFUNCTION("""COMPUTED_VALUE"""),30.0)</f>
        <v>30</v>
      </c>
      <c r="X24" s="762">
        <f>IFERROR(__xludf.DUMMYFUNCTION("""COMPUTED_VALUE"""),30.0)</f>
        <v>30</v>
      </c>
      <c r="Y24" s="763"/>
      <c r="Z24" s="765" t="str">
        <f>IFERROR(__xludf.DUMMYFUNCTION("""COMPUTED_VALUE"""),"https://studio-gem.it/wp-admin/post.php?post=61833&amp;action=edit")</f>
        <v>https://studio-gem.it/wp-admin/post.php?post=61833&amp;action=edit</v>
      </c>
      <c r="AA24" s="763"/>
      <c r="AB24" s="763"/>
      <c r="AC24" s="763"/>
      <c r="AD24" s="763"/>
      <c r="AE24" s="763"/>
      <c r="AF24" s="763"/>
      <c r="AG24" s="763"/>
      <c r="AH24" s="763"/>
      <c r="AI24" s="763"/>
      <c r="AJ24" s="763"/>
      <c r="AK24" s="763"/>
      <c r="AL24" s="763"/>
      <c r="AM24" s="763"/>
      <c r="AN24" s="763"/>
      <c r="AO24" s="763"/>
      <c r="AP24" s="763"/>
      <c r="AQ24" s="763"/>
      <c r="AR24" s="763"/>
      <c r="AS24" s="763"/>
      <c r="AT24" s="763"/>
      <c r="AU24" s="763"/>
      <c r="AV24" s="763"/>
      <c r="AW24" s="763"/>
      <c r="AX24" s="763"/>
      <c r="AY24" s="763"/>
      <c r="AZ24" s="763"/>
      <c r="BA24" s="763"/>
      <c r="BB24" s="763"/>
      <c r="BC24" s="763"/>
      <c r="BD24" s="763"/>
      <c r="BE24" s="763"/>
      <c r="BF24" s="763"/>
      <c r="BG24" s="763" t="b">
        <f>IFERROR(__xludf.DUMMYFUNCTION("""COMPUTED_VALUE"""),FALSE)</f>
        <v>0</v>
      </c>
      <c r="BH24" s="763" t="b">
        <f>IFERROR(__xludf.DUMMYFUNCTION("""COMPUTED_VALUE"""),TRUE)</f>
        <v>1</v>
      </c>
      <c r="BI24" s="763" t="b">
        <f>IFERROR(__xludf.DUMMYFUNCTION("""COMPUTED_VALUE"""),FALSE)</f>
        <v>0</v>
      </c>
      <c r="BJ24" s="763" t="b">
        <f>IFERROR(__xludf.DUMMYFUNCTION("""COMPUTED_VALUE"""),FALSE)</f>
        <v>0</v>
      </c>
    </row>
    <row r="25">
      <c r="A25" s="762">
        <f>IFERROR(__xludf.DUMMYFUNCTION("""COMPUTED_VALUE"""),61835.0)</f>
        <v>61835</v>
      </c>
      <c r="B25" s="538">
        <f>IFERROR(__xludf.DUMMYFUNCTION("""COMPUTED_VALUE"""),61835.0)</f>
        <v>61835</v>
      </c>
      <c r="C25" s="538" t="str">
        <f>IFERROR(__xludf.DUMMYFUNCTION("""COMPUTED_VALUE"""),"2025-03-16 11:17:54")</f>
        <v>2025-03-16 11:17:54</v>
      </c>
      <c r="D25" s="538" t="str">
        <f>IFERROR(__xludf.DUMMYFUNCTION("""COMPUTED_VALUE"""),"cancelled")</f>
        <v>cancelled</v>
      </c>
      <c r="E25" s="538" t="str">
        <f>IFERROR(__xludf.DUMMYFUNCTION("""COMPUTED_VALUE"""),"Carmen")</f>
        <v>Carmen</v>
      </c>
      <c r="F25" s="538" t="str">
        <f>IFERROR(__xludf.DUMMYFUNCTION("""COMPUTED_VALUE"""),"Torres Martinez")</f>
        <v>Torres Martinez</v>
      </c>
      <c r="G25" s="538" t="str">
        <f>IFERROR(__xludf.DUMMYFUNCTION("""COMPUTED_VALUE"""),"carmentorresmar12@gmail.com")</f>
        <v>carmentorresmar12@gmail.com</v>
      </c>
      <c r="H25" s="538">
        <f>IFERROR(__xludf.DUMMYFUNCTION("""COMPUTED_VALUE"""),3.513213087E9)</f>
        <v>3513213087</v>
      </c>
      <c r="I25" s="538" t="str">
        <f>IFERROR(__xludf.DUMMYFUNCTION("""COMPUTED_VALUE"""),"Milano")</f>
        <v>Milano</v>
      </c>
      <c r="J25" s="538" t="str">
        <f>IFERROR(__xludf.DUMMYFUNCTION("""COMPUTED_VALUE"""),"Viale Lucania 12")</f>
        <v>Viale Lucania 12</v>
      </c>
      <c r="K25" s="538">
        <f>IFERROR(__xludf.DUMMYFUNCTION("""COMPUTED_VALUE"""),20139.0)</f>
        <v>20139</v>
      </c>
      <c r="L25" s="538" t="str">
        <f>IFERROR(__xludf.DUMMYFUNCTION("""COMPUTED_VALUE"""),"Carte di pagamento")</f>
        <v>Carte di pagamento</v>
      </c>
      <c r="M25" s="763"/>
      <c r="N25" s="763"/>
      <c r="O25" s="762">
        <f>IFERROR(__xludf.DUMMYFUNCTION("""COMPUTED_VALUE"""),0.0)</f>
        <v>0</v>
      </c>
      <c r="P25" s="766">
        <f>IFERROR(__xludf.DUMMYFUNCTION("""COMPUTED_VALUE"""),2.0833333333333335)</f>
        <v>2.083333333</v>
      </c>
      <c r="Q25" s="538" t="str">
        <f>IFERROR(__xludf.DUMMYFUNCTION("""COMPUTED_VALUE"""),"EUR")</f>
        <v>EUR</v>
      </c>
      <c r="R25" s="762">
        <f>IFERROR(__xludf.DUMMYFUNCTION("""COMPUTED_VALUE"""),339.0)</f>
        <v>339</v>
      </c>
      <c r="S25" s="538" t="str">
        <f>IFERROR(__xludf.DUMMYFUNCTION("""COMPUTED_VALUE"""),"Workshop Salsa lady style con Jhesus Aponte - Workshop Salsa lady style con Jhesus Aponte")</f>
        <v>Workshop Salsa lady style con Jhesus Aponte - Workshop Salsa lady style con Jhesus Aponte</v>
      </c>
      <c r="T25" s="763"/>
      <c r="U25" s="763"/>
      <c r="V25" s="762">
        <f>IFERROR(__xludf.DUMMYFUNCTION("""COMPUTED_VALUE"""),2.0)</f>
        <v>2</v>
      </c>
      <c r="W25" s="762">
        <f>IFERROR(__xludf.DUMMYFUNCTION("""COMPUTED_VALUE"""),25.0)</f>
        <v>25</v>
      </c>
      <c r="X25" s="762">
        <f>IFERROR(__xludf.DUMMYFUNCTION("""COMPUTED_VALUE"""),50.0)</f>
        <v>50</v>
      </c>
      <c r="Y25" s="763"/>
      <c r="Z25" s="765" t="str">
        <f>IFERROR(__xludf.DUMMYFUNCTION("""COMPUTED_VALUE"""),"https://studio-gem.it/wp-admin/post.php?post=61835&amp;action=edit")</f>
        <v>https://studio-gem.it/wp-admin/post.php?post=61835&amp;action=edit</v>
      </c>
      <c r="AA25" s="763"/>
      <c r="AB25" s="763"/>
      <c r="AC25" s="763"/>
      <c r="AD25" s="763"/>
      <c r="AE25" s="763"/>
      <c r="AF25" s="763"/>
      <c r="AG25" s="763"/>
      <c r="AH25" s="763"/>
      <c r="AI25" s="763"/>
      <c r="AJ25" s="763"/>
      <c r="AK25" s="763"/>
      <c r="AL25" s="763"/>
      <c r="AM25" s="763"/>
      <c r="AN25" s="763"/>
      <c r="AO25" s="763"/>
      <c r="AP25" s="763"/>
      <c r="AQ25" s="763"/>
      <c r="AR25" s="763"/>
      <c r="AS25" s="763"/>
      <c r="AT25" s="763"/>
      <c r="AU25" s="763"/>
      <c r="AV25" s="763"/>
      <c r="AW25" s="763"/>
      <c r="AX25" s="763"/>
      <c r="AY25" s="763"/>
      <c r="AZ25" s="763"/>
      <c r="BA25" s="763"/>
      <c r="BB25" s="763"/>
      <c r="BC25" s="763"/>
      <c r="BD25" s="763"/>
      <c r="BE25" s="763"/>
      <c r="BF25" s="763"/>
      <c r="BG25" s="763" t="b">
        <f>IFERROR(__xludf.DUMMYFUNCTION("""COMPUTED_VALUE"""),FALSE)</f>
        <v>0</v>
      </c>
      <c r="BH25" s="763" t="b">
        <f>IFERROR(__xludf.DUMMYFUNCTION("""COMPUTED_VALUE"""),FALSE)</f>
        <v>0</v>
      </c>
      <c r="BI25" s="763" t="b">
        <f>IFERROR(__xludf.DUMMYFUNCTION("""COMPUTED_VALUE"""),FALSE)</f>
        <v>0</v>
      </c>
      <c r="BJ25" s="763" t="b">
        <f>IFERROR(__xludf.DUMMYFUNCTION("""COMPUTED_VALUE"""),FALSE)</f>
        <v>0</v>
      </c>
    </row>
    <row r="26">
      <c r="A26" s="762">
        <f>IFERROR(__xludf.DUMMYFUNCTION("""COMPUTED_VALUE"""),61836.0)</f>
        <v>61836</v>
      </c>
      <c r="B26" s="538">
        <f>IFERROR(__xludf.DUMMYFUNCTION("""COMPUTED_VALUE"""),61836.0)</f>
        <v>61836</v>
      </c>
      <c r="C26" s="538" t="str">
        <f>IFERROR(__xludf.DUMMYFUNCTION("""COMPUTED_VALUE"""),"2025-03-16 11:18:20")</f>
        <v>2025-03-16 11:18:20</v>
      </c>
      <c r="D26" s="538" t="str">
        <f>IFERROR(__xludf.DUMMYFUNCTION("""COMPUTED_VALUE"""),"completed")</f>
        <v>completed</v>
      </c>
      <c r="E26" s="538" t="str">
        <f>IFERROR(__xludf.DUMMYFUNCTION("""COMPUTED_VALUE"""),"Carmen")</f>
        <v>Carmen</v>
      </c>
      <c r="F26" s="538" t="str">
        <f>IFERROR(__xludf.DUMMYFUNCTION("""COMPUTED_VALUE"""),"Torres Martinez")</f>
        <v>Torres Martinez</v>
      </c>
      <c r="G26" s="538" t="str">
        <f>IFERROR(__xludf.DUMMYFUNCTION("""COMPUTED_VALUE"""),"carmentorresmar12@gmail.com")</f>
        <v>carmentorresmar12@gmail.com</v>
      </c>
      <c r="H26" s="538">
        <f>IFERROR(__xludf.DUMMYFUNCTION("""COMPUTED_VALUE"""),3.513213087E9)</f>
        <v>3513213087</v>
      </c>
      <c r="I26" s="538" t="str">
        <f>IFERROR(__xludf.DUMMYFUNCTION("""COMPUTED_VALUE"""),"Milano")</f>
        <v>Milano</v>
      </c>
      <c r="J26" s="538" t="str">
        <f>IFERROR(__xludf.DUMMYFUNCTION("""COMPUTED_VALUE"""),"Viale Lucania 12")</f>
        <v>Viale Lucania 12</v>
      </c>
      <c r="K26" s="538">
        <f>IFERROR(__xludf.DUMMYFUNCTION("""COMPUTED_VALUE"""),20139.0)</f>
        <v>20139</v>
      </c>
      <c r="L26" s="538" t="str">
        <f>IFERROR(__xludf.DUMMYFUNCTION("""COMPUTED_VALUE"""),"Carte di pagamento")</f>
        <v>Carte di pagamento</v>
      </c>
      <c r="M26" s="763"/>
      <c r="N26" s="763" t="str">
        <f>IFERROR(__xludf.DUMMYFUNCTION("""COMPUTED_VALUE"""),"61836-1742123901")</f>
        <v>61836-1742123901</v>
      </c>
      <c r="O26" s="762">
        <f>IFERROR(__xludf.DUMMYFUNCTION("""COMPUTED_VALUE"""),0.0)</f>
        <v>0</v>
      </c>
      <c r="P26" s="766">
        <f>IFERROR(__xludf.DUMMYFUNCTION("""COMPUTED_VALUE"""),1.0416666666666667)</f>
        <v>1.041666667</v>
      </c>
      <c r="Q26" s="538" t="str">
        <f>IFERROR(__xludf.DUMMYFUNCTION("""COMPUTED_VALUE"""),"EUR")</f>
        <v>EUR</v>
      </c>
      <c r="R26" s="762">
        <f>IFERROR(__xludf.DUMMYFUNCTION("""COMPUTED_VALUE"""),340.0)</f>
        <v>340</v>
      </c>
      <c r="S26" s="538" t="str">
        <f>IFERROR(__xludf.DUMMYFUNCTION("""COMPUTED_VALUE"""),"Workshop Salsa lady style con Jhesus Aponte - Workshop Salsa lady style con Jhesus Aponte")</f>
        <v>Workshop Salsa lady style con Jhesus Aponte - Workshop Salsa lady style con Jhesus Aponte</v>
      </c>
      <c r="T26" s="763"/>
      <c r="U26" s="763"/>
      <c r="V26" s="762">
        <f>IFERROR(__xludf.DUMMYFUNCTION("""COMPUTED_VALUE"""),1.0)</f>
        <v>1</v>
      </c>
      <c r="W26" s="762">
        <f>IFERROR(__xludf.DUMMYFUNCTION("""COMPUTED_VALUE"""),25.0)</f>
        <v>25</v>
      </c>
      <c r="X26" s="762">
        <f>IFERROR(__xludf.DUMMYFUNCTION("""COMPUTED_VALUE"""),25.0)</f>
        <v>25</v>
      </c>
      <c r="Y26" s="763"/>
      <c r="Z26" s="765" t="str">
        <f>IFERROR(__xludf.DUMMYFUNCTION("""COMPUTED_VALUE"""),"https://studio-gem.it/wp-admin/post.php?post=61836&amp;action=edit")</f>
        <v>https://studio-gem.it/wp-admin/post.php?post=61836&amp;action=edit</v>
      </c>
      <c r="AA26" s="763"/>
      <c r="AB26" s="763"/>
      <c r="AC26" s="763"/>
      <c r="AD26" s="763"/>
      <c r="AE26" s="763"/>
      <c r="AF26" s="763"/>
      <c r="AG26" s="763"/>
      <c r="AH26" s="763"/>
      <c r="AI26" s="763"/>
      <c r="AJ26" s="763"/>
      <c r="AK26" s="763"/>
      <c r="AL26" s="763"/>
      <c r="AM26" s="763"/>
      <c r="AN26" s="763"/>
      <c r="AO26" s="763"/>
      <c r="AP26" s="763"/>
      <c r="AQ26" s="763"/>
      <c r="AR26" s="763"/>
      <c r="AS26" s="763"/>
      <c r="AT26" s="763"/>
      <c r="AU26" s="763"/>
      <c r="AV26" s="763"/>
      <c r="AW26" s="763"/>
      <c r="AX26" s="763"/>
      <c r="AY26" s="763"/>
      <c r="AZ26" s="763"/>
      <c r="BA26" s="763"/>
      <c r="BB26" s="763"/>
      <c r="BC26" s="763"/>
      <c r="BD26" s="763"/>
      <c r="BE26" s="763"/>
      <c r="BF26" s="763"/>
      <c r="BG26" s="763" t="b">
        <f>IFERROR(__xludf.DUMMYFUNCTION("""COMPUTED_VALUE"""),FALSE)</f>
        <v>0</v>
      </c>
      <c r="BH26" s="763" t="b">
        <f>IFERROR(__xludf.DUMMYFUNCTION("""COMPUTED_VALUE"""),TRUE)</f>
        <v>1</v>
      </c>
      <c r="BI26" s="763" t="b">
        <f>IFERROR(__xludf.DUMMYFUNCTION("""COMPUTED_VALUE"""),FALSE)</f>
        <v>0</v>
      </c>
      <c r="BJ26" s="763" t="b">
        <f>IFERROR(__xludf.DUMMYFUNCTION("""COMPUTED_VALUE"""),FALSE)</f>
        <v>0</v>
      </c>
    </row>
    <row r="27">
      <c r="A27" s="762">
        <f>IFERROR(__xludf.DUMMYFUNCTION("""COMPUTED_VALUE"""),61840.0)</f>
        <v>61840</v>
      </c>
      <c r="B27" s="538">
        <f>IFERROR(__xludf.DUMMYFUNCTION("""COMPUTED_VALUE"""),61840.0)</f>
        <v>61840</v>
      </c>
      <c r="C27" s="538" t="str">
        <f>IFERROR(__xludf.DUMMYFUNCTION("""COMPUTED_VALUE"""),"2025-03-17 04:09:49")</f>
        <v>2025-03-17 04:09:49</v>
      </c>
      <c r="D27" s="538" t="str">
        <f>IFERROR(__xludf.DUMMYFUNCTION("""COMPUTED_VALUE"""),"failed")</f>
        <v>failed</v>
      </c>
      <c r="E27" s="538" t="str">
        <f>IFERROR(__xludf.DUMMYFUNCTION("""COMPUTED_VALUE"""),"Natalia")</f>
        <v>Natalia</v>
      </c>
      <c r="F27" s="538" t="str">
        <f>IFERROR(__xludf.DUMMYFUNCTION("""COMPUTED_VALUE"""),"Ulunque Yucra")</f>
        <v>Ulunque Yucra</v>
      </c>
      <c r="G27" s="538" t="str">
        <f>IFERROR(__xludf.DUMMYFUNCTION("""COMPUTED_VALUE"""),"grace.nat31@hotmail.com")</f>
        <v>grace.nat31@hotmail.com</v>
      </c>
      <c r="H27" s="538">
        <f>IFERROR(__xludf.DUMMYFUNCTION("""COMPUTED_VALUE"""),3.791949443E9)</f>
        <v>3791949443</v>
      </c>
      <c r="I27" s="538" t="str">
        <f>IFERROR(__xludf.DUMMYFUNCTION("""COMPUTED_VALUE"""),"Milano")</f>
        <v>Milano</v>
      </c>
      <c r="J27" s="538" t="str">
        <f>IFERROR(__xludf.DUMMYFUNCTION("""COMPUTED_VALUE"""),"Via Curtatone 4")</f>
        <v>Via Curtatone 4</v>
      </c>
      <c r="K27" s="538">
        <f>IFERROR(__xludf.DUMMYFUNCTION("""COMPUTED_VALUE"""),20122.0)</f>
        <v>20122</v>
      </c>
      <c r="L27" s="538" t="str">
        <f>IFERROR(__xludf.DUMMYFUNCTION("""COMPUTED_VALUE"""),"Google Pay")</f>
        <v>Google Pay</v>
      </c>
      <c r="M27" s="763"/>
      <c r="N27" s="763"/>
      <c r="O27" s="762">
        <f>IFERROR(__xludf.DUMMYFUNCTION("""COMPUTED_VALUE"""),0.0)</f>
        <v>0</v>
      </c>
      <c r="P27" s="766">
        <f>IFERROR(__xludf.DUMMYFUNCTION("""COMPUTED_VALUE"""),1.0416666666666667)</f>
        <v>1.041666667</v>
      </c>
      <c r="Q27" s="538" t="str">
        <f>IFERROR(__xludf.DUMMYFUNCTION("""COMPUTED_VALUE"""),"EUR")</f>
        <v>EUR</v>
      </c>
      <c r="R27" s="762">
        <f>IFERROR(__xludf.DUMMYFUNCTION("""COMPUTED_VALUE"""),341.0)</f>
        <v>341</v>
      </c>
      <c r="S27" s="538" t="str">
        <f>IFERROR(__xludf.DUMMYFUNCTION("""COMPUTED_VALUE"""),"Workshop Salsa lady style con Jhesus Aponte - Workshop Salsa lady style con Jhesus Aponte")</f>
        <v>Workshop Salsa lady style con Jhesus Aponte - Workshop Salsa lady style con Jhesus Aponte</v>
      </c>
      <c r="T27" s="763"/>
      <c r="U27" s="763"/>
      <c r="V27" s="762">
        <f>IFERROR(__xludf.DUMMYFUNCTION("""COMPUTED_VALUE"""),1.0)</f>
        <v>1</v>
      </c>
      <c r="W27" s="762">
        <f>IFERROR(__xludf.DUMMYFUNCTION("""COMPUTED_VALUE"""),25.0)</f>
        <v>25</v>
      </c>
      <c r="X27" s="762">
        <f>IFERROR(__xludf.DUMMYFUNCTION("""COMPUTED_VALUE"""),25.0)</f>
        <v>25</v>
      </c>
      <c r="Y27" s="763"/>
      <c r="Z27" s="765" t="str">
        <f>IFERROR(__xludf.DUMMYFUNCTION("""COMPUTED_VALUE"""),"https://studio-gem.it/wp-admin/post.php?post=61840&amp;action=edit")</f>
        <v>https://studio-gem.it/wp-admin/post.php?post=61840&amp;action=edit</v>
      </c>
      <c r="AA27" s="763"/>
      <c r="AB27" s="763"/>
      <c r="AC27" s="763"/>
      <c r="AD27" s="763"/>
      <c r="AE27" s="763"/>
      <c r="AF27" s="763"/>
      <c r="AG27" s="763"/>
      <c r="AH27" s="763"/>
      <c r="AI27" s="763"/>
      <c r="AJ27" s="763"/>
      <c r="AK27" s="763"/>
      <c r="AL27" s="763"/>
      <c r="AM27" s="763"/>
      <c r="AN27" s="763"/>
      <c r="AO27" s="763"/>
      <c r="AP27" s="763"/>
      <c r="AQ27" s="763"/>
      <c r="AR27" s="763"/>
      <c r="AS27" s="763"/>
      <c r="AT27" s="763"/>
      <c r="AU27" s="763"/>
      <c r="AV27" s="763"/>
      <c r="AW27" s="763"/>
      <c r="AX27" s="763"/>
      <c r="AY27" s="763"/>
      <c r="AZ27" s="763"/>
      <c r="BA27" s="763"/>
      <c r="BB27" s="763"/>
      <c r="BC27" s="763"/>
      <c r="BD27" s="763"/>
      <c r="BE27" s="763"/>
      <c r="BF27" s="763"/>
      <c r="BG27" s="763" t="b">
        <f>IFERROR(__xludf.DUMMYFUNCTION("""COMPUTED_VALUE"""),FALSE)</f>
        <v>0</v>
      </c>
      <c r="BH27" s="763" t="b">
        <f>IFERROR(__xludf.DUMMYFUNCTION("""COMPUTED_VALUE"""),FALSE)</f>
        <v>0</v>
      </c>
      <c r="BI27" s="763" t="b">
        <f>IFERROR(__xludf.DUMMYFUNCTION("""COMPUTED_VALUE"""),FALSE)</f>
        <v>0</v>
      </c>
      <c r="BJ27" s="763" t="b">
        <f>IFERROR(__xludf.DUMMYFUNCTION("""COMPUTED_VALUE"""),FALSE)</f>
        <v>0</v>
      </c>
    </row>
    <row r="28">
      <c r="A28" s="762">
        <f>IFERROR(__xludf.DUMMYFUNCTION("""COMPUTED_VALUE"""),61841.0)</f>
        <v>61841</v>
      </c>
      <c r="B28" s="538">
        <f>IFERROR(__xludf.DUMMYFUNCTION("""COMPUTED_VALUE"""),61841.0)</f>
        <v>61841</v>
      </c>
      <c r="C28" s="538" t="str">
        <f>IFERROR(__xludf.DUMMYFUNCTION("""COMPUTED_VALUE"""),"2025-03-17 08:31:07")</f>
        <v>2025-03-17 08:31:07</v>
      </c>
      <c r="D28" s="538" t="str">
        <f>IFERROR(__xludf.DUMMYFUNCTION("""COMPUTED_VALUE"""),"cancelled")</f>
        <v>cancelled</v>
      </c>
      <c r="E28" s="538" t="str">
        <f>IFERROR(__xludf.DUMMYFUNCTION("""COMPUTED_VALUE"""),"MARTINA")</f>
        <v>MARTINA</v>
      </c>
      <c r="F28" s="538" t="str">
        <f>IFERROR(__xludf.DUMMYFUNCTION("""COMPUTED_VALUE"""),"PETTINARI")</f>
        <v>PETTINARI</v>
      </c>
      <c r="G28" s="538" t="str">
        <f>IFERROR(__xludf.DUMMYFUNCTION("""COMPUTED_VALUE"""),"martina.pettinari39@gmail.com")</f>
        <v>martina.pettinari39@gmail.com</v>
      </c>
      <c r="H28" s="538">
        <f>IFERROR(__xludf.DUMMYFUNCTION("""COMPUTED_VALUE"""),3.518846328E9)</f>
        <v>3518846328</v>
      </c>
      <c r="I28" s="538" t="str">
        <f>IFERROR(__xludf.DUMMYFUNCTION("""COMPUTED_VALUE"""),"BAREGGIO")</f>
        <v>BAREGGIO</v>
      </c>
      <c r="J28" s="538" t="str">
        <f>IFERROR(__xludf.DUMMYFUNCTION("""COMPUTED_VALUE"""),"VIA SAN PROTASO 35")</f>
        <v>VIA SAN PROTASO 35</v>
      </c>
      <c r="K28" s="538">
        <f>IFERROR(__xludf.DUMMYFUNCTION("""COMPUTED_VALUE"""),20008.0)</f>
        <v>20008</v>
      </c>
      <c r="L28" s="538" t="str">
        <f>IFERROR(__xludf.DUMMYFUNCTION("""COMPUTED_VALUE"""),"Carte di pagamento")</f>
        <v>Carte di pagamento</v>
      </c>
      <c r="M28" s="763"/>
      <c r="N28" s="763"/>
      <c r="O28" s="762">
        <f>IFERROR(__xludf.DUMMYFUNCTION("""COMPUTED_VALUE"""),0.0)</f>
        <v>0</v>
      </c>
      <c r="P28" s="766">
        <f>IFERROR(__xludf.DUMMYFUNCTION("""COMPUTED_VALUE"""),1.25)</f>
        <v>1.25</v>
      </c>
      <c r="Q28" s="538" t="str">
        <f>IFERROR(__xludf.DUMMYFUNCTION("""COMPUTED_VALUE"""),"EUR")</f>
        <v>EUR</v>
      </c>
      <c r="R28" s="762">
        <f>IFERROR(__xludf.DUMMYFUNCTION("""COMPUTED_VALUE"""),342.0)</f>
        <v>342</v>
      </c>
      <c r="S28" s="538" t="str">
        <f>IFERROR(__xludf.DUMMYFUNCTION("""COMPUTED_VALUE"""),"Workshop Modern con Nicholas Borgogni - Workshop Modern con Nicholas Borgogni")</f>
        <v>Workshop Modern con Nicholas Borgogni - Workshop Modern con Nicholas Borgogni</v>
      </c>
      <c r="T28" s="763"/>
      <c r="U28" s="763"/>
      <c r="V28" s="762">
        <f>IFERROR(__xludf.DUMMYFUNCTION("""COMPUTED_VALUE"""),1.0)</f>
        <v>1</v>
      </c>
      <c r="W28" s="762">
        <f>IFERROR(__xludf.DUMMYFUNCTION("""COMPUTED_VALUE"""),30.0)</f>
        <v>30</v>
      </c>
      <c r="X28" s="762">
        <f>IFERROR(__xludf.DUMMYFUNCTION("""COMPUTED_VALUE"""),30.0)</f>
        <v>30</v>
      </c>
      <c r="Y28" s="763"/>
      <c r="Z28" s="765" t="str">
        <f>IFERROR(__xludf.DUMMYFUNCTION("""COMPUTED_VALUE"""),"https://studio-gem.it/wp-admin/post.php?post=61841&amp;action=edit")</f>
        <v>https://studio-gem.it/wp-admin/post.php?post=61841&amp;action=edit</v>
      </c>
      <c r="AA28" s="763"/>
      <c r="AB28" s="763"/>
      <c r="AC28" s="763"/>
      <c r="AD28" s="763"/>
      <c r="AE28" s="763"/>
      <c r="AF28" s="763"/>
      <c r="AG28" s="763"/>
      <c r="AH28" s="763"/>
      <c r="AI28" s="763"/>
      <c r="AJ28" s="763"/>
      <c r="AK28" s="763"/>
      <c r="AL28" s="763"/>
      <c r="AM28" s="763"/>
      <c r="AN28" s="763"/>
      <c r="AO28" s="763"/>
      <c r="AP28" s="763"/>
      <c r="AQ28" s="763"/>
      <c r="AR28" s="763"/>
      <c r="AS28" s="763"/>
      <c r="AT28" s="763"/>
      <c r="AU28" s="763"/>
      <c r="AV28" s="763"/>
      <c r="AW28" s="763"/>
      <c r="AX28" s="763"/>
      <c r="AY28" s="763"/>
      <c r="AZ28" s="763"/>
      <c r="BA28" s="763"/>
      <c r="BB28" s="763"/>
      <c r="BC28" s="763"/>
      <c r="BD28" s="763"/>
      <c r="BE28" s="763"/>
      <c r="BF28" s="763"/>
      <c r="BG28" s="763" t="b">
        <f>IFERROR(__xludf.DUMMYFUNCTION("""COMPUTED_VALUE"""),FALSE)</f>
        <v>0</v>
      </c>
      <c r="BH28" s="763" t="b">
        <f>IFERROR(__xludf.DUMMYFUNCTION("""COMPUTED_VALUE"""),FALSE)</f>
        <v>0</v>
      </c>
      <c r="BI28" s="763" t="b">
        <f>IFERROR(__xludf.DUMMYFUNCTION("""COMPUTED_VALUE"""),FALSE)</f>
        <v>0</v>
      </c>
      <c r="BJ28" s="763" t="b">
        <f>IFERROR(__xludf.DUMMYFUNCTION("""COMPUTED_VALUE"""),FALSE)</f>
        <v>0</v>
      </c>
    </row>
    <row r="29">
      <c r="A29" s="762">
        <f>IFERROR(__xludf.DUMMYFUNCTION("""COMPUTED_VALUE"""),61842.0)</f>
        <v>61842</v>
      </c>
      <c r="B29" s="538">
        <f>IFERROR(__xludf.DUMMYFUNCTION("""COMPUTED_VALUE"""),61842.0)</f>
        <v>61842</v>
      </c>
      <c r="C29" s="538" t="str">
        <f>IFERROR(__xludf.DUMMYFUNCTION("""COMPUTED_VALUE"""),"2025-03-17 08:33:03")</f>
        <v>2025-03-17 08:33:03</v>
      </c>
      <c r="D29" s="538" t="str">
        <f>IFERROR(__xludf.DUMMYFUNCTION("""COMPUTED_VALUE"""),"completed")</f>
        <v>completed</v>
      </c>
      <c r="E29" s="538" t="str">
        <f>IFERROR(__xludf.DUMMYFUNCTION("""COMPUTED_VALUE"""),"MARTINA")</f>
        <v>MARTINA</v>
      </c>
      <c r="F29" s="538" t="str">
        <f>IFERROR(__xludf.DUMMYFUNCTION("""COMPUTED_VALUE"""),"PETTINARI")</f>
        <v>PETTINARI</v>
      </c>
      <c r="G29" s="538" t="str">
        <f>IFERROR(__xludf.DUMMYFUNCTION("""COMPUTED_VALUE"""),"martina.pettinari39@gmail.com")</f>
        <v>martina.pettinari39@gmail.com</v>
      </c>
      <c r="H29" s="538">
        <f>IFERROR(__xludf.DUMMYFUNCTION("""COMPUTED_VALUE"""),3.518846328E9)</f>
        <v>3518846328</v>
      </c>
      <c r="I29" s="538" t="str">
        <f>IFERROR(__xludf.DUMMYFUNCTION("""COMPUTED_VALUE"""),"BAREGGIO")</f>
        <v>BAREGGIO</v>
      </c>
      <c r="J29" s="538" t="str">
        <f>IFERROR(__xludf.DUMMYFUNCTION("""COMPUTED_VALUE"""),"VIA SAN PROTASO 35")</f>
        <v>VIA SAN PROTASO 35</v>
      </c>
      <c r="K29" s="538">
        <f>IFERROR(__xludf.DUMMYFUNCTION("""COMPUTED_VALUE"""),20008.0)</f>
        <v>20008</v>
      </c>
      <c r="L29" s="538" t="str">
        <f>IFERROR(__xludf.DUMMYFUNCTION("""COMPUTED_VALUE"""),"Carte di pagamento")</f>
        <v>Carte di pagamento</v>
      </c>
      <c r="M29" s="538" t="str">
        <f>IFERROR(__xludf.DUMMYFUNCTION("""COMPUTED_VALUE"""),"estefany02nicholas")</f>
        <v>estefany02nicholas</v>
      </c>
      <c r="N29" s="763" t="str">
        <f>IFERROR(__xludf.DUMMYFUNCTION("""COMPUTED_VALUE"""),"61842-1742200384")</f>
        <v>61842-1742200384</v>
      </c>
      <c r="O29" s="762">
        <f>IFERROR(__xludf.DUMMYFUNCTION("""COMPUTED_VALUE"""),0.0)</f>
        <v>0</v>
      </c>
      <c r="P29" s="766">
        <f>IFERROR(__xludf.DUMMYFUNCTION("""COMPUTED_VALUE"""),1.1666666666666667)</f>
        <v>1.166666667</v>
      </c>
      <c r="Q29" s="538" t="str">
        <f>IFERROR(__xludf.DUMMYFUNCTION("""COMPUTED_VALUE"""),"EUR")</f>
        <v>EUR</v>
      </c>
      <c r="R29" s="762">
        <f>IFERROR(__xludf.DUMMYFUNCTION("""COMPUTED_VALUE"""),343.0)</f>
        <v>343</v>
      </c>
      <c r="S29" s="538" t="str">
        <f>IFERROR(__xludf.DUMMYFUNCTION("""COMPUTED_VALUE"""),"Workshop Modern con Nicholas Borgogni - Workshop Modern con Nicholas Borgogni")</f>
        <v>Workshop Modern con Nicholas Borgogni - Workshop Modern con Nicholas Borgogni</v>
      </c>
      <c r="T29" s="763"/>
      <c r="U29" s="763"/>
      <c r="V29" s="762">
        <f>IFERROR(__xludf.DUMMYFUNCTION("""COMPUTED_VALUE"""),1.0)</f>
        <v>1</v>
      </c>
      <c r="W29" s="762">
        <f>IFERROR(__xludf.DUMMYFUNCTION("""COMPUTED_VALUE"""),28.0)</f>
        <v>28</v>
      </c>
      <c r="X29" s="762">
        <f>IFERROR(__xludf.DUMMYFUNCTION("""COMPUTED_VALUE"""),28.0)</f>
        <v>28</v>
      </c>
      <c r="Y29" s="763"/>
      <c r="Z29" s="765" t="str">
        <f>IFERROR(__xludf.DUMMYFUNCTION("""COMPUTED_VALUE"""),"https://studio-gem.it/wp-admin/post.php?post=61842&amp;action=edit")</f>
        <v>https://studio-gem.it/wp-admin/post.php?post=61842&amp;action=edit</v>
      </c>
      <c r="AA29" s="763"/>
      <c r="AB29" s="763"/>
      <c r="AC29" s="763"/>
      <c r="AD29" s="763"/>
      <c r="AE29" s="763"/>
      <c r="AF29" s="763"/>
      <c r="AG29" s="763"/>
      <c r="AH29" s="763"/>
      <c r="AI29" s="763"/>
      <c r="AJ29" s="763"/>
      <c r="AK29" s="763"/>
      <c r="AL29" s="763"/>
      <c r="AM29" s="763"/>
      <c r="AN29" s="763"/>
      <c r="AO29" s="763"/>
      <c r="AP29" s="763"/>
      <c r="AQ29" s="763"/>
      <c r="AR29" s="763"/>
      <c r="AS29" s="763"/>
      <c r="AT29" s="763"/>
      <c r="AU29" s="763"/>
      <c r="AV29" s="763"/>
      <c r="AW29" s="763"/>
      <c r="AX29" s="763"/>
      <c r="AY29" s="763"/>
      <c r="AZ29" s="763"/>
      <c r="BA29" s="763"/>
      <c r="BB29" s="763"/>
      <c r="BC29" s="763"/>
      <c r="BD29" s="763"/>
      <c r="BE29" s="763"/>
      <c r="BF29" s="763"/>
      <c r="BG29" s="763" t="b">
        <f>IFERROR(__xludf.DUMMYFUNCTION("""COMPUTED_VALUE"""),FALSE)</f>
        <v>0</v>
      </c>
      <c r="BH29" s="763" t="b">
        <f>IFERROR(__xludf.DUMMYFUNCTION("""COMPUTED_VALUE"""),TRUE)</f>
        <v>1</v>
      </c>
      <c r="BI29" s="763" t="b">
        <f>IFERROR(__xludf.DUMMYFUNCTION("""COMPUTED_VALUE"""),FALSE)</f>
        <v>0</v>
      </c>
      <c r="BJ29" s="763" t="b">
        <f>IFERROR(__xludf.DUMMYFUNCTION("""COMPUTED_VALUE"""),FALSE)</f>
        <v>0</v>
      </c>
    </row>
    <row r="30">
      <c r="A30" s="762">
        <f>IFERROR(__xludf.DUMMYFUNCTION("""COMPUTED_VALUE"""),61843.0)</f>
        <v>61843</v>
      </c>
      <c r="B30" s="538">
        <f>IFERROR(__xludf.DUMMYFUNCTION("""COMPUTED_VALUE"""),61843.0)</f>
        <v>61843</v>
      </c>
      <c r="C30" s="538" t="str">
        <f>IFERROR(__xludf.DUMMYFUNCTION("""COMPUTED_VALUE"""),"2025-03-17 08:42:09")</f>
        <v>2025-03-17 08:42:09</v>
      </c>
      <c r="D30" s="538" t="str">
        <f>IFERROR(__xludf.DUMMYFUNCTION("""COMPUTED_VALUE"""),"completed")</f>
        <v>completed</v>
      </c>
      <c r="E30" s="538" t="str">
        <f>IFERROR(__xludf.DUMMYFUNCTION("""COMPUTED_VALUE"""),"Giorgia")</f>
        <v>Giorgia</v>
      </c>
      <c r="F30" s="538" t="str">
        <f>IFERROR(__xludf.DUMMYFUNCTION("""COMPUTED_VALUE"""),"Longobardi")</f>
        <v>Longobardi</v>
      </c>
      <c r="G30" s="538" t="str">
        <f>IFERROR(__xludf.DUMMYFUNCTION("""COMPUTED_VALUE"""),"lianabarilani@gmail.com")</f>
        <v>lianabarilani@gmail.com</v>
      </c>
      <c r="H30" s="538">
        <f>IFERROR(__xludf.DUMMYFUNCTION("""COMPUTED_VALUE"""),3.472886414E9)</f>
        <v>3472886414</v>
      </c>
      <c r="I30" s="538" t="str">
        <f>IFERROR(__xludf.DUMMYFUNCTION("""COMPUTED_VALUE"""),"Bareggio")</f>
        <v>Bareggio</v>
      </c>
      <c r="J30" s="538" t="str">
        <f>IFERROR(__xludf.DUMMYFUNCTION("""COMPUTED_VALUE"""),"Via San Protaso 79/A")</f>
        <v>Via San Protaso 79/A</v>
      </c>
      <c r="K30" s="538">
        <f>IFERROR(__xludf.DUMMYFUNCTION("""COMPUTED_VALUE"""),20008.0)</f>
        <v>20008</v>
      </c>
      <c r="L30" s="538" t="str">
        <f>IFERROR(__xludf.DUMMYFUNCTION("""COMPUTED_VALUE"""),"Carte di pagamento")</f>
        <v>Carte di pagamento</v>
      </c>
      <c r="M30" s="538" t="str">
        <f>IFERROR(__xludf.DUMMYFUNCTION("""COMPUTED_VALUE"""),"nura02nicholas")</f>
        <v>nura02nicholas</v>
      </c>
      <c r="N30" s="763" t="str">
        <f>IFERROR(__xludf.DUMMYFUNCTION("""COMPUTED_VALUE"""),"61843-1742200930")</f>
        <v>61843-1742200930</v>
      </c>
      <c r="O30" s="762">
        <f>IFERROR(__xludf.DUMMYFUNCTION("""COMPUTED_VALUE"""),0.0)</f>
        <v>0</v>
      </c>
      <c r="P30" s="766">
        <f>IFERROR(__xludf.DUMMYFUNCTION("""COMPUTED_VALUE"""),1.1666666666666667)</f>
        <v>1.166666667</v>
      </c>
      <c r="Q30" s="538" t="str">
        <f>IFERROR(__xludf.DUMMYFUNCTION("""COMPUTED_VALUE"""),"EUR")</f>
        <v>EUR</v>
      </c>
      <c r="R30" s="762">
        <f>IFERROR(__xludf.DUMMYFUNCTION("""COMPUTED_VALUE"""),345.0)</f>
        <v>345</v>
      </c>
      <c r="S30" s="538" t="str">
        <f>IFERROR(__xludf.DUMMYFUNCTION("""COMPUTED_VALUE"""),"Workshop Modern con Nicholas Borgogni - Workshop Modern con Nicholas Borgogni")</f>
        <v>Workshop Modern con Nicholas Borgogni - Workshop Modern con Nicholas Borgogni</v>
      </c>
      <c r="T30" s="763"/>
      <c r="U30" s="763"/>
      <c r="V30" s="762">
        <f>IFERROR(__xludf.DUMMYFUNCTION("""COMPUTED_VALUE"""),1.0)</f>
        <v>1</v>
      </c>
      <c r="W30" s="762">
        <f>IFERROR(__xludf.DUMMYFUNCTION("""COMPUTED_VALUE"""),28.0)</f>
        <v>28</v>
      </c>
      <c r="X30" s="762">
        <f>IFERROR(__xludf.DUMMYFUNCTION("""COMPUTED_VALUE"""),28.0)</f>
        <v>28</v>
      </c>
      <c r="Y30" s="763"/>
      <c r="Z30" s="765" t="str">
        <f>IFERROR(__xludf.DUMMYFUNCTION("""COMPUTED_VALUE"""),"https://studio-gem.it/wp-admin/post.php?post=61843&amp;action=edit")</f>
        <v>https://studio-gem.it/wp-admin/post.php?post=61843&amp;action=edit</v>
      </c>
      <c r="AA30" s="763"/>
      <c r="AB30" s="763"/>
      <c r="AC30" s="763"/>
      <c r="AD30" s="763"/>
      <c r="AE30" s="763"/>
      <c r="AF30" s="763"/>
      <c r="AG30" s="763"/>
      <c r="AH30" s="763"/>
      <c r="AI30" s="763"/>
      <c r="AJ30" s="763"/>
      <c r="AK30" s="763"/>
      <c r="AL30" s="763"/>
      <c r="AM30" s="763"/>
      <c r="AN30" s="763"/>
      <c r="AO30" s="763"/>
      <c r="AP30" s="763"/>
      <c r="AQ30" s="763"/>
      <c r="AR30" s="763"/>
      <c r="AS30" s="763"/>
      <c r="AT30" s="763"/>
      <c r="AU30" s="763"/>
      <c r="AV30" s="763"/>
      <c r="AW30" s="763"/>
      <c r="AX30" s="763"/>
      <c r="AY30" s="763"/>
      <c r="AZ30" s="763"/>
      <c r="BA30" s="763"/>
      <c r="BB30" s="763"/>
      <c r="BC30" s="763"/>
      <c r="BD30" s="763"/>
      <c r="BE30" s="763"/>
      <c r="BF30" s="763"/>
      <c r="BG30" s="763" t="b">
        <f>IFERROR(__xludf.DUMMYFUNCTION("""COMPUTED_VALUE"""),FALSE)</f>
        <v>0</v>
      </c>
      <c r="BH30" s="763" t="b">
        <f>IFERROR(__xludf.DUMMYFUNCTION("""COMPUTED_VALUE"""),TRUE)</f>
        <v>1</v>
      </c>
      <c r="BI30" s="763" t="b">
        <f>IFERROR(__xludf.DUMMYFUNCTION("""COMPUTED_VALUE"""),FALSE)</f>
        <v>0</v>
      </c>
      <c r="BJ30" s="763" t="b">
        <f>IFERROR(__xludf.DUMMYFUNCTION("""COMPUTED_VALUE"""),FALSE)</f>
        <v>0</v>
      </c>
    </row>
    <row r="31">
      <c r="A31" s="762">
        <f>IFERROR(__xludf.DUMMYFUNCTION("""COMPUTED_VALUE"""),61847.0)</f>
        <v>61847</v>
      </c>
      <c r="B31" s="538">
        <f>IFERROR(__xludf.DUMMYFUNCTION("""COMPUTED_VALUE"""),61847.0)</f>
        <v>61847</v>
      </c>
      <c r="C31" s="538" t="str">
        <f>IFERROR(__xludf.DUMMYFUNCTION("""COMPUTED_VALUE"""),"2025-03-17 13:37:00")</f>
        <v>2025-03-17 13:37:00</v>
      </c>
      <c r="D31" s="538" t="str">
        <f>IFERROR(__xludf.DUMMYFUNCTION("""COMPUTED_VALUE"""),"completed")</f>
        <v>completed</v>
      </c>
      <c r="E31" s="538" t="str">
        <f>IFERROR(__xludf.DUMMYFUNCTION("""COMPUTED_VALUE"""),"Federica")</f>
        <v>Federica</v>
      </c>
      <c r="F31" s="538" t="str">
        <f>IFERROR(__xludf.DUMMYFUNCTION("""COMPUTED_VALUE"""),"Lucanto")</f>
        <v>Lucanto</v>
      </c>
      <c r="G31" s="538" t="str">
        <f>IFERROR(__xludf.DUMMYFUNCTION("""COMPUTED_VALUE"""),"lucantofederica@gmail.com")</f>
        <v>lucantofederica@gmail.com</v>
      </c>
      <c r="H31" s="538">
        <f>IFERROR(__xludf.DUMMYFUNCTION("""COMPUTED_VALUE"""),3.270665015E9)</f>
        <v>3270665015</v>
      </c>
      <c r="I31" s="538" t="str">
        <f>IFERROR(__xludf.DUMMYFUNCTION("""COMPUTED_VALUE"""),"Milano")</f>
        <v>Milano</v>
      </c>
      <c r="J31" s="538" t="str">
        <f>IFERROR(__xludf.DUMMYFUNCTION("""COMPUTED_VALUE"""),"via Sebastiano del Piombo 22")</f>
        <v>via Sebastiano del Piombo 22</v>
      </c>
      <c r="K31" s="538">
        <f>IFERROR(__xludf.DUMMYFUNCTION("""COMPUTED_VALUE"""),20149.0)</f>
        <v>20149</v>
      </c>
      <c r="L31" s="538" t="str">
        <f>IFERROR(__xludf.DUMMYFUNCTION("""COMPUTED_VALUE"""),"Carte di pagamento")</f>
        <v>Carte di pagamento</v>
      </c>
      <c r="M31" s="538" t="str">
        <f>IFERROR(__xludf.DUMMYFUNCTION("""COMPUTED_VALUE"""),"estefany02nicholas")</f>
        <v>estefany02nicholas</v>
      </c>
      <c r="N31" s="763" t="str">
        <f>IFERROR(__xludf.DUMMYFUNCTION("""COMPUTED_VALUE"""),"61847-1742218621")</f>
        <v>61847-1742218621</v>
      </c>
      <c r="O31" s="762">
        <f>IFERROR(__xludf.DUMMYFUNCTION("""COMPUTED_VALUE"""),0.0)</f>
        <v>0</v>
      </c>
      <c r="P31" s="766">
        <f>IFERROR(__xludf.DUMMYFUNCTION("""COMPUTED_VALUE"""),1.1666666666666667)</f>
        <v>1.166666667</v>
      </c>
      <c r="Q31" s="538" t="str">
        <f>IFERROR(__xludf.DUMMYFUNCTION("""COMPUTED_VALUE"""),"EUR")</f>
        <v>EUR</v>
      </c>
      <c r="R31" s="762">
        <f>IFERROR(__xludf.DUMMYFUNCTION("""COMPUTED_VALUE"""),347.0)</f>
        <v>347</v>
      </c>
      <c r="S31" s="538" t="str">
        <f>IFERROR(__xludf.DUMMYFUNCTION("""COMPUTED_VALUE"""),"Workshop Modern con Nicholas Borgogni - Workshop Modern con Nicholas Borgogni")</f>
        <v>Workshop Modern con Nicholas Borgogni - Workshop Modern con Nicholas Borgogni</v>
      </c>
      <c r="T31" s="763"/>
      <c r="U31" s="763"/>
      <c r="V31" s="762">
        <f>IFERROR(__xludf.DUMMYFUNCTION("""COMPUTED_VALUE"""),1.0)</f>
        <v>1</v>
      </c>
      <c r="W31" s="762">
        <f>IFERROR(__xludf.DUMMYFUNCTION("""COMPUTED_VALUE"""),28.0)</f>
        <v>28</v>
      </c>
      <c r="X31" s="762">
        <f>IFERROR(__xludf.DUMMYFUNCTION("""COMPUTED_VALUE"""),28.0)</f>
        <v>28</v>
      </c>
      <c r="Y31" s="763"/>
      <c r="Z31" s="765" t="str">
        <f>IFERROR(__xludf.DUMMYFUNCTION("""COMPUTED_VALUE"""),"https://studio-gem.it/wp-admin/post.php?post=61847&amp;action=edit")</f>
        <v>https://studio-gem.it/wp-admin/post.php?post=61847&amp;action=edit</v>
      </c>
      <c r="AA31" s="763"/>
      <c r="AB31" s="763"/>
      <c r="AC31" s="763"/>
      <c r="AD31" s="763"/>
      <c r="AE31" s="763"/>
      <c r="AF31" s="763"/>
      <c r="AG31" s="763"/>
      <c r="AH31" s="763"/>
      <c r="AI31" s="763"/>
      <c r="AJ31" s="763"/>
      <c r="AK31" s="763"/>
      <c r="AL31" s="763"/>
      <c r="AM31" s="763"/>
      <c r="AN31" s="763"/>
      <c r="AO31" s="763"/>
      <c r="AP31" s="763"/>
      <c r="AQ31" s="763"/>
      <c r="AR31" s="763"/>
      <c r="AS31" s="763"/>
      <c r="AT31" s="763"/>
      <c r="AU31" s="763"/>
      <c r="AV31" s="763"/>
      <c r="AW31" s="763"/>
      <c r="AX31" s="763"/>
      <c r="AY31" s="763"/>
      <c r="AZ31" s="763"/>
      <c r="BA31" s="763"/>
      <c r="BB31" s="763"/>
      <c r="BC31" s="763"/>
      <c r="BD31" s="763"/>
      <c r="BE31" s="763"/>
      <c r="BF31" s="763"/>
      <c r="BG31" s="763" t="b">
        <f>IFERROR(__xludf.DUMMYFUNCTION("""COMPUTED_VALUE"""),FALSE)</f>
        <v>0</v>
      </c>
      <c r="BH31" s="763" t="b">
        <f>IFERROR(__xludf.DUMMYFUNCTION("""COMPUTED_VALUE"""),TRUE)</f>
        <v>1</v>
      </c>
      <c r="BI31" s="763" t="b">
        <f>IFERROR(__xludf.DUMMYFUNCTION("""COMPUTED_VALUE"""),FALSE)</f>
        <v>0</v>
      </c>
      <c r="BJ31" s="763" t="b">
        <f>IFERROR(__xludf.DUMMYFUNCTION("""COMPUTED_VALUE"""),FALSE)</f>
        <v>0</v>
      </c>
    </row>
    <row r="32">
      <c r="A32" s="762">
        <f>IFERROR(__xludf.DUMMYFUNCTION("""COMPUTED_VALUE"""),61849.0)</f>
        <v>61849</v>
      </c>
      <c r="B32" s="538">
        <f>IFERROR(__xludf.DUMMYFUNCTION("""COMPUTED_VALUE"""),61849.0)</f>
        <v>61849</v>
      </c>
      <c r="C32" s="538" t="str">
        <f>IFERROR(__xludf.DUMMYFUNCTION("""COMPUTED_VALUE"""),"2025-03-17 14:04:40")</f>
        <v>2025-03-17 14:04:40</v>
      </c>
      <c r="D32" s="538" t="str">
        <f>IFERROR(__xludf.DUMMYFUNCTION("""COMPUTED_VALUE"""),"completed")</f>
        <v>completed</v>
      </c>
      <c r="E32" s="538" t="str">
        <f>IFERROR(__xludf.DUMMYFUNCTION("""COMPUTED_VALUE"""),"yizhaung")</f>
        <v>yizhaung</v>
      </c>
      <c r="F32" s="538" t="str">
        <f>IFERROR(__xludf.DUMMYFUNCTION("""COMPUTED_VALUE"""),"yang")</f>
        <v>yang</v>
      </c>
      <c r="G32" s="538" t="str">
        <f>IFERROR(__xludf.DUMMYFUNCTION("""COMPUTED_VALUE"""),"mandyyoung4502@gmail.com")</f>
        <v>mandyyoung4502@gmail.com</v>
      </c>
      <c r="H32" s="538">
        <f>IFERROR(__xludf.DUMMYFUNCTION("""COMPUTED_VALUE"""),3.445371083E9)</f>
        <v>3445371083</v>
      </c>
      <c r="I32" s="538" t="str">
        <f>IFERROR(__xludf.DUMMYFUNCTION("""COMPUTED_VALUE"""),"Milano")</f>
        <v>Milano</v>
      </c>
      <c r="J32" s="538" t="str">
        <f>IFERROR(__xludf.DUMMYFUNCTION("""COMPUTED_VALUE"""),"Via Val Di Bondo 9")</f>
        <v>Via Val Di Bondo 9</v>
      </c>
      <c r="K32" s="538">
        <f>IFERROR(__xludf.DUMMYFUNCTION("""COMPUTED_VALUE"""),20161.0)</f>
        <v>20161</v>
      </c>
      <c r="L32" s="538" t="str">
        <f>IFERROR(__xludf.DUMMYFUNCTION("""COMPUTED_VALUE"""),"Carte di pagamento")</f>
        <v>Carte di pagamento</v>
      </c>
      <c r="M32" s="763"/>
      <c r="N32" s="763" t="str">
        <f>IFERROR(__xludf.DUMMYFUNCTION("""COMPUTED_VALUE"""),"61849-1742221335")</f>
        <v>61849-1742221335</v>
      </c>
      <c r="O32" s="762">
        <f>IFERROR(__xludf.DUMMYFUNCTION("""COMPUTED_VALUE"""),0.0)</f>
        <v>0</v>
      </c>
      <c r="P32" s="766">
        <f>IFERROR(__xludf.DUMMYFUNCTION("""COMPUTED_VALUE"""),1.0416666666666667)</f>
        <v>1.041666667</v>
      </c>
      <c r="Q32" s="538" t="str">
        <f>IFERROR(__xludf.DUMMYFUNCTION("""COMPUTED_VALUE"""),"EUR")</f>
        <v>EUR</v>
      </c>
      <c r="R32" s="762">
        <f>IFERROR(__xludf.DUMMYFUNCTION("""COMPUTED_VALUE"""),350.0)</f>
        <v>350</v>
      </c>
      <c r="S32" s="538" t="str">
        <f>IFERROR(__xludf.DUMMYFUNCTION("""COMPUTED_VALUE"""),"Workshop Salsa lady style con Jhesus Aponte - Workshop Salsa lady style con Jhesus Aponte")</f>
        <v>Workshop Salsa lady style con Jhesus Aponte - Workshop Salsa lady style con Jhesus Aponte</v>
      </c>
      <c r="T32" s="763"/>
      <c r="U32" s="763"/>
      <c r="V32" s="762">
        <f>IFERROR(__xludf.DUMMYFUNCTION("""COMPUTED_VALUE"""),1.0)</f>
        <v>1</v>
      </c>
      <c r="W32" s="762">
        <f>IFERROR(__xludf.DUMMYFUNCTION("""COMPUTED_VALUE"""),25.0)</f>
        <v>25</v>
      </c>
      <c r="X32" s="762">
        <f>IFERROR(__xludf.DUMMYFUNCTION("""COMPUTED_VALUE"""),25.0)</f>
        <v>25</v>
      </c>
      <c r="Y32" s="763"/>
      <c r="Z32" s="765" t="str">
        <f>IFERROR(__xludf.DUMMYFUNCTION("""COMPUTED_VALUE"""),"https://studio-gem.it/wp-admin/post.php?post=61849&amp;action=edit")</f>
        <v>https://studio-gem.it/wp-admin/post.php?post=61849&amp;action=edit</v>
      </c>
      <c r="AA32" s="763"/>
      <c r="AB32" s="763"/>
      <c r="AC32" s="763"/>
      <c r="AD32" s="763"/>
      <c r="AE32" s="763"/>
      <c r="AF32" s="763"/>
      <c r="AG32" s="763"/>
      <c r="AH32" s="763"/>
      <c r="AI32" s="763"/>
      <c r="AJ32" s="763"/>
      <c r="AK32" s="763"/>
      <c r="AL32" s="763"/>
      <c r="AM32" s="763"/>
      <c r="AN32" s="763"/>
      <c r="AO32" s="763"/>
      <c r="AP32" s="763"/>
      <c r="AQ32" s="763"/>
      <c r="AR32" s="763"/>
      <c r="AS32" s="763"/>
      <c r="AT32" s="763"/>
      <c r="AU32" s="763"/>
      <c r="AV32" s="763"/>
      <c r="AW32" s="763"/>
      <c r="AX32" s="763"/>
      <c r="AY32" s="763"/>
      <c r="AZ32" s="763"/>
      <c r="BA32" s="763"/>
      <c r="BB32" s="763"/>
      <c r="BC32" s="763"/>
      <c r="BD32" s="763"/>
      <c r="BE32" s="763"/>
      <c r="BF32" s="763"/>
      <c r="BG32" s="763" t="b">
        <f>IFERROR(__xludf.DUMMYFUNCTION("""COMPUTED_VALUE"""),FALSE)</f>
        <v>0</v>
      </c>
      <c r="BH32" s="763" t="b">
        <f>IFERROR(__xludf.DUMMYFUNCTION("""COMPUTED_VALUE"""),TRUE)</f>
        <v>1</v>
      </c>
      <c r="BI32" s="763" t="b">
        <f>IFERROR(__xludf.DUMMYFUNCTION("""COMPUTED_VALUE"""),FALSE)</f>
        <v>0</v>
      </c>
      <c r="BJ32" s="763" t="b">
        <f>IFERROR(__xludf.DUMMYFUNCTION("""COMPUTED_VALUE"""),FALSE)</f>
        <v>0</v>
      </c>
    </row>
    <row r="33">
      <c r="A33" s="762">
        <f>IFERROR(__xludf.DUMMYFUNCTION("""COMPUTED_VALUE"""),61854.0)</f>
        <v>61854</v>
      </c>
      <c r="B33" s="538">
        <f>IFERROR(__xludf.DUMMYFUNCTION("""COMPUTED_VALUE"""),61854.0)</f>
        <v>61854</v>
      </c>
      <c r="C33" s="538" t="str">
        <f>IFERROR(__xludf.DUMMYFUNCTION("""COMPUTED_VALUE"""),"2025-03-17 15:51:28")</f>
        <v>2025-03-17 15:51:28</v>
      </c>
      <c r="D33" s="538" t="str">
        <f>IFERROR(__xludf.DUMMYFUNCTION("""COMPUTED_VALUE"""),"refunded")</f>
        <v>refunded</v>
      </c>
      <c r="E33" s="538" t="str">
        <f>IFERROR(__xludf.DUMMYFUNCTION("""COMPUTED_VALUE"""),"Joel")</f>
        <v>Joel</v>
      </c>
      <c r="F33" s="538" t="str">
        <f>IFERROR(__xludf.DUMMYFUNCTION("""COMPUTED_VALUE"""),"Villon")</f>
        <v>Villon</v>
      </c>
      <c r="G33" s="538" t="str">
        <f>IFERROR(__xludf.DUMMYFUNCTION("""COMPUTED_VALUE"""),"joel@studio-gem.it")</f>
        <v>joel@studio-gem.it</v>
      </c>
      <c r="H33" s="538">
        <f>IFERROR(__xludf.DUMMYFUNCTION("""COMPUTED_VALUE"""),3.281346607E9)</f>
        <v>3281346607</v>
      </c>
      <c r="I33" s="538" t="str">
        <f>IFERROR(__xludf.DUMMYFUNCTION("""COMPUTED_VALUE"""),"Milano")</f>
        <v>Milano</v>
      </c>
      <c r="J33" s="538" t="str">
        <f>IFERROR(__xludf.DUMMYFUNCTION("""COMPUTED_VALUE"""),"Via Novara")</f>
        <v>Via Novara</v>
      </c>
      <c r="K33" s="538">
        <f>IFERROR(__xludf.DUMMYFUNCTION("""COMPUTED_VALUE"""),20153.0)</f>
        <v>20153</v>
      </c>
      <c r="L33" s="538" t="str">
        <f>IFERROR(__xludf.DUMMYFUNCTION("""COMPUTED_VALUE"""),"Carte di pagamento")</f>
        <v>Carte di pagamento</v>
      </c>
      <c r="M33" s="538" t="str">
        <f>IFERROR(__xludf.DUMMYFUNCTION("""COMPUTED_VALUE"""),"agotest25")</f>
        <v>agotest25</v>
      </c>
      <c r="N33" s="763" t="str">
        <f>IFERROR(__xludf.DUMMYFUNCTION("""COMPUTED_VALUE"""),"61854-1742226688")</f>
        <v>61854-1742226688</v>
      </c>
      <c r="O33" s="762">
        <f>IFERROR(__xludf.DUMMYFUNCTION("""COMPUTED_VALUE"""),0.0)</f>
        <v>0</v>
      </c>
      <c r="P33" s="764">
        <f>IFERROR(__xludf.DUMMYFUNCTION("""COMPUTED_VALUE"""),0.017361111111111112)</f>
        <v>0.01736111111</v>
      </c>
      <c r="Q33" s="538" t="str">
        <f>IFERROR(__xludf.DUMMYFUNCTION("""COMPUTED_VALUE"""),"EUR")</f>
        <v>EUR</v>
      </c>
      <c r="R33" s="762">
        <f>IFERROR(__xludf.DUMMYFUNCTION("""COMPUTED_VALUE"""),351.0)</f>
        <v>351</v>
      </c>
      <c r="S33" s="538" t="str">
        <f>IFERROR(__xludf.DUMMYFUNCTION("""COMPUTED_VALUE"""),"Workshop Salsa lady style con Jhesus Aponte - Workshop Salsa lady style con Jhesus Aponte")</f>
        <v>Workshop Salsa lady style con Jhesus Aponte - Workshop Salsa lady style con Jhesus Aponte</v>
      </c>
      <c r="T33" s="763"/>
      <c r="U33" s="763"/>
      <c r="V33" s="762">
        <f>IFERROR(__xludf.DUMMYFUNCTION("""COMPUTED_VALUE"""),1.0)</f>
        <v>1</v>
      </c>
      <c r="W33" s="762">
        <f>IFERROR(__xludf.DUMMYFUNCTION("""COMPUTED_VALUE"""),0.25)</f>
        <v>0.25</v>
      </c>
      <c r="X33" s="762">
        <f>IFERROR(__xludf.DUMMYFUNCTION("""COMPUTED_VALUE"""),0.25)</f>
        <v>0.25</v>
      </c>
      <c r="Y33" s="763"/>
      <c r="Z33" s="765" t="str">
        <f>IFERROR(__xludf.DUMMYFUNCTION("""COMPUTED_VALUE"""),"https://studio-gem.it/wp-admin/post.php?post=61854&amp;action=edit")</f>
        <v>https://studio-gem.it/wp-admin/post.php?post=61854&amp;action=edit</v>
      </c>
      <c r="AA33" s="763"/>
      <c r="AB33" s="763"/>
      <c r="AC33" s="763"/>
      <c r="AD33" s="763"/>
      <c r="AE33" s="763"/>
      <c r="AF33" s="763"/>
      <c r="AG33" s="763"/>
      <c r="AH33" s="763"/>
      <c r="AI33" s="763"/>
      <c r="AJ33" s="763"/>
      <c r="AK33" s="763"/>
      <c r="AL33" s="763"/>
      <c r="AM33" s="763"/>
      <c r="AN33" s="763"/>
      <c r="AO33" s="763"/>
      <c r="AP33" s="763"/>
      <c r="AQ33" s="763"/>
      <c r="AR33" s="763"/>
      <c r="AS33" s="763"/>
      <c r="AT33" s="763"/>
      <c r="AU33" s="763"/>
      <c r="AV33" s="763"/>
      <c r="AW33" s="763"/>
      <c r="AX33" s="763"/>
      <c r="AY33" s="763"/>
      <c r="AZ33" s="763"/>
      <c r="BA33" s="763"/>
      <c r="BB33" s="763"/>
      <c r="BC33" s="763"/>
      <c r="BD33" s="763"/>
      <c r="BE33" s="763"/>
      <c r="BF33" s="763"/>
      <c r="BG33" s="763" t="b">
        <f>IFERROR(__xludf.DUMMYFUNCTION("""COMPUTED_VALUE"""),FALSE)</f>
        <v>0</v>
      </c>
      <c r="BH33" s="763" t="b">
        <f>IFERROR(__xludf.DUMMYFUNCTION("""COMPUTED_VALUE"""),TRUE)</f>
        <v>1</v>
      </c>
      <c r="BI33" s="763" t="b">
        <f>IFERROR(__xludf.DUMMYFUNCTION("""COMPUTED_VALUE"""),FALSE)</f>
        <v>0</v>
      </c>
      <c r="BJ33" s="763" t="b">
        <f>IFERROR(__xludf.DUMMYFUNCTION("""COMPUTED_VALUE"""),FALSE)</f>
        <v>0</v>
      </c>
    </row>
    <row r="34">
      <c r="A34" s="762">
        <f>IFERROR(__xludf.DUMMYFUNCTION("""COMPUTED_VALUE"""),61857.0)</f>
        <v>61857</v>
      </c>
      <c r="B34" s="538">
        <f>IFERROR(__xludf.DUMMYFUNCTION("""COMPUTED_VALUE"""),61857.0)</f>
        <v>61857</v>
      </c>
      <c r="C34" s="538" t="str">
        <f>IFERROR(__xludf.DUMMYFUNCTION("""COMPUTED_VALUE"""),"2025-03-17 16:18:09")</f>
        <v>2025-03-17 16:18:09</v>
      </c>
      <c r="D34" s="538" t="str">
        <f>IFERROR(__xludf.DUMMYFUNCTION("""COMPUTED_VALUE"""),"completed")</f>
        <v>completed</v>
      </c>
      <c r="E34" s="538" t="str">
        <f>IFERROR(__xludf.DUMMYFUNCTION("""COMPUTED_VALUE"""),"Martina")</f>
        <v>Martina</v>
      </c>
      <c r="F34" s="538" t="str">
        <f>IFERROR(__xludf.DUMMYFUNCTION("""COMPUTED_VALUE"""),"Iula")</f>
        <v>Iula</v>
      </c>
      <c r="G34" s="538" t="str">
        <f>IFERROR(__xludf.DUMMYFUNCTION("""COMPUTED_VALUE"""),"ma.iula680@gmail.com")</f>
        <v>ma.iula680@gmail.com</v>
      </c>
      <c r="H34" s="538">
        <f>IFERROR(__xludf.DUMMYFUNCTION("""COMPUTED_VALUE"""),3.315829354E9)</f>
        <v>3315829354</v>
      </c>
      <c r="I34" s="538" t="str">
        <f>IFERROR(__xludf.DUMMYFUNCTION("""COMPUTED_VALUE"""),"Milano")</f>
        <v>Milano</v>
      </c>
      <c r="J34" s="538" t="str">
        <f>IFERROR(__xludf.DUMMYFUNCTION("""COMPUTED_VALUE"""),"Carlo valvassori peroni 76")</f>
        <v>Carlo valvassori peroni 76</v>
      </c>
      <c r="K34" s="538">
        <f>IFERROR(__xludf.DUMMYFUNCTION("""COMPUTED_VALUE"""),20133.0)</f>
        <v>20133</v>
      </c>
      <c r="L34" s="538" t="str">
        <f>IFERROR(__xludf.DUMMYFUNCTION("""COMPUTED_VALUE"""),"Google Pay")</f>
        <v>Google Pay</v>
      </c>
      <c r="M34" s="763"/>
      <c r="N34" s="763" t="str">
        <f>IFERROR(__xludf.DUMMYFUNCTION("""COMPUTED_VALUE"""),"61857-1742228290")</f>
        <v>61857-1742228290</v>
      </c>
      <c r="O34" s="762">
        <f>IFERROR(__xludf.DUMMYFUNCTION("""COMPUTED_VALUE"""),0.0)</f>
        <v>0</v>
      </c>
      <c r="P34" s="766">
        <f>IFERROR(__xludf.DUMMYFUNCTION("""COMPUTED_VALUE"""),1.0416666666666667)</f>
        <v>1.041666667</v>
      </c>
      <c r="Q34" s="538" t="str">
        <f>IFERROR(__xludf.DUMMYFUNCTION("""COMPUTED_VALUE"""),"EUR")</f>
        <v>EUR</v>
      </c>
      <c r="R34" s="762">
        <f>IFERROR(__xludf.DUMMYFUNCTION("""COMPUTED_VALUE"""),353.0)</f>
        <v>353</v>
      </c>
      <c r="S34" s="538" t="str">
        <f>IFERROR(__xludf.DUMMYFUNCTION("""COMPUTED_VALUE"""),"Workshop Salsa lady style con Jhesus Aponte - Workshop Salsa lady style con Jhesus Aponte")</f>
        <v>Workshop Salsa lady style con Jhesus Aponte - Workshop Salsa lady style con Jhesus Aponte</v>
      </c>
      <c r="T34" s="763"/>
      <c r="U34" s="763"/>
      <c r="V34" s="762">
        <f>IFERROR(__xludf.DUMMYFUNCTION("""COMPUTED_VALUE"""),1.0)</f>
        <v>1</v>
      </c>
      <c r="W34" s="762">
        <f>IFERROR(__xludf.DUMMYFUNCTION("""COMPUTED_VALUE"""),25.0)</f>
        <v>25</v>
      </c>
      <c r="X34" s="762">
        <f>IFERROR(__xludf.DUMMYFUNCTION("""COMPUTED_VALUE"""),25.0)</f>
        <v>25</v>
      </c>
      <c r="Y34" s="763"/>
      <c r="Z34" s="765" t="str">
        <f>IFERROR(__xludf.DUMMYFUNCTION("""COMPUTED_VALUE"""),"https://studio-gem.it/wp-admin/post.php?post=61857&amp;action=edit")</f>
        <v>https://studio-gem.it/wp-admin/post.php?post=61857&amp;action=edit</v>
      </c>
      <c r="AA34" s="763"/>
      <c r="AB34" s="763"/>
      <c r="AC34" s="763"/>
      <c r="AD34" s="763"/>
      <c r="AE34" s="763"/>
      <c r="AF34" s="763"/>
      <c r="AG34" s="763"/>
      <c r="AH34" s="763"/>
      <c r="AI34" s="763"/>
      <c r="AJ34" s="763"/>
      <c r="AK34" s="763"/>
      <c r="AL34" s="763"/>
      <c r="AM34" s="763"/>
      <c r="AN34" s="763"/>
      <c r="AO34" s="763"/>
      <c r="AP34" s="763"/>
      <c r="AQ34" s="763"/>
      <c r="AR34" s="763"/>
      <c r="AS34" s="763"/>
      <c r="AT34" s="763"/>
      <c r="AU34" s="763"/>
      <c r="AV34" s="763"/>
      <c r="AW34" s="763"/>
      <c r="AX34" s="763"/>
      <c r="AY34" s="763"/>
      <c r="AZ34" s="763"/>
      <c r="BA34" s="763"/>
      <c r="BB34" s="763"/>
      <c r="BC34" s="763"/>
      <c r="BD34" s="763"/>
      <c r="BE34" s="763"/>
      <c r="BF34" s="763"/>
      <c r="BG34" s="763" t="b">
        <f>IFERROR(__xludf.DUMMYFUNCTION("""COMPUTED_VALUE"""),FALSE)</f>
        <v>0</v>
      </c>
      <c r="BH34" s="763" t="b">
        <f>IFERROR(__xludf.DUMMYFUNCTION("""COMPUTED_VALUE"""),TRUE)</f>
        <v>1</v>
      </c>
      <c r="BI34" s="763" t="b">
        <f>IFERROR(__xludf.DUMMYFUNCTION("""COMPUTED_VALUE"""),FALSE)</f>
        <v>0</v>
      </c>
      <c r="BJ34" s="763" t="b">
        <f>IFERROR(__xludf.DUMMYFUNCTION("""COMPUTED_VALUE"""),FALSE)</f>
        <v>0</v>
      </c>
    </row>
    <row r="35">
      <c r="A35" s="762">
        <f>IFERROR(__xludf.DUMMYFUNCTION("""COMPUTED_VALUE"""),61924.0)</f>
        <v>61924</v>
      </c>
      <c r="B35" s="538">
        <f>IFERROR(__xludf.DUMMYFUNCTION("""COMPUTED_VALUE"""),61924.0)</f>
        <v>61924</v>
      </c>
      <c r="C35" s="538" t="str">
        <f>IFERROR(__xludf.DUMMYFUNCTION("""COMPUTED_VALUE"""),"2025-03-18 20:04:39")</f>
        <v>2025-03-18 20:04:39</v>
      </c>
      <c r="D35" s="538" t="str">
        <f>IFERROR(__xludf.DUMMYFUNCTION("""COMPUTED_VALUE"""),"completed")</f>
        <v>completed</v>
      </c>
      <c r="E35" s="538" t="str">
        <f>IFERROR(__xludf.DUMMYFUNCTION("""COMPUTED_VALUE"""),"Alessia")</f>
        <v>Alessia</v>
      </c>
      <c r="F35" s="538" t="str">
        <f>IFERROR(__xludf.DUMMYFUNCTION("""COMPUTED_VALUE"""),"Costato")</f>
        <v>Costato</v>
      </c>
      <c r="G35" s="538" t="str">
        <f>IFERROR(__xludf.DUMMYFUNCTION("""COMPUTED_VALUE"""),"barbara.benetton77@gmail.com")</f>
        <v>barbara.benetton77@gmail.com</v>
      </c>
      <c r="H35" s="538">
        <f>IFERROR(__xludf.DUMMYFUNCTION("""COMPUTED_VALUE"""),3.470847404E9)</f>
        <v>3470847404</v>
      </c>
      <c r="I35" s="538" t="str">
        <f>IFERROR(__xludf.DUMMYFUNCTION("""COMPUTED_VALUE"""),"Cerano")</f>
        <v>Cerano</v>
      </c>
      <c r="J35" s="538" t="str">
        <f>IFERROR(__xludf.DUMMYFUNCTION("""COMPUTED_VALUE"""),"Via Camerona 3")</f>
        <v>Via Camerona 3</v>
      </c>
      <c r="K35" s="538">
        <f>IFERROR(__xludf.DUMMYFUNCTION("""COMPUTED_VALUE"""),28065.0)</f>
        <v>28065</v>
      </c>
      <c r="L35" s="538" t="str">
        <f>IFERROR(__xludf.DUMMYFUNCTION("""COMPUTED_VALUE"""),"Carte di pagamento")</f>
        <v>Carte di pagamento</v>
      </c>
      <c r="M35" s="763"/>
      <c r="N35" s="763" t="str">
        <f>IFERROR(__xludf.DUMMYFUNCTION("""COMPUTED_VALUE"""),"61924-1742328280")</f>
        <v>61924-1742328280</v>
      </c>
      <c r="O35" s="762">
        <f>IFERROR(__xludf.DUMMYFUNCTION("""COMPUTED_VALUE"""),0.0)</f>
        <v>0</v>
      </c>
      <c r="P35" s="766">
        <f>IFERROR(__xludf.DUMMYFUNCTION("""COMPUTED_VALUE"""),1.25)</f>
        <v>1.25</v>
      </c>
      <c r="Q35" s="538" t="str">
        <f>IFERROR(__xludf.DUMMYFUNCTION("""COMPUTED_VALUE"""),"EUR")</f>
        <v>EUR</v>
      </c>
      <c r="R35" s="762">
        <f>IFERROR(__xludf.DUMMYFUNCTION("""COMPUTED_VALUE"""),354.0)</f>
        <v>354</v>
      </c>
      <c r="S35" s="538" t="str">
        <f>IFERROR(__xludf.DUMMYFUNCTION("""COMPUTED_VALUE"""),"Workshop Modern con Nicholas Borgogni - Workshop Modern con Nicholas Borgogni")</f>
        <v>Workshop Modern con Nicholas Borgogni - Workshop Modern con Nicholas Borgogni</v>
      </c>
      <c r="T35" s="763"/>
      <c r="U35" s="763"/>
      <c r="V35" s="762">
        <f>IFERROR(__xludf.DUMMYFUNCTION("""COMPUTED_VALUE"""),1.0)</f>
        <v>1</v>
      </c>
      <c r="W35" s="762">
        <f>IFERROR(__xludf.DUMMYFUNCTION("""COMPUTED_VALUE"""),30.0)</f>
        <v>30</v>
      </c>
      <c r="X35" s="762">
        <f>IFERROR(__xludf.DUMMYFUNCTION("""COMPUTED_VALUE"""),30.0)</f>
        <v>30</v>
      </c>
      <c r="Y35" s="763"/>
      <c r="Z35" s="765" t="str">
        <f>IFERROR(__xludf.DUMMYFUNCTION("""COMPUTED_VALUE"""),"https://studio-gem.it/wp-admin/post.php?post=61924&amp;action=edit")</f>
        <v>https://studio-gem.it/wp-admin/post.php?post=61924&amp;action=edit</v>
      </c>
      <c r="AA35" s="763"/>
      <c r="AB35" s="763"/>
      <c r="AC35" s="763"/>
      <c r="AD35" s="763"/>
      <c r="AE35" s="763"/>
      <c r="AF35" s="763"/>
      <c r="AG35" s="763"/>
      <c r="AH35" s="763"/>
      <c r="AI35" s="763"/>
      <c r="AJ35" s="763"/>
      <c r="AK35" s="763"/>
      <c r="AL35" s="763"/>
      <c r="AM35" s="763"/>
      <c r="AN35" s="763"/>
      <c r="AO35" s="763"/>
      <c r="AP35" s="763"/>
      <c r="AQ35" s="763"/>
      <c r="AR35" s="763"/>
      <c r="AS35" s="763"/>
      <c r="AT35" s="763"/>
      <c r="AU35" s="763"/>
      <c r="AV35" s="763"/>
      <c r="AW35" s="763"/>
      <c r="AX35" s="763"/>
      <c r="AY35" s="763"/>
      <c r="AZ35" s="763"/>
      <c r="BA35" s="763"/>
      <c r="BB35" s="763"/>
      <c r="BC35" s="763"/>
      <c r="BD35" s="763"/>
      <c r="BE35" s="763"/>
      <c r="BF35" s="763"/>
      <c r="BG35" s="763" t="b">
        <f>IFERROR(__xludf.DUMMYFUNCTION("""COMPUTED_VALUE"""),FALSE)</f>
        <v>0</v>
      </c>
      <c r="BH35" s="763" t="b">
        <f>IFERROR(__xludf.DUMMYFUNCTION("""COMPUTED_VALUE"""),TRUE)</f>
        <v>1</v>
      </c>
      <c r="BI35" s="763" t="b">
        <f>IFERROR(__xludf.DUMMYFUNCTION("""COMPUTED_VALUE"""),FALSE)</f>
        <v>0</v>
      </c>
      <c r="BJ35" s="763" t="b">
        <f>IFERROR(__xludf.DUMMYFUNCTION("""COMPUTED_VALUE"""),FALSE)</f>
        <v>0</v>
      </c>
    </row>
    <row r="36">
      <c r="A36" s="762">
        <f>IFERROR(__xludf.DUMMYFUNCTION("""COMPUTED_VALUE"""),61926.0)</f>
        <v>61926</v>
      </c>
      <c r="B36" s="538">
        <f>IFERROR(__xludf.DUMMYFUNCTION("""COMPUTED_VALUE"""),61926.0)</f>
        <v>61926</v>
      </c>
      <c r="C36" s="538" t="str">
        <f>IFERROR(__xludf.DUMMYFUNCTION("""COMPUTED_VALUE"""),"2025-03-19 08:32:49")</f>
        <v>2025-03-19 08:32:49</v>
      </c>
      <c r="D36" s="538" t="str">
        <f>IFERROR(__xludf.DUMMYFUNCTION("""COMPUTED_VALUE"""),"completed")</f>
        <v>completed</v>
      </c>
      <c r="E36" s="538" t="str">
        <f>IFERROR(__xludf.DUMMYFUNCTION("""COMPUTED_VALUE"""),"BIANCA")</f>
        <v>BIANCA</v>
      </c>
      <c r="F36" s="538" t="str">
        <f>IFERROR(__xludf.DUMMYFUNCTION("""COMPUTED_VALUE"""),"ASPRONE")</f>
        <v>ASPRONE</v>
      </c>
      <c r="G36" s="538" t="str">
        <f>IFERROR(__xludf.DUMMYFUNCTION("""COMPUTED_VALUE"""),"saramao87@gmail.com")</f>
        <v>saramao87@gmail.com</v>
      </c>
      <c r="H36" s="538">
        <f>IFERROR(__xludf.DUMMYFUNCTION("""COMPUTED_VALUE"""),3.91477374E9)</f>
        <v>3914773740</v>
      </c>
      <c r="I36" s="538" t="str">
        <f>IFERROR(__xludf.DUMMYFUNCTION("""COMPUTED_VALUE"""),"VIGEVANO")</f>
        <v>VIGEVANO</v>
      </c>
      <c r="J36" s="538" t="str">
        <f>IFERROR(__xludf.DUMMYFUNCTION("""COMPUTED_VALUE"""),"VIA AGUZZAFAME 24")</f>
        <v>VIA AGUZZAFAME 24</v>
      </c>
      <c r="K36" s="538">
        <f>IFERROR(__xludf.DUMMYFUNCTION("""COMPUTED_VALUE"""),27029.0)</f>
        <v>27029</v>
      </c>
      <c r="L36" s="538" t="str">
        <f>IFERROR(__xludf.DUMMYFUNCTION("""COMPUTED_VALUE"""),"Carte di pagamento")</f>
        <v>Carte di pagamento</v>
      </c>
      <c r="M36" s="763"/>
      <c r="N36" s="763" t="str">
        <f>IFERROR(__xludf.DUMMYFUNCTION("""COMPUTED_VALUE"""),"61926-1742373170")</f>
        <v>61926-1742373170</v>
      </c>
      <c r="O36" s="762">
        <f>IFERROR(__xludf.DUMMYFUNCTION("""COMPUTED_VALUE"""),0.0)</f>
        <v>0</v>
      </c>
      <c r="P36" s="766">
        <f>IFERROR(__xludf.DUMMYFUNCTION("""COMPUTED_VALUE"""),1.25)</f>
        <v>1.25</v>
      </c>
      <c r="Q36" s="538" t="str">
        <f>IFERROR(__xludf.DUMMYFUNCTION("""COMPUTED_VALUE"""),"EUR")</f>
        <v>EUR</v>
      </c>
      <c r="R36" s="762">
        <f>IFERROR(__xludf.DUMMYFUNCTION("""COMPUTED_VALUE"""),355.0)</f>
        <v>355</v>
      </c>
      <c r="S36" s="538" t="str">
        <f>IFERROR(__xludf.DUMMYFUNCTION("""COMPUTED_VALUE"""),"Workshop Modern con Nicholas Borgogni - Workshop Modern con Nicholas Borgogni")</f>
        <v>Workshop Modern con Nicholas Borgogni - Workshop Modern con Nicholas Borgogni</v>
      </c>
      <c r="T36" s="763"/>
      <c r="U36" s="763"/>
      <c r="V36" s="762">
        <f>IFERROR(__xludf.DUMMYFUNCTION("""COMPUTED_VALUE"""),1.0)</f>
        <v>1</v>
      </c>
      <c r="W36" s="762">
        <f>IFERROR(__xludf.DUMMYFUNCTION("""COMPUTED_VALUE"""),30.0)</f>
        <v>30</v>
      </c>
      <c r="X36" s="762">
        <f>IFERROR(__xludf.DUMMYFUNCTION("""COMPUTED_VALUE"""),30.0)</f>
        <v>30</v>
      </c>
      <c r="Y36" s="763"/>
      <c r="Z36" s="765" t="str">
        <f>IFERROR(__xludf.DUMMYFUNCTION("""COMPUTED_VALUE"""),"https://studio-gem.it/wp-admin/post.php?post=61926&amp;action=edit")</f>
        <v>https://studio-gem.it/wp-admin/post.php?post=61926&amp;action=edit</v>
      </c>
      <c r="AA36" s="763"/>
      <c r="AB36" s="763"/>
      <c r="AC36" s="763"/>
      <c r="AD36" s="763"/>
      <c r="AE36" s="763"/>
      <c r="AF36" s="763"/>
      <c r="AG36" s="763"/>
      <c r="AH36" s="763"/>
      <c r="AI36" s="763"/>
      <c r="AJ36" s="763"/>
      <c r="AK36" s="763"/>
      <c r="AL36" s="763"/>
      <c r="AM36" s="763"/>
      <c r="AN36" s="763"/>
      <c r="AO36" s="763"/>
      <c r="AP36" s="763"/>
      <c r="AQ36" s="763"/>
      <c r="AR36" s="763"/>
      <c r="AS36" s="763"/>
      <c r="AT36" s="763"/>
      <c r="AU36" s="763"/>
      <c r="AV36" s="763"/>
      <c r="AW36" s="763"/>
      <c r="AX36" s="763"/>
      <c r="AY36" s="763"/>
      <c r="AZ36" s="763"/>
      <c r="BA36" s="763"/>
      <c r="BB36" s="763"/>
      <c r="BC36" s="763"/>
      <c r="BD36" s="763"/>
      <c r="BE36" s="763"/>
      <c r="BF36" s="763"/>
      <c r="BG36" s="763" t="b">
        <f>IFERROR(__xludf.DUMMYFUNCTION("""COMPUTED_VALUE"""),FALSE)</f>
        <v>0</v>
      </c>
      <c r="BH36" s="763" t="b">
        <f>IFERROR(__xludf.DUMMYFUNCTION("""COMPUTED_VALUE"""),TRUE)</f>
        <v>1</v>
      </c>
      <c r="BI36" s="763" t="b">
        <f>IFERROR(__xludf.DUMMYFUNCTION("""COMPUTED_VALUE"""),FALSE)</f>
        <v>0</v>
      </c>
      <c r="BJ36" s="763" t="b">
        <f>IFERROR(__xludf.DUMMYFUNCTION("""COMPUTED_VALUE"""),FALSE)</f>
        <v>0</v>
      </c>
    </row>
    <row r="37">
      <c r="A37" s="762">
        <f>IFERROR(__xludf.DUMMYFUNCTION("""COMPUTED_VALUE"""),61927.0)</f>
        <v>61927</v>
      </c>
      <c r="B37" s="538">
        <f>IFERROR(__xludf.DUMMYFUNCTION("""COMPUTED_VALUE"""),61927.0)</f>
        <v>61927</v>
      </c>
      <c r="C37" s="538" t="str">
        <f>IFERROR(__xludf.DUMMYFUNCTION("""COMPUTED_VALUE"""),"2025-03-19 08:44:14")</f>
        <v>2025-03-19 08:44:14</v>
      </c>
      <c r="D37" s="538" t="str">
        <f>IFERROR(__xludf.DUMMYFUNCTION("""COMPUTED_VALUE"""),"completed")</f>
        <v>completed</v>
      </c>
      <c r="E37" s="538" t="str">
        <f>IFERROR(__xludf.DUMMYFUNCTION("""COMPUTED_VALUE"""),"REBECCA")</f>
        <v>REBECCA</v>
      </c>
      <c r="F37" s="538" t="str">
        <f>IFERROR(__xludf.DUMMYFUNCTION("""COMPUTED_VALUE"""),"CASTELBUONO")</f>
        <v>CASTELBUONO</v>
      </c>
      <c r="G37" s="538" t="str">
        <f>IFERROR(__xludf.DUMMYFUNCTION("""COMPUTED_VALUE"""),"chiara.marchesani@gmail.com")</f>
        <v>chiara.marchesani@gmail.com</v>
      </c>
      <c r="H37" s="538">
        <f>IFERROR(__xludf.DUMMYFUNCTION("""COMPUTED_VALUE"""),3.393612542E9)</f>
        <v>3393612542</v>
      </c>
      <c r="I37" s="538" t="str">
        <f>IFERROR(__xludf.DUMMYFUNCTION("""COMPUTED_VALUE"""),"VIGEVANO")</f>
        <v>VIGEVANO</v>
      </c>
      <c r="J37" s="538" t="str">
        <f>IFERROR(__xludf.DUMMYFUNCTION("""COMPUTED_VALUE"""),"Via Vecchia per Gambolò 64/J")</f>
        <v>Via Vecchia per Gambolò 64/J</v>
      </c>
      <c r="K37" s="538">
        <f>IFERROR(__xludf.DUMMYFUNCTION("""COMPUTED_VALUE"""),27029.0)</f>
        <v>27029</v>
      </c>
      <c r="L37" s="538" t="str">
        <f>IFERROR(__xludf.DUMMYFUNCTION("""COMPUTED_VALUE"""),"Carte di pagamento")</f>
        <v>Carte di pagamento</v>
      </c>
      <c r="M37" s="763"/>
      <c r="N37" s="763" t="str">
        <f>IFERROR(__xludf.DUMMYFUNCTION("""COMPUTED_VALUE"""),"61927-1742373856")</f>
        <v>61927-1742373856</v>
      </c>
      <c r="O37" s="762">
        <f>IFERROR(__xludf.DUMMYFUNCTION("""COMPUTED_VALUE"""),0.0)</f>
        <v>0</v>
      </c>
      <c r="P37" s="766">
        <f>IFERROR(__xludf.DUMMYFUNCTION("""COMPUTED_VALUE"""),1.25)</f>
        <v>1.25</v>
      </c>
      <c r="Q37" s="538" t="str">
        <f>IFERROR(__xludf.DUMMYFUNCTION("""COMPUTED_VALUE"""),"EUR")</f>
        <v>EUR</v>
      </c>
      <c r="R37" s="762">
        <f>IFERROR(__xludf.DUMMYFUNCTION("""COMPUTED_VALUE"""),356.0)</f>
        <v>356</v>
      </c>
      <c r="S37" s="538" t="str">
        <f>IFERROR(__xludf.DUMMYFUNCTION("""COMPUTED_VALUE"""),"Workshop Modern con Nicholas Borgogni - Workshop Modern con Nicholas Borgogni")</f>
        <v>Workshop Modern con Nicholas Borgogni - Workshop Modern con Nicholas Borgogni</v>
      </c>
      <c r="T37" s="763"/>
      <c r="U37" s="763"/>
      <c r="V37" s="762">
        <f>IFERROR(__xludf.DUMMYFUNCTION("""COMPUTED_VALUE"""),1.0)</f>
        <v>1</v>
      </c>
      <c r="W37" s="762">
        <f>IFERROR(__xludf.DUMMYFUNCTION("""COMPUTED_VALUE"""),30.0)</f>
        <v>30</v>
      </c>
      <c r="X37" s="762">
        <f>IFERROR(__xludf.DUMMYFUNCTION("""COMPUTED_VALUE"""),30.0)</f>
        <v>30</v>
      </c>
      <c r="Y37" s="763"/>
      <c r="Z37" s="765" t="str">
        <f>IFERROR(__xludf.DUMMYFUNCTION("""COMPUTED_VALUE"""),"https://studio-gem.it/wp-admin/post.php?post=61927&amp;action=edit")</f>
        <v>https://studio-gem.it/wp-admin/post.php?post=61927&amp;action=edit</v>
      </c>
      <c r="AA37" s="763"/>
      <c r="AB37" s="763"/>
      <c r="AC37" s="763"/>
      <c r="AD37" s="763"/>
      <c r="AE37" s="763"/>
      <c r="AF37" s="763"/>
      <c r="AG37" s="763"/>
      <c r="AH37" s="763"/>
      <c r="AI37" s="763"/>
      <c r="AJ37" s="763"/>
      <c r="AK37" s="763"/>
      <c r="AL37" s="763"/>
      <c r="AM37" s="763"/>
      <c r="AN37" s="763"/>
      <c r="AO37" s="763"/>
      <c r="AP37" s="763"/>
      <c r="AQ37" s="763"/>
      <c r="AR37" s="763"/>
      <c r="AS37" s="763"/>
      <c r="AT37" s="763"/>
      <c r="AU37" s="763"/>
      <c r="AV37" s="763"/>
      <c r="AW37" s="763"/>
      <c r="AX37" s="763"/>
      <c r="AY37" s="763"/>
      <c r="AZ37" s="763"/>
      <c r="BA37" s="763"/>
      <c r="BB37" s="763"/>
      <c r="BC37" s="763"/>
      <c r="BD37" s="763"/>
      <c r="BE37" s="763"/>
      <c r="BF37" s="763"/>
      <c r="BG37" s="763" t="b">
        <f>IFERROR(__xludf.DUMMYFUNCTION("""COMPUTED_VALUE"""),FALSE)</f>
        <v>0</v>
      </c>
      <c r="BH37" s="763" t="b">
        <f>IFERROR(__xludf.DUMMYFUNCTION("""COMPUTED_VALUE"""),TRUE)</f>
        <v>1</v>
      </c>
      <c r="BI37" s="763" t="b">
        <f>IFERROR(__xludf.DUMMYFUNCTION("""COMPUTED_VALUE"""),FALSE)</f>
        <v>0</v>
      </c>
      <c r="BJ37" s="763" t="b">
        <f>IFERROR(__xludf.DUMMYFUNCTION("""COMPUTED_VALUE"""),FALSE)</f>
        <v>0</v>
      </c>
    </row>
    <row r="38">
      <c r="A38" s="762">
        <f>IFERROR(__xludf.DUMMYFUNCTION("""COMPUTED_VALUE"""),61942.0)</f>
        <v>61942</v>
      </c>
      <c r="B38" s="538">
        <f>IFERROR(__xludf.DUMMYFUNCTION("""COMPUTED_VALUE"""),61942.0)</f>
        <v>61942</v>
      </c>
      <c r="C38" s="538" t="str">
        <f>IFERROR(__xludf.DUMMYFUNCTION("""COMPUTED_VALUE"""),"2025-03-19 21:20:14")</f>
        <v>2025-03-19 21:20:14</v>
      </c>
      <c r="D38" s="538" t="str">
        <f>IFERROR(__xludf.DUMMYFUNCTION("""COMPUTED_VALUE"""),"completed")</f>
        <v>completed</v>
      </c>
      <c r="E38" s="538" t="str">
        <f>IFERROR(__xludf.DUMMYFUNCTION("""COMPUTED_VALUE"""),"Elisabetta")</f>
        <v>Elisabetta</v>
      </c>
      <c r="F38" s="538" t="str">
        <f>IFERROR(__xludf.DUMMYFUNCTION("""COMPUTED_VALUE"""),"Abeni")</f>
        <v>Abeni</v>
      </c>
      <c r="G38" s="538" t="str">
        <f>IFERROR(__xludf.DUMMYFUNCTION("""COMPUTED_VALUE"""),"barbara.benetton77@gmail.com")</f>
        <v>barbara.benetton77@gmail.com</v>
      </c>
      <c r="H38" s="538">
        <f>IFERROR(__xludf.DUMMYFUNCTION("""COMPUTED_VALUE"""),3.498722574E9)</f>
        <v>3498722574</v>
      </c>
      <c r="I38" s="538" t="str">
        <f>IFERROR(__xludf.DUMMYFUNCTION("""COMPUTED_VALUE"""),"Cerano")</f>
        <v>Cerano</v>
      </c>
      <c r="J38" s="538" t="str">
        <f>IFERROR(__xludf.DUMMYFUNCTION("""COMPUTED_VALUE"""),"Via Santa Cristina 14")</f>
        <v>Via Santa Cristina 14</v>
      </c>
      <c r="K38" s="538">
        <f>IFERROR(__xludf.DUMMYFUNCTION("""COMPUTED_VALUE"""),28065.0)</f>
        <v>28065</v>
      </c>
      <c r="L38" s="538" t="str">
        <f>IFERROR(__xludf.DUMMYFUNCTION("""COMPUTED_VALUE"""),"Carte di pagamento")</f>
        <v>Carte di pagamento</v>
      </c>
      <c r="M38" s="763"/>
      <c r="N38" s="763" t="str">
        <f>IFERROR(__xludf.DUMMYFUNCTION("""COMPUTED_VALUE"""),"61942-1742419215")</f>
        <v>61942-1742419215</v>
      </c>
      <c r="O38" s="762">
        <f>IFERROR(__xludf.DUMMYFUNCTION("""COMPUTED_VALUE"""),0.0)</f>
        <v>0</v>
      </c>
      <c r="P38" s="766">
        <f>IFERROR(__xludf.DUMMYFUNCTION("""COMPUTED_VALUE"""),1.25)</f>
        <v>1.25</v>
      </c>
      <c r="Q38" s="538" t="str">
        <f>IFERROR(__xludf.DUMMYFUNCTION("""COMPUTED_VALUE"""),"EUR")</f>
        <v>EUR</v>
      </c>
      <c r="R38" s="762">
        <f>IFERROR(__xludf.DUMMYFUNCTION("""COMPUTED_VALUE"""),357.0)</f>
        <v>357</v>
      </c>
      <c r="S38" s="538" t="str">
        <f>IFERROR(__xludf.DUMMYFUNCTION("""COMPUTED_VALUE"""),"Workshop Modern con Nicholas Borgogni - Workshop Modern con Nicholas Borgogni")</f>
        <v>Workshop Modern con Nicholas Borgogni - Workshop Modern con Nicholas Borgogni</v>
      </c>
      <c r="T38" s="763"/>
      <c r="U38" s="763"/>
      <c r="V38" s="762">
        <f>IFERROR(__xludf.DUMMYFUNCTION("""COMPUTED_VALUE"""),1.0)</f>
        <v>1</v>
      </c>
      <c r="W38" s="762">
        <f>IFERROR(__xludf.DUMMYFUNCTION("""COMPUTED_VALUE"""),30.0)</f>
        <v>30</v>
      </c>
      <c r="X38" s="762">
        <f>IFERROR(__xludf.DUMMYFUNCTION("""COMPUTED_VALUE"""),30.0)</f>
        <v>30</v>
      </c>
      <c r="Y38" s="763"/>
      <c r="Z38" s="765" t="str">
        <f>IFERROR(__xludf.DUMMYFUNCTION("""COMPUTED_VALUE"""),"https://studio-gem.it/wp-admin/post.php?post=61942&amp;action=edit")</f>
        <v>https://studio-gem.it/wp-admin/post.php?post=61942&amp;action=edit</v>
      </c>
      <c r="AA38" s="763"/>
      <c r="AB38" s="763"/>
      <c r="AC38" s="763"/>
      <c r="AD38" s="763"/>
      <c r="AE38" s="763"/>
      <c r="AF38" s="763"/>
      <c r="AG38" s="763"/>
      <c r="AH38" s="763"/>
      <c r="AI38" s="763"/>
      <c r="AJ38" s="763"/>
      <c r="AK38" s="763"/>
      <c r="AL38" s="763"/>
      <c r="AM38" s="763"/>
      <c r="AN38" s="763"/>
      <c r="AO38" s="763"/>
      <c r="AP38" s="763"/>
      <c r="AQ38" s="763"/>
      <c r="AR38" s="763"/>
      <c r="AS38" s="763"/>
      <c r="AT38" s="763"/>
      <c r="AU38" s="763"/>
      <c r="AV38" s="763"/>
      <c r="AW38" s="763"/>
      <c r="AX38" s="763"/>
      <c r="AY38" s="763"/>
      <c r="AZ38" s="763"/>
      <c r="BA38" s="763"/>
      <c r="BB38" s="763"/>
      <c r="BC38" s="763"/>
      <c r="BD38" s="763"/>
      <c r="BE38" s="763"/>
      <c r="BF38" s="763"/>
      <c r="BG38" s="763" t="b">
        <f>IFERROR(__xludf.DUMMYFUNCTION("""COMPUTED_VALUE"""),FALSE)</f>
        <v>0</v>
      </c>
      <c r="BH38" s="763" t="b">
        <f>IFERROR(__xludf.DUMMYFUNCTION("""COMPUTED_VALUE"""),TRUE)</f>
        <v>1</v>
      </c>
      <c r="BI38" s="763" t="b">
        <f>IFERROR(__xludf.DUMMYFUNCTION("""COMPUTED_VALUE"""),FALSE)</f>
        <v>0</v>
      </c>
      <c r="BJ38" s="763" t="b">
        <f>IFERROR(__xludf.DUMMYFUNCTION("""COMPUTED_VALUE"""),FALSE)</f>
        <v>0</v>
      </c>
    </row>
    <row r="39">
      <c r="A39" s="762">
        <f>IFERROR(__xludf.DUMMYFUNCTION("""COMPUTED_VALUE"""),61947.0)</f>
        <v>61947</v>
      </c>
      <c r="B39" s="538">
        <f>IFERROR(__xludf.DUMMYFUNCTION("""COMPUTED_VALUE"""),61947.0)</f>
        <v>61947</v>
      </c>
      <c r="C39" s="538" t="str">
        <f>IFERROR(__xludf.DUMMYFUNCTION("""COMPUTED_VALUE"""),"2025-03-20 10:23:19")</f>
        <v>2025-03-20 10:23:19</v>
      </c>
      <c r="D39" s="538" t="str">
        <f>IFERROR(__xludf.DUMMYFUNCTION("""COMPUTED_VALUE"""),"cancelled")</f>
        <v>cancelled</v>
      </c>
      <c r="E39" s="538" t="str">
        <f>IFERROR(__xludf.DUMMYFUNCTION("""COMPUTED_VALUE"""),"ago")</f>
        <v>ago</v>
      </c>
      <c r="F39" s="538" t="str">
        <f>IFERROR(__xludf.DUMMYFUNCTION("""COMPUTED_VALUE"""),"genc")</f>
        <v>genc</v>
      </c>
      <c r="G39" s="538" t="str">
        <f>IFERROR(__xludf.DUMMYFUNCTION("""COMPUTED_VALUE"""),"ago@agogo.it")</f>
        <v>ago@agogo.it</v>
      </c>
      <c r="H39" s="538">
        <f>IFERROR(__xludf.DUMMYFUNCTION("""COMPUTED_VALUE"""),3.356385854E9)</f>
        <v>3356385854</v>
      </c>
      <c r="I39" s="538" t="str">
        <f>IFERROR(__xludf.DUMMYFUNCTION("""COMPUTED_VALUE"""),"Bresso")</f>
        <v>Bresso</v>
      </c>
      <c r="J39" s="538" t="str">
        <f>IFERROR(__xludf.DUMMYFUNCTION("""COMPUTED_VALUE"""),"Via Aldo villa 16")</f>
        <v>Via Aldo villa 16</v>
      </c>
      <c r="K39" s="538">
        <f>IFERROR(__xludf.DUMMYFUNCTION("""COMPUTED_VALUE"""),20900.0)</f>
        <v>20900</v>
      </c>
      <c r="L39" s="538" t="str">
        <f>IFERROR(__xludf.DUMMYFUNCTION("""COMPUTED_VALUE"""),"Carte di pagamento")</f>
        <v>Carte di pagamento</v>
      </c>
      <c r="M39" s="763"/>
      <c r="N39" s="763"/>
      <c r="O39" s="762">
        <f>IFERROR(__xludf.DUMMYFUNCTION("""COMPUTED_VALUE"""),0.0)</f>
        <v>0</v>
      </c>
      <c r="P39" s="766">
        <f>IFERROR(__xludf.DUMMYFUNCTION("""COMPUTED_VALUE"""),6.666666666666667)</f>
        <v>6.666666667</v>
      </c>
      <c r="Q39" s="538" t="str">
        <f>IFERROR(__xludf.DUMMYFUNCTION("""COMPUTED_VALUE"""),"EUR")</f>
        <v>EUR</v>
      </c>
      <c r="R39" s="762">
        <f>IFERROR(__xludf.DUMMYFUNCTION("""COMPUTED_VALUE"""),358.0)</f>
        <v>358</v>
      </c>
      <c r="S39" s="538" t="str">
        <f>IFERROR(__xludf.DUMMYFUNCTION("""COMPUTED_VALUE"""),"Workshop Modern con Nicholas Borgogni - Workshop Modern con Nicholas Borgogni")</f>
        <v>Workshop Modern con Nicholas Borgogni - Workshop Modern con Nicholas Borgogni</v>
      </c>
      <c r="T39" s="763"/>
      <c r="U39" s="763"/>
      <c r="V39" s="762">
        <f>IFERROR(__xludf.DUMMYFUNCTION("""COMPUTED_VALUE"""),1.0)</f>
        <v>1</v>
      </c>
      <c r="W39" s="762">
        <f>IFERROR(__xludf.DUMMYFUNCTION("""COMPUTED_VALUE"""),30.0)</f>
        <v>30</v>
      </c>
      <c r="X39" s="762">
        <f>IFERROR(__xludf.DUMMYFUNCTION("""COMPUTED_VALUE"""),30.0)</f>
        <v>30</v>
      </c>
      <c r="Y39" s="763"/>
      <c r="Z39" s="765" t="str">
        <f>IFERROR(__xludf.DUMMYFUNCTION("""COMPUTED_VALUE"""),"https://studio-gem.it/wp-admin/post.php?post=61947&amp;action=edit")</f>
        <v>https://studio-gem.it/wp-admin/post.php?post=61947&amp;action=edit</v>
      </c>
      <c r="AA39" s="763"/>
      <c r="AB39" s="763"/>
      <c r="AC39" s="763"/>
      <c r="AD39" s="763"/>
      <c r="AE39" s="763"/>
      <c r="AF39" s="763"/>
      <c r="AG39" s="763"/>
      <c r="AH39" s="763"/>
      <c r="AI39" s="763"/>
      <c r="AJ39" s="763"/>
      <c r="AK39" s="763"/>
      <c r="AL39" s="763"/>
      <c r="AM39" s="763"/>
      <c r="AN39" s="763"/>
      <c r="AO39" s="763"/>
      <c r="AP39" s="763"/>
      <c r="AQ39" s="763"/>
      <c r="AR39" s="763"/>
      <c r="AS39" s="763"/>
      <c r="AT39" s="763"/>
      <c r="AU39" s="763"/>
      <c r="AV39" s="763"/>
      <c r="AW39" s="763"/>
      <c r="AX39" s="763"/>
      <c r="AY39" s="763"/>
      <c r="AZ39" s="763"/>
      <c r="BA39" s="763"/>
      <c r="BB39" s="763"/>
      <c r="BC39" s="763"/>
      <c r="BD39" s="763"/>
      <c r="BE39" s="763"/>
      <c r="BF39" s="763"/>
      <c r="BG39" s="763" t="b">
        <f>IFERROR(__xludf.DUMMYFUNCTION("""COMPUTED_VALUE"""),FALSE)</f>
        <v>0</v>
      </c>
      <c r="BH39" s="763" t="b">
        <f>IFERROR(__xludf.DUMMYFUNCTION("""COMPUTED_VALUE"""),FALSE)</f>
        <v>0</v>
      </c>
      <c r="BI39" s="763" t="b">
        <f>IFERROR(__xludf.DUMMYFUNCTION("""COMPUTED_VALUE"""),FALSE)</f>
        <v>0</v>
      </c>
      <c r="BJ39" s="763" t="b">
        <f>IFERROR(__xludf.DUMMYFUNCTION("""COMPUTED_VALUE"""),FALSE)</f>
        <v>0</v>
      </c>
    </row>
    <row r="40">
      <c r="A40" s="762">
        <f>IFERROR(__xludf.DUMMYFUNCTION("""COMPUTED_VALUE"""),61947.0)</f>
        <v>61947</v>
      </c>
      <c r="B40" s="538">
        <f>IFERROR(__xludf.DUMMYFUNCTION("""COMPUTED_VALUE"""),61947.0)</f>
        <v>61947</v>
      </c>
      <c r="C40" s="538" t="str">
        <f>IFERROR(__xludf.DUMMYFUNCTION("""COMPUTED_VALUE"""),"2025-03-20 10:23:19")</f>
        <v>2025-03-20 10:23:19</v>
      </c>
      <c r="D40" s="538" t="str">
        <f>IFERROR(__xludf.DUMMYFUNCTION("""COMPUTED_VALUE"""),"cancelled")</f>
        <v>cancelled</v>
      </c>
      <c r="E40" s="538" t="str">
        <f>IFERROR(__xludf.DUMMYFUNCTION("""COMPUTED_VALUE"""),"ago")</f>
        <v>ago</v>
      </c>
      <c r="F40" s="538" t="str">
        <f>IFERROR(__xludf.DUMMYFUNCTION("""COMPUTED_VALUE"""),"genc")</f>
        <v>genc</v>
      </c>
      <c r="G40" s="538" t="str">
        <f>IFERROR(__xludf.DUMMYFUNCTION("""COMPUTED_VALUE"""),"ago@agogo.it")</f>
        <v>ago@agogo.it</v>
      </c>
      <c r="H40" s="538">
        <f>IFERROR(__xludf.DUMMYFUNCTION("""COMPUTED_VALUE"""),3.356385854E9)</f>
        <v>3356385854</v>
      </c>
      <c r="I40" s="538" t="str">
        <f>IFERROR(__xludf.DUMMYFUNCTION("""COMPUTED_VALUE"""),"Bresso")</f>
        <v>Bresso</v>
      </c>
      <c r="J40" s="538" t="str">
        <f>IFERROR(__xludf.DUMMYFUNCTION("""COMPUTED_VALUE"""),"Via Aldo villa 16")</f>
        <v>Via Aldo villa 16</v>
      </c>
      <c r="K40" s="538">
        <f>IFERROR(__xludf.DUMMYFUNCTION("""COMPUTED_VALUE"""),20900.0)</f>
        <v>20900</v>
      </c>
      <c r="L40" s="538" t="str">
        <f>IFERROR(__xludf.DUMMYFUNCTION("""COMPUTED_VALUE"""),"Carte di pagamento")</f>
        <v>Carte di pagamento</v>
      </c>
      <c r="M40" s="763"/>
      <c r="N40" s="763"/>
      <c r="O40" s="762">
        <f>IFERROR(__xludf.DUMMYFUNCTION("""COMPUTED_VALUE"""),0.0)</f>
        <v>0</v>
      </c>
      <c r="P40" s="766">
        <f>IFERROR(__xludf.DUMMYFUNCTION("""COMPUTED_VALUE"""),6.666666666666667)</f>
        <v>6.666666667</v>
      </c>
      <c r="Q40" s="538" t="str">
        <f>IFERROR(__xludf.DUMMYFUNCTION("""COMPUTED_VALUE"""),"EUR")</f>
        <v>EUR</v>
      </c>
      <c r="R40" s="762">
        <f>IFERROR(__xludf.DUMMYFUNCTION("""COMPUTED_VALUE"""),359.0)</f>
        <v>359</v>
      </c>
      <c r="S40" s="538" t="str">
        <f>IFERROR(__xludf.DUMMYFUNCTION("""COMPUTED_VALUE"""),"Campus estivo per bambini e ragazzi 2025 - Campus estivo 2 settimane")</f>
        <v>Campus estivo per bambini e ragazzi 2025 - Campus estivo 2 settimane</v>
      </c>
      <c r="T40" s="763"/>
      <c r="U40" s="763"/>
      <c r="V40" s="762">
        <f>IFERROR(__xludf.DUMMYFUNCTION("""COMPUTED_VALUE"""),1.0)</f>
        <v>1</v>
      </c>
      <c r="W40" s="762">
        <f>IFERROR(__xludf.DUMMYFUNCTION("""COMPUTED_VALUE"""),130.0)</f>
        <v>130</v>
      </c>
      <c r="X40" s="762">
        <f>IFERROR(__xludf.DUMMYFUNCTION("""COMPUTED_VALUE"""),130.0)</f>
        <v>130</v>
      </c>
      <c r="Y40" s="763"/>
      <c r="Z40" s="765" t="str">
        <f>IFERROR(__xludf.DUMMYFUNCTION("""COMPUTED_VALUE"""),"https://studio-gem.it/wp-admin/post.php?post=61947&amp;action=edit")</f>
        <v>https://studio-gem.it/wp-admin/post.php?post=61947&amp;action=edit</v>
      </c>
      <c r="AA40" s="763"/>
      <c r="AB40" s="763"/>
      <c r="AC40" s="763"/>
      <c r="AD40" s="763"/>
      <c r="AE40" s="763"/>
      <c r="AF40" s="763"/>
      <c r="AG40" s="763"/>
      <c r="AH40" s="763"/>
      <c r="AI40" s="763"/>
      <c r="AJ40" s="763"/>
      <c r="AK40" s="763"/>
      <c r="AL40" s="763"/>
      <c r="AM40" s="763"/>
      <c r="AN40" s="763"/>
      <c r="AO40" s="763"/>
      <c r="AP40" s="763"/>
      <c r="AQ40" s="763"/>
      <c r="AR40" s="763"/>
      <c r="AS40" s="763"/>
      <c r="AT40" s="763"/>
      <c r="AU40" s="763"/>
      <c r="AV40" s="763"/>
      <c r="AW40" s="763"/>
      <c r="AX40" s="763"/>
      <c r="AY40" s="763"/>
      <c r="AZ40" s="763"/>
      <c r="BA40" s="763"/>
      <c r="BB40" s="763"/>
      <c r="BC40" s="763"/>
      <c r="BD40" s="763"/>
      <c r="BE40" s="763"/>
      <c r="BF40" s="763"/>
      <c r="BG40" s="763" t="b">
        <f>IFERROR(__xludf.DUMMYFUNCTION("""COMPUTED_VALUE"""),FALSE)</f>
        <v>0</v>
      </c>
      <c r="BH40" s="763" t="b">
        <f>IFERROR(__xludf.DUMMYFUNCTION("""COMPUTED_VALUE"""),FALSE)</f>
        <v>0</v>
      </c>
      <c r="BI40" s="763" t="b">
        <f>IFERROR(__xludf.DUMMYFUNCTION("""COMPUTED_VALUE"""),FALSE)</f>
        <v>0</v>
      </c>
      <c r="BJ40" s="763" t="b">
        <f>IFERROR(__xludf.DUMMYFUNCTION("""COMPUTED_VALUE"""),FALSE)</f>
        <v>0</v>
      </c>
    </row>
    <row r="41">
      <c r="A41" s="762">
        <f>IFERROR(__xludf.DUMMYFUNCTION("""COMPUTED_VALUE"""),62001.0)</f>
        <v>62001</v>
      </c>
      <c r="B41" s="538">
        <f>IFERROR(__xludf.DUMMYFUNCTION("""COMPUTED_VALUE"""),62001.0)</f>
        <v>62001</v>
      </c>
      <c r="C41" s="538" t="str">
        <f>IFERROR(__xludf.DUMMYFUNCTION("""COMPUTED_VALUE"""),"2025-03-21 18:32:58")</f>
        <v>2025-03-21 18:32:58</v>
      </c>
      <c r="D41" s="538" t="str">
        <f>IFERROR(__xludf.DUMMYFUNCTION("""COMPUTED_VALUE"""),"completed")</f>
        <v>completed</v>
      </c>
      <c r="E41" s="538" t="str">
        <f>IFERROR(__xludf.DUMMYFUNCTION("""COMPUTED_VALUE"""),"Elena")</f>
        <v>Elena</v>
      </c>
      <c r="F41" s="538" t="str">
        <f>IFERROR(__xludf.DUMMYFUNCTION("""COMPUTED_VALUE"""),"Lo Furno")</f>
        <v>Lo Furno</v>
      </c>
      <c r="G41" s="538" t="str">
        <f>IFERROR(__xludf.DUMMYFUNCTION("""COMPUTED_VALUE"""),"lofurnoelena@gmail.com")</f>
        <v>lofurnoelena@gmail.com</v>
      </c>
      <c r="H41" s="538">
        <f>IFERROR(__xludf.DUMMYFUNCTION("""COMPUTED_VALUE"""),3.342159289E9)</f>
        <v>3342159289</v>
      </c>
      <c r="I41" s="538" t="str">
        <f>IFERROR(__xludf.DUMMYFUNCTION("""COMPUTED_VALUE"""),"Gorgonzola")</f>
        <v>Gorgonzola</v>
      </c>
      <c r="J41" s="538" t="str">
        <f>IFERROR(__xludf.DUMMYFUNCTION("""COMPUTED_VALUE"""),"Via Leoncavallo 2A")</f>
        <v>Via Leoncavallo 2A</v>
      </c>
      <c r="K41" s="538">
        <f>IFERROR(__xludf.DUMMYFUNCTION("""COMPUTED_VALUE"""),20064.0)</f>
        <v>20064</v>
      </c>
      <c r="L41" s="538" t="str">
        <f>IFERROR(__xludf.DUMMYFUNCTION("""COMPUTED_VALUE"""),"Carte di pagamento")</f>
        <v>Carte di pagamento</v>
      </c>
      <c r="M41" s="763"/>
      <c r="N41" s="763" t="str">
        <f>IFERROR(__xludf.DUMMYFUNCTION("""COMPUTED_VALUE"""),"62001-1742581979")</f>
        <v>62001-1742581979</v>
      </c>
      <c r="O41" s="762">
        <f>IFERROR(__xludf.DUMMYFUNCTION("""COMPUTED_VALUE"""),0.0)</f>
        <v>0</v>
      </c>
      <c r="P41" s="766">
        <f>IFERROR(__xludf.DUMMYFUNCTION("""COMPUTED_VALUE"""),1.25)</f>
        <v>1.25</v>
      </c>
      <c r="Q41" s="538" t="str">
        <f>IFERROR(__xludf.DUMMYFUNCTION("""COMPUTED_VALUE"""),"EUR")</f>
        <v>EUR</v>
      </c>
      <c r="R41" s="762">
        <f>IFERROR(__xludf.DUMMYFUNCTION("""COMPUTED_VALUE"""),360.0)</f>
        <v>360</v>
      </c>
      <c r="S41" s="538" t="str">
        <f>IFERROR(__xludf.DUMMYFUNCTION("""COMPUTED_VALUE"""),"Workshop Modern con Nicholas Borgogni - Workshop Modern con Nicholas Borgogni")</f>
        <v>Workshop Modern con Nicholas Borgogni - Workshop Modern con Nicholas Borgogni</v>
      </c>
      <c r="T41" s="763"/>
      <c r="U41" s="763"/>
      <c r="V41" s="762">
        <f>IFERROR(__xludf.DUMMYFUNCTION("""COMPUTED_VALUE"""),1.0)</f>
        <v>1</v>
      </c>
      <c r="W41" s="762">
        <f>IFERROR(__xludf.DUMMYFUNCTION("""COMPUTED_VALUE"""),30.0)</f>
        <v>30</v>
      </c>
      <c r="X41" s="762">
        <f>IFERROR(__xludf.DUMMYFUNCTION("""COMPUTED_VALUE"""),30.0)</f>
        <v>30</v>
      </c>
      <c r="Y41" s="763"/>
      <c r="Z41" s="765" t="str">
        <f>IFERROR(__xludf.DUMMYFUNCTION("""COMPUTED_VALUE"""),"https://studio-gem.it/wp-admin/post.php?post=62001&amp;action=edit")</f>
        <v>https://studio-gem.it/wp-admin/post.php?post=62001&amp;action=edit</v>
      </c>
      <c r="AA41" s="763"/>
      <c r="AB41" s="763"/>
      <c r="AC41" s="763"/>
      <c r="AD41" s="763"/>
      <c r="AE41" s="763"/>
      <c r="AF41" s="763"/>
      <c r="AG41" s="763"/>
      <c r="AH41" s="763"/>
      <c r="AI41" s="763"/>
      <c r="AJ41" s="763"/>
      <c r="AK41" s="763"/>
      <c r="AL41" s="763"/>
      <c r="AM41" s="763"/>
      <c r="AN41" s="763"/>
      <c r="AO41" s="763"/>
      <c r="AP41" s="763"/>
      <c r="AQ41" s="763"/>
      <c r="AR41" s="763"/>
      <c r="AS41" s="763"/>
      <c r="AT41" s="763"/>
      <c r="AU41" s="763"/>
      <c r="AV41" s="763"/>
      <c r="AW41" s="763"/>
      <c r="AX41" s="763"/>
      <c r="AY41" s="763"/>
      <c r="AZ41" s="763"/>
      <c r="BA41" s="763"/>
      <c r="BB41" s="763"/>
      <c r="BC41" s="763"/>
      <c r="BD41" s="763"/>
      <c r="BE41" s="763"/>
      <c r="BF41" s="763"/>
      <c r="BG41" s="763" t="b">
        <f>IFERROR(__xludf.DUMMYFUNCTION("""COMPUTED_VALUE"""),FALSE)</f>
        <v>0</v>
      </c>
      <c r="BH41" s="763" t="b">
        <f>IFERROR(__xludf.DUMMYFUNCTION("""COMPUTED_VALUE"""),TRUE)</f>
        <v>1</v>
      </c>
      <c r="BI41" s="763" t="b">
        <f>IFERROR(__xludf.DUMMYFUNCTION("""COMPUTED_VALUE"""),FALSE)</f>
        <v>0</v>
      </c>
      <c r="BJ41" s="763" t="b">
        <f>IFERROR(__xludf.DUMMYFUNCTION("""COMPUTED_VALUE"""),FALSE)</f>
        <v>0</v>
      </c>
    </row>
    <row r="42">
      <c r="A42" s="762">
        <f>IFERROR(__xludf.DUMMYFUNCTION("""COMPUTED_VALUE"""),62002.0)</f>
        <v>62002</v>
      </c>
      <c r="B42" s="538">
        <f>IFERROR(__xludf.DUMMYFUNCTION("""COMPUTED_VALUE"""),62002.0)</f>
        <v>62002</v>
      </c>
      <c r="C42" s="538" t="str">
        <f>IFERROR(__xludf.DUMMYFUNCTION("""COMPUTED_VALUE"""),"2025-03-21 20:25:33")</f>
        <v>2025-03-21 20:25:33</v>
      </c>
      <c r="D42" s="538" t="str">
        <f>IFERROR(__xludf.DUMMYFUNCTION("""COMPUTED_VALUE"""),"completed")</f>
        <v>completed</v>
      </c>
      <c r="E42" s="538" t="str">
        <f>IFERROR(__xludf.DUMMYFUNCTION("""COMPUTED_VALUE"""),"Rebecca")</f>
        <v>Rebecca</v>
      </c>
      <c r="F42" s="538" t="str">
        <f>IFERROR(__xludf.DUMMYFUNCTION("""COMPUTED_VALUE"""),"Laffranchi")</f>
        <v>Laffranchi</v>
      </c>
      <c r="G42" s="538" t="str">
        <f>IFERROR(__xludf.DUMMYFUNCTION("""COMPUTED_VALUE"""),"laffranchi06@gmail.com")</f>
        <v>laffranchi06@gmail.com</v>
      </c>
      <c r="H42" s="538">
        <f>IFERROR(__xludf.DUMMYFUNCTION("""COMPUTED_VALUE"""),3.286757789E9)</f>
        <v>3286757789</v>
      </c>
      <c r="I42" s="538" t="str">
        <f>IFERROR(__xludf.DUMMYFUNCTION("""COMPUTED_VALUE"""),"Rezzato")</f>
        <v>Rezzato</v>
      </c>
      <c r="J42" s="538" t="str">
        <f>IFERROR(__xludf.DUMMYFUNCTION("""COMPUTED_VALUE"""),"Via disciplina n78")</f>
        <v>Via disciplina n78</v>
      </c>
      <c r="K42" s="538">
        <f>IFERROR(__xludf.DUMMYFUNCTION("""COMPUTED_VALUE"""),25086.0)</f>
        <v>25086</v>
      </c>
      <c r="L42" s="538" t="str">
        <f>IFERROR(__xludf.DUMMYFUNCTION("""COMPUTED_VALUE"""),"Carte di pagamento")</f>
        <v>Carte di pagamento</v>
      </c>
      <c r="M42" s="763"/>
      <c r="N42" s="763" t="str">
        <f>IFERROR(__xludf.DUMMYFUNCTION("""COMPUTED_VALUE"""),"62002-1742588734")</f>
        <v>62002-1742588734</v>
      </c>
      <c r="O42" s="762">
        <f>IFERROR(__xludf.DUMMYFUNCTION("""COMPUTED_VALUE"""),0.0)</f>
        <v>0</v>
      </c>
      <c r="P42" s="766">
        <f>IFERROR(__xludf.DUMMYFUNCTION("""COMPUTED_VALUE"""),1.25)</f>
        <v>1.25</v>
      </c>
      <c r="Q42" s="538" t="str">
        <f>IFERROR(__xludf.DUMMYFUNCTION("""COMPUTED_VALUE"""),"EUR")</f>
        <v>EUR</v>
      </c>
      <c r="R42" s="762">
        <f>IFERROR(__xludf.DUMMYFUNCTION("""COMPUTED_VALUE"""),361.0)</f>
        <v>361</v>
      </c>
      <c r="S42" s="538" t="str">
        <f>IFERROR(__xludf.DUMMYFUNCTION("""COMPUTED_VALUE"""),"Workshop Modern con Nicholas Borgogni - Workshop Modern con Nicholas Borgogni")</f>
        <v>Workshop Modern con Nicholas Borgogni - Workshop Modern con Nicholas Borgogni</v>
      </c>
      <c r="T42" s="763"/>
      <c r="U42" s="763"/>
      <c r="V42" s="762">
        <f>IFERROR(__xludf.DUMMYFUNCTION("""COMPUTED_VALUE"""),1.0)</f>
        <v>1</v>
      </c>
      <c r="W42" s="762">
        <f>IFERROR(__xludf.DUMMYFUNCTION("""COMPUTED_VALUE"""),30.0)</f>
        <v>30</v>
      </c>
      <c r="X42" s="762">
        <f>IFERROR(__xludf.DUMMYFUNCTION("""COMPUTED_VALUE"""),30.0)</f>
        <v>30</v>
      </c>
      <c r="Y42" s="763"/>
      <c r="Z42" s="765" t="str">
        <f>IFERROR(__xludf.DUMMYFUNCTION("""COMPUTED_VALUE"""),"https://studio-gem.it/wp-admin/post.php?post=62002&amp;action=edit")</f>
        <v>https://studio-gem.it/wp-admin/post.php?post=62002&amp;action=edit</v>
      </c>
      <c r="AA42" s="763"/>
      <c r="AB42" s="763"/>
      <c r="AC42" s="763"/>
      <c r="AD42" s="763"/>
      <c r="AE42" s="763"/>
      <c r="AF42" s="763"/>
      <c r="AG42" s="763"/>
      <c r="AH42" s="763"/>
      <c r="AI42" s="763"/>
      <c r="AJ42" s="763"/>
      <c r="AK42" s="763"/>
      <c r="AL42" s="763"/>
      <c r="AM42" s="763"/>
      <c r="AN42" s="763"/>
      <c r="AO42" s="763"/>
      <c r="AP42" s="763"/>
      <c r="AQ42" s="763"/>
      <c r="AR42" s="763"/>
      <c r="AS42" s="763"/>
      <c r="AT42" s="763"/>
      <c r="AU42" s="763"/>
      <c r="AV42" s="763"/>
      <c r="AW42" s="763"/>
      <c r="AX42" s="763"/>
      <c r="AY42" s="763"/>
      <c r="AZ42" s="763"/>
      <c r="BA42" s="763"/>
      <c r="BB42" s="763"/>
      <c r="BC42" s="763"/>
      <c r="BD42" s="763"/>
      <c r="BE42" s="763"/>
      <c r="BF42" s="763"/>
      <c r="BG42" s="763" t="b">
        <f>IFERROR(__xludf.DUMMYFUNCTION("""COMPUTED_VALUE"""),FALSE)</f>
        <v>0</v>
      </c>
      <c r="BH42" s="763" t="b">
        <f>IFERROR(__xludf.DUMMYFUNCTION("""COMPUTED_VALUE"""),TRUE)</f>
        <v>1</v>
      </c>
      <c r="BI42" s="763" t="b">
        <f>IFERROR(__xludf.DUMMYFUNCTION("""COMPUTED_VALUE"""),FALSE)</f>
        <v>0</v>
      </c>
      <c r="BJ42" s="763" t="b">
        <f>IFERROR(__xludf.DUMMYFUNCTION("""COMPUTED_VALUE"""),FALSE)</f>
        <v>0</v>
      </c>
    </row>
    <row r="43">
      <c r="A43" s="762">
        <f>IFERROR(__xludf.DUMMYFUNCTION("""COMPUTED_VALUE"""),62007.0)</f>
        <v>62007</v>
      </c>
      <c r="B43" s="538">
        <f>IFERROR(__xludf.DUMMYFUNCTION("""COMPUTED_VALUE"""),62007.0)</f>
        <v>62007</v>
      </c>
      <c r="C43" s="538" t="str">
        <f>IFERROR(__xludf.DUMMYFUNCTION("""COMPUTED_VALUE"""),"2025-03-23 12:01:46")</f>
        <v>2025-03-23 12:01:46</v>
      </c>
      <c r="D43" s="538" t="str">
        <f>IFERROR(__xludf.DUMMYFUNCTION("""COMPUTED_VALUE"""),"completed")</f>
        <v>completed</v>
      </c>
      <c r="E43" s="538" t="str">
        <f>IFERROR(__xludf.DUMMYFUNCTION("""COMPUTED_VALUE"""),"Rebecca")</f>
        <v>Rebecca</v>
      </c>
      <c r="F43" s="538" t="str">
        <f>IFERROR(__xludf.DUMMYFUNCTION("""COMPUTED_VALUE"""),"Rauch")</f>
        <v>Rauch</v>
      </c>
      <c r="G43" s="538" t="str">
        <f>IFERROR(__xludf.DUMMYFUNCTION("""COMPUTED_VALUE"""),"Rebeccarauch58@gmail.com")</f>
        <v>Rebeccarauch58@gmail.com</v>
      </c>
      <c r="H43" s="538">
        <f>IFERROR(__xludf.DUMMYFUNCTION("""COMPUTED_VALUE"""),3.203185922E9)</f>
        <v>3203185922</v>
      </c>
      <c r="I43" s="538" t="str">
        <f>IFERROR(__xludf.DUMMYFUNCTION("""COMPUTED_VALUE"""),"Bologna")</f>
        <v>Bologna</v>
      </c>
      <c r="J43" s="538" t="str">
        <f>IFERROR(__xludf.DUMMYFUNCTION("""COMPUTED_VALUE"""),"Valerio Zurlini")</f>
        <v>Valerio Zurlini</v>
      </c>
      <c r="K43" s="538">
        <f>IFERROR(__xludf.DUMMYFUNCTION("""COMPUTED_VALUE"""),40129.0)</f>
        <v>40129</v>
      </c>
      <c r="L43" s="538" t="str">
        <f>IFERROR(__xludf.DUMMYFUNCTION("""COMPUTED_VALUE"""),"Carte di pagamento")</f>
        <v>Carte di pagamento</v>
      </c>
      <c r="M43" s="763"/>
      <c r="N43" s="763" t="str">
        <f>IFERROR(__xludf.DUMMYFUNCTION("""COMPUTED_VALUE"""),"62007-1742731308")</f>
        <v>62007-1742731308</v>
      </c>
      <c r="O43" s="762">
        <f>IFERROR(__xludf.DUMMYFUNCTION("""COMPUTED_VALUE"""),0.0)</f>
        <v>0</v>
      </c>
      <c r="P43" s="766">
        <f>IFERROR(__xludf.DUMMYFUNCTION("""COMPUTED_VALUE"""),1.25)</f>
        <v>1.25</v>
      </c>
      <c r="Q43" s="538" t="str">
        <f>IFERROR(__xludf.DUMMYFUNCTION("""COMPUTED_VALUE"""),"EUR")</f>
        <v>EUR</v>
      </c>
      <c r="R43" s="762">
        <f>IFERROR(__xludf.DUMMYFUNCTION("""COMPUTED_VALUE"""),362.0)</f>
        <v>362</v>
      </c>
      <c r="S43" s="538" t="str">
        <f>IFERROR(__xludf.DUMMYFUNCTION("""COMPUTED_VALUE"""),"Workshop Modern con Nicholas Borgogni - Workshop Modern con Nicholas Borgogni")</f>
        <v>Workshop Modern con Nicholas Borgogni - Workshop Modern con Nicholas Borgogni</v>
      </c>
      <c r="T43" s="763"/>
      <c r="U43" s="763"/>
      <c r="V43" s="762">
        <f>IFERROR(__xludf.DUMMYFUNCTION("""COMPUTED_VALUE"""),1.0)</f>
        <v>1</v>
      </c>
      <c r="W43" s="762">
        <f>IFERROR(__xludf.DUMMYFUNCTION("""COMPUTED_VALUE"""),30.0)</f>
        <v>30</v>
      </c>
      <c r="X43" s="762">
        <f>IFERROR(__xludf.DUMMYFUNCTION("""COMPUTED_VALUE"""),30.0)</f>
        <v>30</v>
      </c>
      <c r="Y43" s="763"/>
      <c r="Z43" s="765" t="str">
        <f>IFERROR(__xludf.DUMMYFUNCTION("""COMPUTED_VALUE"""),"https://studio-gem.it/wp-admin/post.php?post=62007&amp;action=edit")</f>
        <v>https://studio-gem.it/wp-admin/post.php?post=62007&amp;action=edit</v>
      </c>
      <c r="AA43" s="763"/>
      <c r="AB43" s="763"/>
      <c r="AC43" s="763"/>
      <c r="AD43" s="763"/>
      <c r="AE43" s="763"/>
      <c r="AF43" s="763"/>
      <c r="AG43" s="763"/>
      <c r="AH43" s="763"/>
      <c r="AI43" s="763"/>
      <c r="AJ43" s="763"/>
      <c r="AK43" s="763"/>
      <c r="AL43" s="763"/>
      <c r="AM43" s="763"/>
      <c r="AN43" s="763"/>
      <c r="AO43" s="763"/>
      <c r="AP43" s="763"/>
      <c r="AQ43" s="763"/>
      <c r="AR43" s="763"/>
      <c r="AS43" s="763"/>
      <c r="AT43" s="763"/>
      <c r="AU43" s="763"/>
      <c r="AV43" s="763"/>
      <c r="AW43" s="763"/>
      <c r="AX43" s="763"/>
      <c r="AY43" s="763"/>
      <c r="AZ43" s="763"/>
      <c r="BA43" s="763"/>
      <c r="BB43" s="763"/>
      <c r="BC43" s="763"/>
      <c r="BD43" s="763"/>
      <c r="BE43" s="763"/>
      <c r="BF43" s="763"/>
      <c r="BG43" s="763" t="b">
        <f>IFERROR(__xludf.DUMMYFUNCTION("""COMPUTED_VALUE"""),FALSE)</f>
        <v>0</v>
      </c>
      <c r="BH43" s="763" t="b">
        <f>IFERROR(__xludf.DUMMYFUNCTION("""COMPUTED_VALUE"""),TRUE)</f>
        <v>1</v>
      </c>
      <c r="BI43" s="763" t="b">
        <f>IFERROR(__xludf.DUMMYFUNCTION("""COMPUTED_VALUE"""),FALSE)</f>
        <v>0</v>
      </c>
      <c r="BJ43" s="763" t="b">
        <f>IFERROR(__xludf.DUMMYFUNCTION("""COMPUTED_VALUE"""),FALSE)</f>
        <v>0</v>
      </c>
    </row>
    <row r="44">
      <c r="A44" s="762">
        <f>IFERROR(__xludf.DUMMYFUNCTION("""COMPUTED_VALUE"""),62141.0)</f>
        <v>62141</v>
      </c>
      <c r="B44" s="538">
        <f>IFERROR(__xludf.DUMMYFUNCTION("""COMPUTED_VALUE"""),62141.0)</f>
        <v>62141</v>
      </c>
      <c r="C44" s="538" t="str">
        <f>IFERROR(__xludf.DUMMYFUNCTION("""COMPUTED_VALUE"""),"2025-03-24 22:32:14")</f>
        <v>2025-03-24 22:32:14</v>
      </c>
      <c r="D44" s="538" t="str">
        <f>IFERROR(__xludf.DUMMYFUNCTION("""COMPUTED_VALUE"""),"completed")</f>
        <v>completed</v>
      </c>
      <c r="E44" s="538" t="str">
        <f>IFERROR(__xludf.DUMMYFUNCTION("""COMPUTED_VALUE"""),"Cinzia")</f>
        <v>Cinzia</v>
      </c>
      <c r="F44" s="538" t="str">
        <f>IFERROR(__xludf.DUMMYFUNCTION("""COMPUTED_VALUE"""),"Speranza")</f>
        <v>Speranza</v>
      </c>
      <c r="G44" s="538" t="str">
        <f>IFERROR(__xludf.DUMMYFUNCTION("""COMPUTED_VALUE"""),"c.speranza04@gmail.com")</f>
        <v>c.speranza04@gmail.com</v>
      </c>
      <c r="H44" s="538" t="str">
        <f>IFERROR(__xludf.DUMMYFUNCTION("""COMPUTED_VALUE"""),"+393278375073")</f>
        <v>+393278375073</v>
      </c>
      <c r="I44" s="538" t="str">
        <f>IFERROR(__xludf.DUMMYFUNCTION("""COMPUTED_VALUE"""),"Ancona")</f>
        <v>Ancona</v>
      </c>
      <c r="J44" s="538" t="str">
        <f>IFERROR(__xludf.DUMMYFUNCTION("""COMPUTED_VALUE"""),"Della tecnica 9")</f>
        <v>Della tecnica 9</v>
      </c>
      <c r="K44" s="538">
        <f>IFERROR(__xludf.DUMMYFUNCTION("""COMPUTED_VALUE"""),60127.0)</f>
        <v>60127</v>
      </c>
      <c r="L44" s="538" t="str">
        <f>IFERROR(__xludf.DUMMYFUNCTION("""COMPUTED_VALUE"""),"Carte di pagamento")</f>
        <v>Carte di pagamento</v>
      </c>
      <c r="M44" s="763"/>
      <c r="N44" s="763" t="str">
        <f>IFERROR(__xludf.DUMMYFUNCTION("""COMPUTED_VALUE"""),"62141-1742855535")</f>
        <v>62141-1742855535</v>
      </c>
      <c r="O44" s="762">
        <f>IFERROR(__xludf.DUMMYFUNCTION("""COMPUTED_VALUE"""),0.0)</f>
        <v>0</v>
      </c>
      <c r="P44" s="766">
        <f>IFERROR(__xludf.DUMMYFUNCTION("""COMPUTED_VALUE"""),1.25)</f>
        <v>1.25</v>
      </c>
      <c r="Q44" s="538" t="str">
        <f>IFERROR(__xludf.DUMMYFUNCTION("""COMPUTED_VALUE"""),"EUR")</f>
        <v>EUR</v>
      </c>
      <c r="R44" s="762">
        <f>IFERROR(__xludf.DUMMYFUNCTION("""COMPUTED_VALUE"""),363.0)</f>
        <v>363</v>
      </c>
      <c r="S44" s="538" t="str">
        <f>IFERROR(__xludf.DUMMYFUNCTION("""COMPUTED_VALUE"""),"Workshop Modern con Nicholas Borgogni - Workshop Modern con Nicholas Borgogni")</f>
        <v>Workshop Modern con Nicholas Borgogni - Workshop Modern con Nicholas Borgogni</v>
      </c>
      <c r="T44" s="763"/>
      <c r="U44" s="763"/>
      <c r="V44" s="762">
        <f>IFERROR(__xludf.DUMMYFUNCTION("""COMPUTED_VALUE"""),1.0)</f>
        <v>1</v>
      </c>
      <c r="W44" s="762">
        <f>IFERROR(__xludf.DUMMYFUNCTION("""COMPUTED_VALUE"""),30.0)</f>
        <v>30</v>
      </c>
      <c r="X44" s="762">
        <f>IFERROR(__xludf.DUMMYFUNCTION("""COMPUTED_VALUE"""),30.0)</f>
        <v>30</v>
      </c>
      <c r="Y44" s="763"/>
      <c r="Z44" s="765" t="str">
        <f>IFERROR(__xludf.DUMMYFUNCTION("""COMPUTED_VALUE"""),"https://studio-gem.it/wp-admin/post.php?post=62141&amp;action=edit")</f>
        <v>https://studio-gem.it/wp-admin/post.php?post=62141&amp;action=edit</v>
      </c>
      <c r="AA44" s="763"/>
      <c r="AB44" s="763"/>
      <c r="AC44" s="763"/>
      <c r="AD44" s="763"/>
      <c r="AE44" s="763"/>
      <c r="AF44" s="763"/>
      <c r="AG44" s="763"/>
      <c r="AH44" s="763"/>
      <c r="AI44" s="763"/>
      <c r="AJ44" s="763"/>
      <c r="AK44" s="763"/>
      <c r="AL44" s="763"/>
      <c r="AM44" s="763"/>
      <c r="AN44" s="763"/>
      <c r="AO44" s="763"/>
      <c r="AP44" s="763"/>
      <c r="AQ44" s="763"/>
      <c r="AR44" s="763"/>
      <c r="AS44" s="763"/>
      <c r="AT44" s="763"/>
      <c r="AU44" s="763"/>
      <c r="AV44" s="763"/>
      <c r="AW44" s="763"/>
      <c r="AX44" s="763"/>
      <c r="AY44" s="763"/>
      <c r="AZ44" s="763"/>
      <c r="BA44" s="763"/>
      <c r="BB44" s="763"/>
      <c r="BC44" s="763"/>
      <c r="BD44" s="763"/>
      <c r="BE44" s="763"/>
      <c r="BF44" s="763"/>
      <c r="BG44" s="763" t="b">
        <f>IFERROR(__xludf.DUMMYFUNCTION("""COMPUTED_VALUE"""),FALSE)</f>
        <v>0</v>
      </c>
      <c r="BH44" s="763" t="b">
        <f>IFERROR(__xludf.DUMMYFUNCTION("""COMPUTED_VALUE"""),TRUE)</f>
        <v>1</v>
      </c>
      <c r="BI44" s="763" t="b">
        <f>IFERROR(__xludf.DUMMYFUNCTION("""COMPUTED_VALUE"""),FALSE)</f>
        <v>0</v>
      </c>
      <c r="BJ44" s="763" t="b">
        <f>IFERROR(__xludf.DUMMYFUNCTION("""COMPUTED_VALUE"""),FALSE)</f>
        <v>0</v>
      </c>
    </row>
    <row r="45">
      <c r="A45" s="762">
        <f>IFERROR(__xludf.DUMMYFUNCTION("""COMPUTED_VALUE"""),62180.0)</f>
        <v>62180</v>
      </c>
      <c r="B45" s="538">
        <f>IFERROR(__xludf.DUMMYFUNCTION("""COMPUTED_VALUE"""),62180.0)</f>
        <v>62180</v>
      </c>
      <c r="C45" s="538" t="str">
        <f>IFERROR(__xludf.DUMMYFUNCTION("""COMPUTED_VALUE"""),"2025-03-27 11:11:23")</f>
        <v>2025-03-27 11:11:23</v>
      </c>
      <c r="D45" s="538" t="str">
        <f>IFERROR(__xludf.DUMMYFUNCTION("""COMPUTED_VALUE"""),"completed")</f>
        <v>completed</v>
      </c>
      <c r="E45" s="538" t="str">
        <f>IFERROR(__xludf.DUMMYFUNCTION("""COMPUTED_VALUE"""),"Giulia Maria Charlotte")</f>
        <v>Giulia Maria Charlotte</v>
      </c>
      <c r="F45" s="538" t="str">
        <f>IFERROR(__xludf.DUMMYFUNCTION("""COMPUTED_VALUE"""),"Esposito")</f>
        <v>Esposito</v>
      </c>
      <c r="G45" s="538" t="str">
        <f>IFERROR(__xludf.DUMMYFUNCTION("""COMPUTED_VALUE"""),"rxandreaesposito@yahoo.it")</f>
        <v>rxandreaesposito@yahoo.it</v>
      </c>
      <c r="H45" s="538">
        <f>IFERROR(__xludf.DUMMYFUNCTION("""COMPUTED_VALUE"""),3.475476654E9)</f>
        <v>3475476654</v>
      </c>
      <c r="I45" s="538" t="str">
        <f>IFERROR(__xludf.DUMMYFUNCTION("""COMPUTED_VALUE"""),"Milano")</f>
        <v>Milano</v>
      </c>
      <c r="J45" s="538" t="str">
        <f>IFERROR(__xludf.DUMMYFUNCTION("""COMPUTED_VALUE"""),"Largo Isabella d'Aragona 2")</f>
        <v>Largo Isabella d'Aragona 2</v>
      </c>
      <c r="K45" s="538">
        <f>IFERROR(__xludf.DUMMYFUNCTION("""COMPUTED_VALUE"""),20122.0)</f>
        <v>20122</v>
      </c>
      <c r="L45" s="538" t="str">
        <f>IFERROR(__xludf.DUMMYFUNCTION("""COMPUTED_VALUE"""),"Carte di pagamento")</f>
        <v>Carte di pagamento</v>
      </c>
      <c r="M45" s="763"/>
      <c r="N45" s="763" t="str">
        <f>IFERROR(__xludf.DUMMYFUNCTION("""COMPUTED_VALUE"""),"62180-1743073884")</f>
        <v>62180-1743073884</v>
      </c>
      <c r="O45" s="762">
        <f>IFERROR(__xludf.DUMMYFUNCTION("""COMPUTED_VALUE"""),0.0)</f>
        <v>0</v>
      </c>
      <c r="P45" s="766">
        <f>IFERROR(__xludf.DUMMYFUNCTION("""COMPUTED_VALUE"""),2.9166666666666665)</f>
        <v>2.916666667</v>
      </c>
      <c r="Q45" s="538" t="str">
        <f>IFERROR(__xludf.DUMMYFUNCTION("""COMPUTED_VALUE"""),"EUR")</f>
        <v>EUR</v>
      </c>
      <c r="R45" s="762">
        <f>IFERROR(__xludf.DUMMYFUNCTION("""COMPUTED_VALUE"""),364.0)</f>
        <v>364</v>
      </c>
      <c r="S45" s="538" t="str">
        <f>IFERROR(__xludf.DUMMYFUNCTION("""COMPUTED_VALUE"""),"Campus estivo per bambini e ragazzi 2025 - Campus estivo 1 settimana")</f>
        <v>Campus estivo per bambini e ragazzi 2025 - Campus estivo 1 settimana</v>
      </c>
      <c r="T45" s="763"/>
      <c r="U45" s="763"/>
      <c r="V45" s="762">
        <f>IFERROR(__xludf.DUMMYFUNCTION("""COMPUTED_VALUE"""),1.0)</f>
        <v>1</v>
      </c>
      <c r="W45" s="762">
        <f>IFERROR(__xludf.DUMMYFUNCTION("""COMPUTED_VALUE"""),70.0)</f>
        <v>70</v>
      </c>
      <c r="X45" s="762">
        <f>IFERROR(__xludf.DUMMYFUNCTION("""COMPUTED_VALUE"""),70.0)</f>
        <v>70</v>
      </c>
      <c r="Y45" s="763"/>
      <c r="Z45" s="765" t="str">
        <f>IFERROR(__xludf.DUMMYFUNCTION("""COMPUTED_VALUE"""),"https://studio-gem.it/wp-admin/post.php?post=62180&amp;action=edit")</f>
        <v>https://studio-gem.it/wp-admin/post.php?post=62180&amp;action=edit</v>
      </c>
      <c r="AA45" s="763"/>
      <c r="AB45" s="763"/>
      <c r="AC45" s="763"/>
      <c r="AD45" s="763"/>
      <c r="AE45" s="763"/>
      <c r="AF45" s="763"/>
      <c r="AG45" s="763"/>
      <c r="AH45" s="763"/>
      <c r="AI45" s="763"/>
      <c r="AJ45" s="763"/>
      <c r="AK45" s="763"/>
      <c r="AL45" s="763"/>
      <c r="AM45" s="763"/>
      <c r="AN45" s="763"/>
      <c r="AO45" s="763"/>
      <c r="AP45" s="763"/>
      <c r="AQ45" s="763"/>
      <c r="AR45" s="763"/>
      <c r="AS45" s="763"/>
      <c r="AT45" s="763"/>
      <c r="AU45" s="763"/>
      <c r="AV45" s="763"/>
      <c r="AW45" s="763"/>
      <c r="AX45" s="763"/>
      <c r="AY45" s="763"/>
      <c r="AZ45" s="763"/>
      <c r="BA45" s="763"/>
      <c r="BB45" s="763"/>
      <c r="BC45" s="763"/>
      <c r="BD45" s="763"/>
      <c r="BE45" s="763"/>
      <c r="BF45" s="763"/>
      <c r="BG45" s="763" t="b">
        <f>IFERROR(__xludf.DUMMYFUNCTION("""COMPUTED_VALUE"""),FALSE)</f>
        <v>0</v>
      </c>
      <c r="BH45" s="763" t="b">
        <f>IFERROR(__xludf.DUMMYFUNCTION("""COMPUTED_VALUE"""),TRUE)</f>
        <v>1</v>
      </c>
      <c r="BI45" s="763" t="b">
        <f>IFERROR(__xludf.DUMMYFUNCTION("""COMPUTED_VALUE"""),FALSE)</f>
        <v>0</v>
      </c>
      <c r="BJ45" s="763" t="b">
        <f>IFERROR(__xludf.DUMMYFUNCTION("""COMPUTED_VALUE"""),FALSE)</f>
        <v>0</v>
      </c>
    </row>
    <row r="46">
      <c r="A46" s="762">
        <f>IFERROR(__xludf.DUMMYFUNCTION("""COMPUTED_VALUE"""),62183.0)</f>
        <v>62183</v>
      </c>
      <c r="B46" s="538">
        <f>IFERROR(__xludf.DUMMYFUNCTION("""COMPUTED_VALUE"""),62183.0)</f>
        <v>62183</v>
      </c>
      <c r="C46" s="538" t="str">
        <f>IFERROR(__xludf.DUMMYFUNCTION("""COMPUTED_VALUE"""),"2025-03-27 11:19:29")</f>
        <v>2025-03-27 11:19:29</v>
      </c>
      <c r="D46" s="538" t="str">
        <f>IFERROR(__xludf.DUMMYFUNCTION("""COMPUTED_VALUE"""),"completed")</f>
        <v>completed</v>
      </c>
      <c r="E46" s="538" t="str">
        <f>IFERROR(__xludf.DUMMYFUNCTION("""COMPUTED_VALUE"""),"Giulia Maria Charlotte")</f>
        <v>Giulia Maria Charlotte</v>
      </c>
      <c r="F46" s="538" t="str">
        <f>IFERROR(__xludf.DUMMYFUNCTION("""COMPUTED_VALUE"""),"Esposito")</f>
        <v>Esposito</v>
      </c>
      <c r="G46" s="538" t="str">
        <f>IFERROR(__xludf.DUMMYFUNCTION("""COMPUTED_VALUE"""),"rxandreaesposito@yahoo.it")</f>
        <v>rxandreaesposito@yahoo.it</v>
      </c>
      <c r="H46" s="538">
        <f>IFERROR(__xludf.DUMMYFUNCTION("""COMPUTED_VALUE"""),3.475476654E9)</f>
        <v>3475476654</v>
      </c>
      <c r="I46" s="538" t="str">
        <f>IFERROR(__xludf.DUMMYFUNCTION("""COMPUTED_VALUE"""),"Milano")</f>
        <v>Milano</v>
      </c>
      <c r="J46" s="538" t="str">
        <f>IFERROR(__xludf.DUMMYFUNCTION("""COMPUTED_VALUE"""),"Largo Isabella d'Aragona 2")</f>
        <v>Largo Isabella d'Aragona 2</v>
      </c>
      <c r="K46" s="538">
        <f>IFERROR(__xludf.DUMMYFUNCTION("""COMPUTED_VALUE"""),20122.0)</f>
        <v>20122</v>
      </c>
      <c r="L46" s="538" t="str">
        <f>IFERROR(__xludf.DUMMYFUNCTION("""COMPUTED_VALUE"""),"Carte di pagamento")</f>
        <v>Carte di pagamento</v>
      </c>
      <c r="M46" s="763"/>
      <c r="N46" s="763" t="str">
        <f>IFERROR(__xludf.DUMMYFUNCTION("""COMPUTED_VALUE"""),"62183-1743074371")</f>
        <v>62183-1743074371</v>
      </c>
      <c r="O46" s="762">
        <f>IFERROR(__xludf.DUMMYFUNCTION("""COMPUTED_VALUE"""),0.0)</f>
        <v>0</v>
      </c>
      <c r="P46" s="766">
        <f>IFERROR(__xludf.DUMMYFUNCTION("""COMPUTED_VALUE"""),3.5416666666666665)</f>
        <v>3.541666667</v>
      </c>
      <c r="Q46" s="538" t="str">
        <f>IFERROR(__xludf.DUMMYFUNCTION("""COMPUTED_VALUE"""),"EUR")</f>
        <v>EUR</v>
      </c>
      <c r="R46" s="762">
        <f>IFERROR(__xludf.DUMMYFUNCTION("""COMPUTED_VALUE"""),365.0)</f>
        <v>365</v>
      </c>
      <c r="S46" s="538" t="str">
        <f>IFERROR(__xludf.DUMMYFUNCTION("""COMPUTED_VALUE"""),"Campus estivo di danza per bambine e ragazze 2025 - Campus estivo di danza 1 settimana")</f>
        <v>Campus estivo di danza per bambine e ragazze 2025 - Campus estivo di danza 1 settimana</v>
      </c>
      <c r="T46" s="763"/>
      <c r="U46" s="763"/>
      <c r="V46" s="762">
        <f>IFERROR(__xludf.DUMMYFUNCTION("""COMPUTED_VALUE"""),1.0)</f>
        <v>1</v>
      </c>
      <c r="W46" s="762">
        <f>IFERROR(__xludf.DUMMYFUNCTION("""COMPUTED_VALUE"""),85.0)</f>
        <v>85</v>
      </c>
      <c r="X46" s="762">
        <f>IFERROR(__xludf.DUMMYFUNCTION("""COMPUTED_VALUE"""),85.0)</f>
        <v>85</v>
      </c>
      <c r="Y46" s="538" t="str">
        <f>IFERROR(__xludf.DUMMYFUNCTION("""COMPUTED_VALUE"""),"Buongiorno per la danza prenoto la settimana dal 16 al 20 giugno.
Ho pagato campus estivo generale: richiedo dal 9 al 13 gugno.")</f>
        <v>Buongiorno per la danza prenoto la settimana dal 16 al 20 giugno.
Ho pagato campus estivo generale: richiedo dal 9 al 13 gugno.</v>
      </c>
      <c r="Z46" s="765" t="str">
        <f>IFERROR(__xludf.DUMMYFUNCTION("""COMPUTED_VALUE"""),"https://studio-gem.it/wp-admin/post.php?post=62183&amp;action=edit")</f>
        <v>https://studio-gem.it/wp-admin/post.php?post=62183&amp;action=edit</v>
      </c>
      <c r="AA46" s="763"/>
      <c r="AB46" s="763"/>
      <c r="AC46" s="763"/>
      <c r="AD46" s="763"/>
      <c r="AE46" s="763"/>
      <c r="AF46" s="763"/>
      <c r="AG46" s="763"/>
      <c r="AH46" s="763"/>
      <c r="AI46" s="763"/>
      <c r="AJ46" s="763"/>
      <c r="AK46" s="763"/>
      <c r="AL46" s="763"/>
      <c r="AM46" s="763"/>
      <c r="AN46" s="763"/>
      <c r="AO46" s="763"/>
      <c r="AP46" s="763"/>
      <c r="AQ46" s="763"/>
      <c r="AR46" s="763"/>
      <c r="AS46" s="763"/>
      <c r="AT46" s="763"/>
      <c r="AU46" s="763"/>
      <c r="AV46" s="763"/>
      <c r="AW46" s="763"/>
      <c r="AX46" s="763"/>
      <c r="AY46" s="763"/>
      <c r="AZ46" s="763"/>
      <c r="BA46" s="763"/>
      <c r="BB46" s="763"/>
      <c r="BC46" s="763"/>
      <c r="BD46" s="763"/>
      <c r="BE46" s="763"/>
      <c r="BF46" s="763"/>
      <c r="BG46" s="763" t="b">
        <f>IFERROR(__xludf.DUMMYFUNCTION("""COMPUTED_VALUE"""),FALSE)</f>
        <v>0</v>
      </c>
      <c r="BH46" s="763" t="b">
        <f>IFERROR(__xludf.DUMMYFUNCTION("""COMPUTED_VALUE"""),TRUE)</f>
        <v>1</v>
      </c>
      <c r="BI46" s="763" t="b">
        <f>IFERROR(__xludf.DUMMYFUNCTION("""COMPUTED_VALUE"""),FALSE)</f>
        <v>0</v>
      </c>
      <c r="BJ46" s="763" t="b">
        <f>IFERROR(__xludf.DUMMYFUNCTION("""COMPUTED_VALUE"""),FALSE)</f>
        <v>0</v>
      </c>
    </row>
    <row r="47">
      <c r="A47" s="762">
        <f>IFERROR(__xludf.DUMMYFUNCTION("""COMPUTED_VALUE"""),62285.0)</f>
        <v>62285</v>
      </c>
      <c r="B47" s="538">
        <f>IFERROR(__xludf.DUMMYFUNCTION("""COMPUTED_VALUE"""),62285.0)</f>
        <v>62285</v>
      </c>
      <c r="C47" s="538" t="str">
        <f>IFERROR(__xludf.DUMMYFUNCTION("""COMPUTED_VALUE"""),"2025-03-29 14:07:36")</f>
        <v>2025-03-29 14:07:36</v>
      </c>
      <c r="D47" s="538" t="str">
        <f>IFERROR(__xludf.DUMMYFUNCTION("""COMPUTED_VALUE"""),"completed")</f>
        <v>completed</v>
      </c>
      <c r="E47" s="538" t="str">
        <f>IFERROR(__xludf.DUMMYFUNCTION("""COMPUTED_VALUE"""),"Simona")</f>
        <v>Simona</v>
      </c>
      <c r="F47" s="538" t="str">
        <f>IFERROR(__xludf.DUMMYFUNCTION("""COMPUTED_VALUE"""),"Manolino")</f>
        <v>Manolino</v>
      </c>
      <c r="G47" s="538" t="str">
        <f>IFERROR(__xludf.DUMMYFUNCTION("""COMPUTED_VALUE"""),"simona.manolino@icloud.com")</f>
        <v>simona.manolino@icloud.com</v>
      </c>
      <c r="H47" s="538">
        <f>IFERROR(__xludf.DUMMYFUNCTION("""COMPUTED_VALUE"""),3.464191143E9)</f>
        <v>3464191143</v>
      </c>
      <c r="I47" s="538" t="str">
        <f>IFERROR(__xludf.DUMMYFUNCTION("""COMPUTED_VALUE"""),"Milano")</f>
        <v>Milano</v>
      </c>
      <c r="J47" s="538" t="str">
        <f>IFERROR(__xludf.DUMMYFUNCTION("""COMPUTED_VALUE"""),"Via Cappuccio 7")</f>
        <v>Via Cappuccio 7</v>
      </c>
      <c r="K47" s="538">
        <f>IFERROR(__xludf.DUMMYFUNCTION("""COMPUTED_VALUE"""),20123.0)</f>
        <v>20123</v>
      </c>
      <c r="L47" s="538" t="str">
        <f>IFERROR(__xludf.DUMMYFUNCTION("""COMPUTED_VALUE"""),"Apple Pay")</f>
        <v>Apple Pay</v>
      </c>
      <c r="M47" s="763"/>
      <c r="N47" s="763" t="str">
        <f>IFERROR(__xludf.DUMMYFUNCTION("""COMPUTED_VALUE"""),"62285-1743257257")</f>
        <v>62285-1743257257</v>
      </c>
      <c r="O47" s="762">
        <f>IFERROR(__xludf.DUMMYFUNCTION("""COMPUTED_VALUE"""),0.0)</f>
        <v>0</v>
      </c>
      <c r="P47" s="766">
        <f>IFERROR(__xludf.DUMMYFUNCTION("""COMPUTED_VALUE"""),1.25)</f>
        <v>1.25</v>
      </c>
      <c r="Q47" s="538" t="str">
        <f>IFERROR(__xludf.DUMMYFUNCTION("""COMPUTED_VALUE"""),"EUR")</f>
        <v>EUR</v>
      </c>
      <c r="R47" s="762">
        <f>IFERROR(__xludf.DUMMYFUNCTION("""COMPUTED_VALUE"""),366.0)</f>
        <v>366</v>
      </c>
      <c r="S47" s="538" t="str">
        <f>IFERROR(__xludf.DUMMYFUNCTION("""COMPUTED_VALUE"""),"Workshop Modern con Nicholas Borgogni - Workshop Modern con Nicholas Borgogni")</f>
        <v>Workshop Modern con Nicholas Borgogni - Workshop Modern con Nicholas Borgogni</v>
      </c>
      <c r="T47" s="763"/>
      <c r="U47" s="763"/>
      <c r="V47" s="762">
        <f>IFERROR(__xludf.DUMMYFUNCTION("""COMPUTED_VALUE"""),1.0)</f>
        <v>1</v>
      </c>
      <c r="W47" s="762">
        <f>IFERROR(__xludf.DUMMYFUNCTION("""COMPUTED_VALUE"""),30.0)</f>
        <v>30</v>
      </c>
      <c r="X47" s="762">
        <f>IFERROR(__xludf.DUMMYFUNCTION("""COMPUTED_VALUE"""),30.0)</f>
        <v>30</v>
      </c>
      <c r="Y47" s="763"/>
      <c r="Z47" s="765" t="str">
        <f>IFERROR(__xludf.DUMMYFUNCTION("""COMPUTED_VALUE"""),"https://studio-gem.it/wp-admin/post.php?post=62285&amp;action=edit")</f>
        <v>https://studio-gem.it/wp-admin/post.php?post=62285&amp;action=edit</v>
      </c>
      <c r="AA47" s="763"/>
      <c r="AB47" s="763"/>
      <c r="AC47" s="763"/>
      <c r="AD47" s="763"/>
      <c r="AE47" s="763"/>
      <c r="AF47" s="763"/>
      <c r="AG47" s="763"/>
      <c r="AH47" s="763"/>
      <c r="AI47" s="763"/>
      <c r="AJ47" s="763"/>
      <c r="AK47" s="763"/>
      <c r="AL47" s="763"/>
      <c r="AM47" s="763"/>
      <c r="AN47" s="763"/>
      <c r="AO47" s="763"/>
      <c r="AP47" s="763"/>
      <c r="AQ47" s="763"/>
      <c r="AR47" s="763"/>
      <c r="AS47" s="763"/>
      <c r="AT47" s="763"/>
      <c r="AU47" s="763"/>
      <c r="AV47" s="763"/>
      <c r="AW47" s="763"/>
      <c r="AX47" s="763"/>
      <c r="AY47" s="763"/>
      <c r="AZ47" s="763"/>
      <c r="BA47" s="763"/>
      <c r="BB47" s="763"/>
      <c r="BC47" s="763"/>
      <c r="BD47" s="763"/>
      <c r="BE47" s="763"/>
      <c r="BF47" s="763"/>
      <c r="BG47" s="763" t="b">
        <f>IFERROR(__xludf.DUMMYFUNCTION("""COMPUTED_VALUE"""),FALSE)</f>
        <v>0</v>
      </c>
      <c r="BH47" s="763" t="b">
        <f>IFERROR(__xludf.DUMMYFUNCTION("""COMPUTED_VALUE"""),TRUE)</f>
        <v>1</v>
      </c>
      <c r="BI47" s="763" t="b">
        <f>IFERROR(__xludf.DUMMYFUNCTION("""COMPUTED_VALUE"""),FALSE)</f>
        <v>0</v>
      </c>
      <c r="BJ47" s="763" t="b">
        <f>IFERROR(__xludf.DUMMYFUNCTION("""COMPUTED_VALUE"""),FALSE)</f>
        <v>0</v>
      </c>
    </row>
    <row r="48">
      <c r="A48" s="762">
        <f>IFERROR(__xludf.DUMMYFUNCTION("""COMPUTED_VALUE"""),62292.0)</f>
        <v>62292</v>
      </c>
      <c r="B48" s="538">
        <f>IFERROR(__xludf.DUMMYFUNCTION("""COMPUTED_VALUE"""),62292.0)</f>
        <v>62292</v>
      </c>
      <c r="C48" s="538" t="str">
        <f>IFERROR(__xludf.DUMMYFUNCTION("""COMPUTED_VALUE"""),"2025-03-31 09:40:07")</f>
        <v>2025-03-31 09:40:07</v>
      </c>
      <c r="D48" s="538" t="str">
        <f>IFERROR(__xludf.DUMMYFUNCTION("""COMPUTED_VALUE"""),"completed")</f>
        <v>completed</v>
      </c>
      <c r="E48" s="538" t="str">
        <f>IFERROR(__xludf.DUMMYFUNCTION("""COMPUTED_VALUE"""),"Anna")</f>
        <v>Anna</v>
      </c>
      <c r="F48" s="538" t="str">
        <f>IFERROR(__xludf.DUMMYFUNCTION("""COMPUTED_VALUE"""),"Fezzi")</f>
        <v>Fezzi</v>
      </c>
      <c r="G48" s="538" t="str">
        <f>IFERROR(__xludf.DUMMYFUNCTION("""COMPUTED_VALUE"""),"rachele.jesurum@gmail.com")</f>
        <v>rachele.jesurum@gmail.com</v>
      </c>
      <c r="H48" s="538">
        <f>IFERROR(__xludf.DUMMYFUNCTION("""COMPUTED_VALUE"""),3.385096459E9)</f>
        <v>3385096459</v>
      </c>
      <c r="I48" s="538" t="str">
        <f>IFERROR(__xludf.DUMMYFUNCTION("""COMPUTED_VALUE"""),"Milano")</f>
        <v>Milano</v>
      </c>
      <c r="J48" s="538" t="str">
        <f>IFERROR(__xludf.DUMMYFUNCTION("""COMPUTED_VALUE"""),"Via Carlo Vittadini 5A")</f>
        <v>Via Carlo Vittadini 5A</v>
      </c>
      <c r="K48" s="538">
        <f>IFERROR(__xludf.DUMMYFUNCTION("""COMPUTED_VALUE"""),20136.0)</f>
        <v>20136</v>
      </c>
      <c r="L48" s="538" t="str">
        <f>IFERROR(__xludf.DUMMYFUNCTION("""COMPUTED_VALUE"""),"Carte di pagamento")</f>
        <v>Carte di pagamento</v>
      </c>
      <c r="M48" s="763"/>
      <c r="N48" s="763" t="str">
        <f>IFERROR(__xludf.DUMMYFUNCTION("""COMPUTED_VALUE"""),"62292-1743414009")</f>
        <v>62292-1743414009</v>
      </c>
      <c r="O48" s="762">
        <f>IFERROR(__xludf.DUMMYFUNCTION("""COMPUTED_VALUE"""),0.0)</f>
        <v>0</v>
      </c>
      <c r="P48" s="766">
        <f>IFERROR(__xludf.DUMMYFUNCTION("""COMPUTED_VALUE"""),2.9166666666666665)</f>
        <v>2.916666667</v>
      </c>
      <c r="Q48" s="538" t="str">
        <f>IFERROR(__xludf.DUMMYFUNCTION("""COMPUTED_VALUE"""),"EUR")</f>
        <v>EUR</v>
      </c>
      <c r="R48" s="762">
        <f>IFERROR(__xludf.DUMMYFUNCTION("""COMPUTED_VALUE"""),367.0)</f>
        <v>367</v>
      </c>
      <c r="S48" s="538" t="str">
        <f>IFERROR(__xludf.DUMMYFUNCTION("""COMPUTED_VALUE"""),"Campus estivo per bambini e ragazzi 2025 - Campus estivo 1 settimana")</f>
        <v>Campus estivo per bambini e ragazzi 2025 - Campus estivo 1 settimana</v>
      </c>
      <c r="T48" s="763"/>
      <c r="U48" s="763"/>
      <c r="V48" s="762">
        <f>IFERROR(__xludf.DUMMYFUNCTION("""COMPUTED_VALUE"""),1.0)</f>
        <v>1</v>
      </c>
      <c r="W48" s="762">
        <f>IFERROR(__xludf.DUMMYFUNCTION("""COMPUTED_VALUE"""),70.0)</f>
        <v>70</v>
      </c>
      <c r="X48" s="762">
        <f>IFERROR(__xludf.DUMMYFUNCTION("""COMPUTED_VALUE"""),70.0)</f>
        <v>70</v>
      </c>
      <c r="Y48" s="763"/>
      <c r="Z48" s="765" t="str">
        <f>IFERROR(__xludf.DUMMYFUNCTION("""COMPUTED_VALUE"""),"https://studio-gem.it/wp-admin/post.php?post=62292&amp;action=edit")</f>
        <v>https://studio-gem.it/wp-admin/post.php?post=62292&amp;action=edit</v>
      </c>
      <c r="AA48" s="763"/>
      <c r="AB48" s="763"/>
      <c r="AC48" s="763"/>
      <c r="AD48" s="763"/>
      <c r="AE48" s="763"/>
      <c r="AF48" s="763"/>
      <c r="AG48" s="763"/>
      <c r="AH48" s="763"/>
      <c r="AI48" s="763"/>
      <c r="AJ48" s="763"/>
      <c r="AK48" s="763"/>
      <c r="AL48" s="763"/>
      <c r="AM48" s="763"/>
      <c r="AN48" s="763"/>
      <c r="AO48" s="763"/>
      <c r="AP48" s="763"/>
      <c r="AQ48" s="763"/>
      <c r="AR48" s="763"/>
      <c r="AS48" s="763"/>
      <c r="AT48" s="763"/>
      <c r="AU48" s="763"/>
      <c r="AV48" s="763"/>
      <c r="AW48" s="763"/>
      <c r="AX48" s="763"/>
      <c r="AY48" s="763"/>
      <c r="AZ48" s="763"/>
      <c r="BA48" s="763"/>
      <c r="BB48" s="763"/>
      <c r="BC48" s="763"/>
      <c r="BD48" s="763"/>
      <c r="BE48" s="763"/>
      <c r="BF48" s="763"/>
      <c r="BG48" s="763" t="b">
        <f>IFERROR(__xludf.DUMMYFUNCTION("""COMPUTED_VALUE"""),FALSE)</f>
        <v>0</v>
      </c>
      <c r="BH48" s="763" t="b">
        <f>IFERROR(__xludf.DUMMYFUNCTION("""COMPUTED_VALUE"""),TRUE)</f>
        <v>1</v>
      </c>
      <c r="BI48" s="763" t="b">
        <f>IFERROR(__xludf.DUMMYFUNCTION("""COMPUTED_VALUE"""),FALSE)</f>
        <v>0</v>
      </c>
      <c r="BJ48" s="763" t="b">
        <f>IFERROR(__xludf.DUMMYFUNCTION("""COMPUTED_VALUE"""),FALSE)</f>
        <v>0</v>
      </c>
    </row>
    <row r="49">
      <c r="A49" s="762">
        <f>IFERROR(__xludf.DUMMYFUNCTION("""COMPUTED_VALUE"""),62295.0)</f>
        <v>62295</v>
      </c>
      <c r="B49" s="538">
        <f>IFERROR(__xludf.DUMMYFUNCTION("""COMPUTED_VALUE"""),62295.0)</f>
        <v>62295</v>
      </c>
      <c r="C49" s="538" t="str">
        <f>IFERROR(__xludf.DUMMYFUNCTION("""COMPUTED_VALUE"""),"2025-03-31 13:54:57")</f>
        <v>2025-03-31 13:54:57</v>
      </c>
      <c r="D49" s="538" t="str">
        <f>IFERROR(__xludf.DUMMYFUNCTION("""COMPUTED_VALUE"""),"completed")</f>
        <v>completed</v>
      </c>
      <c r="E49" s="538" t="str">
        <f>IFERROR(__xludf.DUMMYFUNCTION("""COMPUTED_VALUE"""),"Elena")</f>
        <v>Elena</v>
      </c>
      <c r="F49" s="538" t="str">
        <f>IFERROR(__xludf.DUMMYFUNCTION("""COMPUTED_VALUE"""),"Ingletti")</f>
        <v>Ingletti</v>
      </c>
      <c r="G49" s="538" t="str">
        <f>IFERROR(__xludf.DUMMYFUNCTION("""COMPUTED_VALUE"""),"inglettielena@gmail.com")</f>
        <v>inglettielena@gmail.com</v>
      </c>
      <c r="H49" s="538">
        <f>IFERROR(__xludf.DUMMYFUNCTION("""COMPUTED_VALUE"""),3.40067167E9)</f>
        <v>3400671670</v>
      </c>
      <c r="I49" s="538" t="str">
        <f>IFERROR(__xludf.DUMMYFUNCTION("""COMPUTED_VALUE"""),"Monza")</f>
        <v>Monza</v>
      </c>
      <c r="J49" s="538" t="str">
        <f>IFERROR(__xludf.DUMMYFUNCTION("""COMPUTED_VALUE"""),"Puglia 15")</f>
        <v>Puglia 15</v>
      </c>
      <c r="K49" s="538">
        <f>IFERROR(__xludf.DUMMYFUNCTION("""COMPUTED_VALUE"""),20900.0)</f>
        <v>20900</v>
      </c>
      <c r="L49" s="538" t="str">
        <f>IFERROR(__xludf.DUMMYFUNCTION("""COMPUTED_VALUE"""),"Carte di pagamento")</f>
        <v>Carte di pagamento</v>
      </c>
      <c r="M49" s="538" t="str">
        <f>IFERROR(__xludf.DUMMYFUNCTION("""COMPUTED_VALUE"""),"nura02nicholas")</f>
        <v>nura02nicholas</v>
      </c>
      <c r="N49" s="763" t="str">
        <f>IFERROR(__xludf.DUMMYFUNCTION("""COMPUTED_VALUE"""),"62295-1743429298")</f>
        <v>62295-1743429298</v>
      </c>
      <c r="O49" s="762">
        <f>IFERROR(__xludf.DUMMYFUNCTION("""COMPUTED_VALUE"""),0.0)</f>
        <v>0</v>
      </c>
      <c r="P49" s="766">
        <f>IFERROR(__xludf.DUMMYFUNCTION("""COMPUTED_VALUE"""),1.1666666666666667)</f>
        <v>1.166666667</v>
      </c>
      <c r="Q49" s="538" t="str">
        <f>IFERROR(__xludf.DUMMYFUNCTION("""COMPUTED_VALUE"""),"EUR")</f>
        <v>EUR</v>
      </c>
      <c r="R49" s="762">
        <f>IFERROR(__xludf.DUMMYFUNCTION("""COMPUTED_VALUE"""),368.0)</f>
        <v>368</v>
      </c>
      <c r="S49" s="538" t="str">
        <f>IFERROR(__xludf.DUMMYFUNCTION("""COMPUTED_VALUE"""),"Workshop Modern con Nicholas Borgogni - Workshop Modern con Nicholas Borgogni")</f>
        <v>Workshop Modern con Nicholas Borgogni - Workshop Modern con Nicholas Borgogni</v>
      </c>
      <c r="T49" s="763"/>
      <c r="U49" s="763"/>
      <c r="V49" s="762">
        <f>IFERROR(__xludf.DUMMYFUNCTION("""COMPUTED_VALUE"""),1.0)</f>
        <v>1</v>
      </c>
      <c r="W49" s="762">
        <f>IFERROR(__xludf.DUMMYFUNCTION("""COMPUTED_VALUE"""),28.0)</f>
        <v>28</v>
      </c>
      <c r="X49" s="762">
        <f>IFERROR(__xludf.DUMMYFUNCTION("""COMPUTED_VALUE"""),28.0)</f>
        <v>28</v>
      </c>
      <c r="Y49" s="763"/>
      <c r="Z49" s="765" t="str">
        <f>IFERROR(__xludf.DUMMYFUNCTION("""COMPUTED_VALUE"""),"https://studio-gem.it/wp-admin/post.php?post=62295&amp;action=edit")</f>
        <v>https://studio-gem.it/wp-admin/post.php?post=62295&amp;action=edit</v>
      </c>
      <c r="AA49" s="763"/>
      <c r="AB49" s="763"/>
      <c r="AC49" s="763"/>
      <c r="AD49" s="763"/>
      <c r="AE49" s="763"/>
      <c r="AF49" s="763"/>
      <c r="AG49" s="763"/>
      <c r="AH49" s="763"/>
      <c r="AI49" s="763"/>
      <c r="AJ49" s="763"/>
      <c r="AK49" s="763"/>
      <c r="AL49" s="763"/>
      <c r="AM49" s="763"/>
      <c r="AN49" s="763"/>
      <c r="AO49" s="763"/>
      <c r="AP49" s="763"/>
      <c r="AQ49" s="763"/>
      <c r="AR49" s="763"/>
      <c r="AS49" s="763"/>
      <c r="AT49" s="763"/>
      <c r="AU49" s="763"/>
      <c r="AV49" s="763"/>
      <c r="AW49" s="763"/>
      <c r="AX49" s="763"/>
      <c r="AY49" s="763"/>
      <c r="AZ49" s="763"/>
      <c r="BA49" s="763"/>
      <c r="BB49" s="763"/>
      <c r="BC49" s="763"/>
      <c r="BD49" s="763"/>
      <c r="BE49" s="763"/>
      <c r="BF49" s="763"/>
      <c r="BG49" s="763" t="b">
        <f>IFERROR(__xludf.DUMMYFUNCTION("""COMPUTED_VALUE"""),FALSE)</f>
        <v>0</v>
      </c>
      <c r="BH49" s="763" t="b">
        <f>IFERROR(__xludf.DUMMYFUNCTION("""COMPUTED_VALUE"""),TRUE)</f>
        <v>1</v>
      </c>
      <c r="BI49" s="763" t="b">
        <f>IFERROR(__xludf.DUMMYFUNCTION("""COMPUTED_VALUE"""),FALSE)</f>
        <v>0</v>
      </c>
      <c r="BJ49" s="763" t="b">
        <f>IFERROR(__xludf.DUMMYFUNCTION("""COMPUTED_VALUE"""),FALSE)</f>
        <v>0</v>
      </c>
    </row>
    <row r="50">
      <c r="A50" s="762">
        <f>IFERROR(__xludf.DUMMYFUNCTION("""COMPUTED_VALUE"""),62299.0)</f>
        <v>62299</v>
      </c>
      <c r="B50" s="538">
        <f>IFERROR(__xludf.DUMMYFUNCTION("""COMPUTED_VALUE"""),62299.0)</f>
        <v>62299</v>
      </c>
      <c r="C50" s="538" t="str">
        <f>IFERROR(__xludf.DUMMYFUNCTION("""COMPUTED_VALUE"""),"2025-03-31 17:27:56")</f>
        <v>2025-03-31 17:27:56</v>
      </c>
      <c r="D50" s="538" t="str">
        <f>IFERROR(__xludf.DUMMYFUNCTION("""COMPUTED_VALUE"""),"completed")</f>
        <v>completed</v>
      </c>
      <c r="E50" s="538" t="str">
        <f>IFERROR(__xludf.DUMMYFUNCTION("""COMPUTED_VALUE"""),"Anna")</f>
        <v>Anna</v>
      </c>
      <c r="F50" s="538" t="str">
        <f>IFERROR(__xludf.DUMMYFUNCTION("""COMPUTED_VALUE"""),"Di Nepi")</f>
        <v>Di Nepi</v>
      </c>
      <c r="G50" s="538" t="str">
        <f>IFERROR(__xludf.DUMMYFUNCTION("""COMPUTED_VALUE"""),"ddnvideo@gmail.com")</f>
        <v>ddnvideo@gmail.com</v>
      </c>
      <c r="H50" s="538">
        <f>IFERROR(__xludf.DUMMYFUNCTION("""COMPUTED_VALUE"""),3.286850883E9)</f>
        <v>3286850883</v>
      </c>
      <c r="I50" s="538" t="str">
        <f>IFERROR(__xludf.DUMMYFUNCTION("""COMPUTED_VALUE"""),"Milano")</f>
        <v>Milano</v>
      </c>
      <c r="J50" s="538" t="str">
        <f>IFERROR(__xludf.DUMMYFUNCTION("""COMPUTED_VALUE"""),"Corso Buenos Aires 55")</f>
        <v>Corso Buenos Aires 55</v>
      </c>
      <c r="K50" s="538">
        <f>IFERROR(__xludf.DUMMYFUNCTION("""COMPUTED_VALUE"""),20124.0)</f>
        <v>20124</v>
      </c>
      <c r="L50" s="538" t="str">
        <f>IFERROR(__xludf.DUMMYFUNCTION("""COMPUTED_VALUE"""),"Google Pay")</f>
        <v>Google Pay</v>
      </c>
      <c r="M50" s="763"/>
      <c r="N50" s="763" t="str">
        <f>IFERROR(__xludf.DUMMYFUNCTION("""COMPUTED_VALUE"""),"62299-1743442077")</f>
        <v>62299-1743442077</v>
      </c>
      <c r="O50" s="762">
        <f>IFERROR(__xludf.DUMMYFUNCTION("""COMPUTED_VALUE"""),0.0)</f>
        <v>0</v>
      </c>
      <c r="P50" s="766">
        <f>IFERROR(__xludf.DUMMYFUNCTION("""COMPUTED_VALUE"""),2.9166666666666665)</f>
        <v>2.916666667</v>
      </c>
      <c r="Q50" s="538" t="str">
        <f>IFERROR(__xludf.DUMMYFUNCTION("""COMPUTED_VALUE"""),"EUR")</f>
        <v>EUR</v>
      </c>
      <c r="R50" s="762">
        <f>IFERROR(__xludf.DUMMYFUNCTION("""COMPUTED_VALUE"""),370.0)</f>
        <v>370</v>
      </c>
      <c r="S50" s="538" t="str">
        <f>IFERROR(__xludf.DUMMYFUNCTION("""COMPUTED_VALUE"""),"Campus estivo per bambini e ragazzi 2025 - Campus estivo 1 settimana")</f>
        <v>Campus estivo per bambini e ragazzi 2025 - Campus estivo 1 settimana</v>
      </c>
      <c r="T50" s="763"/>
      <c r="U50" s="763"/>
      <c r="V50" s="762">
        <f>IFERROR(__xludf.DUMMYFUNCTION("""COMPUTED_VALUE"""),1.0)</f>
        <v>1</v>
      </c>
      <c r="W50" s="762">
        <f>IFERROR(__xludf.DUMMYFUNCTION("""COMPUTED_VALUE"""),70.0)</f>
        <v>70</v>
      </c>
      <c r="X50" s="762">
        <f>IFERROR(__xludf.DUMMYFUNCTION("""COMPUTED_VALUE"""),70.0)</f>
        <v>70</v>
      </c>
      <c r="Y50" s="763"/>
      <c r="Z50" s="765" t="str">
        <f>IFERROR(__xludf.DUMMYFUNCTION("""COMPUTED_VALUE"""),"https://studio-gem.it/wp-admin/post.php?post=62299&amp;action=edit")</f>
        <v>https://studio-gem.it/wp-admin/post.php?post=62299&amp;action=edit</v>
      </c>
      <c r="AA50" s="763"/>
      <c r="AB50" s="763"/>
      <c r="AC50" s="763"/>
      <c r="AD50" s="763"/>
      <c r="AE50" s="763"/>
      <c r="AF50" s="763"/>
      <c r="AG50" s="763"/>
      <c r="AH50" s="763"/>
      <c r="AI50" s="763"/>
      <c r="AJ50" s="763"/>
      <c r="AK50" s="763"/>
      <c r="AL50" s="763"/>
      <c r="AM50" s="763"/>
      <c r="AN50" s="763"/>
      <c r="AO50" s="763"/>
      <c r="AP50" s="763"/>
      <c r="AQ50" s="763"/>
      <c r="AR50" s="763"/>
      <c r="AS50" s="763"/>
      <c r="AT50" s="763"/>
      <c r="AU50" s="763"/>
      <c r="AV50" s="763"/>
      <c r="AW50" s="763"/>
      <c r="AX50" s="763"/>
      <c r="AY50" s="763"/>
      <c r="AZ50" s="763"/>
      <c r="BA50" s="763"/>
      <c r="BB50" s="763"/>
      <c r="BC50" s="763"/>
      <c r="BD50" s="763"/>
      <c r="BE50" s="763"/>
      <c r="BF50" s="763"/>
      <c r="BG50" s="763" t="b">
        <f>IFERROR(__xludf.DUMMYFUNCTION("""COMPUTED_VALUE"""),FALSE)</f>
        <v>0</v>
      </c>
      <c r="BH50" s="763" t="b">
        <f>IFERROR(__xludf.DUMMYFUNCTION("""COMPUTED_VALUE"""),TRUE)</f>
        <v>1</v>
      </c>
      <c r="BI50" s="763" t="b">
        <f>IFERROR(__xludf.DUMMYFUNCTION("""COMPUTED_VALUE"""),FALSE)</f>
        <v>0</v>
      </c>
      <c r="BJ50" s="763" t="b">
        <f>IFERROR(__xludf.DUMMYFUNCTION("""COMPUTED_VALUE"""),FALSE)</f>
        <v>0</v>
      </c>
    </row>
    <row r="51">
      <c r="A51" s="762">
        <f>IFERROR(__xludf.DUMMYFUNCTION("""COMPUTED_VALUE"""),62306.0)</f>
        <v>62306</v>
      </c>
      <c r="B51" s="538">
        <f>IFERROR(__xludf.DUMMYFUNCTION("""COMPUTED_VALUE"""),62306.0)</f>
        <v>62306</v>
      </c>
      <c r="C51" s="538" t="str">
        <f>IFERROR(__xludf.DUMMYFUNCTION("""COMPUTED_VALUE"""),"2025-04-01 15:58:04")</f>
        <v>2025-04-01 15:58:04</v>
      </c>
      <c r="D51" s="538" t="str">
        <f>IFERROR(__xludf.DUMMYFUNCTION("""COMPUTED_VALUE"""),"completed")</f>
        <v>completed</v>
      </c>
      <c r="E51" s="538" t="str">
        <f>IFERROR(__xludf.DUMMYFUNCTION("""COMPUTED_VALUE"""),"Nicole")</f>
        <v>Nicole</v>
      </c>
      <c r="F51" s="538" t="str">
        <f>IFERROR(__xludf.DUMMYFUNCTION("""COMPUTED_VALUE"""),"Faraone")</f>
        <v>Faraone</v>
      </c>
      <c r="G51" s="538" t="str">
        <f>IFERROR(__xludf.DUMMYFUNCTION("""COMPUTED_VALUE"""),"nicolefaraone12@gmail.com")</f>
        <v>nicolefaraone12@gmail.com</v>
      </c>
      <c r="H51" s="538">
        <f>IFERROR(__xludf.DUMMYFUNCTION("""COMPUTED_VALUE"""),3.779649122E9)</f>
        <v>3779649122</v>
      </c>
      <c r="I51" s="538" t="str">
        <f>IFERROR(__xludf.DUMMYFUNCTION("""COMPUTED_VALUE"""),"Ruoti")</f>
        <v>Ruoti</v>
      </c>
      <c r="J51" s="538" t="str">
        <f>IFERROR(__xludf.DUMMYFUNCTION("""COMPUTED_VALUE"""),"Via abbasso la terra 34")</f>
        <v>Via abbasso la terra 34</v>
      </c>
      <c r="K51" s="538">
        <f>IFERROR(__xludf.DUMMYFUNCTION("""COMPUTED_VALUE"""),85056.0)</f>
        <v>85056</v>
      </c>
      <c r="L51" s="538" t="str">
        <f>IFERROR(__xludf.DUMMYFUNCTION("""COMPUTED_VALUE"""),"Google Pay")</f>
        <v>Google Pay</v>
      </c>
      <c r="M51" s="763"/>
      <c r="N51" s="763" t="str">
        <f>IFERROR(__xludf.DUMMYFUNCTION("""COMPUTED_VALUE"""),"62306-1743523085")</f>
        <v>62306-1743523085</v>
      </c>
      <c r="O51" s="762">
        <f>IFERROR(__xludf.DUMMYFUNCTION("""COMPUTED_VALUE"""),0.0)</f>
        <v>0</v>
      </c>
      <c r="P51" s="766">
        <f>IFERROR(__xludf.DUMMYFUNCTION("""COMPUTED_VALUE"""),1.25)</f>
        <v>1.25</v>
      </c>
      <c r="Q51" s="538" t="str">
        <f>IFERROR(__xludf.DUMMYFUNCTION("""COMPUTED_VALUE"""),"EUR")</f>
        <v>EUR</v>
      </c>
      <c r="R51" s="762">
        <f>IFERROR(__xludf.DUMMYFUNCTION("""COMPUTED_VALUE"""),371.0)</f>
        <v>371</v>
      </c>
      <c r="S51" s="538" t="str">
        <f>IFERROR(__xludf.DUMMYFUNCTION("""COMPUTED_VALUE"""),"Workshop Modern con Nicholas Borgogni - Workshop Modern con Nicholas Borgogni")</f>
        <v>Workshop Modern con Nicholas Borgogni - Workshop Modern con Nicholas Borgogni</v>
      </c>
      <c r="T51" s="763"/>
      <c r="U51" s="763"/>
      <c r="V51" s="762">
        <f>IFERROR(__xludf.DUMMYFUNCTION("""COMPUTED_VALUE"""),1.0)</f>
        <v>1</v>
      </c>
      <c r="W51" s="762">
        <f>IFERROR(__xludf.DUMMYFUNCTION("""COMPUTED_VALUE"""),30.0)</f>
        <v>30</v>
      </c>
      <c r="X51" s="762">
        <f>IFERROR(__xludf.DUMMYFUNCTION("""COMPUTED_VALUE"""),30.0)</f>
        <v>30</v>
      </c>
      <c r="Y51" s="763"/>
      <c r="Z51" s="765" t="str">
        <f>IFERROR(__xludf.DUMMYFUNCTION("""COMPUTED_VALUE"""),"https://studio-gem.it/wp-admin/post.php?post=62306&amp;action=edit")</f>
        <v>https://studio-gem.it/wp-admin/post.php?post=62306&amp;action=edit</v>
      </c>
      <c r="AA51" s="763"/>
      <c r="AB51" s="763"/>
      <c r="AC51" s="763"/>
      <c r="AD51" s="763"/>
      <c r="AE51" s="763"/>
      <c r="AF51" s="763"/>
      <c r="AG51" s="763"/>
      <c r="AH51" s="763"/>
      <c r="AI51" s="763"/>
      <c r="AJ51" s="763"/>
      <c r="AK51" s="763"/>
      <c r="AL51" s="763"/>
      <c r="AM51" s="763"/>
      <c r="AN51" s="763"/>
      <c r="AO51" s="763"/>
      <c r="AP51" s="763"/>
      <c r="AQ51" s="763"/>
      <c r="AR51" s="763"/>
      <c r="AS51" s="763"/>
      <c r="AT51" s="763"/>
      <c r="AU51" s="763"/>
      <c r="AV51" s="763"/>
      <c r="AW51" s="763"/>
      <c r="AX51" s="763"/>
      <c r="AY51" s="763"/>
      <c r="AZ51" s="763"/>
      <c r="BA51" s="763"/>
      <c r="BB51" s="763"/>
      <c r="BC51" s="763"/>
      <c r="BD51" s="763"/>
      <c r="BE51" s="763"/>
      <c r="BF51" s="763"/>
      <c r="BG51" s="763" t="b">
        <f>IFERROR(__xludf.DUMMYFUNCTION("""COMPUTED_VALUE"""),FALSE)</f>
        <v>0</v>
      </c>
      <c r="BH51" s="763" t="b">
        <f>IFERROR(__xludf.DUMMYFUNCTION("""COMPUTED_VALUE"""),TRUE)</f>
        <v>1</v>
      </c>
      <c r="BI51" s="763" t="b">
        <f>IFERROR(__xludf.DUMMYFUNCTION("""COMPUTED_VALUE"""),FALSE)</f>
        <v>0</v>
      </c>
      <c r="BJ51" s="763" t="b">
        <f>IFERROR(__xludf.DUMMYFUNCTION("""COMPUTED_VALUE"""),FALSE)</f>
        <v>0</v>
      </c>
    </row>
    <row r="52">
      <c r="A52" s="762">
        <f>IFERROR(__xludf.DUMMYFUNCTION("""COMPUTED_VALUE"""),62317.0)</f>
        <v>62317</v>
      </c>
      <c r="B52" s="538">
        <f>IFERROR(__xludf.DUMMYFUNCTION("""COMPUTED_VALUE"""),62317.0)</f>
        <v>62317</v>
      </c>
      <c r="C52" s="538" t="str">
        <f>IFERROR(__xludf.DUMMYFUNCTION("""COMPUTED_VALUE"""),"2025-04-02 20:39:58")</f>
        <v>2025-04-02 20:39:58</v>
      </c>
      <c r="D52" s="538" t="str">
        <f>IFERROR(__xludf.DUMMYFUNCTION("""COMPUTED_VALUE"""),"completed")</f>
        <v>completed</v>
      </c>
      <c r="E52" s="538" t="str">
        <f>IFERROR(__xludf.DUMMYFUNCTION("""COMPUTED_VALUE"""),"virginia")</f>
        <v>virginia</v>
      </c>
      <c r="F52" s="538" t="str">
        <f>IFERROR(__xludf.DUMMYFUNCTION("""COMPUTED_VALUE"""),"bellomi")</f>
        <v>bellomi</v>
      </c>
      <c r="G52" s="538" t="str">
        <f>IFERROR(__xludf.DUMMYFUNCTION("""COMPUTED_VALUE"""),"bernardo.bellomi@gmail.com")</f>
        <v>bernardo.bellomi@gmail.com</v>
      </c>
      <c r="H52" s="538">
        <f>IFERROR(__xludf.DUMMYFUNCTION("""COMPUTED_VALUE"""),3.356020285E9)</f>
        <v>3356020285</v>
      </c>
      <c r="I52" s="538" t="str">
        <f>IFERROR(__xludf.DUMMYFUNCTION("""COMPUTED_VALUE"""),"Milano")</f>
        <v>Milano</v>
      </c>
      <c r="J52" s="538" t="str">
        <f>IFERROR(__xludf.DUMMYFUNCTION("""COMPUTED_VALUE"""),"tiraboschi 9")</f>
        <v>tiraboschi 9</v>
      </c>
      <c r="K52" s="538">
        <f>IFERROR(__xludf.DUMMYFUNCTION("""COMPUTED_VALUE"""),20135.0)</f>
        <v>20135</v>
      </c>
      <c r="L52" s="538" t="str">
        <f>IFERROR(__xludf.DUMMYFUNCTION("""COMPUTED_VALUE"""),"Carte di pagamento")</f>
        <v>Carte di pagamento</v>
      </c>
      <c r="M52" s="538" t="str">
        <f>IFERROR(__xludf.DUMMYFUNCTION("""COMPUTED_VALUE"""),"nura02nicholas")</f>
        <v>nura02nicholas</v>
      </c>
      <c r="N52" s="763" t="str">
        <f>IFERROR(__xludf.DUMMYFUNCTION("""COMPUTED_VALUE"""),"62317-1743626399")</f>
        <v>62317-1743626399</v>
      </c>
      <c r="O52" s="762">
        <f>IFERROR(__xludf.DUMMYFUNCTION("""COMPUTED_VALUE"""),0.0)</f>
        <v>0</v>
      </c>
      <c r="P52" s="766">
        <f>IFERROR(__xludf.DUMMYFUNCTION("""COMPUTED_VALUE"""),1.1666666666666667)</f>
        <v>1.166666667</v>
      </c>
      <c r="Q52" s="538" t="str">
        <f>IFERROR(__xludf.DUMMYFUNCTION("""COMPUTED_VALUE"""),"EUR")</f>
        <v>EUR</v>
      </c>
      <c r="R52" s="762">
        <f>IFERROR(__xludf.DUMMYFUNCTION("""COMPUTED_VALUE"""),372.0)</f>
        <v>372</v>
      </c>
      <c r="S52" s="538" t="str">
        <f>IFERROR(__xludf.DUMMYFUNCTION("""COMPUTED_VALUE"""),"Workshop Modern con Nicholas Borgogni - Workshop Modern con Nicholas Borgogni")</f>
        <v>Workshop Modern con Nicholas Borgogni - Workshop Modern con Nicholas Borgogni</v>
      </c>
      <c r="T52" s="763"/>
      <c r="U52" s="763"/>
      <c r="V52" s="762">
        <f>IFERROR(__xludf.DUMMYFUNCTION("""COMPUTED_VALUE"""),1.0)</f>
        <v>1</v>
      </c>
      <c r="W52" s="762">
        <f>IFERROR(__xludf.DUMMYFUNCTION("""COMPUTED_VALUE"""),28.0)</f>
        <v>28</v>
      </c>
      <c r="X52" s="762">
        <f>IFERROR(__xludf.DUMMYFUNCTION("""COMPUTED_VALUE"""),28.0)</f>
        <v>28</v>
      </c>
      <c r="Y52" s="763"/>
      <c r="Z52" s="765" t="str">
        <f>IFERROR(__xludf.DUMMYFUNCTION("""COMPUTED_VALUE"""),"https://studio-gem.it/wp-admin/post.php?post=62317&amp;action=edit")</f>
        <v>https://studio-gem.it/wp-admin/post.php?post=62317&amp;action=edit</v>
      </c>
      <c r="AA52" s="763"/>
      <c r="AB52" s="763"/>
      <c r="AC52" s="763"/>
      <c r="AD52" s="763"/>
      <c r="AE52" s="763"/>
      <c r="AF52" s="763"/>
      <c r="AG52" s="763"/>
      <c r="AH52" s="763"/>
      <c r="AI52" s="763"/>
      <c r="AJ52" s="763"/>
      <c r="AK52" s="763"/>
      <c r="AL52" s="763"/>
      <c r="AM52" s="763"/>
      <c r="AN52" s="763"/>
      <c r="AO52" s="763"/>
      <c r="AP52" s="763"/>
      <c r="AQ52" s="763"/>
      <c r="AR52" s="763"/>
      <c r="AS52" s="763"/>
      <c r="AT52" s="763"/>
      <c r="AU52" s="763"/>
      <c r="AV52" s="763"/>
      <c r="AW52" s="763"/>
      <c r="AX52" s="763"/>
      <c r="AY52" s="763"/>
      <c r="AZ52" s="763"/>
      <c r="BA52" s="763"/>
      <c r="BB52" s="763"/>
      <c r="BC52" s="763"/>
      <c r="BD52" s="763"/>
      <c r="BE52" s="763"/>
      <c r="BF52" s="763"/>
      <c r="BG52" s="763" t="b">
        <f>IFERROR(__xludf.DUMMYFUNCTION("""COMPUTED_VALUE"""),FALSE)</f>
        <v>0</v>
      </c>
      <c r="BH52" s="763" t="b">
        <f>IFERROR(__xludf.DUMMYFUNCTION("""COMPUTED_VALUE"""),TRUE)</f>
        <v>1</v>
      </c>
      <c r="BI52" s="763" t="b">
        <f>IFERROR(__xludf.DUMMYFUNCTION("""COMPUTED_VALUE"""),FALSE)</f>
        <v>0</v>
      </c>
      <c r="BJ52" s="763" t="b">
        <f>IFERROR(__xludf.DUMMYFUNCTION("""COMPUTED_VALUE"""),FALSE)</f>
        <v>0</v>
      </c>
    </row>
    <row r="53">
      <c r="A53" s="762">
        <f>IFERROR(__xludf.DUMMYFUNCTION("""COMPUTED_VALUE"""),62318.0)</f>
        <v>62318</v>
      </c>
      <c r="B53" s="538">
        <f>IFERROR(__xludf.DUMMYFUNCTION("""COMPUTED_VALUE"""),62318.0)</f>
        <v>62318</v>
      </c>
      <c r="C53" s="538" t="str">
        <f>IFERROR(__xludf.DUMMYFUNCTION("""COMPUTED_VALUE"""),"2025-04-03 05:08:40")</f>
        <v>2025-04-03 05:08:40</v>
      </c>
      <c r="D53" s="538" t="str">
        <f>IFERROR(__xludf.DUMMYFUNCTION("""COMPUTED_VALUE"""),"completed")</f>
        <v>completed</v>
      </c>
      <c r="E53" s="538" t="str">
        <f>IFERROR(__xludf.DUMMYFUNCTION("""COMPUTED_VALUE"""),"Giulia")</f>
        <v>Giulia</v>
      </c>
      <c r="F53" s="538" t="str">
        <f>IFERROR(__xludf.DUMMYFUNCTION("""COMPUTED_VALUE"""),"Rondina")</f>
        <v>Rondina</v>
      </c>
      <c r="G53" s="538" t="str">
        <f>IFERROR(__xludf.DUMMYFUNCTION("""COMPUTED_VALUE"""),"g.gizzi19@virgilio.it")</f>
        <v>g.gizzi19@virgilio.it</v>
      </c>
      <c r="H53" s="538">
        <f>IFERROR(__xludf.DUMMYFUNCTION("""COMPUTED_VALUE"""),3.39756766E9)</f>
        <v>3397567660</v>
      </c>
      <c r="I53" s="538" t="str">
        <f>IFERROR(__xludf.DUMMYFUNCTION("""COMPUTED_VALUE"""),"Sedriano")</f>
        <v>Sedriano</v>
      </c>
      <c r="J53" s="538" t="str">
        <f>IFERROR(__xludf.DUMMYFUNCTION("""COMPUTED_VALUE"""),"Via impastato 14")</f>
        <v>Via impastato 14</v>
      </c>
      <c r="K53" s="538">
        <f>IFERROR(__xludf.DUMMYFUNCTION("""COMPUTED_VALUE"""),20018.0)</f>
        <v>20018</v>
      </c>
      <c r="L53" s="538" t="str">
        <f>IFERROR(__xludf.DUMMYFUNCTION("""COMPUTED_VALUE"""),"Carte di pagamento")</f>
        <v>Carte di pagamento</v>
      </c>
      <c r="M53" s="763"/>
      <c r="N53" s="763" t="str">
        <f>IFERROR(__xludf.DUMMYFUNCTION("""COMPUTED_VALUE"""),"62318-1743656921")</f>
        <v>62318-1743656921</v>
      </c>
      <c r="O53" s="762">
        <f>IFERROR(__xludf.DUMMYFUNCTION("""COMPUTED_VALUE"""),0.0)</f>
        <v>0</v>
      </c>
      <c r="P53" s="766">
        <f>IFERROR(__xludf.DUMMYFUNCTION("""COMPUTED_VALUE"""),1.25)</f>
        <v>1.25</v>
      </c>
      <c r="Q53" s="538" t="str">
        <f>IFERROR(__xludf.DUMMYFUNCTION("""COMPUTED_VALUE"""),"EUR")</f>
        <v>EUR</v>
      </c>
      <c r="R53" s="762">
        <f>IFERROR(__xludf.DUMMYFUNCTION("""COMPUTED_VALUE"""),374.0)</f>
        <v>374</v>
      </c>
      <c r="S53" s="538" t="str">
        <f>IFERROR(__xludf.DUMMYFUNCTION("""COMPUTED_VALUE"""),"Workshop Modern con Nicholas Borgogni - Workshop Modern con Nicholas Borgogni")</f>
        <v>Workshop Modern con Nicholas Borgogni - Workshop Modern con Nicholas Borgogni</v>
      </c>
      <c r="T53" s="763"/>
      <c r="U53" s="763"/>
      <c r="V53" s="762">
        <f>IFERROR(__xludf.DUMMYFUNCTION("""COMPUTED_VALUE"""),1.0)</f>
        <v>1</v>
      </c>
      <c r="W53" s="762">
        <f>IFERROR(__xludf.DUMMYFUNCTION("""COMPUTED_VALUE"""),30.0)</f>
        <v>30</v>
      </c>
      <c r="X53" s="762">
        <f>IFERROR(__xludf.DUMMYFUNCTION("""COMPUTED_VALUE"""),30.0)</f>
        <v>30</v>
      </c>
      <c r="Y53" s="763"/>
      <c r="Z53" s="765" t="str">
        <f>IFERROR(__xludf.DUMMYFUNCTION("""COMPUTED_VALUE"""),"https://studio-gem.it/wp-admin/post.php?post=62318&amp;action=edit")</f>
        <v>https://studio-gem.it/wp-admin/post.php?post=62318&amp;action=edit</v>
      </c>
      <c r="AA53" s="763"/>
      <c r="AB53" s="763"/>
      <c r="AC53" s="763"/>
      <c r="AD53" s="763"/>
      <c r="AE53" s="763"/>
      <c r="AF53" s="763"/>
      <c r="AG53" s="763"/>
      <c r="AH53" s="763"/>
      <c r="AI53" s="763"/>
      <c r="AJ53" s="763"/>
      <c r="AK53" s="763"/>
      <c r="AL53" s="763"/>
      <c r="AM53" s="763"/>
      <c r="AN53" s="763"/>
      <c r="AO53" s="763"/>
      <c r="AP53" s="763"/>
      <c r="AQ53" s="763"/>
      <c r="AR53" s="763"/>
      <c r="AS53" s="763"/>
      <c r="AT53" s="763"/>
      <c r="AU53" s="763"/>
      <c r="AV53" s="763"/>
      <c r="AW53" s="763"/>
      <c r="AX53" s="763"/>
      <c r="AY53" s="763"/>
      <c r="AZ53" s="763"/>
      <c r="BA53" s="763"/>
      <c r="BB53" s="763"/>
      <c r="BC53" s="763"/>
      <c r="BD53" s="763"/>
      <c r="BE53" s="763"/>
      <c r="BF53" s="763"/>
      <c r="BG53" s="763" t="b">
        <f>IFERROR(__xludf.DUMMYFUNCTION("""COMPUTED_VALUE"""),FALSE)</f>
        <v>0</v>
      </c>
      <c r="BH53" s="763" t="b">
        <f>IFERROR(__xludf.DUMMYFUNCTION("""COMPUTED_VALUE"""),TRUE)</f>
        <v>1</v>
      </c>
      <c r="BI53" s="763" t="b">
        <f>IFERROR(__xludf.DUMMYFUNCTION("""COMPUTED_VALUE"""),FALSE)</f>
        <v>0</v>
      </c>
      <c r="BJ53" s="763" t="b">
        <f>IFERROR(__xludf.DUMMYFUNCTION("""COMPUTED_VALUE"""),FALSE)</f>
        <v>0</v>
      </c>
    </row>
    <row r="54">
      <c r="A54" s="762">
        <f>IFERROR(__xludf.DUMMYFUNCTION("""COMPUTED_VALUE"""),62333.0)</f>
        <v>62333</v>
      </c>
      <c r="B54" s="538">
        <f>IFERROR(__xludf.DUMMYFUNCTION("""COMPUTED_VALUE"""),62333.0)</f>
        <v>62333</v>
      </c>
      <c r="C54" s="538" t="str">
        <f>IFERROR(__xludf.DUMMYFUNCTION("""COMPUTED_VALUE"""),"2025-04-03 21:40:56")</f>
        <v>2025-04-03 21:40:56</v>
      </c>
      <c r="D54" s="538" t="str">
        <f>IFERROR(__xludf.DUMMYFUNCTION("""COMPUTED_VALUE"""),"completed")</f>
        <v>completed</v>
      </c>
      <c r="E54" s="538" t="str">
        <f>IFERROR(__xludf.DUMMYFUNCTION("""COMPUTED_VALUE"""),"Matilde")</f>
        <v>Matilde</v>
      </c>
      <c r="F54" s="538" t="str">
        <f>IFERROR(__xludf.DUMMYFUNCTION("""COMPUTED_VALUE"""),"Paura")</f>
        <v>Paura</v>
      </c>
      <c r="G54" s="538" t="str">
        <f>IFERROR(__xludf.DUMMYFUNCTION("""COMPUTED_VALUE"""),"matildepaura3@gmail.com")</f>
        <v>matildepaura3@gmail.com</v>
      </c>
      <c r="H54" s="538">
        <f>IFERROR(__xludf.DUMMYFUNCTION("""COMPUTED_VALUE"""),3.312552325E9)</f>
        <v>3312552325</v>
      </c>
      <c r="I54" s="538" t="str">
        <f>IFERROR(__xludf.DUMMYFUNCTION("""COMPUTED_VALUE"""),"Seregno")</f>
        <v>Seregno</v>
      </c>
      <c r="J54" s="538" t="str">
        <f>IFERROR(__xludf.DUMMYFUNCTION("""COMPUTED_VALUE"""),"Viale dei giardini 9")</f>
        <v>Viale dei giardini 9</v>
      </c>
      <c r="K54" s="538">
        <f>IFERROR(__xludf.DUMMYFUNCTION("""COMPUTED_VALUE"""),20831.0)</f>
        <v>20831</v>
      </c>
      <c r="L54" s="538" t="str">
        <f>IFERROR(__xludf.DUMMYFUNCTION("""COMPUTED_VALUE"""),"Carte di pagamento")</f>
        <v>Carte di pagamento</v>
      </c>
      <c r="M54" s="763"/>
      <c r="N54" s="763" t="str">
        <f>IFERROR(__xludf.DUMMYFUNCTION("""COMPUTED_VALUE"""),"62333-1743716457")</f>
        <v>62333-1743716457</v>
      </c>
      <c r="O54" s="762">
        <f>IFERROR(__xludf.DUMMYFUNCTION("""COMPUTED_VALUE"""),0.0)</f>
        <v>0</v>
      </c>
      <c r="P54" s="766">
        <f>IFERROR(__xludf.DUMMYFUNCTION("""COMPUTED_VALUE"""),1.25)</f>
        <v>1.25</v>
      </c>
      <c r="Q54" s="538" t="str">
        <f>IFERROR(__xludf.DUMMYFUNCTION("""COMPUTED_VALUE"""),"EUR")</f>
        <v>EUR</v>
      </c>
      <c r="R54" s="762">
        <f>IFERROR(__xludf.DUMMYFUNCTION("""COMPUTED_VALUE"""),375.0)</f>
        <v>375</v>
      </c>
      <c r="S54" s="538" t="str">
        <f>IFERROR(__xludf.DUMMYFUNCTION("""COMPUTED_VALUE"""),"Workshop Modern con Nicholas Borgogni - Workshop Modern con Nicholas Borgogni")</f>
        <v>Workshop Modern con Nicholas Borgogni - Workshop Modern con Nicholas Borgogni</v>
      </c>
      <c r="T54" s="763"/>
      <c r="U54" s="763"/>
      <c r="V54" s="762">
        <f>IFERROR(__xludf.DUMMYFUNCTION("""COMPUTED_VALUE"""),1.0)</f>
        <v>1</v>
      </c>
      <c r="W54" s="762">
        <f>IFERROR(__xludf.DUMMYFUNCTION("""COMPUTED_VALUE"""),30.0)</f>
        <v>30</v>
      </c>
      <c r="X54" s="762">
        <f>IFERROR(__xludf.DUMMYFUNCTION("""COMPUTED_VALUE"""),30.0)</f>
        <v>30</v>
      </c>
      <c r="Y54" s="763"/>
      <c r="Z54" s="765" t="str">
        <f>IFERROR(__xludf.DUMMYFUNCTION("""COMPUTED_VALUE"""),"https://studio-gem.it/wp-admin/post.php?post=62333&amp;action=edit")</f>
        <v>https://studio-gem.it/wp-admin/post.php?post=62333&amp;action=edit</v>
      </c>
      <c r="AA54" s="763"/>
      <c r="AB54" s="763"/>
      <c r="AC54" s="763"/>
      <c r="AD54" s="763"/>
      <c r="AE54" s="763"/>
      <c r="AF54" s="763"/>
      <c r="AG54" s="763"/>
      <c r="AH54" s="763"/>
      <c r="AI54" s="763"/>
      <c r="AJ54" s="763"/>
      <c r="AK54" s="763"/>
      <c r="AL54" s="763"/>
      <c r="AM54" s="763"/>
      <c r="AN54" s="763"/>
      <c r="AO54" s="763"/>
      <c r="AP54" s="763"/>
      <c r="AQ54" s="763"/>
      <c r="AR54" s="763"/>
      <c r="AS54" s="763"/>
      <c r="AT54" s="763"/>
      <c r="AU54" s="763"/>
      <c r="AV54" s="763"/>
      <c r="AW54" s="763"/>
      <c r="AX54" s="763"/>
      <c r="AY54" s="763"/>
      <c r="AZ54" s="763"/>
      <c r="BA54" s="763"/>
      <c r="BB54" s="763"/>
      <c r="BC54" s="763"/>
      <c r="BD54" s="763"/>
      <c r="BE54" s="763"/>
      <c r="BF54" s="763"/>
      <c r="BG54" s="763" t="b">
        <f>IFERROR(__xludf.DUMMYFUNCTION("""COMPUTED_VALUE"""),FALSE)</f>
        <v>0</v>
      </c>
      <c r="BH54" s="763" t="b">
        <f>IFERROR(__xludf.DUMMYFUNCTION("""COMPUTED_VALUE"""),TRUE)</f>
        <v>1</v>
      </c>
      <c r="BI54" s="763" t="b">
        <f>IFERROR(__xludf.DUMMYFUNCTION("""COMPUTED_VALUE"""),FALSE)</f>
        <v>0</v>
      </c>
      <c r="BJ54" s="763" t="b">
        <f>IFERROR(__xludf.DUMMYFUNCTION("""COMPUTED_VALUE"""),FALSE)</f>
        <v>0</v>
      </c>
    </row>
    <row r="55">
      <c r="A55" s="762">
        <f>IFERROR(__xludf.DUMMYFUNCTION("""COMPUTED_VALUE"""),62348.0)</f>
        <v>62348</v>
      </c>
      <c r="B55" s="538">
        <f>IFERROR(__xludf.DUMMYFUNCTION("""COMPUTED_VALUE"""),62348.0)</f>
        <v>62348</v>
      </c>
      <c r="C55" s="538" t="str">
        <f>IFERROR(__xludf.DUMMYFUNCTION("""COMPUTED_VALUE"""),"2025-04-04 12:55:16")</f>
        <v>2025-04-04 12:55:16</v>
      </c>
      <c r="D55" s="538" t="str">
        <f>IFERROR(__xludf.DUMMYFUNCTION("""COMPUTED_VALUE"""),"completed")</f>
        <v>completed</v>
      </c>
      <c r="E55" s="538" t="str">
        <f>IFERROR(__xludf.DUMMYFUNCTION("""COMPUTED_VALUE"""),"Francesco")</f>
        <v>Francesco</v>
      </c>
      <c r="F55" s="538" t="str">
        <f>IFERROR(__xludf.DUMMYFUNCTION("""COMPUTED_VALUE"""),"FOSSATI-BELLANI")</f>
        <v>FOSSATI-BELLANI</v>
      </c>
      <c r="G55" s="538" t="str">
        <f>IFERROR(__xludf.DUMMYFUNCTION("""COMPUTED_VALUE"""),"federico32@gmail.com")</f>
        <v>federico32@gmail.com</v>
      </c>
      <c r="H55" s="538">
        <f>IFERROR(__xludf.DUMMYFUNCTION("""COMPUTED_VALUE"""),3.358125176E9)</f>
        <v>3358125176</v>
      </c>
      <c r="I55" s="538" t="str">
        <f>IFERROR(__xludf.DUMMYFUNCTION("""COMPUTED_VALUE"""),"Milano")</f>
        <v>Milano</v>
      </c>
      <c r="J55" s="538" t="str">
        <f>IFERROR(__xludf.DUMMYFUNCTION("""COMPUTED_VALUE"""),"Viale Filippetti 29")</f>
        <v>Viale Filippetti 29</v>
      </c>
      <c r="K55" s="538">
        <f>IFERROR(__xludf.DUMMYFUNCTION("""COMPUTED_VALUE"""),20122.0)</f>
        <v>20122</v>
      </c>
      <c r="L55" s="538" t="str">
        <f>IFERROR(__xludf.DUMMYFUNCTION("""COMPUTED_VALUE"""),"Carte di pagamento")</f>
        <v>Carte di pagamento</v>
      </c>
      <c r="M55" s="763"/>
      <c r="N55" s="763" t="str">
        <f>IFERROR(__xludf.DUMMYFUNCTION("""COMPUTED_VALUE"""),"62348-1743771317")</f>
        <v>62348-1743771317</v>
      </c>
      <c r="O55" s="762">
        <f>IFERROR(__xludf.DUMMYFUNCTION("""COMPUTED_VALUE"""),0.0)</f>
        <v>0</v>
      </c>
      <c r="P55" s="766">
        <f>IFERROR(__xludf.DUMMYFUNCTION("""COMPUTED_VALUE"""),5.416666666666667)</f>
        <v>5.416666667</v>
      </c>
      <c r="Q55" s="538" t="str">
        <f>IFERROR(__xludf.DUMMYFUNCTION("""COMPUTED_VALUE"""),"EUR")</f>
        <v>EUR</v>
      </c>
      <c r="R55" s="762">
        <f>IFERROR(__xludf.DUMMYFUNCTION("""COMPUTED_VALUE"""),376.0)</f>
        <v>376</v>
      </c>
      <c r="S55" s="538" t="str">
        <f>IFERROR(__xludf.DUMMYFUNCTION("""COMPUTED_VALUE"""),"Campus estivo per bambini e ragazzi 2025 - Campus estivo 2 settimane")</f>
        <v>Campus estivo per bambini e ragazzi 2025 - Campus estivo 2 settimane</v>
      </c>
      <c r="T55" s="763"/>
      <c r="U55" s="763"/>
      <c r="V55" s="762">
        <f>IFERROR(__xludf.DUMMYFUNCTION("""COMPUTED_VALUE"""),1.0)</f>
        <v>1</v>
      </c>
      <c r="W55" s="762">
        <f>IFERROR(__xludf.DUMMYFUNCTION("""COMPUTED_VALUE"""),130.0)</f>
        <v>130</v>
      </c>
      <c r="X55" s="762">
        <f>IFERROR(__xludf.DUMMYFUNCTION("""COMPUTED_VALUE"""),130.0)</f>
        <v>130</v>
      </c>
      <c r="Y55" s="763"/>
      <c r="Z55" s="765" t="str">
        <f>IFERROR(__xludf.DUMMYFUNCTION("""COMPUTED_VALUE"""),"https://studio-gem.it/wp-admin/post.php?post=62348&amp;action=edit")</f>
        <v>https://studio-gem.it/wp-admin/post.php?post=62348&amp;action=edit</v>
      </c>
      <c r="AA55" s="763"/>
      <c r="AB55" s="763"/>
      <c r="AC55" s="763"/>
      <c r="AD55" s="763"/>
      <c r="AE55" s="763"/>
      <c r="AF55" s="763"/>
      <c r="AG55" s="763"/>
      <c r="AH55" s="763"/>
      <c r="AI55" s="763"/>
      <c r="AJ55" s="763"/>
      <c r="AK55" s="763"/>
      <c r="AL55" s="763"/>
      <c r="AM55" s="763"/>
      <c r="AN55" s="763"/>
      <c r="AO55" s="763"/>
      <c r="AP55" s="763"/>
      <c r="AQ55" s="763"/>
      <c r="AR55" s="763"/>
      <c r="AS55" s="763"/>
      <c r="AT55" s="763"/>
      <c r="AU55" s="763"/>
      <c r="AV55" s="763"/>
      <c r="AW55" s="763"/>
      <c r="AX55" s="763"/>
      <c r="AY55" s="763"/>
      <c r="AZ55" s="763"/>
      <c r="BA55" s="763"/>
      <c r="BB55" s="763"/>
      <c r="BC55" s="763"/>
      <c r="BD55" s="763"/>
      <c r="BE55" s="763"/>
      <c r="BF55" s="763"/>
      <c r="BG55" s="763" t="b">
        <f>IFERROR(__xludf.DUMMYFUNCTION("""COMPUTED_VALUE"""),FALSE)</f>
        <v>0</v>
      </c>
      <c r="BH55" s="763" t="b">
        <f>IFERROR(__xludf.DUMMYFUNCTION("""COMPUTED_VALUE"""),TRUE)</f>
        <v>1</v>
      </c>
      <c r="BI55" s="763" t="b">
        <f>IFERROR(__xludf.DUMMYFUNCTION("""COMPUTED_VALUE"""),FALSE)</f>
        <v>0</v>
      </c>
      <c r="BJ55" s="763" t="b">
        <f>IFERROR(__xludf.DUMMYFUNCTION("""COMPUTED_VALUE"""),FALSE)</f>
        <v>0</v>
      </c>
    </row>
    <row r="56">
      <c r="A56" s="762">
        <f>IFERROR(__xludf.DUMMYFUNCTION("""COMPUTED_VALUE"""),62400.0)</f>
        <v>62400</v>
      </c>
      <c r="B56" s="538">
        <f>IFERROR(__xludf.DUMMYFUNCTION("""COMPUTED_VALUE"""),62400.0)</f>
        <v>62400</v>
      </c>
      <c r="C56" s="538" t="str">
        <f>IFERROR(__xludf.DUMMYFUNCTION("""COMPUTED_VALUE"""),"2025-04-08 12:10:29")</f>
        <v>2025-04-08 12:10:29</v>
      </c>
      <c r="D56" s="538" t="str">
        <f>IFERROR(__xludf.DUMMYFUNCTION("""COMPUTED_VALUE"""),"cancelled")</f>
        <v>cancelled</v>
      </c>
      <c r="E56" s="538" t="str">
        <f>IFERROR(__xludf.DUMMYFUNCTION("""COMPUTED_VALUE"""),"SARA")</f>
        <v>SARA</v>
      </c>
      <c r="F56" s="538" t="str">
        <f>IFERROR(__xludf.DUMMYFUNCTION("""COMPUTED_VALUE"""),"JANNELLI")</f>
        <v>JANNELLI</v>
      </c>
      <c r="G56" s="538" t="str">
        <f>IFERROR(__xludf.DUMMYFUNCTION("""COMPUTED_VALUE"""),"estefany@studio-gem.it")</f>
        <v>estefany@studio-gem.it</v>
      </c>
      <c r="H56" s="538">
        <f>IFERROR(__xludf.DUMMYFUNCTION("""COMPUTED_VALUE"""),3.245804881E9)</f>
        <v>3245804881</v>
      </c>
      <c r="I56" s="538" t="str">
        <f>IFERROR(__xludf.DUMMYFUNCTION("""COMPUTED_VALUE"""),"MI")</f>
        <v>MI</v>
      </c>
      <c r="J56" s="538" t="str">
        <f>IFERROR(__xludf.DUMMYFUNCTION("""COMPUTED_VALUE"""),"CORSO DI PORTA VIGENTINA 35")</f>
        <v>CORSO DI PORTA VIGENTINA 35</v>
      </c>
      <c r="K56" s="538">
        <f>IFERROR(__xludf.DUMMYFUNCTION("""COMPUTED_VALUE"""),20122.0)</f>
        <v>20122</v>
      </c>
      <c r="L56" s="538" t="str">
        <f>IFERROR(__xludf.DUMMYFUNCTION("""COMPUTED_VALUE"""),"Carte di pagamento")</f>
        <v>Carte di pagamento</v>
      </c>
      <c r="M56" s="763"/>
      <c r="N56" s="763"/>
      <c r="O56" s="762">
        <f>IFERROR(__xludf.DUMMYFUNCTION("""COMPUTED_VALUE"""),0.0)</f>
        <v>0</v>
      </c>
      <c r="P56" s="766">
        <f>IFERROR(__xludf.DUMMYFUNCTION("""COMPUTED_VALUE"""),2.9166666666666665)</f>
        <v>2.916666667</v>
      </c>
      <c r="Q56" s="538" t="str">
        <f>IFERROR(__xludf.DUMMYFUNCTION("""COMPUTED_VALUE"""),"EUR")</f>
        <v>EUR</v>
      </c>
      <c r="R56" s="762">
        <f>IFERROR(__xludf.DUMMYFUNCTION("""COMPUTED_VALUE"""),377.0)</f>
        <v>377</v>
      </c>
      <c r="S56" s="538" t="str">
        <f>IFERROR(__xludf.DUMMYFUNCTION("""COMPUTED_VALUE"""),"Campus estivo per bambini e ragazzi 2025 - Campus estivo 1 settimana")</f>
        <v>Campus estivo per bambini e ragazzi 2025 - Campus estivo 1 settimana</v>
      </c>
      <c r="T56" s="763"/>
      <c r="U56" s="763"/>
      <c r="V56" s="762">
        <f>IFERROR(__xludf.DUMMYFUNCTION("""COMPUTED_VALUE"""),1.0)</f>
        <v>1</v>
      </c>
      <c r="W56" s="762">
        <f>IFERROR(__xludf.DUMMYFUNCTION("""COMPUTED_VALUE"""),70.0)</f>
        <v>70</v>
      </c>
      <c r="X56" s="762">
        <f>IFERROR(__xludf.DUMMYFUNCTION("""COMPUTED_VALUE"""),70.0)</f>
        <v>70</v>
      </c>
      <c r="Y56" s="763"/>
      <c r="Z56" s="765" t="str">
        <f>IFERROR(__xludf.DUMMYFUNCTION("""COMPUTED_VALUE"""),"https://studio-gem.it/wp-admin/post.php?post=62400&amp;action=edit")</f>
        <v>https://studio-gem.it/wp-admin/post.php?post=62400&amp;action=edit</v>
      </c>
      <c r="AA56" s="763"/>
      <c r="AB56" s="763"/>
      <c r="AC56" s="763"/>
      <c r="AD56" s="763"/>
      <c r="AE56" s="763"/>
      <c r="AF56" s="763"/>
      <c r="AG56" s="763"/>
      <c r="AH56" s="763"/>
      <c r="AI56" s="763"/>
      <c r="AJ56" s="763"/>
      <c r="AK56" s="763"/>
      <c r="AL56" s="763"/>
      <c r="AM56" s="763"/>
      <c r="AN56" s="763"/>
      <c r="AO56" s="763"/>
      <c r="AP56" s="763"/>
      <c r="AQ56" s="763"/>
      <c r="AR56" s="763"/>
      <c r="AS56" s="763"/>
      <c r="AT56" s="763"/>
      <c r="AU56" s="763"/>
      <c r="AV56" s="763"/>
      <c r="AW56" s="763"/>
      <c r="AX56" s="763"/>
      <c r="AY56" s="763"/>
      <c r="AZ56" s="763"/>
      <c r="BA56" s="763"/>
      <c r="BB56" s="763"/>
      <c r="BC56" s="763"/>
      <c r="BD56" s="763"/>
      <c r="BE56" s="763"/>
      <c r="BF56" s="763"/>
      <c r="BG56" s="763" t="b">
        <f>IFERROR(__xludf.DUMMYFUNCTION("""COMPUTED_VALUE"""),FALSE)</f>
        <v>0</v>
      </c>
      <c r="BH56" s="763" t="b">
        <f>IFERROR(__xludf.DUMMYFUNCTION("""COMPUTED_VALUE"""),FALSE)</f>
        <v>0</v>
      </c>
      <c r="BI56" s="763" t="b">
        <f>IFERROR(__xludf.DUMMYFUNCTION("""COMPUTED_VALUE"""),FALSE)</f>
        <v>0</v>
      </c>
      <c r="BJ56" s="763" t="b">
        <f>IFERROR(__xludf.DUMMYFUNCTION("""COMPUTED_VALUE"""),FALSE)</f>
        <v>0</v>
      </c>
    </row>
    <row r="57">
      <c r="A57" s="762">
        <f>IFERROR(__xludf.DUMMYFUNCTION("""COMPUTED_VALUE"""),62402.0)</f>
        <v>62402</v>
      </c>
      <c r="B57" s="538">
        <f>IFERROR(__xludf.DUMMYFUNCTION("""COMPUTED_VALUE"""),62402.0)</f>
        <v>62402</v>
      </c>
      <c r="C57" s="538" t="str">
        <f>IFERROR(__xludf.DUMMYFUNCTION("""COMPUTED_VALUE"""),"2025-04-08 14:36:21")</f>
        <v>2025-04-08 14:36:21</v>
      </c>
      <c r="D57" s="538" t="str">
        <f>IFERROR(__xludf.DUMMYFUNCTION("""COMPUTED_VALUE"""),"completed")</f>
        <v>completed</v>
      </c>
      <c r="E57" s="538" t="str">
        <f>IFERROR(__xludf.DUMMYFUNCTION("""COMPUTED_VALUE"""),"Emma")</f>
        <v>Emma</v>
      </c>
      <c r="F57" s="538" t="str">
        <f>IFERROR(__xludf.DUMMYFUNCTION("""COMPUTED_VALUE"""),"Capalbo")</f>
        <v>Capalbo</v>
      </c>
      <c r="G57" s="538" t="str">
        <f>IFERROR(__xludf.DUMMYFUNCTION("""COMPUTED_VALUE"""),"alice.ruggiero88@gmail.com")</f>
        <v>alice.ruggiero88@gmail.com</v>
      </c>
      <c r="H57" s="538" t="str">
        <f>IFERROR(__xludf.DUMMYFUNCTION("""COMPUTED_VALUE"""),"+393343517193")</f>
        <v>+393343517193</v>
      </c>
      <c r="I57" s="538" t="str">
        <f>IFERROR(__xludf.DUMMYFUNCTION("""COMPUTED_VALUE"""),"Opera")</f>
        <v>Opera</v>
      </c>
      <c r="J57" s="538" t="str">
        <f>IFERROR(__xludf.DUMMYFUNCTION("""COMPUTED_VALUE"""),"Via sporting mirasole 52")</f>
        <v>Via sporting mirasole 52</v>
      </c>
      <c r="K57" s="538">
        <f>IFERROR(__xludf.DUMMYFUNCTION("""COMPUTED_VALUE"""),20073.0)</f>
        <v>20073</v>
      </c>
      <c r="L57" s="538" t="str">
        <f>IFERROR(__xludf.DUMMYFUNCTION("""COMPUTED_VALUE"""),"Carte di pagamento")</f>
        <v>Carte di pagamento</v>
      </c>
      <c r="M57" s="538" t="str">
        <f>IFERROR(__xludf.DUMMYFUNCTION("""COMPUTED_VALUE"""),"nura05campus")</f>
        <v>nura05campus</v>
      </c>
      <c r="N57" s="763" t="str">
        <f>IFERROR(__xludf.DUMMYFUNCTION("""COMPUTED_VALUE"""),"62402-1744122982")</f>
        <v>62402-1744122982</v>
      </c>
      <c r="O57" s="762">
        <f>IFERROR(__xludf.DUMMYFUNCTION("""COMPUTED_VALUE"""),0.0)</f>
        <v>0</v>
      </c>
      <c r="P57" s="766">
        <f>IFERROR(__xludf.DUMMYFUNCTION("""COMPUTED_VALUE"""),5.208333333333333)</f>
        <v>5.208333333</v>
      </c>
      <c r="Q57" s="538" t="str">
        <f>IFERROR(__xludf.DUMMYFUNCTION("""COMPUTED_VALUE"""),"EUR")</f>
        <v>EUR</v>
      </c>
      <c r="R57" s="762">
        <f>IFERROR(__xludf.DUMMYFUNCTION("""COMPUTED_VALUE"""),378.0)</f>
        <v>378</v>
      </c>
      <c r="S57" s="538" t="str">
        <f>IFERROR(__xludf.DUMMYFUNCTION("""COMPUTED_VALUE"""),"Campus estivo per bambini e ragazzi 2025 - Campus estivo 2 settimane")</f>
        <v>Campus estivo per bambini e ragazzi 2025 - Campus estivo 2 settimane</v>
      </c>
      <c r="T57" s="763"/>
      <c r="U57" s="763"/>
      <c r="V57" s="762">
        <f>IFERROR(__xludf.DUMMYFUNCTION("""COMPUTED_VALUE"""),1.0)</f>
        <v>1</v>
      </c>
      <c r="W57" s="762">
        <f>IFERROR(__xludf.DUMMYFUNCTION("""COMPUTED_VALUE"""),125.0)</f>
        <v>125</v>
      </c>
      <c r="X57" s="762">
        <f>IFERROR(__xludf.DUMMYFUNCTION("""COMPUTED_VALUE"""),125.0)</f>
        <v>125</v>
      </c>
      <c r="Y57" s="763"/>
      <c r="Z57" s="765" t="str">
        <f>IFERROR(__xludf.DUMMYFUNCTION("""COMPUTED_VALUE"""),"https://studio-gem.it/wp-admin/post.php?post=62402&amp;action=edit")</f>
        <v>https://studio-gem.it/wp-admin/post.php?post=62402&amp;action=edit</v>
      </c>
      <c r="AA57" s="763"/>
      <c r="AB57" s="763"/>
      <c r="AC57" s="763"/>
      <c r="AD57" s="763"/>
      <c r="AE57" s="763"/>
      <c r="AF57" s="763"/>
      <c r="AG57" s="763"/>
      <c r="AH57" s="763"/>
      <c r="AI57" s="763"/>
      <c r="AJ57" s="763"/>
      <c r="AK57" s="763"/>
      <c r="AL57" s="763"/>
      <c r="AM57" s="763"/>
      <c r="AN57" s="763"/>
      <c r="AO57" s="763"/>
      <c r="AP57" s="763"/>
      <c r="AQ57" s="763"/>
      <c r="AR57" s="763"/>
      <c r="AS57" s="763"/>
      <c r="AT57" s="763"/>
      <c r="AU57" s="763"/>
      <c r="AV57" s="763"/>
      <c r="AW57" s="763"/>
      <c r="AX57" s="763"/>
      <c r="AY57" s="763"/>
      <c r="AZ57" s="763"/>
      <c r="BA57" s="763"/>
      <c r="BB57" s="763"/>
      <c r="BC57" s="763"/>
      <c r="BD57" s="763"/>
      <c r="BE57" s="763"/>
      <c r="BF57" s="763"/>
      <c r="BG57" s="763" t="b">
        <f>IFERROR(__xludf.DUMMYFUNCTION("""COMPUTED_VALUE"""),FALSE)</f>
        <v>0</v>
      </c>
      <c r="BH57" s="763" t="b">
        <f>IFERROR(__xludf.DUMMYFUNCTION("""COMPUTED_VALUE"""),TRUE)</f>
        <v>1</v>
      </c>
      <c r="BI57" s="763" t="b">
        <f>IFERROR(__xludf.DUMMYFUNCTION("""COMPUTED_VALUE"""),FALSE)</f>
        <v>0</v>
      </c>
      <c r="BJ57" s="763" t="b">
        <f>IFERROR(__xludf.DUMMYFUNCTION("""COMPUTED_VALUE"""),FALSE)</f>
        <v>0</v>
      </c>
    </row>
    <row r="58">
      <c r="A58" s="762">
        <f>IFERROR(__xludf.DUMMYFUNCTION("""COMPUTED_VALUE"""),62420.0)</f>
        <v>62420</v>
      </c>
      <c r="B58" s="538">
        <f>IFERROR(__xludf.DUMMYFUNCTION("""COMPUTED_VALUE"""),62420.0)</f>
        <v>62420</v>
      </c>
      <c r="C58" s="538" t="str">
        <f>IFERROR(__xludf.DUMMYFUNCTION("""COMPUTED_VALUE"""),"2025-04-08 16:17:32")</f>
        <v>2025-04-08 16:17:32</v>
      </c>
      <c r="D58" s="538" t="str">
        <f>IFERROR(__xludf.DUMMYFUNCTION("""COMPUTED_VALUE"""),"completed")</f>
        <v>completed</v>
      </c>
      <c r="E58" s="538" t="str">
        <f>IFERROR(__xludf.DUMMYFUNCTION("""COMPUTED_VALUE"""),"Irene")</f>
        <v>Irene</v>
      </c>
      <c r="F58" s="538" t="str">
        <f>IFERROR(__xludf.DUMMYFUNCTION("""COMPUTED_VALUE"""),"Racca")</f>
        <v>Racca</v>
      </c>
      <c r="G58" s="538" t="str">
        <f>IFERROR(__xludf.DUMMYFUNCTION("""COMPUTED_VALUE"""),"federica.anna.santi@gmail.com")</f>
        <v>federica.anna.santi@gmail.com</v>
      </c>
      <c r="H58" s="538">
        <f>IFERROR(__xludf.DUMMYFUNCTION("""COMPUTED_VALUE"""),3.319851991E9)</f>
        <v>3319851991</v>
      </c>
      <c r="I58" s="538" t="str">
        <f>IFERROR(__xludf.DUMMYFUNCTION("""COMPUTED_VALUE"""),"Milano")</f>
        <v>Milano</v>
      </c>
      <c r="J58" s="538" t="str">
        <f>IFERROR(__xludf.DUMMYFUNCTION("""COMPUTED_VALUE"""),"Corso di Porta Romana 76")</f>
        <v>Corso di Porta Romana 76</v>
      </c>
      <c r="K58" s="538">
        <f>IFERROR(__xludf.DUMMYFUNCTION("""COMPUTED_VALUE"""),20122.0)</f>
        <v>20122</v>
      </c>
      <c r="L58" s="538" t="str">
        <f>IFERROR(__xludf.DUMMYFUNCTION("""COMPUTED_VALUE"""),"Carte di pagamento")</f>
        <v>Carte di pagamento</v>
      </c>
      <c r="M58" s="538" t="str">
        <f>IFERROR(__xludf.DUMMYFUNCTION("""COMPUTED_VALUE"""),"giuditta05campus")</f>
        <v>giuditta05campus</v>
      </c>
      <c r="N58" s="763" t="str">
        <f>IFERROR(__xludf.DUMMYFUNCTION("""COMPUTED_VALUE"""),"62420-1744129053")</f>
        <v>62420-1744129053</v>
      </c>
      <c r="O58" s="762">
        <f>IFERROR(__xludf.DUMMYFUNCTION("""COMPUTED_VALUE"""),0.0)</f>
        <v>0</v>
      </c>
      <c r="P58" s="766">
        <f>IFERROR(__xludf.DUMMYFUNCTION("""COMPUTED_VALUE"""),5.208333333333333)</f>
        <v>5.208333333</v>
      </c>
      <c r="Q58" s="538" t="str">
        <f>IFERROR(__xludf.DUMMYFUNCTION("""COMPUTED_VALUE"""),"EUR")</f>
        <v>EUR</v>
      </c>
      <c r="R58" s="762">
        <f>IFERROR(__xludf.DUMMYFUNCTION("""COMPUTED_VALUE"""),380.0)</f>
        <v>380</v>
      </c>
      <c r="S58" s="538" t="str">
        <f>IFERROR(__xludf.DUMMYFUNCTION("""COMPUTED_VALUE"""),"Campus estivo per bambini e ragazzi 2025 - Campus estivo 2 settimane")</f>
        <v>Campus estivo per bambini e ragazzi 2025 - Campus estivo 2 settimane</v>
      </c>
      <c r="T58" s="763"/>
      <c r="U58" s="763"/>
      <c r="V58" s="762">
        <f>IFERROR(__xludf.DUMMYFUNCTION("""COMPUTED_VALUE"""),1.0)</f>
        <v>1</v>
      </c>
      <c r="W58" s="762">
        <f>IFERROR(__xludf.DUMMYFUNCTION("""COMPUTED_VALUE"""),125.0)</f>
        <v>125</v>
      </c>
      <c r="X58" s="762">
        <f>IFERROR(__xludf.DUMMYFUNCTION("""COMPUTED_VALUE"""),125.0)</f>
        <v>125</v>
      </c>
      <c r="Y58" s="763"/>
      <c r="Z58" s="765" t="str">
        <f>IFERROR(__xludf.DUMMYFUNCTION("""COMPUTED_VALUE"""),"https://studio-gem.it/wp-admin/post.php?post=62420&amp;action=edit")</f>
        <v>https://studio-gem.it/wp-admin/post.php?post=62420&amp;action=edit</v>
      </c>
      <c r="AA58" s="763"/>
      <c r="AB58" s="763"/>
      <c r="AC58" s="763"/>
      <c r="AD58" s="763"/>
      <c r="AE58" s="763"/>
      <c r="AF58" s="763"/>
      <c r="AG58" s="763"/>
      <c r="AH58" s="763"/>
      <c r="AI58" s="763"/>
      <c r="AJ58" s="763"/>
      <c r="AK58" s="763"/>
      <c r="AL58" s="763"/>
      <c r="AM58" s="763"/>
      <c r="AN58" s="763"/>
      <c r="AO58" s="763"/>
      <c r="AP58" s="763"/>
      <c r="AQ58" s="763"/>
      <c r="AR58" s="763"/>
      <c r="AS58" s="763"/>
      <c r="AT58" s="763"/>
      <c r="AU58" s="763"/>
      <c r="AV58" s="763"/>
      <c r="AW58" s="763"/>
      <c r="AX58" s="763"/>
      <c r="AY58" s="763"/>
      <c r="AZ58" s="763"/>
      <c r="BA58" s="763"/>
      <c r="BB58" s="763"/>
      <c r="BC58" s="763"/>
      <c r="BD58" s="763"/>
      <c r="BE58" s="763"/>
      <c r="BF58" s="763"/>
      <c r="BG58" s="763" t="b">
        <f>IFERROR(__xludf.DUMMYFUNCTION("""COMPUTED_VALUE"""),FALSE)</f>
        <v>0</v>
      </c>
      <c r="BH58" s="763" t="b">
        <f>IFERROR(__xludf.DUMMYFUNCTION("""COMPUTED_VALUE"""),TRUE)</f>
        <v>1</v>
      </c>
      <c r="BI58" s="763" t="b">
        <f>IFERROR(__xludf.DUMMYFUNCTION("""COMPUTED_VALUE"""),FALSE)</f>
        <v>0</v>
      </c>
      <c r="BJ58" s="763" t="b">
        <f>IFERROR(__xludf.DUMMYFUNCTION("""COMPUTED_VALUE"""),FALSE)</f>
        <v>0</v>
      </c>
    </row>
    <row r="59">
      <c r="A59" s="762">
        <f>IFERROR(__xludf.DUMMYFUNCTION("""COMPUTED_VALUE"""),62427.0)</f>
        <v>62427</v>
      </c>
      <c r="B59" s="538">
        <f>IFERROR(__xludf.DUMMYFUNCTION("""COMPUTED_VALUE"""),62427.0)</f>
        <v>62427</v>
      </c>
      <c r="C59" s="538" t="str">
        <f>IFERROR(__xludf.DUMMYFUNCTION("""COMPUTED_VALUE"""),"2025-04-09 09:46:29")</f>
        <v>2025-04-09 09:46:29</v>
      </c>
      <c r="D59" s="538" t="str">
        <f>IFERROR(__xludf.DUMMYFUNCTION("""COMPUTED_VALUE"""),"completed")</f>
        <v>completed</v>
      </c>
      <c r="E59" s="538" t="str">
        <f>IFERROR(__xludf.DUMMYFUNCTION("""COMPUTED_VALUE"""),"Valery Natalya Maria")</f>
        <v>Valery Natalya Maria</v>
      </c>
      <c r="F59" s="538" t="str">
        <f>IFERROR(__xludf.DUMMYFUNCTION("""COMPUTED_VALUE"""),"Del Pesco")</f>
        <v>Del Pesco</v>
      </c>
      <c r="G59" s="538" t="str">
        <f>IFERROR(__xludf.DUMMYFUNCTION("""COMPUTED_VALUE"""),"info@andreadelpesco.it")</f>
        <v>info@andreadelpesco.it</v>
      </c>
      <c r="H59" s="538">
        <f>IFERROR(__xludf.DUMMYFUNCTION("""COMPUTED_VALUE"""),3.38236446E9)</f>
        <v>3382364460</v>
      </c>
      <c r="I59" s="538" t="str">
        <f>IFERROR(__xludf.DUMMYFUNCTION("""COMPUTED_VALUE"""),"Milano")</f>
        <v>Milano</v>
      </c>
      <c r="J59" s="538" t="str">
        <f>IFERROR(__xludf.DUMMYFUNCTION("""COMPUTED_VALUE"""),"Via Carlo Fornara, 1")</f>
        <v>Via Carlo Fornara, 1</v>
      </c>
      <c r="K59" s="538">
        <f>IFERROR(__xludf.DUMMYFUNCTION("""COMPUTED_VALUE"""),20147.0)</f>
        <v>20147</v>
      </c>
      <c r="L59" s="538" t="str">
        <f>IFERROR(__xludf.DUMMYFUNCTION("""COMPUTED_VALUE"""),"Carte di pagamento")</f>
        <v>Carte di pagamento</v>
      </c>
      <c r="M59" s="763"/>
      <c r="N59" s="763" t="str">
        <f>IFERROR(__xludf.DUMMYFUNCTION("""COMPUTED_VALUE"""),"62427-1744191990")</f>
        <v>62427-1744191990</v>
      </c>
      <c r="O59" s="762">
        <f>IFERROR(__xludf.DUMMYFUNCTION("""COMPUTED_VALUE"""),0.0)</f>
        <v>0</v>
      </c>
      <c r="P59" s="766">
        <f>IFERROR(__xludf.DUMMYFUNCTION("""COMPUTED_VALUE"""),3.5416666666666665)</f>
        <v>3.541666667</v>
      </c>
      <c r="Q59" s="538" t="str">
        <f>IFERROR(__xludf.DUMMYFUNCTION("""COMPUTED_VALUE"""),"EUR")</f>
        <v>EUR</v>
      </c>
      <c r="R59" s="762">
        <f>IFERROR(__xludf.DUMMYFUNCTION("""COMPUTED_VALUE"""),382.0)</f>
        <v>382</v>
      </c>
      <c r="S59" s="538" t="str">
        <f>IFERROR(__xludf.DUMMYFUNCTION("""COMPUTED_VALUE"""),"Campus estivo di danza per bambine e ragazze 2025 - Campus estivo di danza 1 settimana")</f>
        <v>Campus estivo di danza per bambine e ragazze 2025 - Campus estivo di danza 1 settimana</v>
      </c>
      <c r="T59" s="763"/>
      <c r="U59" s="763"/>
      <c r="V59" s="762">
        <f>IFERROR(__xludf.DUMMYFUNCTION("""COMPUTED_VALUE"""),1.0)</f>
        <v>1</v>
      </c>
      <c r="W59" s="762">
        <f>IFERROR(__xludf.DUMMYFUNCTION("""COMPUTED_VALUE"""),85.0)</f>
        <v>85</v>
      </c>
      <c r="X59" s="762">
        <f>IFERROR(__xludf.DUMMYFUNCTION("""COMPUTED_VALUE"""),85.0)</f>
        <v>85</v>
      </c>
      <c r="Y59" s="763"/>
      <c r="Z59" s="765" t="str">
        <f>IFERROR(__xludf.DUMMYFUNCTION("""COMPUTED_VALUE"""),"https://studio-gem.it/wp-admin/post.php?post=62427&amp;action=edit")</f>
        <v>https://studio-gem.it/wp-admin/post.php?post=62427&amp;action=edit</v>
      </c>
      <c r="AA59" s="763"/>
      <c r="AB59" s="763"/>
      <c r="AC59" s="763"/>
      <c r="AD59" s="763"/>
      <c r="AE59" s="763"/>
      <c r="AF59" s="763"/>
      <c r="AG59" s="763"/>
      <c r="AH59" s="763"/>
      <c r="AI59" s="763"/>
      <c r="AJ59" s="763"/>
      <c r="AK59" s="763"/>
      <c r="AL59" s="763"/>
      <c r="AM59" s="763"/>
      <c r="AN59" s="763"/>
      <c r="AO59" s="763"/>
      <c r="AP59" s="763"/>
      <c r="AQ59" s="763"/>
      <c r="AR59" s="763"/>
      <c r="AS59" s="763"/>
      <c r="AT59" s="763"/>
      <c r="AU59" s="763"/>
      <c r="AV59" s="763"/>
      <c r="AW59" s="763"/>
      <c r="AX59" s="763"/>
      <c r="AY59" s="763"/>
      <c r="AZ59" s="763"/>
      <c r="BA59" s="763"/>
      <c r="BB59" s="763"/>
      <c r="BC59" s="763"/>
      <c r="BD59" s="763"/>
      <c r="BE59" s="763"/>
      <c r="BF59" s="763"/>
      <c r="BG59" s="763" t="b">
        <f>IFERROR(__xludf.DUMMYFUNCTION("""COMPUTED_VALUE"""),FALSE)</f>
        <v>0</v>
      </c>
      <c r="BH59" s="763" t="b">
        <f>IFERROR(__xludf.DUMMYFUNCTION("""COMPUTED_VALUE"""),TRUE)</f>
        <v>1</v>
      </c>
      <c r="BI59" s="763" t="b">
        <f>IFERROR(__xludf.DUMMYFUNCTION("""COMPUTED_VALUE"""),FALSE)</f>
        <v>0</v>
      </c>
      <c r="BJ59" s="763" t="b">
        <f>IFERROR(__xludf.DUMMYFUNCTION("""COMPUTED_VALUE"""),FALSE)</f>
        <v>0</v>
      </c>
    </row>
    <row r="60">
      <c r="A60" s="762">
        <f>IFERROR(__xludf.DUMMYFUNCTION("""COMPUTED_VALUE"""),62462.0)</f>
        <v>62462</v>
      </c>
      <c r="B60" s="538">
        <f>IFERROR(__xludf.DUMMYFUNCTION("""COMPUTED_VALUE"""),62462.0)</f>
        <v>62462</v>
      </c>
      <c r="C60" s="538" t="str">
        <f>IFERROR(__xludf.DUMMYFUNCTION("""COMPUTED_VALUE"""),"2025-04-09 17:29:52")</f>
        <v>2025-04-09 17:29:52</v>
      </c>
      <c r="D60" s="538" t="str">
        <f>IFERROR(__xludf.DUMMYFUNCTION("""COMPUTED_VALUE"""),"completed")</f>
        <v>completed</v>
      </c>
      <c r="E60" s="538" t="str">
        <f>IFERROR(__xludf.DUMMYFUNCTION("""COMPUTED_VALUE"""),"Erika")</f>
        <v>Erika</v>
      </c>
      <c r="F60" s="538" t="str">
        <f>IFERROR(__xludf.DUMMYFUNCTION("""COMPUTED_VALUE"""),"Vetrugno")</f>
        <v>Vetrugno</v>
      </c>
      <c r="G60" s="538" t="str">
        <f>IFERROR(__xludf.DUMMYFUNCTION("""COMPUTED_VALUE"""),"erika.vetrugno@gmail.com")</f>
        <v>erika.vetrugno@gmail.com</v>
      </c>
      <c r="H60" s="538">
        <f>IFERROR(__xludf.DUMMYFUNCTION("""COMPUTED_VALUE"""),3.485299498E9)</f>
        <v>3485299498</v>
      </c>
      <c r="I60" s="538" t="str">
        <f>IFERROR(__xludf.DUMMYFUNCTION("""COMPUTED_VALUE"""),"Milano")</f>
        <v>Milano</v>
      </c>
      <c r="J60" s="538" t="str">
        <f>IFERROR(__xludf.DUMMYFUNCTION("""COMPUTED_VALUE"""),"Via Cesare balbo 2")</f>
        <v>Via Cesare balbo 2</v>
      </c>
      <c r="K60" s="538">
        <f>IFERROR(__xludf.DUMMYFUNCTION("""COMPUTED_VALUE"""),20136.0)</f>
        <v>20136</v>
      </c>
      <c r="L60" s="538" t="str">
        <f>IFERROR(__xludf.DUMMYFUNCTION("""COMPUTED_VALUE"""),"Satispay")</f>
        <v>Satispay</v>
      </c>
      <c r="M60" s="538" t="str">
        <f>IFERROR(__xludf.DUMMYFUNCTION("""COMPUTED_VALUE"""),"giuditta05campus")</f>
        <v>giuditta05campus</v>
      </c>
      <c r="N60" s="763" t="str">
        <f>IFERROR(__xludf.DUMMYFUNCTION("""COMPUTED_VALUE"""),"c8226c83-83bc-4258-a12a-a82ac02b2140")</f>
        <v>c8226c83-83bc-4258-a12a-a82ac02b2140</v>
      </c>
      <c r="O60" s="762">
        <f>IFERROR(__xludf.DUMMYFUNCTION("""COMPUTED_VALUE"""),0.0)</f>
        <v>0</v>
      </c>
      <c r="P60" s="766">
        <f>IFERROR(__xludf.DUMMYFUNCTION("""COMPUTED_VALUE"""),5.208333333333333)</f>
        <v>5.208333333</v>
      </c>
      <c r="Q60" s="538" t="str">
        <f>IFERROR(__xludf.DUMMYFUNCTION("""COMPUTED_VALUE"""),"EUR")</f>
        <v>EUR</v>
      </c>
      <c r="R60" s="762">
        <f>IFERROR(__xludf.DUMMYFUNCTION("""COMPUTED_VALUE"""),383.0)</f>
        <v>383</v>
      </c>
      <c r="S60" s="538" t="str">
        <f>IFERROR(__xludf.DUMMYFUNCTION("""COMPUTED_VALUE"""),"Campus estivo per bambini e ragazzi 2025 - Campus estivo 2 settimane")</f>
        <v>Campus estivo per bambini e ragazzi 2025 - Campus estivo 2 settimane</v>
      </c>
      <c r="T60" s="763"/>
      <c r="U60" s="763"/>
      <c r="V60" s="762">
        <f>IFERROR(__xludf.DUMMYFUNCTION("""COMPUTED_VALUE"""),1.0)</f>
        <v>1</v>
      </c>
      <c r="W60" s="762">
        <f>IFERROR(__xludf.DUMMYFUNCTION("""COMPUTED_VALUE"""),125.0)</f>
        <v>125</v>
      </c>
      <c r="X60" s="762">
        <f>IFERROR(__xludf.DUMMYFUNCTION("""COMPUTED_VALUE"""),125.0)</f>
        <v>125</v>
      </c>
      <c r="Y60" s="763"/>
      <c r="Z60" s="765" t="str">
        <f>IFERROR(__xludf.DUMMYFUNCTION("""COMPUTED_VALUE"""),"https://studio-gem.it/wp-admin/post.php?post=62462&amp;action=edit")</f>
        <v>https://studio-gem.it/wp-admin/post.php?post=62462&amp;action=edit</v>
      </c>
      <c r="AA60" s="763"/>
      <c r="AB60" s="763"/>
      <c r="AC60" s="763"/>
      <c r="AD60" s="763"/>
      <c r="AE60" s="763"/>
      <c r="AF60" s="763"/>
      <c r="AG60" s="763"/>
      <c r="AH60" s="763"/>
      <c r="AI60" s="763"/>
      <c r="AJ60" s="763"/>
      <c r="AK60" s="763"/>
      <c r="AL60" s="763"/>
      <c r="AM60" s="763"/>
      <c r="AN60" s="763"/>
      <c r="AO60" s="763"/>
      <c r="AP60" s="763"/>
      <c r="AQ60" s="763"/>
      <c r="AR60" s="763"/>
      <c r="AS60" s="763"/>
      <c r="AT60" s="763"/>
      <c r="AU60" s="763"/>
      <c r="AV60" s="763"/>
      <c r="AW60" s="763"/>
      <c r="AX60" s="763"/>
      <c r="AY60" s="763"/>
      <c r="AZ60" s="763"/>
      <c r="BA60" s="763"/>
      <c r="BB60" s="763"/>
      <c r="BC60" s="763"/>
      <c r="BD60" s="763"/>
      <c r="BE60" s="763"/>
      <c r="BF60" s="763"/>
      <c r="BG60" s="763" t="b">
        <f>IFERROR(__xludf.DUMMYFUNCTION("""COMPUTED_VALUE"""),FALSE)</f>
        <v>0</v>
      </c>
      <c r="BH60" s="763" t="b">
        <f>IFERROR(__xludf.DUMMYFUNCTION("""COMPUTED_VALUE"""),TRUE)</f>
        <v>1</v>
      </c>
      <c r="BI60" s="763" t="b">
        <f>IFERROR(__xludf.DUMMYFUNCTION("""COMPUTED_VALUE"""),FALSE)</f>
        <v>0</v>
      </c>
      <c r="BJ60" s="763" t="b">
        <f>IFERROR(__xludf.DUMMYFUNCTION("""COMPUTED_VALUE"""),FALSE)</f>
        <v>0</v>
      </c>
    </row>
    <row r="61">
      <c r="A61" s="762">
        <f>IFERROR(__xludf.DUMMYFUNCTION("""COMPUTED_VALUE"""),62527.0)</f>
        <v>62527</v>
      </c>
      <c r="B61" s="538">
        <f>IFERROR(__xludf.DUMMYFUNCTION("""COMPUTED_VALUE"""),62527.0)</f>
        <v>62527</v>
      </c>
      <c r="C61" s="538" t="str">
        <f>IFERROR(__xludf.DUMMYFUNCTION("""COMPUTED_VALUE"""),"2025-04-10 18:06:33")</f>
        <v>2025-04-10 18:06:33</v>
      </c>
      <c r="D61" s="538" t="str">
        <f>IFERROR(__xludf.DUMMYFUNCTION("""COMPUTED_VALUE"""),"completed")</f>
        <v>completed</v>
      </c>
      <c r="E61" s="538" t="str">
        <f>IFERROR(__xludf.DUMMYFUNCTION("""COMPUTED_VALUE"""),"ARSINOI")</f>
        <v>ARSINOI</v>
      </c>
      <c r="F61" s="538" t="str">
        <f>IFERROR(__xludf.DUMMYFUNCTION("""COMPUTED_VALUE"""),"PAPAGEORGIOU")</f>
        <v>PAPAGEORGIOU</v>
      </c>
      <c r="G61" s="538" t="str">
        <f>IFERROR(__xludf.DUMMYFUNCTION("""COMPUTED_VALUE"""),"chryssait@yahoo.it")</f>
        <v>chryssait@yahoo.it</v>
      </c>
      <c r="H61" s="538" t="str">
        <f>IFERROR(__xludf.DUMMYFUNCTION("""COMPUTED_VALUE"""),"+393479702038")</f>
        <v>+393479702038</v>
      </c>
      <c r="I61" s="538" t="str">
        <f>IFERROR(__xludf.DUMMYFUNCTION("""COMPUTED_VALUE"""),"Milano")</f>
        <v>Milano</v>
      </c>
      <c r="J61" s="538" t="str">
        <f>IFERROR(__xludf.DUMMYFUNCTION("""COMPUTED_VALUE"""),"Via Cesare Balbo 22, Milano")</f>
        <v>Via Cesare Balbo 22, Milano</v>
      </c>
      <c r="K61" s="538">
        <f>IFERROR(__xludf.DUMMYFUNCTION("""COMPUTED_VALUE"""),20136.0)</f>
        <v>20136</v>
      </c>
      <c r="L61" s="538" t="str">
        <f>IFERROR(__xludf.DUMMYFUNCTION("""COMPUTED_VALUE"""),"Carte di pagamento")</f>
        <v>Carte di pagamento</v>
      </c>
      <c r="M61" s="763"/>
      <c r="N61" s="763" t="str">
        <f>IFERROR(__xludf.DUMMYFUNCTION("""COMPUTED_VALUE"""),"62527-1744308395")</f>
        <v>62527-1744308395</v>
      </c>
      <c r="O61" s="762">
        <f>IFERROR(__xludf.DUMMYFUNCTION("""COMPUTED_VALUE"""),0.0)</f>
        <v>0</v>
      </c>
      <c r="P61" s="766">
        <f>IFERROR(__xludf.DUMMYFUNCTION("""COMPUTED_VALUE"""),2.9166666666666665)</f>
        <v>2.916666667</v>
      </c>
      <c r="Q61" s="538" t="str">
        <f>IFERROR(__xludf.DUMMYFUNCTION("""COMPUTED_VALUE"""),"EUR")</f>
        <v>EUR</v>
      </c>
      <c r="R61" s="762">
        <f>IFERROR(__xludf.DUMMYFUNCTION("""COMPUTED_VALUE"""),385.0)</f>
        <v>385</v>
      </c>
      <c r="S61" s="538" t="str">
        <f>IFERROR(__xludf.DUMMYFUNCTION("""COMPUTED_VALUE"""),"Campus estivo per bambini e ragazzi 2025 - Campus estivo 1 settimana")</f>
        <v>Campus estivo per bambini e ragazzi 2025 - Campus estivo 1 settimana</v>
      </c>
      <c r="T61" s="763"/>
      <c r="U61" s="763"/>
      <c r="V61" s="762">
        <f>IFERROR(__xludf.DUMMYFUNCTION("""COMPUTED_VALUE"""),1.0)</f>
        <v>1</v>
      </c>
      <c r="W61" s="762">
        <f>IFERROR(__xludf.DUMMYFUNCTION("""COMPUTED_VALUE"""),70.0)</f>
        <v>70</v>
      </c>
      <c r="X61" s="762">
        <f>IFERROR(__xludf.DUMMYFUNCTION("""COMPUTED_VALUE"""),70.0)</f>
        <v>70</v>
      </c>
      <c r="Y61" s="538" t="str">
        <f>IFERROR(__xludf.DUMMYFUNCTION("""COMPUTED_VALUE"""),"chiedo l'iscrizione per la seconda settimana di campus")</f>
        <v>chiedo l'iscrizione per la seconda settimana di campus</v>
      </c>
      <c r="Z61" s="765" t="str">
        <f>IFERROR(__xludf.DUMMYFUNCTION("""COMPUTED_VALUE"""),"https://studio-gem.it/wp-admin/post.php?post=62527&amp;action=edit")</f>
        <v>https://studio-gem.it/wp-admin/post.php?post=62527&amp;action=edit</v>
      </c>
      <c r="AA61" s="763"/>
      <c r="AB61" s="763"/>
      <c r="AC61" s="763"/>
      <c r="AD61" s="763"/>
      <c r="AE61" s="763"/>
      <c r="AF61" s="763"/>
      <c r="AG61" s="763"/>
      <c r="AH61" s="763"/>
      <c r="AI61" s="763"/>
      <c r="AJ61" s="763"/>
      <c r="AK61" s="763"/>
      <c r="AL61" s="763"/>
      <c r="AM61" s="763"/>
      <c r="AN61" s="763"/>
      <c r="AO61" s="763"/>
      <c r="AP61" s="763"/>
      <c r="AQ61" s="763"/>
      <c r="AR61" s="763"/>
      <c r="AS61" s="763"/>
      <c r="AT61" s="763"/>
      <c r="AU61" s="763"/>
      <c r="AV61" s="763"/>
      <c r="AW61" s="763"/>
      <c r="AX61" s="763"/>
      <c r="AY61" s="763"/>
      <c r="AZ61" s="763"/>
      <c r="BA61" s="763"/>
      <c r="BB61" s="763"/>
      <c r="BC61" s="763"/>
      <c r="BD61" s="763"/>
      <c r="BE61" s="763"/>
      <c r="BF61" s="763"/>
      <c r="BG61" s="763" t="b">
        <f>IFERROR(__xludf.DUMMYFUNCTION("""COMPUTED_VALUE"""),FALSE)</f>
        <v>0</v>
      </c>
      <c r="BH61" s="763" t="b">
        <f>IFERROR(__xludf.DUMMYFUNCTION("""COMPUTED_VALUE"""),TRUE)</f>
        <v>1</v>
      </c>
      <c r="BI61" s="763" t="b">
        <f>IFERROR(__xludf.DUMMYFUNCTION("""COMPUTED_VALUE"""),FALSE)</f>
        <v>0</v>
      </c>
      <c r="BJ61" s="763" t="b">
        <f>IFERROR(__xludf.DUMMYFUNCTION("""COMPUTED_VALUE"""),FALSE)</f>
        <v>0</v>
      </c>
    </row>
    <row r="62">
      <c r="A62" s="762">
        <f>IFERROR(__xludf.DUMMYFUNCTION("""COMPUTED_VALUE"""),62570.0)</f>
        <v>62570</v>
      </c>
      <c r="B62" s="538">
        <f>IFERROR(__xludf.DUMMYFUNCTION("""COMPUTED_VALUE"""),62570.0)</f>
        <v>62570</v>
      </c>
      <c r="C62" s="538" t="str">
        <f>IFERROR(__xludf.DUMMYFUNCTION("""COMPUTED_VALUE"""),"2025-04-14 07:31:22")</f>
        <v>2025-04-14 07:31:22</v>
      </c>
      <c r="D62" s="538" t="str">
        <f>IFERROR(__xludf.DUMMYFUNCTION("""COMPUTED_VALUE"""),"completed")</f>
        <v>completed</v>
      </c>
      <c r="E62" s="538" t="str">
        <f>IFERROR(__xludf.DUMMYFUNCTION("""COMPUTED_VALUE"""),"Noemi")</f>
        <v>Noemi</v>
      </c>
      <c r="F62" s="538" t="str">
        <f>IFERROR(__xludf.DUMMYFUNCTION("""COMPUTED_VALUE"""),"Magnanini")</f>
        <v>Magnanini</v>
      </c>
      <c r="G62" s="538" t="str">
        <f>IFERROR(__xludf.DUMMYFUNCTION("""COMPUTED_VALUE"""),"noemimagnanini@gmail.com")</f>
        <v>noemimagnanini@gmail.com</v>
      </c>
      <c r="H62" s="538">
        <f>IFERROR(__xludf.DUMMYFUNCTION("""COMPUTED_VALUE"""),3.209250558E9)</f>
        <v>3209250558</v>
      </c>
      <c r="I62" s="538" t="str">
        <f>IFERROR(__xludf.DUMMYFUNCTION("""COMPUTED_VALUE"""),"Milano")</f>
        <v>Milano</v>
      </c>
      <c r="J62" s="538" t="str">
        <f>IFERROR(__xludf.DUMMYFUNCTION("""COMPUTED_VALUE"""),"VIALE E. CALDARA 30")</f>
        <v>VIALE E. CALDARA 30</v>
      </c>
      <c r="K62" s="538">
        <f>IFERROR(__xludf.DUMMYFUNCTION("""COMPUTED_VALUE"""),20122.0)</f>
        <v>20122</v>
      </c>
      <c r="L62" s="538" t="str">
        <f>IFERROR(__xludf.DUMMYFUNCTION("""COMPUTED_VALUE"""),"Carte di pagamento")</f>
        <v>Carte di pagamento</v>
      </c>
      <c r="M62" s="538" t="str">
        <f>IFERROR(__xludf.DUMMYFUNCTION("""COMPUTED_VALUE"""),"alexandra05campus")</f>
        <v>alexandra05campus</v>
      </c>
      <c r="N62" s="763" t="str">
        <f>IFERROR(__xludf.DUMMYFUNCTION("""COMPUTED_VALUE"""),"62570-1744615884")</f>
        <v>62570-1744615884</v>
      </c>
      <c r="O62" s="762">
        <f>IFERROR(__xludf.DUMMYFUNCTION("""COMPUTED_VALUE"""),0.0)</f>
        <v>0</v>
      </c>
      <c r="P62" s="766">
        <f>IFERROR(__xludf.DUMMYFUNCTION("""COMPUTED_VALUE"""),2.7083333333333335)</f>
        <v>2.708333333</v>
      </c>
      <c r="Q62" s="538" t="str">
        <f>IFERROR(__xludf.DUMMYFUNCTION("""COMPUTED_VALUE"""),"EUR")</f>
        <v>EUR</v>
      </c>
      <c r="R62" s="762">
        <f>IFERROR(__xludf.DUMMYFUNCTION("""COMPUTED_VALUE"""),386.0)</f>
        <v>386</v>
      </c>
      <c r="S62" s="538" t="str">
        <f>IFERROR(__xludf.DUMMYFUNCTION("""COMPUTED_VALUE"""),"Campus estivo per bambini e ragazzi 2025 - Campus estivo 1 settimana")</f>
        <v>Campus estivo per bambini e ragazzi 2025 - Campus estivo 1 settimana</v>
      </c>
      <c r="T62" s="763"/>
      <c r="U62" s="763"/>
      <c r="V62" s="762">
        <f>IFERROR(__xludf.DUMMYFUNCTION("""COMPUTED_VALUE"""),1.0)</f>
        <v>1</v>
      </c>
      <c r="W62" s="762">
        <f>IFERROR(__xludf.DUMMYFUNCTION("""COMPUTED_VALUE"""),65.0)</f>
        <v>65</v>
      </c>
      <c r="X62" s="762">
        <f>IFERROR(__xludf.DUMMYFUNCTION("""COMPUTED_VALUE"""),65.0)</f>
        <v>65</v>
      </c>
      <c r="Y62" s="538" t="str">
        <f>IFERROR(__xludf.DUMMYFUNCTION("""COMPUTED_VALUE"""),"Settimana del 23 GIUGNO 2025 - Martina è già tesserata")</f>
        <v>Settimana del 23 GIUGNO 2025 - Martina è già tesserata</v>
      </c>
      <c r="Z62" s="765" t="str">
        <f>IFERROR(__xludf.DUMMYFUNCTION("""COMPUTED_VALUE"""),"https://studio-gem.it/wp-admin/post.php?post=62570&amp;action=edit")</f>
        <v>https://studio-gem.it/wp-admin/post.php?post=62570&amp;action=edit</v>
      </c>
      <c r="AA62" s="763"/>
      <c r="AB62" s="763"/>
      <c r="AC62" s="763"/>
      <c r="AD62" s="763"/>
      <c r="AE62" s="763"/>
      <c r="AF62" s="763"/>
      <c r="AG62" s="763"/>
      <c r="AH62" s="763"/>
      <c r="AI62" s="763"/>
      <c r="AJ62" s="763"/>
      <c r="AK62" s="763"/>
      <c r="AL62" s="763"/>
      <c r="AM62" s="763"/>
      <c r="AN62" s="763"/>
      <c r="AO62" s="763"/>
      <c r="AP62" s="763"/>
      <c r="AQ62" s="763"/>
      <c r="AR62" s="763"/>
      <c r="AS62" s="763"/>
      <c r="AT62" s="763"/>
      <c r="AU62" s="763"/>
      <c r="AV62" s="763"/>
      <c r="AW62" s="763"/>
      <c r="AX62" s="763"/>
      <c r="AY62" s="763"/>
      <c r="AZ62" s="763"/>
      <c r="BA62" s="763"/>
      <c r="BB62" s="763"/>
      <c r="BC62" s="763"/>
      <c r="BD62" s="763"/>
      <c r="BE62" s="763"/>
      <c r="BF62" s="763"/>
      <c r="BG62" s="763" t="b">
        <f>IFERROR(__xludf.DUMMYFUNCTION("""COMPUTED_VALUE"""),FALSE)</f>
        <v>0</v>
      </c>
      <c r="BH62" s="763" t="b">
        <f>IFERROR(__xludf.DUMMYFUNCTION("""COMPUTED_VALUE"""),TRUE)</f>
        <v>1</v>
      </c>
      <c r="BI62" s="763" t="b">
        <f>IFERROR(__xludf.DUMMYFUNCTION("""COMPUTED_VALUE"""),FALSE)</f>
        <v>0</v>
      </c>
      <c r="BJ62" s="763" t="b">
        <f>IFERROR(__xludf.DUMMYFUNCTION("""COMPUTED_VALUE"""),FALSE)</f>
        <v>0</v>
      </c>
    </row>
    <row r="63">
      <c r="A63" s="762">
        <f>IFERROR(__xludf.DUMMYFUNCTION("""COMPUTED_VALUE"""),62578.0)</f>
        <v>62578</v>
      </c>
      <c r="B63" s="538">
        <f>IFERROR(__xludf.DUMMYFUNCTION("""COMPUTED_VALUE"""),62578.0)</f>
        <v>62578</v>
      </c>
      <c r="C63" s="538" t="str">
        <f>IFERROR(__xludf.DUMMYFUNCTION("""COMPUTED_VALUE"""),"2025-04-15 07:34:14")</f>
        <v>2025-04-15 07:34:14</v>
      </c>
      <c r="D63" s="538" t="str">
        <f>IFERROR(__xludf.DUMMYFUNCTION("""COMPUTED_VALUE"""),"completed")</f>
        <v>completed</v>
      </c>
      <c r="E63" s="538" t="str">
        <f>IFERROR(__xludf.DUMMYFUNCTION("""COMPUTED_VALUE"""),"ALBA")</f>
        <v>ALBA</v>
      </c>
      <c r="F63" s="538" t="str">
        <f>IFERROR(__xludf.DUMMYFUNCTION("""COMPUTED_VALUE"""),"LAVATELLI")</f>
        <v>LAVATELLI</v>
      </c>
      <c r="G63" s="538" t="str">
        <f>IFERROR(__xludf.DUMMYFUNCTION("""COMPUTED_VALUE"""),"metcalfe.rebeccajane@gmail.com")</f>
        <v>metcalfe.rebeccajane@gmail.com</v>
      </c>
      <c r="H63" s="538">
        <f>IFERROR(__xludf.DUMMYFUNCTION("""COMPUTED_VALUE"""),3.473685878E9)</f>
        <v>3473685878</v>
      </c>
      <c r="I63" s="538" t="str">
        <f>IFERROR(__xludf.DUMMYFUNCTION("""COMPUTED_VALUE"""),"Milano")</f>
        <v>Milano</v>
      </c>
      <c r="J63" s="538" t="str">
        <f>IFERROR(__xludf.DUMMYFUNCTION("""COMPUTED_VALUE"""),"Via Spartaco 38")</f>
        <v>Via Spartaco 38</v>
      </c>
      <c r="K63" s="538">
        <f>IFERROR(__xludf.DUMMYFUNCTION("""COMPUTED_VALUE"""),20135.0)</f>
        <v>20135</v>
      </c>
      <c r="L63" s="538" t="str">
        <f>IFERROR(__xludf.DUMMYFUNCTION("""COMPUTED_VALUE"""),"Carte di pagamento")</f>
        <v>Carte di pagamento</v>
      </c>
      <c r="M63" s="763"/>
      <c r="N63" s="763" t="str">
        <f>IFERROR(__xludf.DUMMYFUNCTION("""COMPUTED_VALUE"""),"62578-1744702455")</f>
        <v>62578-1744702455</v>
      </c>
      <c r="O63" s="762">
        <f>IFERROR(__xludf.DUMMYFUNCTION("""COMPUTED_VALUE"""),0.0)</f>
        <v>0</v>
      </c>
      <c r="P63" s="766">
        <f>IFERROR(__xludf.DUMMYFUNCTION("""COMPUTED_VALUE"""),5.416666666666667)</f>
        <v>5.416666667</v>
      </c>
      <c r="Q63" s="538" t="str">
        <f>IFERROR(__xludf.DUMMYFUNCTION("""COMPUTED_VALUE"""),"EUR")</f>
        <v>EUR</v>
      </c>
      <c r="R63" s="762">
        <f>IFERROR(__xludf.DUMMYFUNCTION("""COMPUTED_VALUE"""),388.0)</f>
        <v>388</v>
      </c>
      <c r="S63" s="538" t="str">
        <f>IFERROR(__xludf.DUMMYFUNCTION("""COMPUTED_VALUE"""),"Campus estivo per bambini e ragazzi 2025 - Campus estivo 2 settimane")</f>
        <v>Campus estivo per bambini e ragazzi 2025 - Campus estivo 2 settimane</v>
      </c>
      <c r="T63" s="763"/>
      <c r="U63" s="763"/>
      <c r="V63" s="762">
        <f>IFERROR(__xludf.DUMMYFUNCTION("""COMPUTED_VALUE"""),1.0)</f>
        <v>1</v>
      </c>
      <c r="W63" s="762">
        <f>IFERROR(__xludf.DUMMYFUNCTION("""COMPUTED_VALUE"""),130.0)</f>
        <v>130</v>
      </c>
      <c r="X63" s="762">
        <f>IFERROR(__xludf.DUMMYFUNCTION("""COMPUTED_VALUE"""),130.0)</f>
        <v>130</v>
      </c>
      <c r="Y63" s="763"/>
      <c r="Z63" s="765" t="str">
        <f>IFERROR(__xludf.DUMMYFUNCTION("""COMPUTED_VALUE"""),"https://studio-gem.it/wp-admin/post.php?post=62578&amp;action=edit")</f>
        <v>https://studio-gem.it/wp-admin/post.php?post=62578&amp;action=edit</v>
      </c>
      <c r="AA63" s="763"/>
      <c r="AB63" s="763"/>
      <c r="AC63" s="763"/>
      <c r="AD63" s="763"/>
      <c r="AE63" s="763"/>
      <c r="AF63" s="763"/>
      <c r="AG63" s="763"/>
      <c r="AH63" s="763"/>
      <c r="AI63" s="763"/>
      <c r="AJ63" s="763"/>
      <c r="AK63" s="763"/>
      <c r="AL63" s="763"/>
      <c r="AM63" s="763"/>
      <c r="AN63" s="763"/>
      <c r="AO63" s="763"/>
      <c r="AP63" s="763"/>
      <c r="AQ63" s="763"/>
      <c r="AR63" s="763"/>
      <c r="AS63" s="763"/>
      <c r="AT63" s="763"/>
      <c r="AU63" s="763"/>
      <c r="AV63" s="763"/>
      <c r="AW63" s="763"/>
      <c r="AX63" s="763"/>
      <c r="AY63" s="763"/>
      <c r="AZ63" s="763"/>
      <c r="BA63" s="763"/>
      <c r="BB63" s="763"/>
      <c r="BC63" s="763"/>
      <c r="BD63" s="763"/>
      <c r="BE63" s="763"/>
      <c r="BF63" s="763"/>
      <c r="BG63" s="763" t="b">
        <f>IFERROR(__xludf.DUMMYFUNCTION("""COMPUTED_VALUE"""),FALSE)</f>
        <v>0</v>
      </c>
      <c r="BH63" s="763" t="b">
        <f>IFERROR(__xludf.DUMMYFUNCTION("""COMPUTED_VALUE"""),TRUE)</f>
        <v>1</v>
      </c>
      <c r="BI63" s="763" t="b">
        <f>IFERROR(__xludf.DUMMYFUNCTION("""COMPUTED_VALUE"""),FALSE)</f>
        <v>0</v>
      </c>
      <c r="BJ63" s="763" t="b">
        <f>IFERROR(__xludf.DUMMYFUNCTION("""COMPUTED_VALUE"""),FALSE)</f>
        <v>0</v>
      </c>
    </row>
    <row r="64">
      <c r="A64" s="762">
        <f>IFERROR(__xludf.DUMMYFUNCTION("""COMPUTED_VALUE"""),62587.0)</f>
        <v>62587</v>
      </c>
      <c r="B64" s="538">
        <f>IFERROR(__xludf.DUMMYFUNCTION("""COMPUTED_VALUE"""),62587.0)</f>
        <v>62587</v>
      </c>
      <c r="C64" s="538" t="str">
        <f>IFERROR(__xludf.DUMMYFUNCTION("""COMPUTED_VALUE"""),"2025-04-15 16:52:21")</f>
        <v>2025-04-15 16:52:21</v>
      </c>
      <c r="D64" s="538" t="str">
        <f>IFERROR(__xludf.DUMMYFUNCTION("""COMPUTED_VALUE"""),"completed")</f>
        <v>completed</v>
      </c>
      <c r="E64" s="538" t="str">
        <f>IFERROR(__xludf.DUMMYFUNCTION("""COMPUTED_VALUE"""),"Silvia")</f>
        <v>Silvia</v>
      </c>
      <c r="F64" s="538" t="str">
        <f>IFERROR(__xludf.DUMMYFUNCTION("""COMPUTED_VALUE"""),"Andena")</f>
        <v>Andena</v>
      </c>
      <c r="G64" s="538" t="str">
        <f>IFERROR(__xludf.DUMMYFUNCTION("""COMPUTED_VALUE"""),"silviaandena@hotmail.com")</f>
        <v>silviaandena@hotmail.com</v>
      </c>
      <c r="H64" s="538">
        <f>IFERROR(__xludf.DUMMYFUNCTION("""COMPUTED_VALUE"""),3.384272229E9)</f>
        <v>3384272229</v>
      </c>
      <c r="I64" s="538" t="str">
        <f>IFERROR(__xludf.DUMMYFUNCTION("""COMPUTED_VALUE"""),"Milano")</f>
        <v>Milano</v>
      </c>
      <c r="J64" s="538" t="str">
        <f>IFERROR(__xludf.DUMMYFUNCTION("""COMPUTED_VALUE"""),"Via Ettore Ponti 47/A")</f>
        <v>Via Ettore Ponti 47/A</v>
      </c>
      <c r="K64" s="538">
        <f>IFERROR(__xludf.DUMMYFUNCTION("""COMPUTED_VALUE"""),20143.0)</f>
        <v>20143</v>
      </c>
      <c r="L64" s="538" t="str">
        <f>IFERROR(__xludf.DUMMYFUNCTION("""COMPUTED_VALUE"""),"Carte di pagamento")</f>
        <v>Carte di pagamento</v>
      </c>
      <c r="M64" s="538" t="str">
        <f>IFERROR(__xludf.DUMMYFUNCTION("""COMPUTED_VALUE"""),"joel05campus")</f>
        <v>joel05campus</v>
      </c>
      <c r="N64" s="763" t="str">
        <f>IFERROR(__xludf.DUMMYFUNCTION("""COMPUTED_VALUE"""),"62587-1744735943")</f>
        <v>62587-1744735943</v>
      </c>
      <c r="O64" s="762">
        <f>IFERROR(__xludf.DUMMYFUNCTION("""COMPUTED_VALUE"""),0.0)</f>
        <v>0</v>
      </c>
      <c r="P64" s="766">
        <f>IFERROR(__xludf.DUMMYFUNCTION("""COMPUTED_VALUE"""),5.208333333333333)</f>
        <v>5.208333333</v>
      </c>
      <c r="Q64" s="538" t="str">
        <f>IFERROR(__xludf.DUMMYFUNCTION("""COMPUTED_VALUE"""),"EUR")</f>
        <v>EUR</v>
      </c>
      <c r="R64" s="762">
        <f>IFERROR(__xludf.DUMMYFUNCTION("""COMPUTED_VALUE"""),389.0)</f>
        <v>389</v>
      </c>
      <c r="S64" s="538" t="str">
        <f>IFERROR(__xludf.DUMMYFUNCTION("""COMPUTED_VALUE"""),"Campus estivo per bambini e ragazzi 2025 - Campus estivo 2 settimane")</f>
        <v>Campus estivo per bambini e ragazzi 2025 - Campus estivo 2 settimane</v>
      </c>
      <c r="T64" s="763"/>
      <c r="U64" s="763"/>
      <c r="V64" s="762">
        <f>IFERROR(__xludf.DUMMYFUNCTION("""COMPUTED_VALUE"""),1.0)</f>
        <v>1</v>
      </c>
      <c r="W64" s="762">
        <f>IFERROR(__xludf.DUMMYFUNCTION("""COMPUTED_VALUE"""),125.0)</f>
        <v>125</v>
      </c>
      <c r="X64" s="762">
        <f>IFERROR(__xludf.DUMMYFUNCTION("""COMPUTED_VALUE"""),125.0)</f>
        <v>125</v>
      </c>
      <c r="Y64" s="538" t="str">
        <f>IFERROR(__xludf.DUMMYFUNCTION("""COMPUTED_VALUE"""),"settimane dal 9 al 20 giugno")</f>
        <v>settimane dal 9 al 20 giugno</v>
      </c>
      <c r="Z64" s="765" t="str">
        <f>IFERROR(__xludf.DUMMYFUNCTION("""COMPUTED_VALUE"""),"https://studio-gem.it/wp-admin/post.php?post=62587&amp;action=edit")</f>
        <v>https://studio-gem.it/wp-admin/post.php?post=62587&amp;action=edit</v>
      </c>
      <c r="AA64" s="763"/>
      <c r="AB64" s="763"/>
      <c r="AC64" s="763"/>
      <c r="AD64" s="763"/>
      <c r="AE64" s="763"/>
      <c r="AF64" s="763"/>
      <c r="AG64" s="763"/>
      <c r="AH64" s="763"/>
      <c r="AI64" s="763"/>
      <c r="AJ64" s="763"/>
      <c r="AK64" s="763"/>
      <c r="AL64" s="763"/>
      <c r="AM64" s="763"/>
      <c r="AN64" s="763"/>
      <c r="AO64" s="763"/>
      <c r="AP64" s="763"/>
      <c r="AQ64" s="763"/>
      <c r="AR64" s="763"/>
      <c r="AS64" s="763"/>
      <c r="AT64" s="763"/>
      <c r="AU64" s="763"/>
      <c r="AV64" s="763"/>
      <c r="AW64" s="763"/>
      <c r="AX64" s="763"/>
      <c r="AY64" s="763"/>
      <c r="AZ64" s="763"/>
      <c r="BA64" s="763"/>
      <c r="BB64" s="763"/>
      <c r="BC64" s="763"/>
      <c r="BD64" s="763"/>
      <c r="BE64" s="763"/>
      <c r="BF64" s="763"/>
      <c r="BG64" s="763" t="b">
        <f>IFERROR(__xludf.DUMMYFUNCTION("""COMPUTED_VALUE"""),FALSE)</f>
        <v>0</v>
      </c>
      <c r="BH64" s="763" t="b">
        <f>IFERROR(__xludf.DUMMYFUNCTION("""COMPUTED_VALUE"""),TRUE)</f>
        <v>1</v>
      </c>
      <c r="BI64" s="763" t="b">
        <f>IFERROR(__xludf.DUMMYFUNCTION("""COMPUTED_VALUE"""),FALSE)</f>
        <v>0</v>
      </c>
      <c r="BJ64" s="763" t="b">
        <f>IFERROR(__xludf.DUMMYFUNCTION("""COMPUTED_VALUE"""),FALSE)</f>
        <v>0</v>
      </c>
    </row>
    <row r="65">
      <c r="A65" s="762">
        <f>IFERROR(__xludf.DUMMYFUNCTION("""COMPUTED_VALUE"""),62614.0)</f>
        <v>62614</v>
      </c>
      <c r="B65" s="538">
        <f>IFERROR(__xludf.DUMMYFUNCTION("""COMPUTED_VALUE"""),62614.0)</f>
        <v>62614</v>
      </c>
      <c r="C65" s="538" t="str">
        <f>IFERROR(__xludf.DUMMYFUNCTION("""COMPUTED_VALUE"""),"2025-04-21 19:02:57")</f>
        <v>2025-04-21 19:02:57</v>
      </c>
      <c r="D65" s="538" t="str">
        <f>IFERROR(__xludf.DUMMYFUNCTION("""COMPUTED_VALUE"""),"completed")</f>
        <v>completed</v>
      </c>
      <c r="E65" s="538" t="str">
        <f>IFERROR(__xludf.DUMMYFUNCTION("""COMPUTED_VALUE"""),"Elena")</f>
        <v>Elena</v>
      </c>
      <c r="F65" s="538" t="str">
        <f>IFERROR(__xludf.DUMMYFUNCTION("""COMPUTED_VALUE"""),"Papa")</f>
        <v>Papa</v>
      </c>
      <c r="G65" s="538" t="str">
        <f>IFERROR(__xludf.DUMMYFUNCTION("""COMPUTED_VALUE"""),"Epapa60@gmail.com")</f>
        <v>Epapa60@gmail.com</v>
      </c>
      <c r="H65" s="538">
        <f>IFERROR(__xludf.DUMMYFUNCTION("""COMPUTED_VALUE"""),3.446218084E9)</f>
        <v>3446218084</v>
      </c>
      <c r="I65" s="538" t="str">
        <f>IFERROR(__xludf.DUMMYFUNCTION("""COMPUTED_VALUE"""),"Milano")</f>
        <v>Milano</v>
      </c>
      <c r="J65" s="538" t="str">
        <f>IFERROR(__xludf.DUMMYFUNCTION("""COMPUTED_VALUE"""),"Via san senatore 5")</f>
        <v>Via san senatore 5</v>
      </c>
      <c r="K65" s="538">
        <f>IFERROR(__xludf.DUMMYFUNCTION("""COMPUTED_VALUE"""),20122.0)</f>
        <v>20122</v>
      </c>
      <c r="L65" s="538" t="str">
        <f>IFERROR(__xludf.DUMMYFUNCTION("""COMPUTED_VALUE"""),"Google Pay")</f>
        <v>Google Pay</v>
      </c>
      <c r="M65" s="538" t="str">
        <f>IFERROR(__xludf.DUMMYFUNCTION("""COMPUTED_VALUE"""),"joel05campus")</f>
        <v>joel05campus</v>
      </c>
      <c r="N65" s="763" t="str">
        <f>IFERROR(__xludf.DUMMYFUNCTION("""COMPUTED_VALUE"""),"62614-1745262179")</f>
        <v>62614-1745262179</v>
      </c>
      <c r="O65" s="762">
        <f>IFERROR(__xludf.DUMMYFUNCTION("""COMPUTED_VALUE"""),0.0)</f>
        <v>0</v>
      </c>
      <c r="P65" s="766">
        <f>IFERROR(__xludf.DUMMYFUNCTION("""COMPUTED_VALUE"""),5.208333333333333)</f>
        <v>5.208333333</v>
      </c>
      <c r="Q65" s="538" t="str">
        <f>IFERROR(__xludf.DUMMYFUNCTION("""COMPUTED_VALUE"""),"EUR")</f>
        <v>EUR</v>
      </c>
      <c r="R65" s="762">
        <f>IFERROR(__xludf.DUMMYFUNCTION("""COMPUTED_VALUE"""),391.0)</f>
        <v>391</v>
      </c>
      <c r="S65" s="538" t="str">
        <f>IFERROR(__xludf.DUMMYFUNCTION("""COMPUTED_VALUE"""),"Campus estivo per bambini e ragazzi 2025 - Campus estivo 2 settimane")</f>
        <v>Campus estivo per bambini e ragazzi 2025 - Campus estivo 2 settimane</v>
      </c>
      <c r="T65" s="763"/>
      <c r="U65" s="763"/>
      <c r="V65" s="762">
        <f>IFERROR(__xludf.DUMMYFUNCTION("""COMPUTED_VALUE"""),1.0)</f>
        <v>1</v>
      </c>
      <c r="W65" s="762">
        <f>IFERROR(__xludf.DUMMYFUNCTION("""COMPUTED_VALUE"""),125.0)</f>
        <v>125</v>
      </c>
      <c r="X65" s="762">
        <f>IFERROR(__xludf.DUMMYFUNCTION("""COMPUTED_VALUE"""),125.0)</f>
        <v>125</v>
      </c>
      <c r="Y65" s="763"/>
      <c r="Z65" s="765" t="str">
        <f>IFERROR(__xludf.DUMMYFUNCTION("""COMPUTED_VALUE"""),"https://studio-gem.it/wp-admin/post.php?post=62614&amp;action=edit")</f>
        <v>https://studio-gem.it/wp-admin/post.php?post=62614&amp;action=edit</v>
      </c>
      <c r="AA65" s="763"/>
      <c r="AB65" s="763"/>
      <c r="AC65" s="763"/>
      <c r="AD65" s="763"/>
      <c r="AE65" s="763"/>
      <c r="AF65" s="763"/>
      <c r="AG65" s="763"/>
      <c r="AH65" s="763"/>
      <c r="AI65" s="763"/>
      <c r="AJ65" s="763"/>
      <c r="AK65" s="763"/>
      <c r="AL65" s="763"/>
      <c r="AM65" s="763"/>
      <c r="AN65" s="763"/>
      <c r="AO65" s="763"/>
      <c r="AP65" s="763"/>
      <c r="AQ65" s="763"/>
      <c r="AR65" s="763"/>
      <c r="AS65" s="763"/>
      <c r="AT65" s="763"/>
      <c r="AU65" s="763"/>
      <c r="AV65" s="763"/>
      <c r="AW65" s="763"/>
      <c r="AX65" s="763"/>
      <c r="AY65" s="763"/>
      <c r="AZ65" s="763"/>
      <c r="BA65" s="763"/>
      <c r="BB65" s="763"/>
      <c r="BC65" s="763"/>
      <c r="BD65" s="763"/>
      <c r="BE65" s="763"/>
      <c r="BF65" s="763"/>
      <c r="BG65" s="763" t="b">
        <f>IFERROR(__xludf.DUMMYFUNCTION("""COMPUTED_VALUE"""),FALSE)</f>
        <v>0</v>
      </c>
      <c r="BH65" s="763" t="b">
        <f>IFERROR(__xludf.DUMMYFUNCTION("""COMPUTED_VALUE"""),TRUE)</f>
        <v>1</v>
      </c>
      <c r="BI65" s="763" t="b">
        <f>IFERROR(__xludf.DUMMYFUNCTION("""COMPUTED_VALUE"""),FALSE)</f>
        <v>0</v>
      </c>
      <c r="BJ65" s="763" t="b">
        <f>IFERROR(__xludf.DUMMYFUNCTION("""COMPUTED_VALUE"""),FALSE)</f>
        <v>0</v>
      </c>
    </row>
    <row r="66">
      <c r="A66" s="762">
        <f>IFERROR(__xludf.DUMMYFUNCTION("""COMPUTED_VALUE"""),62662.0)</f>
        <v>62662</v>
      </c>
      <c r="B66" s="538">
        <f>IFERROR(__xludf.DUMMYFUNCTION("""COMPUTED_VALUE"""),62662.0)</f>
        <v>62662</v>
      </c>
      <c r="C66" s="538" t="str">
        <f>IFERROR(__xludf.DUMMYFUNCTION("""COMPUTED_VALUE"""),"2025-04-26 14:47:28")</f>
        <v>2025-04-26 14:47:28</v>
      </c>
      <c r="D66" s="538" t="str">
        <f>IFERROR(__xludf.DUMMYFUNCTION("""COMPUTED_VALUE"""),"completed")</f>
        <v>completed</v>
      </c>
      <c r="E66" s="538" t="str">
        <f>IFERROR(__xludf.DUMMYFUNCTION("""COMPUTED_VALUE"""),"Sara")</f>
        <v>Sara</v>
      </c>
      <c r="F66" s="538" t="str">
        <f>IFERROR(__xludf.DUMMYFUNCTION("""COMPUTED_VALUE"""),"Longoni")</f>
        <v>Longoni</v>
      </c>
      <c r="G66" s="538" t="str">
        <f>IFERROR(__xludf.DUMMYFUNCTION("""COMPUTED_VALUE"""),"sara.longoni@hotmail.com")</f>
        <v>sara.longoni@hotmail.com</v>
      </c>
      <c r="H66" s="538">
        <f>IFERROR(__xludf.DUMMYFUNCTION("""COMPUTED_VALUE"""),3.288392632E9)</f>
        <v>3288392632</v>
      </c>
      <c r="I66" s="538" t="str">
        <f>IFERROR(__xludf.DUMMYFUNCTION("""COMPUTED_VALUE"""),"Milano")</f>
        <v>Milano</v>
      </c>
      <c r="J66" s="538" t="str">
        <f>IFERROR(__xludf.DUMMYFUNCTION("""COMPUTED_VALUE"""),"Via Verbano 7")</f>
        <v>Via Verbano 7</v>
      </c>
      <c r="K66" s="538">
        <f>IFERROR(__xludf.DUMMYFUNCTION("""COMPUTED_VALUE"""),20139.0)</f>
        <v>20139</v>
      </c>
      <c r="L66" s="538" t="str">
        <f>IFERROR(__xludf.DUMMYFUNCTION("""COMPUTED_VALUE"""),"Carte di pagamento")</f>
        <v>Carte di pagamento</v>
      </c>
      <c r="M66" s="763"/>
      <c r="N66" s="763" t="str">
        <f>IFERROR(__xludf.DUMMYFUNCTION("""COMPUTED_VALUE"""),"62662-1745678850")</f>
        <v>62662-1745678850</v>
      </c>
      <c r="O66" s="762">
        <f>IFERROR(__xludf.DUMMYFUNCTION("""COMPUTED_VALUE"""),0.0)</f>
        <v>0</v>
      </c>
      <c r="P66" s="766">
        <f>IFERROR(__xludf.DUMMYFUNCTION("""COMPUTED_VALUE"""),3.5416666666666665)</f>
        <v>3.541666667</v>
      </c>
      <c r="Q66" s="538" t="str">
        <f>IFERROR(__xludf.DUMMYFUNCTION("""COMPUTED_VALUE"""),"EUR")</f>
        <v>EUR</v>
      </c>
      <c r="R66" s="762">
        <f>IFERROR(__xludf.DUMMYFUNCTION("""COMPUTED_VALUE"""),393.0)</f>
        <v>393</v>
      </c>
      <c r="S66" s="538" t="str">
        <f>IFERROR(__xludf.DUMMYFUNCTION("""COMPUTED_VALUE"""),"Campus estivo di danza per bambine e ragazze 2025 - Campus estivo di danza 1 settimana")</f>
        <v>Campus estivo di danza per bambine e ragazze 2025 - Campus estivo di danza 1 settimana</v>
      </c>
      <c r="T66" s="763"/>
      <c r="U66" s="763"/>
      <c r="V66" s="762">
        <f>IFERROR(__xludf.DUMMYFUNCTION("""COMPUTED_VALUE"""),1.0)</f>
        <v>1</v>
      </c>
      <c r="W66" s="762">
        <f>IFERROR(__xludf.DUMMYFUNCTION("""COMPUTED_VALUE"""),85.0)</f>
        <v>85</v>
      </c>
      <c r="X66" s="762">
        <f>IFERROR(__xludf.DUMMYFUNCTION("""COMPUTED_VALUE"""),85.0)</f>
        <v>85</v>
      </c>
      <c r="Y66" s="538" t="str">
        <f>IFERROR(__xludf.DUMMYFUNCTION("""COMPUTED_VALUE"""),"PERIODO 09-06/13-06")</f>
        <v>PERIODO 09-06/13-06</v>
      </c>
      <c r="Z66" s="765" t="str">
        <f>IFERROR(__xludf.DUMMYFUNCTION("""COMPUTED_VALUE"""),"https://studio-gem.it/wp-admin/post.php?post=62662&amp;action=edit")</f>
        <v>https://studio-gem.it/wp-admin/post.php?post=62662&amp;action=edit</v>
      </c>
      <c r="AA66" s="763"/>
      <c r="AB66" s="763"/>
      <c r="AC66" s="763"/>
      <c r="AD66" s="763"/>
      <c r="AE66" s="763"/>
      <c r="AF66" s="763"/>
      <c r="AG66" s="763"/>
      <c r="AH66" s="763"/>
      <c r="AI66" s="763"/>
      <c r="AJ66" s="763"/>
      <c r="AK66" s="763"/>
      <c r="AL66" s="763"/>
      <c r="AM66" s="763"/>
      <c r="AN66" s="763"/>
      <c r="AO66" s="763"/>
      <c r="AP66" s="763"/>
      <c r="AQ66" s="763"/>
      <c r="AR66" s="763"/>
      <c r="AS66" s="763"/>
      <c r="AT66" s="763"/>
      <c r="AU66" s="763"/>
      <c r="AV66" s="763"/>
      <c r="AW66" s="763"/>
      <c r="AX66" s="763"/>
      <c r="AY66" s="763"/>
      <c r="AZ66" s="763"/>
      <c r="BA66" s="763"/>
      <c r="BB66" s="763"/>
      <c r="BC66" s="763"/>
      <c r="BD66" s="763"/>
      <c r="BE66" s="763"/>
      <c r="BF66" s="763"/>
      <c r="BG66" s="763" t="b">
        <f>IFERROR(__xludf.DUMMYFUNCTION("""COMPUTED_VALUE"""),FALSE)</f>
        <v>0</v>
      </c>
      <c r="BH66" s="763" t="b">
        <f>IFERROR(__xludf.DUMMYFUNCTION("""COMPUTED_VALUE"""),TRUE)</f>
        <v>1</v>
      </c>
      <c r="BI66" s="763" t="b">
        <f>IFERROR(__xludf.DUMMYFUNCTION("""COMPUTED_VALUE"""),FALSE)</f>
        <v>0</v>
      </c>
      <c r="BJ66" s="763" t="b">
        <f>IFERROR(__xludf.DUMMYFUNCTION("""COMPUTED_VALUE"""),FALSE)</f>
        <v>0</v>
      </c>
    </row>
    <row r="67">
      <c r="A67" s="762">
        <f>IFERROR(__xludf.DUMMYFUNCTION("""COMPUTED_VALUE"""),62746.0)</f>
        <v>62746</v>
      </c>
      <c r="B67" s="538">
        <f>IFERROR(__xludf.DUMMYFUNCTION("""COMPUTED_VALUE"""),62746.0)</f>
        <v>62746</v>
      </c>
      <c r="C67" s="538" t="str">
        <f>IFERROR(__xludf.DUMMYFUNCTION("""COMPUTED_VALUE"""),"2025-04-29 13:51:14")</f>
        <v>2025-04-29 13:51:14</v>
      </c>
      <c r="D67" s="538" t="str">
        <f>IFERROR(__xludf.DUMMYFUNCTION("""COMPUTED_VALUE"""),"completed")</f>
        <v>completed</v>
      </c>
      <c r="E67" s="538" t="str">
        <f>IFERROR(__xludf.DUMMYFUNCTION("""COMPUTED_VALUE"""),"Emma")</f>
        <v>Emma</v>
      </c>
      <c r="F67" s="538" t="str">
        <f>IFERROR(__xludf.DUMMYFUNCTION("""COMPUTED_VALUE"""),"Carloni")</f>
        <v>Carloni</v>
      </c>
      <c r="G67" s="538" t="str">
        <f>IFERROR(__xludf.DUMMYFUNCTION("""COMPUTED_VALUE"""),"avv.farina@gmail.com")</f>
        <v>avv.farina@gmail.com</v>
      </c>
      <c r="H67" s="538">
        <f>IFERROR(__xludf.DUMMYFUNCTION("""COMPUTED_VALUE"""),3.391676729E9)</f>
        <v>3391676729</v>
      </c>
      <c r="I67" s="538" t="str">
        <f>IFERROR(__xludf.DUMMYFUNCTION("""COMPUTED_VALUE"""),"Fabriano")</f>
        <v>Fabriano</v>
      </c>
      <c r="J67" s="538" t="str">
        <f>IFERROR(__xludf.DUMMYFUNCTION("""COMPUTED_VALUE"""),"Via Don Giovanni Minzoni 156")</f>
        <v>Via Don Giovanni Minzoni 156</v>
      </c>
      <c r="K67" s="538">
        <f>IFERROR(__xludf.DUMMYFUNCTION("""COMPUTED_VALUE"""),60044.0)</f>
        <v>60044</v>
      </c>
      <c r="L67" s="538" t="str">
        <f>IFERROR(__xludf.DUMMYFUNCTION("""COMPUTED_VALUE"""),"Carte di pagamento")</f>
        <v>Carte di pagamento</v>
      </c>
      <c r="M67" s="763"/>
      <c r="N67" s="763" t="str">
        <f>IFERROR(__xludf.DUMMYFUNCTION("""COMPUTED_VALUE"""),"62746-1745934675")</f>
        <v>62746-1745934675</v>
      </c>
      <c r="O67" s="762">
        <f>IFERROR(__xludf.DUMMYFUNCTION("""COMPUTED_VALUE"""),0.0)</f>
        <v>0</v>
      </c>
      <c r="P67" s="766">
        <f>IFERROR(__xludf.DUMMYFUNCTION("""COMPUTED_VALUE"""),2.9166666666666665)</f>
        <v>2.916666667</v>
      </c>
      <c r="Q67" s="538" t="str">
        <f>IFERROR(__xludf.DUMMYFUNCTION("""COMPUTED_VALUE"""),"EUR")</f>
        <v>EUR</v>
      </c>
      <c r="R67" s="762">
        <f>IFERROR(__xludf.DUMMYFUNCTION("""COMPUTED_VALUE"""),398.0)</f>
        <v>398</v>
      </c>
      <c r="S67" s="538" t="str">
        <f>IFERROR(__xludf.DUMMYFUNCTION("""COMPUTED_VALUE"""),"Campus estivo per bambini e ragazzi 2025 - Campus estivo 1 settimana")</f>
        <v>Campus estivo per bambini e ragazzi 2025 - Campus estivo 1 settimana</v>
      </c>
      <c r="T67" s="763"/>
      <c r="U67" s="763"/>
      <c r="V67" s="762">
        <f>IFERROR(__xludf.DUMMYFUNCTION("""COMPUTED_VALUE"""),1.0)</f>
        <v>1</v>
      </c>
      <c r="W67" s="762">
        <f>IFERROR(__xludf.DUMMYFUNCTION("""COMPUTED_VALUE"""),70.0)</f>
        <v>70</v>
      </c>
      <c r="X67" s="762">
        <f>IFERROR(__xludf.DUMMYFUNCTION("""COMPUTED_VALUE"""),70.0)</f>
        <v>70</v>
      </c>
      <c r="Y67" s="538" t="str">
        <f>IFERROR(__xludf.DUMMYFUNCTION("""COMPUTED_VALUE"""),"Iscrizione Emma Carloni settimana dal 9 al 13 giugno 2025")</f>
        <v>Iscrizione Emma Carloni settimana dal 9 al 13 giugno 2025</v>
      </c>
      <c r="Z67" s="765" t="str">
        <f>IFERROR(__xludf.DUMMYFUNCTION("""COMPUTED_VALUE"""),"https://studio-gem.it/wp-admin/post.php?post=62746&amp;action=edit")</f>
        <v>https://studio-gem.it/wp-admin/post.php?post=62746&amp;action=edit</v>
      </c>
      <c r="AA67" s="763"/>
      <c r="AB67" s="763"/>
      <c r="AC67" s="763"/>
      <c r="AD67" s="763"/>
      <c r="AE67" s="763"/>
      <c r="AF67" s="763"/>
      <c r="AG67" s="763"/>
      <c r="AH67" s="763"/>
      <c r="AI67" s="763"/>
      <c r="AJ67" s="763"/>
      <c r="AK67" s="763"/>
      <c r="AL67" s="763"/>
      <c r="AM67" s="763"/>
      <c r="AN67" s="763"/>
      <c r="AO67" s="763"/>
      <c r="AP67" s="763"/>
      <c r="AQ67" s="763"/>
      <c r="AR67" s="763"/>
      <c r="AS67" s="763"/>
      <c r="AT67" s="763"/>
      <c r="AU67" s="763"/>
      <c r="AV67" s="763"/>
      <c r="AW67" s="763"/>
      <c r="AX67" s="763"/>
      <c r="AY67" s="763"/>
      <c r="AZ67" s="763"/>
      <c r="BA67" s="763"/>
      <c r="BB67" s="763"/>
      <c r="BC67" s="763"/>
      <c r="BD67" s="763"/>
      <c r="BE67" s="763"/>
      <c r="BF67" s="763"/>
      <c r="BG67" s="763" t="b">
        <f>IFERROR(__xludf.DUMMYFUNCTION("""COMPUTED_VALUE"""),FALSE)</f>
        <v>0</v>
      </c>
      <c r="BH67" s="763" t="b">
        <f>IFERROR(__xludf.DUMMYFUNCTION("""COMPUTED_VALUE"""),TRUE)</f>
        <v>1</v>
      </c>
      <c r="BI67" s="763" t="b">
        <f>IFERROR(__xludf.DUMMYFUNCTION("""COMPUTED_VALUE"""),FALSE)</f>
        <v>0</v>
      </c>
      <c r="BJ67" s="763" t="b">
        <f>IFERROR(__xludf.DUMMYFUNCTION("""COMPUTED_VALUE"""),FALSE)</f>
        <v>0</v>
      </c>
    </row>
    <row r="68">
      <c r="A68" s="762">
        <f>IFERROR(__xludf.DUMMYFUNCTION("""COMPUTED_VALUE"""),62753.0)</f>
        <v>62753</v>
      </c>
      <c r="B68" s="538">
        <f>IFERROR(__xludf.DUMMYFUNCTION("""COMPUTED_VALUE"""),62753.0)</f>
        <v>62753</v>
      </c>
      <c r="C68" s="538" t="str">
        <f>IFERROR(__xludf.DUMMYFUNCTION("""COMPUTED_VALUE"""),"2025-04-29 16:14:05")</f>
        <v>2025-04-29 16:14:05</v>
      </c>
      <c r="D68" s="538" t="str">
        <f>IFERROR(__xludf.DUMMYFUNCTION("""COMPUTED_VALUE"""),"completed")</f>
        <v>completed</v>
      </c>
      <c r="E68" s="538" t="str">
        <f>IFERROR(__xludf.DUMMYFUNCTION("""COMPUTED_VALUE"""),"Amaranta")</f>
        <v>Amaranta</v>
      </c>
      <c r="F68" s="538" t="str">
        <f>IFERROR(__xludf.DUMMYFUNCTION("""COMPUTED_VALUE"""),"D'Elia")</f>
        <v>D'Elia</v>
      </c>
      <c r="G68" s="538" t="str">
        <f>IFERROR(__xludf.DUMMYFUNCTION("""COMPUTED_VALUE"""),"Laura.garlaschi@gmail.com")</f>
        <v>Laura.garlaschi@gmail.com</v>
      </c>
      <c r="H68" s="538">
        <f>IFERROR(__xludf.DUMMYFUNCTION("""COMPUTED_VALUE"""),3.473891154E9)</f>
        <v>3473891154</v>
      </c>
      <c r="I68" s="538" t="str">
        <f>IFERROR(__xludf.DUMMYFUNCTION("""COMPUTED_VALUE"""),"Milano")</f>
        <v>Milano</v>
      </c>
      <c r="J68" s="538" t="str">
        <f>IFERROR(__xludf.DUMMYFUNCTION("""COMPUTED_VALUE"""),"Via savona 7")</f>
        <v>Via savona 7</v>
      </c>
      <c r="K68" s="538">
        <f>IFERROR(__xludf.DUMMYFUNCTION("""COMPUTED_VALUE"""),20144.0)</f>
        <v>20144</v>
      </c>
      <c r="L68" s="538" t="str">
        <f>IFERROR(__xludf.DUMMYFUNCTION("""COMPUTED_VALUE"""),"Carte di pagamento")</f>
        <v>Carte di pagamento</v>
      </c>
      <c r="M68" s="538" t="str">
        <f>IFERROR(__xludf.DUMMYFUNCTION("""COMPUTED_VALUE"""),"nura05campus")</f>
        <v>nura05campus</v>
      </c>
      <c r="N68" s="763" t="str">
        <f>IFERROR(__xludf.DUMMYFUNCTION("""COMPUTED_VALUE"""),"62753-1745943247")</f>
        <v>62753-1745943247</v>
      </c>
      <c r="O68" s="762">
        <f>IFERROR(__xludf.DUMMYFUNCTION("""COMPUTED_VALUE"""),0.0)</f>
        <v>0</v>
      </c>
      <c r="P68" s="766">
        <f>IFERROR(__xludf.DUMMYFUNCTION("""COMPUTED_VALUE"""),2.7083333333333335)</f>
        <v>2.708333333</v>
      </c>
      <c r="Q68" s="538" t="str">
        <f>IFERROR(__xludf.DUMMYFUNCTION("""COMPUTED_VALUE"""),"EUR")</f>
        <v>EUR</v>
      </c>
      <c r="R68" s="762">
        <f>IFERROR(__xludf.DUMMYFUNCTION("""COMPUTED_VALUE"""),399.0)</f>
        <v>399</v>
      </c>
      <c r="S68" s="538" t="str">
        <f>IFERROR(__xludf.DUMMYFUNCTION("""COMPUTED_VALUE"""),"Campus estivo per bambini e ragazzi 2025 - Campus estivo 1 settimana")</f>
        <v>Campus estivo per bambini e ragazzi 2025 - Campus estivo 1 settimana</v>
      </c>
      <c r="T68" s="763"/>
      <c r="U68" s="763"/>
      <c r="V68" s="762">
        <f>IFERROR(__xludf.DUMMYFUNCTION("""COMPUTED_VALUE"""),1.0)</f>
        <v>1</v>
      </c>
      <c r="W68" s="762">
        <f>IFERROR(__xludf.DUMMYFUNCTION("""COMPUTED_VALUE"""),65.0)</f>
        <v>65</v>
      </c>
      <c r="X68" s="762">
        <f>IFERROR(__xludf.DUMMYFUNCTION("""COMPUTED_VALUE"""),65.0)</f>
        <v>65</v>
      </c>
      <c r="Y68" s="538" t="str">
        <f>IFERROR(__xludf.DUMMYFUNCTION("""COMPUTED_VALUE"""),"Iscrivo mia figlia Amaranta alla settimana 16-20 giugno 2025")</f>
        <v>Iscrivo mia figlia Amaranta alla settimana 16-20 giugno 2025</v>
      </c>
      <c r="Z68" s="765" t="str">
        <f>IFERROR(__xludf.DUMMYFUNCTION("""COMPUTED_VALUE"""),"https://studio-gem.it/wp-admin/post.php?post=62753&amp;action=edit")</f>
        <v>https://studio-gem.it/wp-admin/post.php?post=62753&amp;action=edit</v>
      </c>
      <c r="AA68" s="763"/>
      <c r="AB68" s="763"/>
      <c r="AC68" s="763"/>
      <c r="AD68" s="763"/>
      <c r="AE68" s="763"/>
      <c r="AF68" s="763"/>
      <c r="AG68" s="763"/>
      <c r="AH68" s="763"/>
      <c r="AI68" s="763"/>
      <c r="AJ68" s="763"/>
      <c r="AK68" s="763"/>
      <c r="AL68" s="763"/>
      <c r="AM68" s="763"/>
      <c r="AN68" s="763"/>
      <c r="AO68" s="763"/>
      <c r="AP68" s="763"/>
      <c r="AQ68" s="763"/>
      <c r="AR68" s="763"/>
      <c r="AS68" s="763"/>
      <c r="AT68" s="763"/>
      <c r="AU68" s="763"/>
      <c r="AV68" s="763"/>
      <c r="AW68" s="763"/>
      <c r="AX68" s="763"/>
      <c r="AY68" s="763"/>
      <c r="AZ68" s="763"/>
      <c r="BA68" s="763"/>
      <c r="BB68" s="763"/>
      <c r="BC68" s="763"/>
      <c r="BD68" s="763"/>
      <c r="BE68" s="763"/>
      <c r="BF68" s="763"/>
      <c r="BG68" s="763" t="b">
        <f>IFERROR(__xludf.DUMMYFUNCTION("""COMPUTED_VALUE"""),FALSE)</f>
        <v>0</v>
      </c>
      <c r="BH68" s="763" t="b">
        <f>IFERROR(__xludf.DUMMYFUNCTION("""COMPUTED_VALUE"""),TRUE)</f>
        <v>1</v>
      </c>
      <c r="BI68" s="763" t="b">
        <f>IFERROR(__xludf.DUMMYFUNCTION("""COMPUTED_VALUE"""),FALSE)</f>
        <v>0</v>
      </c>
      <c r="BJ68" s="763" t="b">
        <f>IFERROR(__xludf.DUMMYFUNCTION("""COMPUTED_VALUE"""),FALSE)</f>
        <v>0</v>
      </c>
    </row>
    <row r="69">
      <c r="A69" s="762">
        <f>IFERROR(__xludf.DUMMYFUNCTION("""COMPUTED_VALUE"""),62756.0)</f>
        <v>62756</v>
      </c>
      <c r="B69" s="538">
        <f>IFERROR(__xludf.DUMMYFUNCTION("""COMPUTED_VALUE"""),62756.0)</f>
        <v>62756</v>
      </c>
      <c r="C69" s="538" t="str">
        <f>IFERROR(__xludf.DUMMYFUNCTION("""COMPUTED_VALUE"""),"2025-04-29 19:51:49")</f>
        <v>2025-04-29 19:51:49</v>
      </c>
      <c r="D69" s="538" t="str">
        <f>IFERROR(__xludf.DUMMYFUNCTION("""COMPUTED_VALUE"""),"completed")</f>
        <v>completed</v>
      </c>
      <c r="E69" s="538" t="str">
        <f>IFERROR(__xludf.DUMMYFUNCTION("""COMPUTED_VALUE"""),"Anna")</f>
        <v>Anna</v>
      </c>
      <c r="F69" s="538" t="str">
        <f>IFERROR(__xludf.DUMMYFUNCTION("""COMPUTED_VALUE"""),"Ercoli")</f>
        <v>Ercoli</v>
      </c>
      <c r="G69" s="538" t="str">
        <f>IFERROR(__xludf.DUMMYFUNCTION("""COMPUTED_VALUE"""),"Giuticone@heidrick.com")</f>
        <v>Giuticone@heidrick.com</v>
      </c>
      <c r="H69" s="538">
        <f>IFERROR(__xludf.DUMMYFUNCTION("""COMPUTED_VALUE"""),3.737434143E9)</f>
        <v>3737434143</v>
      </c>
      <c r="I69" s="538" t="str">
        <f>IFERROR(__xludf.DUMMYFUNCTION("""COMPUTED_VALUE"""),"Milano")</f>
        <v>Milano</v>
      </c>
      <c r="J69" s="538" t="str">
        <f>IFERROR(__xludf.DUMMYFUNCTION("""COMPUTED_VALUE"""),"Via Carlo crivelli 1")</f>
        <v>Via Carlo crivelli 1</v>
      </c>
      <c r="K69" s="538">
        <f>IFERROR(__xludf.DUMMYFUNCTION("""COMPUTED_VALUE"""),20122.0)</f>
        <v>20122</v>
      </c>
      <c r="L69" s="538" t="str">
        <f>IFERROR(__xludf.DUMMYFUNCTION("""COMPUTED_VALUE"""),"Satispay")</f>
        <v>Satispay</v>
      </c>
      <c r="M69" s="763"/>
      <c r="N69" s="763" t="str">
        <f>IFERROR(__xludf.DUMMYFUNCTION("""COMPUTED_VALUE"""),"a8084156-feda-4b4b-835b-0924e36e1a95")</f>
        <v>a8084156-feda-4b4b-835b-0924e36e1a95</v>
      </c>
      <c r="O69" s="762">
        <f>IFERROR(__xludf.DUMMYFUNCTION("""COMPUTED_VALUE"""),0.0)</f>
        <v>0</v>
      </c>
      <c r="P69" s="766">
        <f>IFERROR(__xludf.DUMMYFUNCTION("""COMPUTED_VALUE"""),2.9166666666666665)</f>
        <v>2.916666667</v>
      </c>
      <c r="Q69" s="538" t="str">
        <f>IFERROR(__xludf.DUMMYFUNCTION("""COMPUTED_VALUE"""),"EUR")</f>
        <v>EUR</v>
      </c>
      <c r="R69" s="762">
        <f>IFERROR(__xludf.DUMMYFUNCTION("""COMPUTED_VALUE"""),402.0)</f>
        <v>402</v>
      </c>
      <c r="S69" s="538" t="str">
        <f>IFERROR(__xludf.DUMMYFUNCTION("""COMPUTED_VALUE"""),"Campus estivo per bambini e ragazzi 2025 - Campus estivo 1 settimana")</f>
        <v>Campus estivo per bambini e ragazzi 2025 - Campus estivo 1 settimana</v>
      </c>
      <c r="T69" s="763"/>
      <c r="U69" s="763"/>
      <c r="V69" s="762">
        <f>IFERROR(__xludf.DUMMYFUNCTION("""COMPUTED_VALUE"""),1.0)</f>
        <v>1</v>
      </c>
      <c r="W69" s="762">
        <f>IFERROR(__xludf.DUMMYFUNCTION("""COMPUTED_VALUE"""),70.0)</f>
        <v>70</v>
      </c>
      <c r="X69" s="762">
        <f>IFERROR(__xludf.DUMMYFUNCTION("""COMPUTED_VALUE"""),70.0)</f>
        <v>70</v>
      </c>
      <c r="Y69" s="763"/>
      <c r="Z69" s="765" t="str">
        <f>IFERROR(__xludf.DUMMYFUNCTION("""COMPUTED_VALUE"""),"https://studio-gem.it/wp-admin/post.php?post=62756&amp;action=edit")</f>
        <v>https://studio-gem.it/wp-admin/post.php?post=62756&amp;action=edit</v>
      </c>
      <c r="AA69" s="763"/>
      <c r="AB69" s="763"/>
      <c r="AC69" s="763"/>
      <c r="AD69" s="763"/>
      <c r="AE69" s="763"/>
      <c r="AF69" s="763"/>
      <c r="AG69" s="763"/>
      <c r="AH69" s="763"/>
      <c r="AI69" s="763"/>
      <c r="AJ69" s="763"/>
      <c r="AK69" s="763"/>
      <c r="AL69" s="763"/>
      <c r="AM69" s="763"/>
      <c r="AN69" s="763"/>
      <c r="AO69" s="763"/>
      <c r="AP69" s="763"/>
      <c r="AQ69" s="763"/>
      <c r="AR69" s="763"/>
      <c r="AS69" s="763"/>
      <c r="AT69" s="763"/>
      <c r="AU69" s="763"/>
      <c r="AV69" s="763"/>
      <c r="AW69" s="763"/>
      <c r="AX69" s="763"/>
      <c r="AY69" s="763"/>
      <c r="AZ69" s="763"/>
      <c r="BA69" s="763"/>
      <c r="BB69" s="763"/>
      <c r="BC69" s="763"/>
      <c r="BD69" s="763"/>
      <c r="BE69" s="763"/>
      <c r="BF69" s="763"/>
      <c r="BG69" s="763" t="b">
        <f>IFERROR(__xludf.DUMMYFUNCTION("""COMPUTED_VALUE"""),FALSE)</f>
        <v>0</v>
      </c>
      <c r="BH69" s="763" t="b">
        <f>IFERROR(__xludf.DUMMYFUNCTION("""COMPUTED_VALUE"""),TRUE)</f>
        <v>1</v>
      </c>
      <c r="BI69" s="763" t="b">
        <f>IFERROR(__xludf.DUMMYFUNCTION("""COMPUTED_VALUE"""),FALSE)</f>
        <v>0</v>
      </c>
      <c r="BJ69" s="763" t="b">
        <f>IFERROR(__xludf.DUMMYFUNCTION("""COMPUTED_VALUE"""),FALSE)</f>
        <v>0</v>
      </c>
    </row>
    <row r="70">
      <c r="A70" s="762">
        <f>IFERROR(__xludf.DUMMYFUNCTION("""COMPUTED_VALUE"""),62760.0)</f>
        <v>62760</v>
      </c>
      <c r="B70" s="538">
        <f>IFERROR(__xludf.DUMMYFUNCTION("""COMPUTED_VALUE"""),62760.0)</f>
        <v>62760</v>
      </c>
      <c r="C70" s="538" t="str">
        <f>IFERROR(__xludf.DUMMYFUNCTION("""COMPUTED_VALUE"""),"2025-04-30 10:22:38")</f>
        <v>2025-04-30 10:22:38</v>
      </c>
      <c r="D70" s="538" t="str">
        <f>IFERROR(__xludf.DUMMYFUNCTION("""COMPUTED_VALUE"""),"completed")</f>
        <v>completed</v>
      </c>
      <c r="E70" s="538" t="str">
        <f>IFERROR(__xludf.DUMMYFUNCTION("""COMPUTED_VALUE"""),"Lea")</f>
        <v>Lea</v>
      </c>
      <c r="F70" s="538" t="str">
        <f>IFERROR(__xludf.DUMMYFUNCTION("""COMPUTED_VALUE"""),"Campo Beffasti")</f>
        <v>Campo Beffasti</v>
      </c>
      <c r="G70" s="538" t="str">
        <f>IFERROR(__xludf.DUMMYFUNCTION("""COMPUTED_VALUE"""),"lara.beffasti@gmail.com")</f>
        <v>lara.beffasti@gmail.com</v>
      </c>
      <c r="H70" s="538">
        <f>IFERROR(__xludf.DUMMYFUNCTION("""COMPUTED_VALUE"""),3.394587986E9)</f>
        <v>3394587986</v>
      </c>
      <c r="I70" s="538" t="str">
        <f>IFERROR(__xludf.DUMMYFUNCTION("""COMPUTED_VALUE"""),"Milano")</f>
        <v>Milano</v>
      </c>
      <c r="J70" s="538" t="str">
        <f>IFERROR(__xludf.DUMMYFUNCTION("""COMPUTED_VALUE"""),"Via Colonnetta 2")</f>
        <v>Via Colonnetta 2</v>
      </c>
      <c r="K70" s="538">
        <f>IFERROR(__xludf.DUMMYFUNCTION("""COMPUTED_VALUE"""),20122.0)</f>
        <v>20122</v>
      </c>
      <c r="L70" s="538" t="str">
        <f>IFERROR(__xludf.DUMMYFUNCTION("""COMPUTED_VALUE"""),"Apple Pay")</f>
        <v>Apple Pay</v>
      </c>
      <c r="M70" s="763"/>
      <c r="N70" s="763" t="str">
        <f>IFERROR(__xludf.DUMMYFUNCTION("""COMPUTED_VALUE"""),"62760-1746008559")</f>
        <v>62760-1746008559</v>
      </c>
      <c r="O70" s="762">
        <f>IFERROR(__xludf.DUMMYFUNCTION("""COMPUTED_VALUE"""),0.0)</f>
        <v>0</v>
      </c>
      <c r="P70" s="766">
        <f>IFERROR(__xludf.DUMMYFUNCTION("""COMPUTED_VALUE"""),2.9166666666666665)</f>
        <v>2.916666667</v>
      </c>
      <c r="Q70" s="538" t="str">
        <f>IFERROR(__xludf.DUMMYFUNCTION("""COMPUTED_VALUE"""),"EUR")</f>
        <v>EUR</v>
      </c>
      <c r="R70" s="762">
        <f>IFERROR(__xludf.DUMMYFUNCTION("""COMPUTED_VALUE"""),403.0)</f>
        <v>403</v>
      </c>
      <c r="S70" s="538" t="str">
        <f>IFERROR(__xludf.DUMMYFUNCTION("""COMPUTED_VALUE"""),"Campus estivo per bambini e ragazzi 2025 - Campus estivo 1 settimana")</f>
        <v>Campus estivo per bambini e ragazzi 2025 - Campus estivo 1 settimana</v>
      </c>
      <c r="T70" s="763"/>
      <c r="U70" s="763"/>
      <c r="V70" s="762">
        <f>IFERROR(__xludf.DUMMYFUNCTION("""COMPUTED_VALUE"""),1.0)</f>
        <v>1</v>
      </c>
      <c r="W70" s="762">
        <f>IFERROR(__xludf.DUMMYFUNCTION("""COMPUTED_VALUE"""),70.0)</f>
        <v>70</v>
      </c>
      <c r="X70" s="762">
        <f>IFERROR(__xludf.DUMMYFUNCTION("""COMPUTED_VALUE"""),70.0)</f>
        <v>70</v>
      </c>
      <c r="Y70" s="763"/>
      <c r="Z70" s="765" t="str">
        <f>IFERROR(__xludf.DUMMYFUNCTION("""COMPUTED_VALUE"""),"https://studio-gem.it/wp-admin/post.php?post=62760&amp;action=edit")</f>
        <v>https://studio-gem.it/wp-admin/post.php?post=62760&amp;action=edit</v>
      </c>
      <c r="AA70" s="763"/>
      <c r="AB70" s="763"/>
      <c r="AC70" s="763"/>
      <c r="AD70" s="763"/>
      <c r="AE70" s="763"/>
      <c r="AF70" s="763"/>
      <c r="AG70" s="763"/>
      <c r="AH70" s="763"/>
      <c r="AI70" s="763"/>
      <c r="AJ70" s="763"/>
      <c r="AK70" s="763"/>
      <c r="AL70" s="763"/>
      <c r="AM70" s="763"/>
      <c r="AN70" s="763"/>
      <c r="AO70" s="763"/>
      <c r="AP70" s="763"/>
      <c r="AQ70" s="763"/>
      <c r="AR70" s="763"/>
      <c r="AS70" s="763"/>
      <c r="AT70" s="763"/>
      <c r="AU70" s="763"/>
      <c r="AV70" s="763"/>
      <c r="AW70" s="763"/>
      <c r="AX70" s="763"/>
      <c r="AY70" s="763"/>
      <c r="AZ70" s="763"/>
      <c r="BA70" s="763"/>
      <c r="BB70" s="763"/>
      <c r="BC70" s="763"/>
      <c r="BD70" s="763"/>
      <c r="BE70" s="763"/>
      <c r="BF70" s="763"/>
      <c r="BG70" s="763" t="b">
        <f>IFERROR(__xludf.DUMMYFUNCTION("""COMPUTED_VALUE"""),FALSE)</f>
        <v>0</v>
      </c>
      <c r="BH70" s="763" t="b">
        <f>IFERROR(__xludf.DUMMYFUNCTION("""COMPUTED_VALUE"""),TRUE)</f>
        <v>1</v>
      </c>
      <c r="BI70" s="763" t="b">
        <f>IFERROR(__xludf.DUMMYFUNCTION("""COMPUTED_VALUE"""),FALSE)</f>
        <v>0</v>
      </c>
      <c r="BJ70" s="763" t="b">
        <f>IFERROR(__xludf.DUMMYFUNCTION("""COMPUTED_VALUE"""),FALSE)</f>
        <v>0</v>
      </c>
    </row>
    <row r="71">
      <c r="A71" s="762">
        <f>IFERROR(__xludf.DUMMYFUNCTION("""COMPUTED_VALUE"""),62774.0)</f>
        <v>62774</v>
      </c>
      <c r="B71" s="538">
        <f>IFERROR(__xludf.DUMMYFUNCTION("""COMPUTED_VALUE"""),62774.0)</f>
        <v>62774</v>
      </c>
      <c r="C71" s="538" t="str">
        <f>IFERROR(__xludf.DUMMYFUNCTION("""COMPUTED_VALUE"""),"2025-04-30 14:44:43")</f>
        <v>2025-04-30 14:44:43</v>
      </c>
      <c r="D71" s="538" t="str">
        <f>IFERROR(__xludf.DUMMYFUNCTION("""COMPUTED_VALUE"""),"cancelled")</f>
        <v>cancelled</v>
      </c>
      <c r="E71" s="538" t="str">
        <f>IFERROR(__xludf.DUMMYFUNCTION("""COMPUTED_VALUE"""),"Geronimo")</f>
        <v>Geronimo</v>
      </c>
      <c r="F71" s="538" t="str">
        <f>IFERROR(__xludf.DUMMYFUNCTION("""COMPUTED_VALUE"""),"Stilton")</f>
        <v>Stilton</v>
      </c>
      <c r="G71" s="538" t="str">
        <f>IFERROR(__xludf.DUMMYFUNCTION("""COMPUTED_VALUE"""),"ino@agogo.it")</f>
        <v>ino@agogo.it</v>
      </c>
      <c r="H71" s="538">
        <f>IFERROR(__xludf.DUMMYFUNCTION("""COMPUTED_VALUE"""),77777.0)</f>
        <v>77777</v>
      </c>
      <c r="I71" s="538" t="str">
        <f>IFERROR(__xludf.DUMMYFUNCTION("""COMPUTED_VALUE"""),"Milano")</f>
        <v>Milano</v>
      </c>
      <c r="J71" s="538" t="str">
        <f>IFERROR(__xludf.DUMMYFUNCTION("""COMPUTED_VALUE"""),"Via della mia 12")</f>
        <v>Via della mia 12</v>
      </c>
      <c r="K71" s="538">
        <f>IFERROR(__xludf.DUMMYFUNCTION("""COMPUTED_VALUE"""),20100.0)</f>
        <v>20100</v>
      </c>
      <c r="L71" s="538" t="str">
        <f>IFERROR(__xludf.DUMMYFUNCTION("""COMPUTED_VALUE"""),"Carte di pagamento")</f>
        <v>Carte di pagamento</v>
      </c>
      <c r="M71" s="763"/>
      <c r="N71" s="763"/>
      <c r="O71" s="762">
        <f>IFERROR(__xludf.DUMMYFUNCTION("""COMPUTED_VALUE"""),0.0)</f>
        <v>0</v>
      </c>
      <c r="P71" s="766">
        <f>IFERROR(__xludf.DUMMYFUNCTION("""COMPUTED_VALUE"""),2.9166666666666665)</f>
        <v>2.916666667</v>
      </c>
      <c r="Q71" s="538" t="str">
        <f>IFERROR(__xludf.DUMMYFUNCTION("""COMPUTED_VALUE"""),"EUR")</f>
        <v>EUR</v>
      </c>
      <c r="R71" s="762">
        <f>IFERROR(__xludf.DUMMYFUNCTION("""COMPUTED_VALUE"""),405.0)</f>
        <v>405</v>
      </c>
      <c r="S71" s="538" t="str">
        <f>IFERROR(__xludf.DUMMYFUNCTION("""COMPUTED_VALUE"""),"Campus estivo per bambini e ragazzi 2025 - Campus estivo 1 settimana")</f>
        <v>Campus estivo per bambini e ragazzi 2025 - Campus estivo 1 settimana</v>
      </c>
      <c r="T71" s="763"/>
      <c r="U71" s="763"/>
      <c r="V71" s="762">
        <f>IFERROR(__xludf.DUMMYFUNCTION("""COMPUTED_VALUE"""),1.0)</f>
        <v>1</v>
      </c>
      <c r="W71" s="762">
        <f>IFERROR(__xludf.DUMMYFUNCTION("""COMPUTED_VALUE"""),70.0)</f>
        <v>70</v>
      </c>
      <c r="X71" s="762">
        <f>IFERROR(__xludf.DUMMYFUNCTION("""COMPUTED_VALUE"""),70.0)</f>
        <v>70</v>
      </c>
      <c r="Y71" s="763"/>
      <c r="Z71" s="765" t="str">
        <f>IFERROR(__xludf.DUMMYFUNCTION("""COMPUTED_VALUE"""),"https://studio-gem.it/wp-admin/post.php?post=62774&amp;action=edit")</f>
        <v>https://studio-gem.it/wp-admin/post.php?post=62774&amp;action=edit</v>
      </c>
      <c r="AA71" s="763"/>
      <c r="AB71" s="763"/>
      <c r="AC71" s="763"/>
      <c r="AD71" s="763"/>
      <c r="AE71" s="763"/>
      <c r="AF71" s="763"/>
      <c r="AG71" s="763"/>
      <c r="AH71" s="763"/>
      <c r="AI71" s="763"/>
      <c r="AJ71" s="763"/>
      <c r="AK71" s="763"/>
      <c r="AL71" s="763"/>
      <c r="AM71" s="763"/>
      <c r="AN71" s="763"/>
      <c r="AO71" s="763"/>
      <c r="AP71" s="763"/>
      <c r="AQ71" s="763"/>
      <c r="AR71" s="763"/>
      <c r="AS71" s="763"/>
      <c r="AT71" s="763"/>
      <c r="AU71" s="763"/>
      <c r="AV71" s="763"/>
      <c r="AW71" s="763"/>
      <c r="AX71" s="763"/>
      <c r="AY71" s="763"/>
      <c r="AZ71" s="763"/>
      <c r="BA71" s="763"/>
      <c r="BB71" s="763"/>
      <c r="BC71" s="763"/>
      <c r="BD71" s="763"/>
      <c r="BE71" s="763"/>
      <c r="BF71" s="763"/>
      <c r="BG71" s="763" t="b">
        <f>IFERROR(__xludf.DUMMYFUNCTION("""COMPUTED_VALUE"""),FALSE)</f>
        <v>0</v>
      </c>
      <c r="BH71" s="763" t="b">
        <f>IFERROR(__xludf.DUMMYFUNCTION("""COMPUTED_VALUE"""),FALSE)</f>
        <v>0</v>
      </c>
      <c r="BI71" s="763" t="b">
        <f>IFERROR(__xludf.DUMMYFUNCTION("""COMPUTED_VALUE"""),FALSE)</f>
        <v>0</v>
      </c>
      <c r="BJ71" s="763" t="b">
        <f>IFERROR(__xludf.DUMMYFUNCTION("""COMPUTED_VALUE"""),FALSE)</f>
        <v>0</v>
      </c>
    </row>
    <row r="72">
      <c r="A72" s="762">
        <f>IFERROR(__xludf.DUMMYFUNCTION("""COMPUTED_VALUE"""),62782.0)</f>
        <v>62782</v>
      </c>
      <c r="B72" s="538">
        <f>IFERROR(__xludf.DUMMYFUNCTION("""COMPUTED_VALUE"""),62782.0)</f>
        <v>62782</v>
      </c>
      <c r="C72" s="538" t="str">
        <f>IFERROR(__xludf.DUMMYFUNCTION("""COMPUTED_VALUE"""),"2025-05-04 09:54:41")</f>
        <v>2025-05-04 09:54:41</v>
      </c>
      <c r="D72" s="538" t="str">
        <f>IFERROR(__xludf.DUMMYFUNCTION("""COMPUTED_VALUE"""),"completed")</f>
        <v>completed</v>
      </c>
      <c r="E72" s="538" t="str">
        <f>IFERROR(__xludf.DUMMYFUNCTION("""COMPUTED_VALUE"""),"Clotilde Teresa")</f>
        <v>Clotilde Teresa</v>
      </c>
      <c r="F72" s="538" t="str">
        <f>IFERROR(__xludf.DUMMYFUNCTION("""COMPUTED_VALUE"""),"Casarotti")</f>
        <v>Casarotti</v>
      </c>
      <c r="G72" s="538" t="str">
        <f>IFERROR(__xludf.DUMMYFUNCTION("""COMPUTED_VALUE"""),"chiara.grignani@gmail.com")</f>
        <v>chiara.grignani@gmail.com</v>
      </c>
      <c r="H72" s="538">
        <f>IFERROR(__xludf.DUMMYFUNCTION("""COMPUTED_VALUE"""),3.338736937E9)</f>
        <v>3338736937</v>
      </c>
      <c r="I72" s="538" t="str">
        <f>IFERROR(__xludf.DUMMYFUNCTION("""COMPUTED_VALUE"""),"Milano")</f>
        <v>Milano</v>
      </c>
      <c r="J72" s="538" t="str">
        <f>IFERROR(__xludf.DUMMYFUNCTION("""COMPUTED_VALUE"""),"via Teuliè 2")</f>
        <v>via Teuliè 2</v>
      </c>
      <c r="K72" s="538">
        <f>IFERROR(__xludf.DUMMYFUNCTION("""COMPUTED_VALUE"""),20136.0)</f>
        <v>20136</v>
      </c>
      <c r="L72" s="538" t="str">
        <f>IFERROR(__xludf.DUMMYFUNCTION("""COMPUTED_VALUE"""),"Carte di pagamento")</f>
        <v>Carte di pagamento</v>
      </c>
      <c r="M72" s="763"/>
      <c r="N72" s="763" t="str">
        <f>IFERROR(__xludf.DUMMYFUNCTION("""COMPUTED_VALUE"""),"62782-1746352483")</f>
        <v>62782-1746352483</v>
      </c>
      <c r="O72" s="762">
        <f>IFERROR(__xludf.DUMMYFUNCTION("""COMPUTED_VALUE"""),0.0)</f>
        <v>0</v>
      </c>
      <c r="P72" s="766">
        <f>IFERROR(__xludf.DUMMYFUNCTION("""COMPUTED_VALUE"""),6.458333333333333)</f>
        <v>6.458333333</v>
      </c>
      <c r="Q72" s="538" t="str">
        <f>IFERROR(__xludf.DUMMYFUNCTION("""COMPUTED_VALUE"""),"EUR")</f>
        <v>EUR</v>
      </c>
      <c r="R72" s="762">
        <f>IFERROR(__xludf.DUMMYFUNCTION("""COMPUTED_VALUE"""),406.0)</f>
        <v>406</v>
      </c>
      <c r="S72" s="538" t="str">
        <f>IFERROR(__xludf.DUMMYFUNCTION("""COMPUTED_VALUE"""),"Campus estivo per bambini e ragazzi 2025 - Campus estivo 2 settimane")</f>
        <v>Campus estivo per bambini e ragazzi 2025 - Campus estivo 2 settimane</v>
      </c>
      <c r="T72" s="763"/>
      <c r="U72" s="763"/>
      <c r="V72" s="762">
        <f>IFERROR(__xludf.DUMMYFUNCTION("""COMPUTED_VALUE"""),1.0)</f>
        <v>1</v>
      </c>
      <c r="W72" s="762">
        <f>IFERROR(__xludf.DUMMYFUNCTION("""COMPUTED_VALUE"""),155.0)</f>
        <v>155</v>
      </c>
      <c r="X72" s="762">
        <f>IFERROR(__xludf.DUMMYFUNCTION("""COMPUTED_VALUE"""),155.0)</f>
        <v>155</v>
      </c>
      <c r="Y72" s="538" t="str">
        <f>IFERROR(__xludf.DUMMYFUNCTION("""COMPUTED_VALUE"""),"Clotilde parteciperà alla seconda e alla terza settimana del campus, quindi dal 16 giugno al 27 giugno")</f>
        <v>Clotilde parteciperà alla seconda e alla terza settimana del campus, quindi dal 16 giugno al 27 giugno</v>
      </c>
      <c r="Z72" s="765" t="str">
        <f>IFERROR(__xludf.DUMMYFUNCTION("""COMPUTED_VALUE"""),"https://studio-gem.it/wp-admin/post.php?post=62782&amp;action=edit")</f>
        <v>https://studio-gem.it/wp-admin/post.php?post=62782&amp;action=edit</v>
      </c>
      <c r="AA72" s="763"/>
      <c r="AB72" s="763"/>
      <c r="AC72" s="763"/>
      <c r="AD72" s="763"/>
      <c r="AE72" s="763"/>
      <c r="AF72" s="763"/>
      <c r="AG72" s="763"/>
      <c r="AH72" s="763"/>
      <c r="AI72" s="763"/>
      <c r="AJ72" s="763"/>
      <c r="AK72" s="763"/>
      <c r="AL72" s="763"/>
      <c r="AM72" s="763"/>
      <c r="AN72" s="763"/>
      <c r="AO72" s="763"/>
      <c r="AP72" s="763"/>
      <c r="AQ72" s="763"/>
      <c r="AR72" s="763"/>
      <c r="AS72" s="763"/>
      <c r="AT72" s="763"/>
      <c r="AU72" s="763"/>
      <c r="AV72" s="763"/>
      <c r="AW72" s="763"/>
      <c r="AX72" s="763"/>
      <c r="AY72" s="763"/>
      <c r="AZ72" s="763"/>
      <c r="BA72" s="763"/>
      <c r="BB72" s="763"/>
      <c r="BC72" s="763"/>
      <c r="BD72" s="763"/>
      <c r="BE72" s="763"/>
      <c r="BF72" s="763"/>
      <c r="BG72" s="763" t="b">
        <f>IFERROR(__xludf.DUMMYFUNCTION("""COMPUTED_VALUE"""),FALSE)</f>
        <v>0</v>
      </c>
      <c r="BH72" s="763" t="b">
        <f>IFERROR(__xludf.DUMMYFUNCTION("""COMPUTED_VALUE"""),TRUE)</f>
        <v>1</v>
      </c>
      <c r="BI72" s="763" t="b">
        <f>IFERROR(__xludf.DUMMYFUNCTION("""COMPUTED_VALUE"""),FALSE)</f>
        <v>0</v>
      </c>
      <c r="BJ72" s="763" t="b">
        <f>IFERROR(__xludf.DUMMYFUNCTION("""COMPUTED_VALUE"""),FALSE)</f>
        <v>0</v>
      </c>
    </row>
    <row r="73">
      <c r="A73" s="762">
        <f>IFERROR(__xludf.DUMMYFUNCTION("""COMPUTED_VALUE"""),63524.0)</f>
        <v>63524</v>
      </c>
      <c r="B73" s="538">
        <f>IFERROR(__xludf.DUMMYFUNCTION("""COMPUTED_VALUE"""),63524.0)</f>
        <v>63524</v>
      </c>
      <c r="C73" s="538" t="str">
        <f>IFERROR(__xludf.DUMMYFUNCTION("""COMPUTED_VALUE"""),"2025-05-26 07:59:42")</f>
        <v>2025-05-26 07:59:42</v>
      </c>
      <c r="D73" s="538" t="str">
        <f>IFERROR(__xludf.DUMMYFUNCTION("""COMPUTED_VALUE"""),"completed")</f>
        <v>completed</v>
      </c>
      <c r="E73" s="538" t="str">
        <f>IFERROR(__xludf.DUMMYFUNCTION("""COMPUTED_VALUE"""),"Zoe")</f>
        <v>Zoe</v>
      </c>
      <c r="F73" s="538" t="str">
        <f>IFERROR(__xludf.DUMMYFUNCTION("""COMPUTED_VALUE"""),"Tontini")</f>
        <v>Tontini</v>
      </c>
      <c r="G73" s="538" t="str">
        <f>IFERROR(__xludf.DUMMYFUNCTION("""COMPUTED_VALUE"""),"franchinimia@gmail.com")</f>
        <v>franchinimia@gmail.com</v>
      </c>
      <c r="H73" s="538">
        <f>IFERROR(__xludf.DUMMYFUNCTION("""COMPUTED_VALUE"""),3.495921431E9)</f>
        <v>3495921431</v>
      </c>
      <c r="I73" s="538" t="str">
        <f>IFERROR(__xludf.DUMMYFUNCTION("""COMPUTED_VALUE"""),"Milano")</f>
        <v>Milano</v>
      </c>
      <c r="J73" s="538" t="str">
        <f>IFERROR(__xludf.DUMMYFUNCTION("""COMPUTED_VALUE"""),"Corso Italia 15a")</f>
        <v>Corso Italia 15a</v>
      </c>
      <c r="K73" s="538">
        <f>IFERROR(__xludf.DUMMYFUNCTION("""COMPUTED_VALUE"""),20122.0)</f>
        <v>20122</v>
      </c>
      <c r="L73" s="538" t="str">
        <f>IFERROR(__xludf.DUMMYFUNCTION("""COMPUTED_VALUE"""),"Satispay")</f>
        <v>Satispay</v>
      </c>
      <c r="M73" s="538" t="str">
        <f>IFERROR(__xludf.DUMMYFUNCTION("""COMPUTED_VALUE"""),"nura05campus")</f>
        <v>nura05campus</v>
      </c>
      <c r="N73" s="763" t="str">
        <f>IFERROR(__xludf.DUMMYFUNCTION("""COMPUTED_VALUE"""),"01970ba0-8ee0-7e81-a68b-e252ddf1e55b")</f>
        <v>01970ba0-8ee0-7e81-a68b-e252ddf1e55b</v>
      </c>
      <c r="O73" s="762">
        <f>IFERROR(__xludf.DUMMYFUNCTION("""COMPUTED_VALUE"""),0.0)</f>
        <v>0</v>
      </c>
      <c r="P73" s="766">
        <f>IFERROR(__xludf.DUMMYFUNCTION("""COMPUTED_VALUE"""),4.791666666666667)</f>
        <v>4.791666667</v>
      </c>
      <c r="Q73" s="538" t="str">
        <f>IFERROR(__xludf.DUMMYFUNCTION("""COMPUTED_VALUE"""),"EUR")</f>
        <v>EUR</v>
      </c>
      <c r="R73" s="762">
        <f>IFERROR(__xludf.DUMMYFUNCTION("""COMPUTED_VALUE"""),410.0)</f>
        <v>410</v>
      </c>
      <c r="S73" s="538" t="str">
        <f>IFERROR(__xludf.DUMMYFUNCTION("""COMPUTED_VALUE"""),"Campus estivo di danza per bambine e ragazze 2025 - Campus estivo di danza 1 settimana")</f>
        <v>Campus estivo di danza per bambine e ragazze 2025 - Campus estivo di danza 1 settimana</v>
      </c>
      <c r="T73" s="763"/>
      <c r="U73" s="763"/>
      <c r="V73" s="762">
        <f>IFERROR(__xludf.DUMMYFUNCTION("""COMPUTED_VALUE"""),1.0)</f>
        <v>1</v>
      </c>
      <c r="W73" s="762">
        <f>IFERROR(__xludf.DUMMYFUNCTION("""COMPUTED_VALUE"""),115.0)</f>
        <v>115</v>
      </c>
      <c r="X73" s="762">
        <f>IFERROR(__xludf.DUMMYFUNCTION("""COMPUTED_VALUE"""),115.0)</f>
        <v>115</v>
      </c>
      <c r="Y73" s="763"/>
      <c r="Z73" s="765" t="str">
        <f>IFERROR(__xludf.DUMMYFUNCTION("""COMPUTED_VALUE"""),"https://studio-gem.it/wp-admin/post.php?post=63524&amp;action=edit")</f>
        <v>https://studio-gem.it/wp-admin/post.php?post=63524&amp;action=edit</v>
      </c>
      <c r="AA73" s="763"/>
      <c r="AB73" s="763"/>
      <c r="AC73" s="763"/>
      <c r="AD73" s="763"/>
      <c r="AE73" s="763"/>
      <c r="AF73" s="763"/>
      <c r="AG73" s="763"/>
      <c r="AH73" s="763"/>
      <c r="AI73" s="763"/>
      <c r="AJ73" s="763"/>
      <c r="AK73" s="763"/>
      <c r="AL73" s="763"/>
      <c r="AM73" s="763"/>
      <c r="AN73" s="763"/>
      <c r="AO73" s="763"/>
      <c r="AP73" s="763"/>
      <c r="AQ73" s="763"/>
      <c r="AR73" s="763"/>
      <c r="AS73" s="763"/>
      <c r="AT73" s="763"/>
      <c r="AU73" s="763"/>
      <c r="AV73" s="763"/>
      <c r="AW73" s="763"/>
      <c r="AX73" s="763"/>
      <c r="AY73" s="763"/>
      <c r="AZ73" s="763"/>
      <c r="BA73" s="763"/>
      <c r="BB73" s="763"/>
      <c r="BC73" s="763"/>
      <c r="BD73" s="763"/>
      <c r="BE73" s="763"/>
      <c r="BF73" s="763"/>
      <c r="BG73" s="763" t="b">
        <f>IFERROR(__xludf.DUMMYFUNCTION("""COMPUTED_VALUE"""),FALSE)</f>
        <v>0</v>
      </c>
      <c r="BH73" s="763" t="b">
        <f>IFERROR(__xludf.DUMMYFUNCTION("""COMPUTED_VALUE"""),TRUE)</f>
        <v>1</v>
      </c>
      <c r="BI73" s="763" t="b">
        <f>IFERROR(__xludf.DUMMYFUNCTION("""COMPUTED_VALUE"""),FALSE)</f>
        <v>0</v>
      </c>
      <c r="BJ73" s="763" t="b">
        <f>IFERROR(__xludf.DUMMYFUNCTION("""COMPUTED_VALUE"""),FALSE)</f>
        <v>0</v>
      </c>
    </row>
    <row r="74">
      <c r="A74" s="762">
        <f>IFERROR(__xludf.DUMMYFUNCTION("""COMPUTED_VALUE"""),63626.0)</f>
        <v>63626</v>
      </c>
      <c r="B74" s="538">
        <f>IFERROR(__xludf.DUMMYFUNCTION("""COMPUTED_VALUE"""),63626.0)</f>
        <v>63626</v>
      </c>
      <c r="C74" s="538" t="str">
        <f>IFERROR(__xludf.DUMMYFUNCTION("""COMPUTED_VALUE"""),"2025-06-05 09:11:09")</f>
        <v>2025-06-05 09:11:09</v>
      </c>
      <c r="D74" s="538" t="str">
        <f>IFERROR(__xludf.DUMMYFUNCTION("""COMPUTED_VALUE"""),"completed")</f>
        <v>completed</v>
      </c>
      <c r="E74" s="538" t="str">
        <f>IFERROR(__xludf.DUMMYFUNCTION("""COMPUTED_VALUE"""),"Theo")</f>
        <v>Theo</v>
      </c>
      <c r="F74" s="538" t="str">
        <f>IFERROR(__xludf.DUMMYFUNCTION("""COMPUTED_VALUE"""),"Cioni")</f>
        <v>Cioni</v>
      </c>
      <c r="G74" s="538" t="str">
        <f>IFERROR(__xludf.DUMMYFUNCTION("""COMPUTED_VALUE"""),"ariagrimaldi@gmail.com")</f>
        <v>ariagrimaldi@gmail.com</v>
      </c>
      <c r="H74" s="538">
        <f>IFERROR(__xludf.DUMMYFUNCTION("""COMPUTED_VALUE"""),3.385785259E9)</f>
        <v>3385785259</v>
      </c>
      <c r="I74" s="538" t="str">
        <f>IFERROR(__xludf.DUMMYFUNCTION("""COMPUTED_VALUE"""),"Milano")</f>
        <v>Milano</v>
      </c>
      <c r="J74" s="538" t="str">
        <f>IFERROR(__xludf.DUMMYFUNCTION("""COMPUTED_VALUE"""),"Via Mantova 10")</f>
        <v>Via Mantova 10</v>
      </c>
      <c r="K74" s="538">
        <f>IFERROR(__xludf.DUMMYFUNCTION("""COMPUTED_VALUE"""),20135.0)</f>
        <v>20135</v>
      </c>
      <c r="L74" s="538" t="str">
        <f>IFERROR(__xludf.DUMMYFUNCTION("""COMPUTED_VALUE"""),"Satispay")</f>
        <v>Satispay</v>
      </c>
      <c r="M74" s="538" t="str">
        <f>IFERROR(__xludf.DUMMYFUNCTION("""COMPUTED_VALUE"""),"joel05campus")</f>
        <v>joel05campus</v>
      </c>
      <c r="N74" s="763" t="str">
        <f>IFERROR(__xludf.DUMMYFUNCTION("""COMPUTED_VALUE"""),"01973f5b-cb86-7e06-8553-2aedba100ec4")</f>
        <v>01973f5b-cb86-7e06-8553-2aedba100ec4</v>
      </c>
      <c r="O74" s="762">
        <f>IFERROR(__xludf.DUMMYFUNCTION("""COMPUTED_VALUE"""),0.0)</f>
        <v>0</v>
      </c>
      <c r="P74" s="766">
        <f>IFERROR(__xludf.DUMMYFUNCTION("""COMPUTED_VALUE"""),3.9583333333333335)</f>
        <v>3.958333333</v>
      </c>
      <c r="Q74" s="538" t="str">
        <f>IFERROR(__xludf.DUMMYFUNCTION("""COMPUTED_VALUE"""),"EUR")</f>
        <v>EUR</v>
      </c>
      <c r="R74" s="762">
        <f>IFERROR(__xludf.DUMMYFUNCTION("""COMPUTED_VALUE"""),412.0)</f>
        <v>412</v>
      </c>
      <c r="S74" s="538" t="str">
        <f>IFERROR(__xludf.DUMMYFUNCTION("""COMPUTED_VALUE"""),"Campus estivo per bambini e ragazzi 2025 - Campus estivo 1 settimana")</f>
        <v>Campus estivo per bambini e ragazzi 2025 - Campus estivo 1 settimana</v>
      </c>
      <c r="T74" s="763"/>
      <c r="U74" s="763"/>
      <c r="V74" s="762">
        <f>IFERROR(__xludf.DUMMYFUNCTION("""COMPUTED_VALUE"""),1.0)</f>
        <v>1</v>
      </c>
      <c r="W74" s="762">
        <f>IFERROR(__xludf.DUMMYFUNCTION("""COMPUTED_VALUE"""),95.0)</f>
        <v>95</v>
      </c>
      <c r="X74" s="762">
        <f>IFERROR(__xludf.DUMMYFUNCTION("""COMPUTED_VALUE"""),95.0)</f>
        <v>95</v>
      </c>
      <c r="Y74" s="763"/>
      <c r="Z74" s="765" t="str">
        <f>IFERROR(__xludf.DUMMYFUNCTION("""COMPUTED_VALUE"""),"https://studio-gem.it/wp-admin/post.php?post=63626&amp;action=edit")</f>
        <v>https://studio-gem.it/wp-admin/post.php?post=63626&amp;action=edit</v>
      </c>
      <c r="AA74" s="763"/>
      <c r="AB74" s="763"/>
      <c r="AC74" s="763"/>
      <c r="AD74" s="763"/>
      <c r="AE74" s="763"/>
      <c r="AF74" s="763"/>
      <c r="AG74" s="763"/>
      <c r="AH74" s="763"/>
      <c r="AI74" s="763"/>
      <c r="AJ74" s="763"/>
      <c r="AK74" s="763"/>
      <c r="AL74" s="763"/>
      <c r="AM74" s="763"/>
      <c r="AN74" s="763"/>
      <c r="AO74" s="763"/>
      <c r="AP74" s="763"/>
      <c r="AQ74" s="763"/>
      <c r="AR74" s="763"/>
      <c r="AS74" s="763"/>
      <c r="AT74" s="763"/>
      <c r="AU74" s="763"/>
      <c r="AV74" s="763"/>
      <c r="AW74" s="763"/>
      <c r="AX74" s="763"/>
      <c r="AY74" s="763"/>
      <c r="AZ74" s="763"/>
      <c r="BA74" s="763"/>
      <c r="BB74" s="763"/>
      <c r="BC74" s="763"/>
      <c r="BD74" s="763"/>
      <c r="BE74" s="763"/>
      <c r="BF74" s="763"/>
      <c r="BG74" s="763" t="b">
        <f>IFERROR(__xludf.DUMMYFUNCTION("""COMPUTED_VALUE"""),FALSE)</f>
        <v>0</v>
      </c>
      <c r="BH74" s="763" t="b">
        <f>IFERROR(__xludf.DUMMYFUNCTION("""COMPUTED_VALUE"""),TRUE)</f>
        <v>1</v>
      </c>
      <c r="BI74" s="763" t="b">
        <f>IFERROR(__xludf.DUMMYFUNCTION("""COMPUTED_VALUE"""),FALSE)</f>
        <v>0</v>
      </c>
      <c r="BJ74" s="763" t="b">
        <f>IFERROR(__xludf.DUMMYFUNCTION("""COMPUTED_VALUE"""),FALSE)</f>
        <v>0</v>
      </c>
    </row>
    <row r="75">
      <c r="A75" s="762">
        <f>IFERROR(__xludf.DUMMYFUNCTION("""COMPUTED_VALUE"""),63631.0)</f>
        <v>63631</v>
      </c>
      <c r="B75" s="538">
        <f>IFERROR(__xludf.DUMMYFUNCTION("""COMPUTED_VALUE"""),63631.0)</f>
        <v>63631</v>
      </c>
      <c r="C75" s="538" t="str">
        <f>IFERROR(__xludf.DUMMYFUNCTION("""COMPUTED_VALUE"""),"2025-06-05 21:19:29")</f>
        <v>2025-06-05 21:19:29</v>
      </c>
      <c r="D75" s="538" t="str">
        <f>IFERROR(__xludf.DUMMYFUNCTION("""COMPUTED_VALUE"""),"cancelled")</f>
        <v>cancelled</v>
      </c>
      <c r="E75" s="538" t="str">
        <f>IFERROR(__xludf.DUMMYFUNCTION("""COMPUTED_VALUE"""),"Rebecca")</f>
        <v>Rebecca</v>
      </c>
      <c r="F75" s="538" t="str">
        <f>IFERROR(__xludf.DUMMYFUNCTION("""COMPUTED_VALUE"""),"Peticchi")</f>
        <v>Peticchi</v>
      </c>
      <c r="G75" s="538" t="str">
        <f>IFERROR(__xludf.DUMMYFUNCTION("""COMPUTED_VALUE"""),"alicemessori@libero.it")</f>
        <v>alicemessori@libero.it</v>
      </c>
      <c r="H75" s="538">
        <f>IFERROR(__xludf.DUMMYFUNCTION("""COMPUTED_VALUE"""),3.429984655E9)</f>
        <v>3429984655</v>
      </c>
      <c r="I75" s="538" t="str">
        <f>IFERROR(__xludf.DUMMYFUNCTION("""COMPUTED_VALUE"""),"Milano")</f>
        <v>Milano</v>
      </c>
      <c r="J75" s="538" t="str">
        <f>IFERROR(__xludf.DUMMYFUNCTION("""COMPUTED_VALUE"""),"Spadolini 11b")</f>
        <v>Spadolini 11b</v>
      </c>
      <c r="K75" s="538">
        <f>IFERROR(__xludf.DUMMYFUNCTION("""COMPUTED_VALUE"""),20141.0)</f>
        <v>20141</v>
      </c>
      <c r="L75" s="538" t="str">
        <f>IFERROR(__xludf.DUMMYFUNCTION("""COMPUTED_VALUE"""),"Apple Pay")</f>
        <v>Apple Pay</v>
      </c>
      <c r="M75" s="538" t="str">
        <f>IFERROR(__xludf.DUMMYFUNCTION("""COMPUTED_VALUE"""),"alexandra05campus")</f>
        <v>alexandra05campus</v>
      </c>
      <c r="N75" s="763"/>
      <c r="O75" s="762">
        <f>IFERROR(__xludf.DUMMYFUNCTION("""COMPUTED_VALUE"""),0.0)</f>
        <v>0</v>
      </c>
      <c r="P75" s="766">
        <f>IFERROR(__xludf.DUMMYFUNCTION("""COMPUTED_VALUE"""),6.458333333333333)</f>
        <v>6.458333333</v>
      </c>
      <c r="Q75" s="538" t="str">
        <f>IFERROR(__xludf.DUMMYFUNCTION("""COMPUTED_VALUE"""),"EUR")</f>
        <v>EUR</v>
      </c>
      <c r="R75" s="762">
        <f>IFERROR(__xludf.DUMMYFUNCTION("""COMPUTED_VALUE"""),414.0)</f>
        <v>414</v>
      </c>
      <c r="S75" s="538" t="str">
        <f>IFERROR(__xludf.DUMMYFUNCTION("""COMPUTED_VALUE"""),"Campus estivo per bambini e ragazzi 2025 - Campus estivo 2 settimane")</f>
        <v>Campus estivo per bambini e ragazzi 2025 - Campus estivo 2 settimane</v>
      </c>
      <c r="T75" s="763"/>
      <c r="U75" s="763"/>
      <c r="V75" s="762">
        <f>IFERROR(__xludf.DUMMYFUNCTION("""COMPUTED_VALUE"""),1.0)</f>
        <v>1</v>
      </c>
      <c r="W75" s="762">
        <f>IFERROR(__xludf.DUMMYFUNCTION("""COMPUTED_VALUE"""),155.0)</f>
        <v>155</v>
      </c>
      <c r="X75" s="762">
        <f>IFERROR(__xludf.DUMMYFUNCTION("""COMPUTED_VALUE"""),155.0)</f>
        <v>155</v>
      </c>
      <c r="Y75" s="763"/>
      <c r="Z75" s="765" t="str">
        <f>IFERROR(__xludf.DUMMYFUNCTION("""COMPUTED_VALUE"""),"https://studio-gem.it/wp-admin/post.php?post=63631&amp;action=edit")</f>
        <v>https://studio-gem.it/wp-admin/post.php?post=63631&amp;action=edit</v>
      </c>
      <c r="AA75" s="763"/>
      <c r="AB75" s="763"/>
      <c r="AC75" s="763"/>
      <c r="AD75" s="763"/>
      <c r="AE75" s="763"/>
      <c r="AF75" s="763"/>
      <c r="AG75" s="763"/>
      <c r="AH75" s="763"/>
      <c r="AI75" s="763"/>
      <c r="AJ75" s="763"/>
      <c r="AK75" s="763"/>
      <c r="AL75" s="763"/>
      <c r="AM75" s="763"/>
      <c r="AN75" s="763"/>
      <c r="AO75" s="763"/>
      <c r="AP75" s="763"/>
      <c r="AQ75" s="763"/>
      <c r="AR75" s="763"/>
      <c r="AS75" s="763"/>
      <c r="AT75" s="763"/>
      <c r="AU75" s="763"/>
      <c r="AV75" s="763"/>
      <c r="AW75" s="763"/>
      <c r="AX75" s="763"/>
      <c r="AY75" s="763"/>
      <c r="AZ75" s="763"/>
      <c r="BA75" s="763"/>
      <c r="BB75" s="763"/>
      <c r="BC75" s="763"/>
      <c r="BD75" s="763"/>
      <c r="BE75" s="763"/>
      <c r="BF75" s="763"/>
      <c r="BG75" s="763" t="b">
        <f>IFERROR(__xludf.DUMMYFUNCTION("""COMPUTED_VALUE"""),FALSE)</f>
        <v>0</v>
      </c>
      <c r="BH75" s="763" t="b">
        <f>IFERROR(__xludf.DUMMYFUNCTION("""COMPUTED_VALUE"""),FALSE)</f>
        <v>0</v>
      </c>
      <c r="BI75" s="763" t="b">
        <f>IFERROR(__xludf.DUMMYFUNCTION("""COMPUTED_VALUE"""),FALSE)</f>
        <v>0</v>
      </c>
      <c r="BJ75" s="763" t="b">
        <f>IFERROR(__xludf.DUMMYFUNCTION("""COMPUTED_VALUE"""),FALSE)</f>
        <v>0</v>
      </c>
    </row>
    <row r="76">
      <c r="A76" s="762">
        <f>IFERROR(__xludf.DUMMYFUNCTION("""COMPUTED_VALUE"""),63637.0)</f>
        <v>63637</v>
      </c>
      <c r="B76" s="538">
        <f>IFERROR(__xludf.DUMMYFUNCTION("""COMPUTED_VALUE"""),63637.0)</f>
        <v>63637</v>
      </c>
      <c r="C76" s="538" t="str">
        <f>IFERROR(__xludf.DUMMYFUNCTION("""COMPUTED_VALUE"""),"2025-06-07 10:11:35")</f>
        <v>2025-06-07 10:11:35</v>
      </c>
      <c r="D76" s="538" t="str">
        <f>IFERROR(__xludf.DUMMYFUNCTION("""COMPUTED_VALUE"""),"completed")</f>
        <v>completed</v>
      </c>
      <c r="E76" s="538" t="str">
        <f>IFERROR(__xludf.DUMMYFUNCTION("""COMPUTED_VALUE"""),"Rebecca")</f>
        <v>Rebecca</v>
      </c>
      <c r="F76" s="538" t="str">
        <f>IFERROR(__xludf.DUMMYFUNCTION("""COMPUTED_VALUE"""),"Peticchi")</f>
        <v>Peticchi</v>
      </c>
      <c r="G76" s="538" t="str">
        <f>IFERROR(__xludf.DUMMYFUNCTION("""COMPUTED_VALUE"""),"alicemessori@libero.it")</f>
        <v>alicemessori@libero.it</v>
      </c>
      <c r="H76" s="538">
        <f>IFERROR(__xludf.DUMMYFUNCTION("""COMPUTED_VALUE"""),3.429984655E9)</f>
        <v>3429984655</v>
      </c>
      <c r="I76" s="538" t="str">
        <f>IFERROR(__xludf.DUMMYFUNCTION("""COMPUTED_VALUE"""),"Milano")</f>
        <v>Milano</v>
      </c>
      <c r="J76" s="538" t="str">
        <f>IFERROR(__xludf.DUMMYFUNCTION("""COMPUTED_VALUE"""),"Spadolini 11b")</f>
        <v>Spadolini 11b</v>
      </c>
      <c r="K76" s="538">
        <f>IFERROR(__xludf.DUMMYFUNCTION("""COMPUTED_VALUE"""),20141.0)</f>
        <v>20141</v>
      </c>
      <c r="L76" s="538" t="str">
        <f>IFERROR(__xludf.DUMMYFUNCTION("""COMPUTED_VALUE"""),"Apple Pay")</f>
        <v>Apple Pay</v>
      </c>
      <c r="M76" s="538" t="str">
        <f>IFERROR(__xludf.DUMMYFUNCTION("""COMPUTED_VALUE"""),"alexandra05campus")</f>
        <v>alexandra05campus</v>
      </c>
      <c r="N76" s="763" t="str">
        <f>IFERROR(__xludf.DUMMYFUNCTION("""COMPUTED_VALUE"""),"63637-1749291096")</f>
        <v>63637-1749291096</v>
      </c>
      <c r="O76" s="762">
        <f>IFERROR(__xludf.DUMMYFUNCTION("""COMPUTED_VALUE"""),0.0)</f>
        <v>0</v>
      </c>
      <c r="P76" s="766">
        <f>IFERROR(__xludf.DUMMYFUNCTION("""COMPUTED_VALUE"""),6.458333333333333)</f>
        <v>6.458333333</v>
      </c>
      <c r="Q76" s="538" t="str">
        <f>IFERROR(__xludf.DUMMYFUNCTION("""COMPUTED_VALUE"""),"EUR")</f>
        <v>EUR</v>
      </c>
      <c r="R76" s="762">
        <f>IFERROR(__xludf.DUMMYFUNCTION("""COMPUTED_VALUE"""),416.0)</f>
        <v>416</v>
      </c>
      <c r="S76" s="538" t="str">
        <f>IFERROR(__xludf.DUMMYFUNCTION("""COMPUTED_VALUE"""),"Campus estivo per bambini e ragazzi 2025 - Campus estivo 2 settimane")</f>
        <v>Campus estivo per bambini e ragazzi 2025 - Campus estivo 2 settimane</v>
      </c>
      <c r="T76" s="763"/>
      <c r="U76" s="763"/>
      <c r="V76" s="762">
        <f>IFERROR(__xludf.DUMMYFUNCTION("""COMPUTED_VALUE"""),1.0)</f>
        <v>1</v>
      </c>
      <c r="W76" s="762">
        <f>IFERROR(__xludf.DUMMYFUNCTION("""COMPUTED_VALUE"""),155.0)</f>
        <v>155</v>
      </c>
      <c r="X76" s="762">
        <f>IFERROR(__xludf.DUMMYFUNCTION("""COMPUTED_VALUE"""),155.0)</f>
        <v>155</v>
      </c>
      <c r="Y76" s="763"/>
      <c r="Z76" s="765" t="str">
        <f>IFERROR(__xludf.DUMMYFUNCTION("""COMPUTED_VALUE"""),"https://studio-gem.it/wp-admin/post.php?post=63637&amp;action=edit")</f>
        <v>https://studio-gem.it/wp-admin/post.php?post=63637&amp;action=edit</v>
      </c>
      <c r="AA76" s="763"/>
      <c r="AB76" s="763"/>
      <c r="AC76" s="763"/>
      <c r="AD76" s="763"/>
      <c r="AE76" s="763"/>
      <c r="AF76" s="763"/>
      <c r="AG76" s="763"/>
      <c r="AH76" s="763"/>
      <c r="AI76" s="763"/>
      <c r="AJ76" s="763"/>
      <c r="AK76" s="763"/>
      <c r="AL76" s="763"/>
      <c r="AM76" s="763"/>
      <c r="AN76" s="763"/>
      <c r="AO76" s="763"/>
      <c r="AP76" s="763"/>
      <c r="AQ76" s="763"/>
      <c r="AR76" s="763"/>
      <c r="AS76" s="763"/>
      <c r="AT76" s="763"/>
      <c r="AU76" s="763"/>
      <c r="AV76" s="763"/>
      <c r="AW76" s="763"/>
      <c r="AX76" s="763"/>
      <c r="AY76" s="763"/>
      <c r="AZ76" s="763"/>
      <c r="BA76" s="763"/>
      <c r="BB76" s="763"/>
      <c r="BC76" s="763"/>
      <c r="BD76" s="763"/>
      <c r="BE76" s="763"/>
      <c r="BF76" s="763"/>
      <c r="BG76" s="763" t="b">
        <f>IFERROR(__xludf.DUMMYFUNCTION("""COMPUTED_VALUE"""),FALSE)</f>
        <v>0</v>
      </c>
      <c r="BH76" s="763" t="b">
        <f>IFERROR(__xludf.DUMMYFUNCTION("""COMPUTED_VALUE"""),TRUE)</f>
        <v>1</v>
      </c>
      <c r="BI76" s="763" t="b">
        <f>IFERROR(__xludf.DUMMYFUNCTION("""COMPUTED_VALUE"""),FALSE)</f>
        <v>0</v>
      </c>
      <c r="BJ76" s="763" t="b">
        <f>IFERROR(__xludf.DUMMYFUNCTION("""COMPUTED_VALUE"""),FALSE)</f>
        <v>0</v>
      </c>
    </row>
    <row r="77">
      <c r="A77" s="762">
        <f>IFERROR(__xludf.DUMMYFUNCTION("""COMPUTED_VALUE"""),63642.0)</f>
        <v>63642</v>
      </c>
      <c r="B77" s="538">
        <f>IFERROR(__xludf.DUMMYFUNCTION("""COMPUTED_VALUE"""),63642.0)</f>
        <v>63642</v>
      </c>
      <c r="C77" s="538" t="str">
        <f>IFERROR(__xludf.DUMMYFUNCTION("""COMPUTED_VALUE"""),"2025-06-08 08:23:38")</f>
        <v>2025-06-08 08:23:38</v>
      </c>
      <c r="D77" s="538" t="str">
        <f>IFERROR(__xludf.DUMMYFUNCTION("""COMPUTED_VALUE"""),"completed")</f>
        <v>completed</v>
      </c>
      <c r="E77" s="538" t="str">
        <f>IFERROR(__xludf.DUMMYFUNCTION("""COMPUTED_VALUE"""),"Serena")</f>
        <v>Serena</v>
      </c>
      <c r="F77" s="538" t="str">
        <f>IFERROR(__xludf.DUMMYFUNCTION("""COMPUTED_VALUE"""),"Bucci")</f>
        <v>Bucci</v>
      </c>
      <c r="G77" s="538" t="str">
        <f>IFERROR(__xludf.DUMMYFUNCTION("""COMPUTED_VALUE"""),"pinkstyle2010@gmail.com")</f>
        <v>pinkstyle2010@gmail.com</v>
      </c>
      <c r="H77" s="538">
        <f>IFERROR(__xludf.DUMMYFUNCTION("""COMPUTED_VALUE"""),3.494909989E9)</f>
        <v>3494909989</v>
      </c>
      <c r="I77" s="538" t="str">
        <f>IFERROR(__xludf.DUMMYFUNCTION("""COMPUTED_VALUE"""),"Milano")</f>
        <v>Milano</v>
      </c>
      <c r="J77" s="538" t="str">
        <f>IFERROR(__xludf.DUMMYFUNCTION("""COMPUTED_VALUE"""),"Altaguardia 11")</f>
        <v>Altaguardia 11</v>
      </c>
      <c r="K77" s="538">
        <f>IFERROR(__xludf.DUMMYFUNCTION("""COMPUTED_VALUE"""),20135.0)</f>
        <v>20135</v>
      </c>
      <c r="L77" s="538" t="str">
        <f>IFERROR(__xludf.DUMMYFUNCTION("""COMPUTED_VALUE"""),"Carte di pagamento")</f>
        <v>Carte di pagamento</v>
      </c>
      <c r="M77" s="763"/>
      <c r="N77" s="763" t="str">
        <f>IFERROR(__xludf.DUMMYFUNCTION("""COMPUTED_VALUE"""),"63642-1749371019")</f>
        <v>63642-1749371019</v>
      </c>
      <c r="O77" s="762">
        <f>IFERROR(__xludf.DUMMYFUNCTION("""COMPUTED_VALUE"""),0.0)</f>
        <v>0</v>
      </c>
      <c r="P77" s="766">
        <f>IFERROR(__xludf.DUMMYFUNCTION("""COMPUTED_VALUE"""),12.916666666666666)</f>
        <v>12.91666667</v>
      </c>
      <c r="Q77" s="538" t="str">
        <f>IFERROR(__xludf.DUMMYFUNCTION("""COMPUTED_VALUE"""),"EUR")</f>
        <v>EUR</v>
      </c>
      <c r="R77" s="762">
        <f>IFERROR(__xludf.DUMMYFUNCTION("""COMPUTED_VALUE"""),418.0)</f>
        <v>418</v>
      </c>
      <c r="S77" s="538" t="str">
        <f>IFERROR(__xludf.DUMMYFUNCTION("""COMPUTED_VALUE"""),"Campus estivo per bambini e ragazzi 2025 - Campus estivo 1 settimana")</f>
        <v>Campus estivo per bambini e ragazzi 2025 - Campus estivo 1 settimana</v>
      </c>
      <c r="T77" s="763"/>
      <c r="U77" s="763"/>
      <c r="V77" s="762">
        <f>IFERROR(__xludf.DUMMYFUNCTION("""COMPUTED_VALUE"""),1.0)</f>
        <v>1</v>
      </c>
      <c r="W77" s="762">
        <f>IFERROR(__xludf.DUMMYFUNCTION("""COMPUTED_VALUE"""),125.0)</f>
        <v>125</v>
      </c>
      <c r="X77" s="762">
        <f>IFERROR(__xludf.DUMMYFUNCTION("""COMPUTED_VALUE"""),125.0)</f>
        <v>125</v>
      </c>
      <c r="Y77" s="538" t="str">
        <f>IFERROR(__xludf.DUMMYFUNCTION("""COMPUTED_VALUE"""),"Campus Tommaso Ferraro (1 settimana) e Clara Ferraro (2 settimane). Per favore metterli con Beatrice De Donno e Silvia Santoro.")</f>
        <v>Campus Tommaso Ferraro (1 settimana) e Clara Ferraro (2 settimane). Per favore metterli con Beatrice De Donno e Silvia Santoro.</v>
      </c>
      <c r="Z77" s="765" t="str">
        <f>IFERROR(__xludf.DUMMYFUNCTION("""COMPUTED_VALUE"""),"https://studio-gem.it/wp-admin/post.php?post=63642&amp;action=edit")</f>
        <v>https://studio-gem.it/wp-admin/post.php?post=63642&amp;action=edit</v>
      </c>
      <c r="AA77" s="763"/>
      <c r="AB77" s="763"/>
      <c r="AC77" s="763"/>
      <c r="AD77" s="763"/>
      <c r="AE77" s="763"/>
      <c r="AF77" s="763"/>
      <c r="AG77" s="763"/>
      <c r="AH77" s="763"/>
      <c r="AI77" s="763"/>
      <c r="AJ77" s="763"/>
      <c r="AK77" s="763"/>
      <c r="AL77" s="763"/>
      <c r="AM77" s="763"/>
      <c r="AN77" s="763"/>
      <c r="AO77" s="763"/>
      <c r="AP77" s="763"/>
      <c r="AQ77" s="763"/>
      <c r="AR77" s="763"/>
      <c r="AS77" s="763"/>
      <c r="AT77" s="763"/>
      <c r="AU77" s="763"/>
      <c r="AV77" s="763"/>
      <c r="AW77" s="763"/>
      <c r="AX77" s="763"/>
      <c r="AY77" s="763"/>
      <c r="AZ77" s="763"/>
      <c r="BA77" s="763"/>
      <c r="BB77" s="763"/>
      <c r="BC77" s="763"/>
      <c r="BD77" s="763"/>
      <c r="BE77" s="763"/>
      <c r="BF77" s="763"/>
      <c r="BG77" s="763" t="b">
        <f>IFERROR(__xludf.DUMMYFUNCTION("""COMPUTED_VALUE"""),FALSE)</f>
        <v>0</v>
      </c>
      <c r="BH77" s="763" t="b">
        <f>IFERROR(__xludf.DUMMYFUNCTION("""COMPUTED_VALUE"""),TRUE)</f>
        <v>1</v>
      </c>
      <c r="BI77" s="763" t="b">
        <f>IFERROR(__xludf.DUMMYFUNCTION("""COMPUTED_VALUE"""),FALSE)</f>
        <v>0</v>
      </c>
      <c r="BJ77" s="763" t="b">
        <f>IFERROR(__xludf.DUMMYFUNCTION("""COMPUTED_VALUE"""),FALSE)</f>
        <v>0</v>
      </c>
    </row>
    <row r="78">
      <c r="A78" s="762">
        <f>IFERROR(__xludf.DUMMYFUNCTION("""COMPUTED_VALUE"""),63642.0)</f>
        <v>63642</v>
      </c>
      <c r="B78" s="538">
        <f>IFERROR(__xludf.DUMMYFUNCTION("""COMPUTED_VALUE"""),63642.0)</f>
        <v>63642</v>
      </c>
      <c r="C78" s="538" t="str">
        <f>IFERROR(__xludf.DUMMYFUNCTION("""COMPUTED_VALUE"""),"2025-06-08 08:23:38")</f>
        <v>2025-06-08 08:23:38</v>
      </c>
      <c r="D78" s="538" t="str">
        <f>IFERROR(__xludf.DUMMYFUNCTION("""COMPUTED_VALUE"""),"completed")</f>
        <v>completed</v>
      </c>
      <c r="E78" s="538" t="str">
        <f>IFERROR(__xludf.DUMMYFUNCTION("""COMPUTED_VALUE"""),"Serena")</f>
        <v>Serena</v>
      </c>
      <c r="F78" s="538" t="str">
        <f>IFERROR(__xludf.DUMMYFUNCTION("""COMPUTED_VALUE"""),"Bucci")</f>
        <v>Bucci</v>
      </c>
      <c r="G78" s="538" t="str">
        <f>IFERROR(__xludf.DUMMYFUNCTION("""COMPUTED_VALUE"""),"pinkstyle2010@gmail.com")</f>
        <v>pinkstyle2010@gmail.com</v>
      </c>
      <c r="H78" s="538">
        <f>IFERROR(__xludf.DUMMYFUNCTION("""COMPUTED_VALUE"""),3.494909989E9)</f>
        <v>3494909989</v>
      </c>
      <c r="I78" s="538" t="str">
        <f>IFERROR(__xludf.DUMMYFUNCTION("""COMPUTED_VALUE"""),"Milano")</f>
        <v>Milano</v>
      </c>
      <c r="J78" s="538" t="str">
        <f>IFERROR(__xludf.DUMMYFUNCTION("""COMPUTED_VALUE"""),"Altaguardia 11")</f>
        <v>Altaguardia 11</v>
      </c>
      <c r="K78" s="538">
        <f>IFERROR(__xludf.DUMMYFUNCTION("""COMPUTED_VALUE"""),20135.0)</f>
        <v>20135</v>
      </c>
      <c r="L78" s="538" t="str">
        <f>IFERROR(__xludf.DUMMYFUNCTION("""COMPUTED_VALUE"""),"Carte di pagamento")</f>
        <v>Carte di pagamento</v>
      </c>
      <c r="M78" s="763"/>
      <c r="N78" s="763" t="str">
        <f>IFERROR(__xludf.DUMMYFUNCTION("""COMPUTED_VALUE"""),"63642-1749371019")</f>
        <v>63642-1749371019</v>
      </c>
      <c r="O78" s="762">
        <f>IFERROR(__xludf.DUMMYFUNCTION("""COMPUTED_VALUE"""),0.0)</f>
        <v>0</v>
      </c>
      <c r="P78" s="766">
        <f>IFERROR(__xludf.DUMMYFUNCTION("""COMPUTED_VALUE"""),12.916666666666666)</f>
        <v>12.91666667</v>
      </c>
      <c r="Q78" s="538" t="str">
        <f>IFERROR(__xludf.DUMMYFUNCTION("""COMPUTED_VALUE"""),"EUR")</f>
        <v>EUR</v>
      </c>
      <c r="R78" s="762">
        <f>IFERROR(__xludf.DUMMYFUNCTION("""COMPUTED_VALUE"""),419.0)</f>
        <v>419</v>
      </c>
      <c r="S78" s="538" t="str">
        <f>IFERROR(__xludf.DUMMYFUNCTION("""COMPUTED_VALUE"""),"Campus estivo per bambini e ragazzi 2025 - Campus estivo 2 settimane")</f>
        <v>Campus estivo per bambini e ragazzi 2025 - Campus estivo 2 settimane</v>
      </c>
      <c r="T78" s="763"/>
      <c r="U78" s="763"/>
      <c r="V78" s="762">
        <f>IFERROR(__xludf.DUMMYFUNCTION("""COMPUTED_VALUE"""),1.0)</f>
        <v>1</v>
      </c>
      <c r="W78" s="762">
        <f>IFERROR(__xludf.DUMMYFUNCTION("""COMPUTED_VALUE"""),185.0)</f>
        <v>185</v>
      </c>
      <c r="X78" s="762">
        <f>IFERROR(__xludf.DUMMYFUNCTION("""COMPUTED_VALUE"""),185.0)</f>
        <v>185</v>
      </c>
      <c r="Y78" s="538" t="str">
        <f>IFERROR(__xludf.DUMMYFUNCTION("""COMPUTED_VALUE"""),"Campus Tommaso Ferraro (1 settimana) e Clara Ferraro (2 settimane). Per favore metterli con Beatrice De Donno e Silvia Santoro.")</f>
        <v>Campus Tommaso Ferraro (1 settimana) e Clara Ferraro (2 settimane). Per favore metterli con Beatrice De Donno e Silvia Santoro.</v>
      </c>
      <c r="Z78" s="765" t="str">
        <f>IFERROR(__xludf.DUMMYFUNCTION("""COMPUTED_VALUE"""),"https://studio-gem.it/wp-admin/post.php?post=63642&amp;action=edit")</f>
        <v>https://studio-gem.it/wp-admin/post.php?post=63642&amp;action=edit</v>
      </c>
      <c r="AA78" s="763"/>
      <c r="AB78" s="763"/>
      <c r="AC78" s="763"/>
      <c r="AD78" s="763"/>
      <c r="AE78" s="763"/>
      <c r="AF78" s="763"/>
      <c r="AG78" s="763"/>
      <c r="AH78" s="763"/>
      <c r="AI78" s="763"/>
      <c r="AJ78" s="763"/>
      <c r="AK78" s="763"/>
      <c r="AL78" s="763"/>
      <c r="AM78" s="763"/>
      <c r="AN78" s="763"/>
      <c r="AO78" s="763"/>
      <c r="AP78" s="763"/>
      <c r="AQ78" s="763"/>
      <c r="AR78" s="763"/>
      <c r="AS78" s="763"/>
      <c r="AT78" s="763"/>
      <c r="AU78" s="763"/>
      <c r="AV78" s="763"/>
      <c r="AW78" s="763"/>
      <c r="AX78" s="763"/>
      <c r="AY78" s="763"/>
      <c r="AZ78" s="763"/>
      <c r="BA78" s="763"/>
      <c r="BB78" s="763"/>
      <c r="BC78" s="763"/>
      <c r="BD78" s="763"/>
      <c r="BE78" s="763"/>
      <c r="BF78" s="763"/>
      <c r="BG78" s="763" t="b">
        <f>IFERROR(__xludf.DUMMYFUNCTION("""COMPUTED_VALUE"""),FALSE)</f>
        <v>0</v>
      </c>
      <c r="BH78" s="763" t="b">
        <f>IFERROR(__xludf.DUMMYFUNCTION("""COMPUTED_VALUE"""),TRUE)</f>
        <v>1</v>
      </c>
      <c r="BI78" s="763" t="b">
        <f>IFERROR(__xludf.DUMMYFUNCTION("""COMPUTED_VALUE"""),FALSE)</f>
        <v>0</v>
      </c>
      <c r="BJ78" s="763" t="b">
        <f>IFERROR(__xludf.DUMMYFUNCTION("""COMPUTED_VALUE"""),FALSE)</f>
        <v>0</v>
      </c>
    </row>
    <row r="79">
      <c r="A79" s="762">
        <f>IFERROR(__xludf.DUMMYFUNCTION("""COMPUTED_VALUE"""),63643.0)</f>
        <v>63643</v>
      </c>
      <c r="B79" s="538">
        <f>IFERROR(__xludf.DUMMYFUNCTION("""COMPUTED_VALUE"""),63643.0)</f>
        <v>63643</v>
      </c>
      <c r="C79" s="538" t="str">
        <f>IFERROR(__xludf.DUMMYFUNCTION("""COMPUTED_VALUE"""),"2025-06-08 11:15:39")</f>
        <v>2025-06-08 11:15:39</v>
      </c>
      <c r="D79" s="538" t="str">
        <f>IFERROR(__xludf.DUMMYFUNCTION("""COMPUTED_VALUE"""),"completed")</f>
        <v>completed</v>
      </c>
      <c r="E79" s="538" t="str">
        <f>IFERROR(__xludf.DUMMYFUNCTION("""COMPUTED_VALUE"""),"Simona")</f>
        <v>Simona</v>
      </c>
      <c r="F79" s="538" t="str">
        <f>IFERROR(__xludf.DUMMYFUNCTION("""COMPUTED_VALUE"""),"Moltoni")</f>
        <v>Moltoni</v>
      </c>
      <c r="G79" s="538" t="str">
        <f>IFERROR(__xludf.DUMMYFUNCTION("""COMPUTED_VALUE"""),"Moltonisimona@gmail.com")</f>
        <v>Moltonisimona@gmail.com</v>
      </c>
      <c r="H79" s="538">
        <f>IFERROR(__xludf.DUMMYFUNCTION("""COMPUTED_VALUE"""),3.474422978E9)</f>
        <v>3474422978</v>
      </c>
      <c r="I79" s="538" t="str">
        <f>IFERROR(__xludf.DUMMYFUNCTION("""COMPUTED_VALUE"""),"Milano")</f>
        <v>Milano</v>
      </c>
      <c r="J79" s="538" t="str">
        <f>IFERROR(__xludf.DUMMYFUNCTION("""COMPUTED_VALUE"""),"Orti 24")</f>
        <v>Orti 24</v>
      </c>
      <c r="K79" s="538">
        <f>IFERROR(__xludf.DUMMYFUNCTION("""COMPUTED_VALUE"""),20122.0)</f>
        <v>20122</v>
      </c>
      <c r="L79" s="538" t="str">
        <f>IFERROR(__xludf.DUMMYFUNCTION("""COMPUTED_VALUE"""),"Carte di pagamento")</f>
        <v>Carte di pagamento</v>
      </c>
      <c r="M79" s="763"/>
      <c r="N79" s="763" t="str">
        <f>IFERROR(__xludf.DUMMYFUNCTION("""COMPUTED_VALUE"""),"63643-1749381341")</f>
        <v>63643-1749381341</v>
      </c>
      <c r="O79" s="762">
        <f>IFERROR(__xludf.DUMMYFUNCTION("""COMPUTED_VALUE"""),0.0)</f>
        <v>0</v>
      </c>
      <c r="P79" s="766">
        <f>IFERROR(__xludf.DUMMYFUNCTION("""COMPUTED_VALUE"""),8.75)</f>
        <v>8.75</v>
      </c>
      <c r="Q79" s="538" t="str">
        <f>IFERROR(__xludf.DUMMYFUNCTION("""COMPUTED_VALUE"""),"EUR")</f>
        <v>EUR</v>
      </c>
      <c r="R79" s="762">
        <f>IFERROR(__xludf.DUMMYFUNCTION("""COMPUTED_VALUE"""),420.0)</f>
        <v>420</v>
      </c>
      <c r="S79" s="538" t="str">
        <f>IFERROR(__xludf.DUMMYFUNCTION("""COMPUTED_VALUE"""),"Campus estivo per bambini e ragazzi 2025 - Campus estivo 3 settimane")</f>
        <v>Campus estivo per bambini e ragazzi 2025 - Campus estivo 3 settimane</v>
      </c>
      <c r="T79" s="763"/>
      <c r="U79" s="763"/>
      <c r="V79" s="762">
        <f>IFERROR(__xludf.DUMMYFUNCTION("""COMPUTED_VALUE"""),1.0)</f>
        <v>1</v>
      </c>
      <c r="W79" s="762">
        <f>IFERROR(__xludf.DUMMYFUNCTION("""COMPUTED_VALUE"""),210.0)</f>
        <v>210</v>
      </c>
      <c r="X79" s="762">
        <f>IFERROR(__xludf.DUMMYFUNCTION("""COMPUTED_VALUE"""),210.0)</f>
        <v>210</v>
      </c>
      <c r="Y79" s="763"/>
      <c r="Z79" s="765" t="str">
        <f>IFERROR(__xludf.DUMMYFUNCTION("""COMPUTED_VALUE"""),"https://studio-gem.it/wp-admin/post.php?post=63643&amp;action=edit")</f>
        <v>https://studio-gem.it/wp-admin/post.php?post=63643&amp;action=edit</v>
      </c>
      <c r="AA79" s="763"/>
      <c r="AB79" s="763"/>
      <c r="AC79" s="763"/>
      <c r="AD79" s="763"/>
      <c r="AE79" s="763"/>
      <c r="AF79" s="763"/>
      <c r="AG79" s="763"/>
      <c r="AH79" s="763"/>
      <c r="AI79" s="763"/>
      <c r="AJ79" s="763"/>
      <c r="AK79" s="763"/>
      <c r="AL79" s="763"/>
      <c r="AM79" s="763"/>
      <c r="AN79" s="763"/>
      <c r="AO79" s="763"/>
      <c r="AP79" s="763"/>
      <c r="AQ79" s="763"/>
      <c r="AR79" s="763"/>
      <c r="AS79" s="763"/>
      <c r="AT79" s="763"/>
      <c r="AU79" s="763"/>
      <c r="AV79" s="763"/>
      <c r="AW79" s="763"/>
      <c r="AX79" s="763"/>
      <c r="AY79" s="763"/>
      <c r="AZ79" s="763"/>
      <c r="BA79" s="763"/>
      <c r="BB79" s="763"/>
      <c r="BC79" s="763"/>
      <c r="BD79" s="763"/>
      <c r="BE79" s="763"/>
      <c r="BF79" s="763"/>
      <c r="BG79" s="763" t="b">
        <f>IFERROR(__xludf.DUMMYFUNCTION("""COMPUTED_VALUE"""),FALSE)</f>
        <v>0</v>
      </c>
      <c r="BH79" s="763" t="b">
        <f>IFERROR(__xludf.DUMMYFUNCTION("""COMPUTED_VALUE"""),TRUE)</f>
        <v>1</v>
      </c>
      <c r="BI79" s="763" t="b">
        <f>IFERROR(__xludf.DUMMYFUNCTION("""COMPUTED_VALUE"""),FALSE)</f>
        <v>0</v>
      </c>
      <c r="BJ79" s="763" t="b">
        <f>IFERROR(__xludf.DUMMYFUNCTION("""COMPUTED_VALUE"""),FALSE)</f>
        <v>0</v>
      </c>
    </row>
    <row r="80">
      <c r="A80" s="762">
        <f>IFERROR(__xludf.DUMMYFUNCTION("""COMPUTED_VALUE"""),63667.0)</f>
        <v>63667</v>
      </c>
      <c r="B80" s="538">
        <f>IFERROR(__xludf.DUMMYFUNCTION("""COMPUTED_VALUE"""),63667.0)</f>
        <v>63667</v>
      </c>
      <c r="C80" s="538" t="str">
        <f>IFERROR(__xludf.DUMMYFUNCTION("""COMPUTED_VALUE"""),"2025-06-11 07:12:52")</f>
        <v>2025-06-11 07:12:52</v>
      </c>
      <c r="D80" s="538" t="str">
        <f>IFERROR(__xludf.DUMMYFUNCTION("""COMPUTED_VALUE"""),"cancelled")</f>
        <v>cancelled</v>
      </c>
      <c r="E80" s="538" t="str">
        <f>IFERROR(__xludf.DUMMYFUNCTION("""COMPUTED_VALUE"""),"Arianna mia")</f>
        <v>Arianna mia</v>
      </c>
      <c r="F80" s="538" t="str">
        <f>IFERROR(__xludf.DUMMYFUNCTION("""COMPUTED_VALUE"""),"Rossi")</f>
        <v>Rossi</v>
      </c>
      <c r="G80" s="538" t="str">
        <f>IFERROR(__xludf.DUMMYFUNCTION("""COMPUTED_VALUE"""),"karenleoni@libero.it")</f>
        <v>karenleoni@libero.it</v>
      </c>
      <c r="H80" s="538" t="str">
        <f>IFERROR(__xludf.DUMMYFUNCTION("""COMPUTED_VALUE"""),"+393468199436")</f>
        <v>+393468199436</v>
      </c>
      <c r="I80" s="538" t="str">
        <f>IFERROR(__xludf.DUMMYFUNCTION("""COMPUTED_VALUE"""),"Milano")</f>
        <v>Milano</v>
      </c>
      <c r="J80" s="538" t="str">
        <f>IFERROR(__xludf.DUMMYFUNCTION("""COMPUTED_VALUE"""),"Via lamarmora 29")</f>
        <v>Via lamarmora 29</v>
      </c>
      <c r="K80" s="538">
        <f>IFERROR(__xludf.DUMMYFUNCTION("""COMPUTED_VALUE"""),20122.0)</f>
        <v>20122</v>
      </c>
      <c r="L80" s="538" t="str">
        <f>IFERROR(__xludf.DUMMYFUNCTION("""COMPUTED_VALUE"""),"Carte di pagamento")</f>
        <v>Carte di pagamento</v>
      </c>
      <c r="M80" s="763"/>
      <c r="N80" s="763"/>
      <c r="O80" s="762">
        <f>IFERROR(__xludf.DUMMYFUNCTION("""COMPUTED_VALUE"""),0.0)</f>
        <v>0</v>
      </c>
      <c r="P80" s="766">
        <f>IFERROR(__xludf.DUMMYFUNCTION("""COMPUTED_VALUE"""),4.166666666666667)</f>
        <v>4.166666667</v>
      </c>
      <c r="Q80" s="538" t="str">
        <f>IFERROR(__xludf.DUMMYFUNCTION("""COMPUTED_VALUE"""),"EUR")</f>
        <v>EUR</v>
      </c>
      <c r="R80" s="762">
        <f>IFERROR(__xludf.DUMMYFUNCTION("""COMPUTED_VALUE"""),421.0)</f>
        <v>421</v>
      </c>
      <c r="S80" s="538" t="str">
        <f>IFERROR(__xludf.DUMMYFUNCTION("""COMPUTED_VALUE"""),"Campus estivo per bambini e ragazzi 2025 - Campus estivo 1 settimana")</f>
        <v>Campus estivo per bambini e ragazzi 2025 - Campus estivo 1 settimana</v>
      </c>
      <c r="T80" s="763"/>
      <c r="U80" s="763"/>
      <c r="V80" s="762">
        <f>IFERROR(__xludf.DUMMYFUNCTION("""COMPUTED_VALUE"""),1.0)</f>
        <v>1</v>
      </c>
      <c r="W80" s="762">
        <f>IFERROR(__xludf.DUMMYFUNCTION("""COMPUTED_VALUE"""),100.0)</f>
        <v>100</v>
      </c>
      <c r="X80" s="762">
        <f>IFERROR(__xludf.DUMMYFUNCTION("""COMPUTED_VALUE"""),100.0)</f>
        <v>100</v>
      </c>
      <c r="Y80" s="763"/>
      <c r="Z80" s="765" t="str">
        <f>IFERROR(__xludf.DUMMYFUNCTION("""COMPUTED_VALUE"""),"https://studio-gem.it/wp-admin/post.php?post=63667&amp;action=edit")</f>
        <v>https://studio-gem.it/wp-admin/post.php?post=63667&amp;action=edit</v>
      </c>
      <c r="AA80" s="763"/>
      <c r="AB80" s="763"/>
      <c r="AC80" s="763"/>
      <c r="AD80" s="763"/>
      <c r="AE80" s="763"/>
      <c r="AF80" s="763"/>
      <c r="AG80" s="763"/>
      <c r="AH80" s="763"/>
      <c r="AI80" s="763"/>
      <c r="AJ80" s="763"/>
      <c r="AK80" s="763"/>
      <c r="AL80" s="763"/>
      <c r="AM80" s="763"/>
      <c r="AN80" s="763"/>
      <c r="AO80" s="763"/>
      <c r="AP80" s="763"/>
      <c r="AQ80" s="763"/>
      <c r="AR80" s="763"/>
      <c r="AS80" s="763"/>
      <c r="AT80" s="763"/>
      <c r="AU80" s="763"/>
      <c r="AV80" s="763"/>
      <c r="AW80" s="763"/>
      <c r="AX80" s="763"/>
      <c r="AY80" s="763"/>
      <c r="AZ80" s="763"/>
      <c r="BA80" s="763"/>
      <c r="BB80" s="763"/>
      <c r="BC80" s="763"/>
      <c r="BD80" s="763"/>
      <c r="BE80" s="763"/>
      <c r="BF80" s="763"/>
      <c r="BG80" s="763" t="b">
        <f>IFERROR(__xludf.DUMMYFUNCTION("""COMPUTED_VALUE"""),FALSE)</f>
        <v>0</v>
      </c>
      <c r="BH80" s="763" t="b">
        <f>IFERROR(__xludf.DUMMYFUNCTION("""COMPUTED_VALUE"""),FALSE)</f>
        <v>0</v>
      </c>
      <c r="BI80" s="763" t="b">
        <f>IFERROR(__xludf.DUMMYFUNCTION("""COMPUTED_VALUE"""),FALSE)</f>
        <v>0</v>
      </c>
      <c r="BJ80" s="763" t="b">
        <f>IFERROR(__xludf.DUMMYFUNCTION("""COMPUTED_VALUE"""),FALSE)</f>
        <v>0</v>
      </c>
    </row>
    <row r="81">
      <c r="A81" s="762">
        <f>IFERROR(__xludf.DUMMYFUNCTION("""COMPUTED_VALUE"""),63694.0)</f>
        <v>63694</v>
      </c>
      <c r="B81" s="538">
        <f>IFERROR(__xludf.DUMMYFUNCTION("""COMPUTED_VALUE"""),63694.0)</f>
        <v>63694</v>
      </c>
      <c r="C81" s="538" t="str">
        <f>IFERROR(__xludf.DUMMYFUNCTION("""COMPUTED_VALUE"""),"2025-06-15 16:02:26")</f>
        <v>2025-06-15 16:02:26</v>
      </c>
      <c r="D81" s="538" t="str">
        <f>IFERROR(__xludf.DUMMYFUNCTION("""COMPUTED_VALUE"""),"completed")</f>
        <v>completed</v>
      </c>
      <c r="E81" s="538" t="str">
        <f>IFERROR(__xludf.DUMMYFUNCTION("""COMPUTED_VALUE"""),"Simone")</f>
        <v>Simone</v>
      </c>
      <c r="F81" s="538" t="str">
        <f>IFERROR(__xludf.DUMMYFUNCTION("""COMPUTED_VALUE"""),"Ivanov")</f>
        <v>Ivanov</v>
      </c>
      <c r="G81" s="538" t="str">
        <f>IFERROR(__xludf.DUMMYFUNCTION("""COMPUTED_VALUE"""),"Julivanof@gmail.com")</f>
        <v>Julivanof@gmail.com</v>
      </c>
      <c r="H81" s="538">
        <f>IFERROR(__xludf.DUMMYFUNCTION("""COMPUTED_VALUE"""),3.275486269E9)</f>
        <v>3275486269</v>
      </c>
      <c r="I81" s="538" t="str">
        <f>IFERROR(__xludf.DUMMYFUNCTION("""COMPUTED_VALUE"""),"Milano")</f>
        <v>Milano</v>
      </c>
      <c r="J81" s="538" t="str">
        <f>IFERROR(__xludf.DUMMYFUNCTION("""COMPUTED_VALUE"""),"Hajech 13")</f>
        <v>Hajech 13</v>
      </c>
      <c r="K81" s="538">
        <f>IFERROR(__xludf.DUMMYFUNCTION("""COMPUTED_VALUE"""),20129.0)</f>
        <v>20129</v>
      </c>
      <c r="L81" s="538" t="str">
        <f>IFERROR(__xludf.DUMMYFUNCTION("""COMPUTED_VALUE"""),"Carte di pagamento")</f>
        <v>Carte di pagamento</v>
      </c>
      <c r="M81" s="538" t="str">
        <f>IFERROR(__xludf.DUMMYFUNCTION("""COMPUTED_VALUE"""),"estefany05campus")</f>
        <v>estefany05campus</v>
      </c>
      <c r="N81" s="763" t="str">
        <f>IFERROR(__xludf.DUMMYFUNCTION("""COMPUTED_VALUE"""),"63694-1750003348")</f>
        <v>63694-1750003348</v>
      </c>
      <c r="O81" s="762">
        <f>IFERROR(__xludf.DUMMYFUNCTION("""COMPUTED_VALUE"""),0.0)</f>
        <v>0</v>
      </c>
      <c r="P81" s="766">
        <f>IFERROR(__xludf.DUMMYFUNCTION("""COMPUTED_VALUE"""),3.9583333333333335)</f>
        <v>3.958333333</v>
      </c>
      <c r="Q81" s="538" t="str">
        <f>IFERROR(__xludf.DUMMYFUNCTION("""COMPUTED_VALUE"""),"EUR")</f>
        <v>EUR</v>
      </c>
      <c r="R81" s="762">
        <f>IFERROR(__xludf.DUMMYFUNCTION("""COMPUTED_VALUE"""),422.0)</f>
        <v>422</v>
      </c>
      <c r="S81" s="538" t="str">
        <f>IFERROR(__xludf.DUMMYFUNCTION("""COMPUTED_VALUE"""),"Campus estivo per bambini e ragazzi 2025 - Campus estivo 1 settimana")</f>
        <v>Campus estivo per bambini e ragazzi 2025 - Campus estivo 1 settimana</v>
      </c>
      <c r="T81" s="763"/>
      <c r="U81" s="763"/>
      <c r="V81" s="762">
        <f>IFERROR(__xludf.DUMMYFUNCTION("""COMPUTED_VALUE"""),1.0)</f>
        <v>1</v>
      </c>
      <c r="W81" s="762">
        <f>IFERROR(__xludf.DUMMYFUNCTION("""COMPUTED_VALUE"""),95.0)</f>
        <v>95</v>
      </c>
      <c r="X81" s="762">
        <f>IFERROR(__xludf.DUMMYFUNCTION("""COMPUTED_VALUE"""),95.0)</f>
        <v>95</v>
      </c>
      <c r="Y81" s="538" t="str">
        <f>IFERROR(__xludf.DUMMYFUNCTION("""COMPUTED_VALUE"""),"Mettere insieme al gruppo di sorelle Yaghoub")</f>
        <v>Mettere insieme al gruppo di sorelle Yaghoub</v>
      </c>
      <c r="Z81" s="765" t="str">
        <f>IFERROR(__xludf.DUMMYFUNCTION("""COMPUTED_VALUE"""),"https://studio-gem.it/wp-admin/post.php?post=63694&amp;action=edit")</f>
        <v>https://studio-gem.it/wp-admin/post.php?post=63694&amp;action=edit</v>
      </c>
      <c r="AA81" s="763"/>
      <c r="AB81" s="763"/>
      <c r="AC81" s="763"/>
      <c r="AD81" s="763"/>
      <c r="AE81" s="763"/>
      <c r="AF81" s="763"/>
      <c r="AG81" s="763"/>
      <c r="AH81" s="763"/>
      <c r="AI81" s="763"/>
      <c r="AJ81" s="763"/>
      <c r="AK81" s="763"/>
      <c r="AL81" s="763"/>
      <c r="AM81" s="763"/>
      <c r="AN81" s="763"/>
      <c r="AO81" s="763"/>
      <c r="AP81" s="763"/>
      <c r="AQ81" s="763"/>
      <c r="AR81" s="763"/>
      <c r="AS81" s="763"/>
      <c r="AT81" s="763"/>
      <c r="AU81" s="763"/>
      <c r="AV81" s="763"/>
      <c r="AW81" s="763"/>
      <c r="AX81" s="763"/>
      <c r="AY81" s="763"/>
      <c r="AZ81" s="763"/>
      <c r="BA81" s="763"/>
      <c r="BB81" s="763"/>
      <c r="BC81" s="763"/>
      <c r="BD81" s="763"/>
      <c r="BE81" s="763"/>
      <c r="BF81" s="763"/>
      <c r="BG81" s="763" t="b">
        <f>IFERROR(__xludf.DUMMYFUNCTION("""COMPUTED_VALUE"""),FALSE)</f>
        <v>0</v>
      </c>
      <c r="BH81" s="763" t="b">
        <f>IFERROR(__xludf.DUMMYFUNCTION("""COMPUTED_VALUE"""),TRUE)</f>
        <v>1</v>
      </c>
      <c r="BI81" s="763" t="b">
        <f>IFERROR(__xludf.DUMMYFUNCTION("""COMPUTED_VALUE"""),FALSE)</f>
        <v>0</v>
      </c>
      <c r="BJ81" s="763" t="b">
        <f>IFERROR(__xludf.DUMMYFUNCTION("""COMPUTED_VALUE"""),FALSE)</f>
        <v>0</v>
      </c>
    </row>
    <row r="82">
      <c r="A82" s="762">
        <f>IFERROR(__xludf.DUMMYFUNCTION("""COMPUTED_VALUE"""),63769.0)</f>
        <v>63769</v>
      </c>
      <c r="B82" s="538">
        <f>IFERROR(__xludf.DUMMYFUNCTION("""COMPUTED_VALUE"""),63769.0)</f>
        <v>63769</v>
      </c>
      <c r="C82" s="538" t="str">
        <f>IFERROR(__xludf.DUMMYFUNCTION("""COMPUTED_VALUE"""),"2025-06-19 16:17:18")</f>
        <v>2025-06-19 16:17:18</v>
      </c>
      <c r="D82" s="538" t="str">
        <f>IFERROR(__xludf.DUMMYFUNCTION("""COMPUTED_VALUE"""),"processing")</f>
        <v>processing</v>
      </c>
      <c r="E82" s="538" t="str">
        <f>IFERROR(__xludf.DUMMYFUNCTION("""COMPUTED_VALUE"""),"Camilla")</f>
        <v>Camilla</v>
      </c>
      <c r="F82" s="538" t="str">
        <f>IFERROR(__xludf.DUMMYFUNCTION("""COMPUTED_VALUE"""),"Braulin")</f>
        <v>Braulin</v>
      </c>
      <c r="G82" s="538" t="str">
        <f>IFERROR(__xludf.DUMMYFUNCTION("""COMPUTED_VALUE"""),"lucabraulin@gmail.com")</f>
        <v>lucabraulin@gmail.com</v>
      </c>
      <c r="H82" s="538">
        <f>IFERROR(__xludf.DUMMYFUNCTION("""COMPUTED_VALUE"""),3.47848686E9)</f>
        <v>3478486860</v>
      </c>
      <c r="I82" s="538" t="str">
        <f>IFERROR(__xludf.DUMMYFUNCTION("""COMPUTED_VALUE"""),"Milano")</f>
        <v>Milano</v>
      </c>
      <c r="J82" s="538" t="str">
        <f>IFERROR(__xludf.DUMMYFUNCTION("""COMPUTED_VALUE"""),"Via dei Pellegrini, 22")</f>
        <v>Via dei Pellegrini, 22</v>
      </c>
      <c r="K82" s="538">
        <f>IFERROR(__xludf.DUMMYFUNCTION("""COMPUTED_VALUE"""),20122.0)</f>
        <v>20122</v>
      </c>
      <c r="L82" s="538" t="str">
        <f>IFERROR(__xludf.DUMMYFUNCTION("""COMPUTED_VALUE"""),"Carte di pagamento")</f>
        <v>Carte di pagamento</v>
      </c>
      <c r="M82" s="763"/>
      <c r="N82" s="763" t="str">
        <f>IFERROR(__xludf.DUMMYFUNCTION("""COMPUTED_VALUE"""),"63769-1750349839")</f>
        <v>63769-1750349839</v>
      </c>
      <c r="O82" s="762">
        <f>IFERROR(__xludf.DUMMYFUNCTION("""COMPUTED_VALUE"""),0.0)</f>
        <v>0</v>
      </c>
      <c r="P82" s="766">
        <f>IFERROR(__xludf.DUMMYFUNCTION("""COMPUTED_VALUE"""),4.166666666666667)</f>
        <v>4.166666667</v>
      </c>
      <c r="Q82" s="538" t="str">
        <f>IFERROR(__xludf.DUMMYFUNCTION("""COMPUTED_VALUE"""),"EUR")</f>
        <v>EUR</v>
      </c>
      <c r="R82" s="762">
        <f>IFERROR(__xludf.DUMMYFUNCTION("""COMPUTED_VALUE"""),424.0)</f>
        <v>424</v>
      </c>
      <c r="S82" s="538" t="str">
        <f>IFERROR(__xludf.DUMMYFUNCTION("""COMPUTED_VALUE"""),"Campus estivo per bambini e ragazzi 2025 - Campus estivo 1 settimana")</f>
        <v>Campus estivo per bambini e ragazzi 2025 - Campus estivo 1 settimana</v>
      </c>
      <c r="T82" s="763"/>
      <c r="U82" s="763"/>
      <c r="V82" s="762">
        <f>IFERROR(__xludf.DUMMYFUNCTION("""COMPUTED_VALUE"""),1.0)</f>
        <v>1</v>
      </c>
      <c r="W82" s="762">
        <f>IFERROR(__xludf.DUMMYFUNCTION("""COMPUTED_VALUE"""),100.0)</f>
        <v>100</v>
      </c>
      <c r="X82" s="762">
        <f>IFERROR(__xludf.DUMMYFUNCTION("""COMPUTED_VALUE"""),100.0)</f>
        <v>100</v>
      </c>
      <c r="Y82" s="763"/>
      <c r="Z82" s="765" t="str">
        <f>IFERROR(__xludf.DUMMYFUNCTION("""COMPUTED_VALUE"""),"https://studio-gem.it/wp-admin/post.php?post=63769&amp;action=edit")</f>
        <v>https://studio-gem.it/wp-admin/post.php?post=63769&amp;action=edit</v>
      </c>
      <c r="AA82" s="763"/>
      <c r="AB82" s="763"/>
      <c r="AC82" s="763"/>
      <c r="AD82" s="763"/>
      <c r="AE82" s="763"/>
      <c r="AF82" s="763"/>
      <c r="AG82" s="763"/>
      <c r="AH82" s="763"/>
      <c r="AI82" s="763"/>
      <c r="AJ82" s="763"/>
      <c r="AK82" s="763"/>
      <c r="AL82" s="763"/>
      <c r="AM82" s="763"/>
      <c r="AN82" s="763"/>
      <c r="AO82" s="763"/>
      <c r="AP82" s="763"/>
      <c r="AQ82" s="763"/>
      <c r="AR82" s="763"/>
      <c r="AS82" s="763"/>
      <c r="AT82" s="763"/>
      <c r="AU82" s="763"/>
      <c r="AV82" s="763"/>
      <c r="AW82" s="763"/>
      <c r="AX82" s="763"/>
      <c r="AY82" s="763"/>
      <c r="AZ82" s="763"/>
      <c r="BA82" s="763"/>
      <c r="BB82" s="763"/>
      <c r="BC82" s="763"/>
      <c r="BD82" s="763"/>
      <c r="BE82" s="763"/>
      <c r="BF82" s="763"/>
      <c r="BG82" s="763" t="b">
        <f>IFERROR(__xludf.DUMMYFUNCTION("""COMPUTED_VALUE"""),FALSE)</f>
        <v>0</v>
      </c>
      <c r="BH82" s="763" t="b">
        <f>IFERROR(__xludf.DUMMYFUNCTION("""COMPUTED_VALUE"""),TRUE)</f>
        <v>1</v>
      </c>
      <c r="BI82" s="763" t="b">
        <f>IFERROR(__xludf.DUMMYFUNCTION("""COMPUTED_VALUE"""),FALSE)</f>
        <v>0</v>
      </c>
      <c r="BJ82" s="763" t="b">
        <f>IFERROR(__xludf.DUMMYFUNCTION("""COMPUTED_VALUE"""),FALSE)</f>
        <v>0</v>
      </c>
    </row>
    <row r="83">
      <c r="A83" s="762">
        <f>IFERROR(__xludf.DUMMYFUNCTION("""COMPUTED_VALUE"""),64168.0)</f>
        <v>64168</v>
      </c>
      <c r="B83" s="538">
        <f>IFERROR(__xludf.DUMMYFUNCTION("""COMPUTED_VALUE"""),64168.0)</f>
        <v>64168</v>
      </c>
      <c r="C83" s="538" t="str">
        <f>IFERROR(__xludf.DUMMYFUNCTION("""COMPUTED_VALUE"""),"2025-07-24 08:26:46")</f>
        <v>2025-07-24 08:26:46</v>
      </c>
      <c r="D83" s="538" t="str">
        <f>IFERROR(__xludf.DUMMYFUNCTION("""COMPUTED_VALUE"""),"completed")</f>
        <v>completed</v>
      </c>
      <c r="E83" s="538" t="str">
        <f>IFERROR(__xludf.DUMMYFUNCTION("""COMPUTED_VALUE"""),"Sara")</f>
        <v>Sara</v>
      </c>
      <c r="F83" s="538" t="str">
        <f>IFERROR(__xludf.DUMMYFUNCTION("""COMPUTED_VALUE"""),"Riu")</f>
        <v>Riu</v>
      </c>
      <c r="G83" s="538" t="str">
        <f>IFERROR(__xludf.DUMMYFUNCTION("""COMPUTED_VALUE"""),"gnoranza@gmail.com")</f>
        <v>gnoranza@gmail.com</v>
      </c>
      <c r="H83" s="538">
        <f>IFERROR(__xludf.DUMMYFUNCTION("""COMPUTED_VALUE"""),3.33618164E9)</f>
        <v>3336181640</v>
      </c>
      <c r="I83" s="538" t="str">
        <f>IFERROR(__xludf.DUMMYFUNCTION("""COMPUTED_VALUE"""),"Milano")</f>
        <v>Milano</v>
      </c>
      <c r="J83" s="538" t="str">
        <f>IFERROR(__xludf.DUMMYFUNCTION("""COMPUTED_VALUE"""),"Via Emilio Cornalia 12")</f>
        <v>Via Emilio Cornalia 12</v>
      </c>
      <c r="K83" s="538">
        <f>IFERROR(__xludf.DUMMYFUNCTION("""COMPUTED_VALUE"""),20124.0)</f>
        <v>20124</v>
      </c>
      <c r="L83" s="538" t="str">
        <f>IFERROR(__xludf.DUMMYFUNCTION("""COMPUTED_VALUE"""),"Satispay")</f>
        <v>Satispay</v>
      </c>
      <c r="M83" s="763"/>
      <c r="N83" s="763" t="str">
        <f>IFERROR(__xludf.DUMMYFUNCTION("""COMPUTED_VALUE"""),"01983b8a-c4fa-7e61-a8f9-17cc1be45475")</f>
        <v>01983b8a-c4fa-7e61-a8f9-17cc1be45475</v>
      </c>
      <c r="O83" s="762">
        <f>IFERROR(__xludf.DUMMYFUNCTION("""COMPUTED_VALUE"""),0.0)</f>
        <v>0</v>
      </c>
      <c r="P83" s="766">
        <f>IFERROR(__xludf.DUMMYFUNCTION("""COMPUTED_VALUE"""),1.3333333333333333)</f>
        <v>1.333333333</v>
      </c>
      <c r="Q83" s="538" t="str">
        <f>IFERROR(__xludf.DUMMYFUNCTION("""COMPUTED_VALUE"""),"EUR")</f>
        <v>EUR</v>
      </c>
      <c r="R83" s="762">
        <f>IFERROR(__xludf.DUMMYFUNCTION("""COMPUTED_VALUE"""),425.0)</f>
        <v>425</v>
      </c>
      <c r="S83" s="538" t="str">
        <f>IFERROR(__xludf.DUMMYFUNCTION("""COMPUTED_VALUE"""),"Workshop Urban con Kumo - Workshop Kumo Urban")</f>
        <v>Workshop Urban con Kumo - Workshop Kumo Urban</v>
      </c>
      <c r="T83" s="763"/>
      <c r="U83" s="763"/>
      <c r="V83" s="762">
        <f>IFERROR(__xludf.DUMMYFUNCTION("""COMPUTED_VALUE"""),1.0)</f>
        <v>1</v>
      </c>
      <c r="W83" s="762">
        <f>IFERROR(__xludf.DUMMYFUNCTION("""COMPUTED_VALUE"""),32.0)</f>
        <v>32</v>
      </c>
      <c r="X83" s="762">
        <f>IFERROR(__xludf.DUMMYFUNCTION("""COMPUTED_VALUE"""),32.0)</f>
        <v>32</v>
      </c>
      <c r="Y83" s="763"/>
      <c r="Z83" s="765" t="str">
        <f>IFERROR(__xludf.DUMMYFUNCTION("""COMPUTED_VALUE"""),"https://studio-gem.it/wp-admin/post.php?post=64168&amp;action=edit")</f>
        <v>https://studio-gem.it/wp-admin/post.php?post=64168&amp;action=edit</v>
      </c>
      <c r="AA83" s="763"/>
      <c r="AB83" s="763"/>
      <c r="AC83" s="763"/>
      <c r="AD83" s="763"/>
      <c r="AE83" s="763"/>
      <c r="AF83" s="763"/>
      <c r="AG83" s="763"/>
      <c r="AH83" s="763"/>
      <c r="AI83" s="763"/>
      <c r="AJ83" s="763"/>
      <c r="AK83" s="763"/>
      <c r="AL83" s="763"/>
      <c r="AM83" s="763"/>
      <c r="AN83" s="763"/>
      <c r="AO83" s="763"/>
      <c r="AP83" s="763"/>
      <c r="AQ83" s="763"/>
      <c r="AR83" s="763"/>
      <c r="AS83" s="763"/>
      <c r="AT83" s="763"/>
      <c r="AU83" s="763"/>
      <c r="AV83" s="763"/>
      <c r="AW83" s="763"/>
      <c r="AX83" s="763"/>
      <c r="AY83" s="763"/>
      <c r="AZ83" s="763"/>
      <c r="BA83" s="763"/>
      <c r="BB83" s="763"/>
      <c r="BC83" s="763"/>
      <c r="BD83" s="763"/>
      <c r="BE83" s="763"/>
      <c r="BF83" s="763"/>
      <c r="BG83" s="763" t="b">
        <f>IFERROR(__xludf.DUMMYFUNCTION("""COMPUTED_VALUE"""),TRUE)</f>
        <v>1</v>
      </c>
      <c r="BH83" s="763" t="b">
        <f>IFERROR(__xludf.DUMMYFUNCTION("""COMPUTED_VALUE"""),TRUE)</f>
        <v>1</v>
      </c>
      <c r="BI83" s="763" t="b">
        <f>IFERROR(__xludf.DUMMYFUNCTION("""COMPUTED_VALUE"""),TRUE)</f>
        <v>1</v>
      </c>
      <c r="BJ83" s="763" t="b">
        <f>IFERROR(__xludf.DUMMYFUNCTION("""COMPUTED_VALUE"""),TRUE)</f>
        <v>1</v>
      </c>
    </row>
    <row r="84">
      <c r="A84" s="762">
        <f>IFERROR(__xludf.DUMMYFUNCTION("""COMPUTED_VALUE"""),64170.0)</f>
        <v>64170</v>
      </c>
      <c r="B84" s="538">
        <f>IFERROR(__xludf.DUMMYFUNCTION("""COMPUTED_VALUE"""),64170.0)</f>
        <v>64170</v>
      </c>
      <c r="C84" s="538" t="str">
        <f>IFERROR(__xludf.DUMMYFUNCTION("""COMPUTED_VALUE"""),"2025-07-24 08:52:07")</f>
        <v>2025-07-24 08:52:07</v>
      </c>
      <c r="D84" s="538" t="str">
        <f>IFERROR(__xludf.DUMMYFUNCTION("""COMPUTED_VALUE"""),"processing")</f>
        <v>processing</v>
      </c>
      <c r="E84" s="538" t="str">
        <f>IFERROR(__xludf.DUMMYFUNCTION("""COMPUTED_VALUE"""),"Ylenia Giada")</f>
        <v>Ylenia Giada</v>
      </c>
      <c r="F84" s="538" t="str">
        <f>IFERROR(__xludf.DUMMYFUNCTION("""COMPUTED_VALUE"""),"Cardillo")</f>
        <v>Cardillo</v>
      </c>
      <c r="G84" s="538" t="str">
        <f>IFERROR(__xludf.DUMMYFUNCTION("""COMPUTED_VALUE"""),"cardillo.ylenia@gmail.com")</f>
        <v>cardillo.ylenia@gmail.com</v>
      </c>
      <c r="H84" s="538">
        <f>IFERROR(__xludf.DUMMYFUNCTION("""COMPUTED_VALUE"""),3.496846952E9)</f>
        <v>3496846952</v>
      </c>
      <c r="I84" s="538" t="str">
        <f>IFERROR(__xludf.DUMMYFUNCTION("""COMPUTED_VALUE"""),"Vellezzo Bellini")</f>
        <v>Vellezzo Bellini</v>
      </c>
      <c r="J84" s="538" t="str">
        <f>IFERROR(__xludf.DUMMYFUNCTION("""COMPUTED_VALUE"""),"via cristina trivulzio 16")</f>
        <v>via cristina trivulzio 16</v>
      </c>
      <c r="K84" s="538">
        <f>IFERROR(__xludf.DUMMYFUNCTION("""COMPUTED_VALUE"""),27010.0)</f>
        <v>27010</v>
      </c>
      <c r="L84" s="538" t="str">
        <f>IFERROR(__xludf.DUMMYFUNCTION("""COMPUTED_VALUE"""),"Carte di pagamento")</f>
        <v>Carte di pagamento</v>
      </c>
      <c r="M84" s="763"/>
      <c r="N84" s="763" t="str">
        <f>IFERROR(__xludf.DUMMYFUNCTION("""COMPUTED_VALUE"""),"64170-1753347128")</f>
        <v>64170-1753347128</v>
      </c>
      <c r="O84" s="762">
        <f>IFERROR(__xludf.DUMMYFUNCTION("""COMPUTED_VALUE"""),0.0)</f>
        <v>0</v>
      </c>
      <c r="P84" s="766">
        <f>IFERROR(__xludf.DUMMYFUNCTION("""COMPUTED_VALUE"""),2.6666666666666665)</f>
        <v>2.666666667</v>
      </c>
      <c r="Q84" s="538" t="str">
        <f>IFERROR(__xludf.DUMMYFUNCTION("""COMPUTED_VALUE"""),"EUR")</f>
        <v>EUR</v>
      </c>
      <c r="R84" s="762">
        <f>IFERROR(__xludf.DUMMYFUNCTION("""COMPUTED_VALUE"""),426.0)</f>
        <v>426</v>
      </c>
      <c r="S84" s="538" t="str">
        <f>IFERROR(__xludf.DUMMYFUNCTION("""COMPUTED_VALUE"""),"Workshop Afrofusion con Banana 2025 - Workshop Banana afrofusion")</f>
        <v>Workshop Afrofusion con Banana 2025 - Workshop Banana afrofusion</v>
      </c>
      <c r="T84" s="763"/>
      <c r="U84" s="763"/>
      <c r="V84" s="762">
        <f>IFERROR(__xludf.DUMMYFUNCTION("""COMPUTED_VALUE"""),2.0)</f>
        <v>2</v>
      </c>
      <c r="W84" s="762">
        <f>IFERROR(__xludf.DUMMYFUNCTION("""COMPUTED_VALUE"""),32.0)</f>
        <v>32</v>
      </c>
      <c r="X84" s="762">
        <f>IFERROR(__xludf.DUMMYFUNCTION("""COMPUTED_VALUE"""),64.0)</f>
        <v>64</v>
      </c>
      <c r="Y84" s="763"/>
      <c r="Z84" s="765" t="str">
        <f>IFERROR(__xludf.DUMMYFUNCTION("""COMPUTED_VALUE"""),"https://studio-gem.it/wp-admin/post.php?post=64170&amp;action=edit")</f>
        <v>https://studio-gem.it/wp-admin/post.php?post=64170&amp;action=edit</v>
      </c>
      <c r="AA84" s="763"/>
      <c r="AB84" s="763"/>
      <c r="AC84" s="763"/>
      <c r="AD84" s="763"/>
      <c r="AE84" s="763"/>
      <c r="AF84" s="763"/>
      <c r="AG84" s="763"/>
      <c r="AH84" s="763"/>
      <c r="AI84" s="763"/>
      <c r="AJ84" s="763"/>
      <c r="AK84" s="763"/>
      <c r="AL84" s="763"/>
      <c r="AM84" s="763"/>
      <c r="AN84" s="763"/>
      <c r="AO84" s="763"/>
      <c r="AP84" s="763"/>
      <c r="AQ84" s="763"/>
      <c r="AR84" s="763"/>
      <c r="AS84" s="763"/>
      <c r="AT84" s="763"/>
      <c r="AU84" s="763"/>
      <c r="AV84" s="763"/>
      <c r="AW84" s="763"/>
      <c r="AX84" s="763"/>
      <c r="AY84" s="763"/>
      <c r="AZ84" s="763"/>
      <c r="BA84" s="763"/>
      <c r="BB84" s="763"/>
      <c r="BC84" s="763"/>
      <c r="BD84" s="763"/>
      <c r="BE84" s="763"/>
      <c r="BF84" s="763"/>
      <c r="BG84" s="763" t="b">
        <f>IFERROR(__xludf.DUMMYFUNCTION("""COMPUTED_VALUE"""),TRUE)</f>
        <v>1</v>
      </c>
      <c r="BH84" s="763" t="b">
        <f>IFERROR(__xludf.DUMMYFUNCTION("""COMPUTED_VALUE"""),TRUE)</f>
        <v>1</v>
      </c>
      <c r="BI84" s="763" t="b">
        <f>IFERROR(__xludf.DUMMYFUNCTION("""COMPUTED_VALUE"""),TRUE)</f>
        <v>1</v>
      </c>
      <c r="BJ84" s="763" t="b">
        <f>IFERROR(__xludf.DUMMYFUNCTION("""COMPUTED_VALUE"""),FALSE)</f>
        <v>0</v>
      </c>
    </row>
    <row r="85">
      <c r="A85" s="762">
        <f>IFERROR(__xludf.DUMMYFUNCTION("""COMPUTED_VALUE"""),64381.0)</f>
        <v>64381</v>
      </c>
      <c r="B85" s="538">
        <f>IFERROR(__xludf.DUMMYFUNCTION("""COMPUTED_VALUE"""),64381.0)</f>
        <v>64381</v>
      </c>
      <c r="C85" s="538" t="str">
        <f>IFERROR(__xludf.DUMMYFUNCTION("""COMPUTED_VALUE"""),"2025-08-03 20:04:18")</f>
        <v>2025-08-03 20:04:18</v>
      </c>
      <c r="D85" s="538" t="str">
        <f>IFERROR(__xludf.DUMMYFUNCTION("""COMPUTED_VALUE"""),"completed")</f>
        <v>completed</v>
      </c>
      <c r="E85" s="538" t="str">
        <f>IFERROR(__xludf.DUMMYFUNCTION("""COMPUTED_VALUE"""),"Federica Alessandra")</f>
        <v>Federica Alessandra</v>
      </c>
      <c r="F85" s="538" t="str">
        <f>IFERROR(__xludf.DUMMYFUNCTION("""COMPUTED_VALUE"""),"Antonelli")</f>
        <v>Antonelli</v>
      </c>
      <c r="G85" s="538" t="str">
        <f>IFERROR(__xludf.DUMMYFUNCTION("""COMPUTED_VALUE"""),"Alessandraantonelli2006@gmail.com")</f>
        <v>Alessandraantonelli2006@gmail.com</v>
      </c>
      <c r="H85" s="538">
        <f>IFERROR(__xludf.DUMMYFUNCTION("""COMPUTED_VALUE"""),3.423863248E9)</f>
        <v>3423863248</v>
      </c>
      <c r="I85" s="538" t="str">
        <f>IFERROR(__xludf.DUMMYFUNCTION("""COMPUTED_VALUE"""),"Milano")</f>
        <v>Milano</v>
      </c>
      <c r="J85" s="538" t="str">
        <f>IFERROR(__xludf.DUMMYFUNCTION("""COMPUTED_VALUE"""),"Via Carlo Crivelli 26")</f>
        <v>Via Carlo Crivelli 26</v>
      </c>
      <c r="K85" s="538">
        <f>IFERROR(__xludf.DUMMYFUNCTION("""COMPUTED_VALUE"""),20122.0)</f>
        <v>20122</v>
      </c>
      <c r="L85" s="538" t="str">
        <f>IFERROR(__xludf.DUMMYFUNCTION("""COMPUTED_VALUE"""),"Apple Pay")</f>
        <v>Apple Pay</v>
      </c>
      <c r="M85" s="763"/>
      <c r="N85" s="763" t="str">
        <f>IFERROR(__xludf.DUMMYFUNCTION("""COMPUTED_VALUE"""),"64381-1754251459")</f>
        <v>64381-1754251459</v>
      </c>
      <c r="O85" s="762">
        <f>IFERROR(__xludf.DUMMYFUNCTION("""COMPUTED_VALUE"""),0.0)</f>
        <v>0</v>
      </c>
      <c r="P85" s="766">
        <f>IFERROR(__xludf.DUMMYFUNCTION("""COMPUTED_VALUE"""),1.3333333333333333)</f>
        <v>1.333333333</v>
      </c>
      <c r="Q85" s="538" t="str">
        <f>IFERROR(__xludf.DUMMYFUNCTION("""COMPUTED_VALUE"""),"EUR")</f>
        <v>EUR</v>
      </c>
      <c r="R85" s="762">
        <f>IFERROR(__xludf.DUMMYFUNCTION("""COMPUTED_VALUE"""),427.0)</f>
        <v>427</v>
      </c>
      <c r="S85" s="538" t="str">
        <f>IFERROR(__xludf.DUMMYFUNCTION("""COMPUTED_VALUE"""),"Workshop Urban con Kumo - Workshop Kumo Urban")</f>
        <v>Workshop Urban con Kumo - Workshop Kumo Urban</v>
      </c>
      <c r="T85" s="763"/>
      <c r="U85" s="763"/>
      <c r="V85" s="762">
        <f>IFERROR(__xludf.DUMMYFUNCTION("""COMPUTED_VALUE"""),1.0)</f>
        <v>1</v>
      </c>
      <c r="W85" s="762">
        <f>IFERROR(__xludf.DUMMYFUNCTION("""COMPUTED_VALUE"""),32.0)</f>
        <v>32</v>
      </c>
      <c r="X85" s="762">
        <f>IFERROR(__xludf.DUMMYFUNCTION("""COMPUTED_VALUE"""),32.0)</f>
        <v>32</v>
      </c>
      <c r="Y85" s="763"/>
      <c r="Z85" s="765" t="str">
        <f>IFERROR(__xludf.DUMMYFUNCTION("""COMPUTED_VALUE"""),"https://studio-gem.it/wp-admin/post.php?post=64381&amp;action=edit")</f>
        <v>https://studio-gem.it/wp-admin/post.php?post=64381&amp;action=edit</v>
      </c>
      <c r="AA85" s="763"/>
      <c r="AB85" s="763"/>
      <c r="AC85" s="763"/>
      <c r="AD85" s="763"/>
      <c r="AE85" s="763"/>
      <c r="AF85" s="763"/>
      <c r="AG85" s="763"/>
      <c r="AH85" s="763"/>
      <c r="AI85" s="763"/>
      <c r="AJ85" s="763"/>
      <c r="AK85" s="763"/>
      <c r="AL85" s="763"/>
      <c r="AM85" s="763"/>
      <c r="AN85" s="763"/>
      <c r="AO85" s="763"/>
      <c r="AP85" s="763"/>
      <c r="AQ85" s="763"/>
      <c r="AR85" s="763"/>
      <c r="AS85" s="763"/>
      <c r="AT85" s="763"/>
      <c r="AU85" s="763"/>
      <c r="AV85" s="763"/>
      <c r="AW85" s="763"/>
      <c r="AX85" s="763"/>
      <c r="AY85" s="763"/>
      <c r="AZ85" s="763"/>
      <c r="BA85" s="763"/>
      <c r="BB85" s="763"/>
      <c r="BC85" s="763"/>
      <c r="BD85" s="763"/>
      <c r="BE85" s="763"/>
      <c r="BF85" s="763"/>
      <c r="BG85" s="763" t="b">
        <f>IFERROR(__xludf.DUMMYFUNCTION("""COMPUTED_VALUE"""),TRUE)</f>
        <v>1</v>
      </c>
      <c r="BH85" s="763" t="b">
        <f>IFERROR(__xludf.DUMMYFUNCTION("""COMPUTED_VALUE"""),TRUE)</f>
        <v>1</v>
      </c>
      <c r="BI85" s="763" t="b">
        <f>IFERROR(__xludf.DUMMYFUNCTION("""COMPUTED_VALUE"""),TRUE)</f>
        <v>1</v>
      </c>
      <c r="BJ85" s="763" t="b">
        <f>IFERROR(__xludf.DUMMYFUNCTION("""COMPUTED_VALUE"""),FALSE)</f>
        <v>0</v>
      </c>
    </row>
    <row r="86">
      <c r="A86" s="762">
        <f>IFERROR(__xludf.DUMMYFUNCTION("""COMPUTED_VALUE"""),64387.0)</f>
        <v>64387</v>
      </c>
      <c r="B86" s="538">
        <f>IFERROR(__xludf.DUMMYFUNCTION("""COMPUTED_VALUE"""),64387.0)</f>
        <v>64387</v>
      </c>
      <c r="C86" s="538" t="str">
        <f>IFERROR(__xludf.DUMMYFUNCTION("""COMPUTED_VALUE"""),"2025-08-07 06:16:00")</f>
        <v>2025-08-07 06:16:00</v>
      </c>
      <c r="D86" s="538" t="str">
        <f>IFERROR(__xludf.DUMMYFUNCTION("""COMPUTED_VALUE"""),"completed")</f>
        <v>completed</v>
      </c>
      <c r="E86" s="538" t="str">
        <f>IFERROR(__xludf.DUMMYFUNCTION("""COMPUTED_VALUE"""),"Milena")</f>
        <v>Milena</v>
      </c>
      <c r="F86" s="538" t="str">
        <f>IFERROR(__xludf.DUMMYFUNCTION("""COMPUTED_VALUE"""),"Rocco")</f>
        <v>Rocco</v>
      </c>
      <c r="G86" s="538" t="str">
        <f>IFERROR(__xludf.DUMMYFUNCTION("""COMPUTED_VALUE"""),"milena01rocco@gmail.com")</f>
        <v>milena01rocco@gmail.com</v>
      </c>
      <c r="H86" s="538">
        <f>IFERROR(__xludf.DUMMYFUNCTION("""COMPUTED_VALUE"""),3.891158562E9)</f>
        <v>3891158562</v>
      </c>
      <c r="I86" s="538" t="str">
        <f>IFERROR(__xludf.DUMMYFUNCTION("""COMPUTED_VALUE"""),"Casalpusterlengo")</f>
        <v>Casalpusterlengo</v>
      </c>
      <c r="J86" s="538" t="str">
        <f>IFERROR(__xludf.DUMMYFUNCTION("""COMPUTED_VALUE"""),"Via Alcide de Gasperi 49A")</f>
        <v>Via Alcide de Gasperi 49A</v>
      </c>
      <c r="K86" s="538">
        <f>IFERROR(__xludf.DUMMYFUNCTION("""COMPUTED_VALUE"""),26841.0)</f>
        <v>26841</v>
      </c>
      <c r="L86" s="538" t="str">
        <f>IFERROR(__xludf.DUMMYFUNCTION("""COMPUTED_VALUE"""),"Carte di pagamento")</f>
        <v>Carte di pagamento</v>
      </c>
      <c r="M86" s="538" t="str">
        <f>IFERROR(__xludf.DUMMYFUNCTION("""COMPUTED_VALUE"""),"nura02banana")</f>
        <v>nura02banana</v>
      </c>
      <c r="N86" s="763" t="str">
        <f>IFERROR(__xludf.DUMMYFUNCTION("""COMPUTED_VALUE"""),"64387-1754547361")</f>
        <v>64387-1754547361</v>
      </c>
      <c r="O86" s="762">
        <f>IFERROR(__xludf.DUMMYFUNCTION("""COMPUTED_VALUE"""),0.0)</f>
        <v>0</v>
      </c>
      <c r="P86" s="766">
        <f>IFERROR(__xludf.DUMMYFUNCTION("""COMPUTED_VALUE"""),1.25)</f>
        <v>1.25</v>
      </c>
      <c r="Q86" s="538" t="str">
        <f>IFERROR(__xludf.DUMMYFUNCTION("""COMPUTED_VALUE"""),"EUR")</f>
        <v>EUR</v>
      </c>
      <c r="R86" s="762">
        <f>IFERROR(__xludf.DUMMYFUNCTION("""COMPUTED_VALUE"""),428.0)</f>
        <v>428</v>
      </c>
      <c r="S86" s="538" t="str">
        <f>IFERROR(__xludf.DUMMYFUNCTION("""COMPUTED_VALUE"""),"Workshop Afrofusion con Banana 2025 - Workshop Banana afrofusion")</f>
        <v>Workshop Afrofusion con Banana 2025 - Workshop Banana afrofusion</v>
      </c>
      <c r="T86" s="763"/>
      <c r="U86" s="763"/>
      <c r="V86" s="762">
        <f>IFERROR(__xludf.DUMMYFUNCTION("""COMPUTED_VALUE"""),1.0)</f>
        <v>1</v>
      </c>
      <c r="W86" s="762">
        <f>IFERROR(__xludf.DUMMYFUNCTION("""COMPUTED_VALUE"""),30.0)</f>
        <v>30</v>
      </c>
      <c r="X86" s="762">
        <f>IFERROR(__xludf.DUMMYFUNCTION("""COMPUTED_VALUE"""),30.0)</f>
        <v>30</v>
      </c>
      <c r="Y86" s="763"/>
      <c r="Z86" s="765" t="str">
        <f>IFERROR(__xludf.DUMMYFUNCTION("""COMPUTED_VALUE"""),"https://studio-gem.it/wp-admin/post.php?post=64387&amp;action=edit")</f>
        <v>https://studio-gem.it/wp-admin/post.php?post=64387&amp;action=edit</v>
      </c>
      <c r="AA86" s="763"/>
      <c r="AB86" s="763"/>
      <c r="AC86" s="763"/>
      <c r="AD86" s="763"/>
      <c r="AE86" s="763"/>
      <c r="AF86" s="763"/>
      <c r="AG86" s="763"/>
      <c r="AH86" s="763"/>
      <c r="AI86" s="763"/>
      <c r="AJ86" s="763"/>
      <c r="AK86" s="763"/>
      <c r="AL86" s="763"/>
      <c r="AM86" s="763"/>
      <c r="AN86" s="763"/>
      <c r="AO86" s="763"/>
      <c r="AP86" s="763"/>
      <c r="AQ86" s="763"/>
      <c r="AR86" s="763"/>
      <c r="AS86" s="763"/>
      <c r="AT86" s="763"/>
      <c r="AU86" s="763"/>
      <c r="AV86" s="763"/>
      <c r="AW86" s="763"/>
      <c r="AX86" s="763"/>
      <c r="AY86" s="763"/>
      <c r="AZ86" s="763"/>
      <c r="BA86" s="763"/>
      <c r="BB86" s="763"/>
      <c r="BC86" s="763"/>
      <c r="BD86" s="763"/>
      <c r="BE86" s="763"/>
      <c r="BF86" s="763"/>
      <c r="BG86" s="763" t="b">
        <f>IFERROR(__xludf.DUMMYFUNCTION("""COMPUTED_VALUE"""),TRUE)</f>
        <v>1</v>
      </c>
      <c r="BH86" s="763" t="b">
        <f>IFERROR(__xludf.DUMMYFUNCTION("""COMPUTED_VALUE"""),TRUE)</f>
        <v>1</v>
      </c>
      <c r="BI86" s="763" t="b">
        <f>IFERROR(__xludf.DUMMYFUNCTION("""COMPUTED_VALUE"""),TRUE)</f>
        <v>1</v>
      </c>
      <c r="BJ86" s="763" t="b">
        <f>IFERROR(__xludf.DUMMYFUNCTION("""COMPUTED_VALUE"""),FALSE)</f>
        <v>0</v>
      </c>
    </row>
    <row r="87">
      <c r="A87" s="762">
        <f>IFERROR(__xludf.DUMMYFUNCTION("""COMPUTED_VALUE"""),64397.0)</f>
        <v>64397</v>
      </c>
      <c r="B87" s="538">
        <f>IFERROR(__xludf.DUMMYFUNCTION("""COMPUTED_VALUE"""),64397.0)</f>
        <v>64397</v>
      </c>
      <c r="C87" s="538" t="str">
        <f>IFERROR(__xludf.DUMMYFUNCTION("""COMPUTED_VALUE"""),"2025-08-18 13:26:16")</f>
        <v>2025-08-18 13:26:16</v>
      </c>
      <c r="D87" s="538" t="str">
        <f>IFERROR(__xludf.DUMMYFUNCTION("""COMPUTED_VALUE"""),"completed")</f>
        <v>completed</v>
      </c>
      <c r="E87" s="538" t="str">
        <f>IFERROR(__xludf.DUMMYFUNCTION("""COMPUTED_VALUE"""),"Doreen")</f>
        <v>Doreen</v>
      </c>
      <c r="F87" s="538" t="str">
        <f>IFERROR(__xludf.DUMMYFUNCTION("""COMPUTED_VALUE"""),"Cavargna")</f>
        <v>Cavargna</v>
      </c>
      <c r="G87" s="538" t="str">
        <f>IFERROR(__xludf.DUMMYFUNCTION("""COMPUTED_VALUE"""),"doreen2000@live.com")</f>
        <v>doreen2000@live.com</v>
      </c>
      <c r="H87" s="538">
        <f>IFERROR(__xludf.DUMMYFUNCTION("""COMPUTED_VALUE"""),4.1798593379E10)</f>
        <v>41798593379</v>
      </c>
      <c r="I87" s="538" t="str">
        <f>IFERROR(__xludf.DUMMYFUNCTION("""COMPUTED_VALUE"""),"Milano")</f>
        <v>Milano</v>
      </c>
      <c r="J87" s="538" t="str">
        <f>IFERROR(__xludf.DUMMYFUNCTION("""COMPUTED_VALUE"""),"Via monte cristallo 1")</f>
        <v>Via monte cristallo 1</v>
      </c>
      <c r="K87" s="538">
        <f>IFERROR(__xludf.DUMMYFUNCTION("""COMPUTED_VALUE"""),20159.0)</f>
        <v>20159</v>
      </c>
      <c r="L87" s="538" t="str">
        <f>IFERROR(__xludf.DUMMYFUNCTION("""COMPUTED_VALUE"""),"Carte di pagamento")</f>
        <v>Carte di pagamento</v>
      </c>
      <c r="M87" s="763"/>
      <c r="N87" s="763" t="str">
        <f>IFERROR(__xludf.DUMMYFUNCTION("""COMPUTED_VALUE"""),"64397-1755523577")</f>
        <v>64397-1755523577</v>
      </c>
      <c r="O87" s="762">
        <f>IFERROR(__xludf.DUMMYFUNCTION("""COMPUTED_VALUE"""),0.0)</f>
        <v>0</v>
      </c>
      <c r="P87" s="766">
        <f>IFERROR(__xludf.DUMMYFUNCTION("""COMPUTED_VALUE"""),1.3333333333333333)</f>
        <v>1.333333333</v>
      </c>
      <c r="Q87" s="538" t="str">
        <f>IFERROR(__xludf.DUMMYFUNCTION("""COMPUTED_VALUE"""),"EUR")</f>
        <v>EUR</v>
      </c>
      <c r="R87" s="762">
        <f>IFERROR(__xludf.DUMMYFUNCTION("""COMPUTED_VALUE"""),430.0)</f>
        <v>430</v>
      </c>
      <c r="S87" s="538" t="str">
        <f>IFERROR(__xludf.DUMMYFUNCTION("""COMPUTED_VALUE"""),"Workshop Afrofusion con Banana 2025 - Workshop Banana afrofusion")</f>
        <v>Workshop Afrofusion con Banana 2025 - Workshop Banana afrofusion</v>
      </c>
      <c r="T87" s="763"/>
      <c r="U87" s="763"/>
      <c r="V87" s="762">
        <f>IFERROR(__xludf.DUMMYFUNCTION("""COMPUTED_VALUE"""),1.0)</f>
        <v>1</v>
      </c>
      <c r="W87" s="762">
        <f>IFERROR(__xludf.DUMMYFUNCTION("""COMPUTED_VALUE"""),32.0)</f>
        <v>32</v>
      </c>
      <c r="X87" s="762">
        <f>IFERROR(__xludf.DUMMYFUNCTION("""COMPUTED_VALUE"""),32.0)</f>
        <v>32</v>
      </c>
      <c r="Y87" s="763"/>
      <c r="Z87" s="765" t="str">
        <f>IFERROR(__xludf.DUMMYFUNCTION("""COMPUTED_VALUE"""),"https://studio-gem.it/wp-admin/post.php?post=64397&amp;action=edit")</f>
        <v>https://studio-gem.it/wp-admin/post.php?post=64397&amp;action=edit</v>
      </c>
      <c r="AA87" s="763"/>
      <c r="AB87" s="763"/>
      <c r="AC87" s="763"/>
      <c r="AD87" s="763"/>
      <c r="AE87" s="763"/>
      <c r="AF87" s="763"/>
      <c r="AG87" s="763"/>
      <c r="AH87" s="763"/>
      <c r="AI87" s="763"/>
      <c r="AJ87" s="763"/>
      <c r="AK87" s="763"/>
      <c r="AL87" s="763"/>
      <c r="AM87" s="763"/>
      <c r="AN87" s="763"/>
      <c r="AO87" s="763"/>
      <c r="AP87" s="763"/>
      <c r="AQ87" s="763"/>
      <c r="AR87" s="763"/>
      <c r="AS87" s="763"/>
      <c r="AT87" s="763"/>
      <c r="AU87" s="763"/>
      <c r="AV87" s="763"/>
      <c r="AW87" s="763"/>
      <c r="AX87" s="763"/>
      <c r="AY87" s="763"/>
      <c r="AZ87" s="763"/>
      <c r="BA87" s="763"/>
      <c r="BB87" s="763"/>
      <c r="BC87" s="763"/>
      <c r="BD87" s="763"/>
      <c r="BE87" s="763"/>
      <c r="BF87" s="763"/>
      <c r="BG87" s="763" t="b">
        <f>IFERROR(__xludf.DUMMYFUNCTION("""COMPUTED_VALUE"""),TRUE)</f>
        <v>1</v>
      </c>
      <c r="BH87" s="763" t="b">
        <f>IFERROR(__xludf.DUMMYFUNCTION("""COMPUTED_VALUE"""),TRUE)</f>
        <v>1</v>
      </c>
      <c r="BI87" s="763" t="b">
        <f>IFERROR(__xludf.DUMMYFUNCTION("""COMPUTED_VALUE"""),TRUE)</f>
        <v>1</v>
      </c>
      <c r="BJ87" s="763" t="b">
        <f>IFERROR(__xludf.DUMMYFUNCTION("""COMPUTED_VALUE"""),FALSE)</f>
        <v>0</v>
      </c>
    </row>
    <row r="88">
      <c r="A88" s="762">
        <f>IFERROR(__xludf.DUMMYFUNCTION("""COMPUTED_VALUE"""),64402.0)</f>
        <v>64402</v>
      </c>
      <c r="B88" s="538">
        <f>IFERROR(__xludf.DUMMYFUNCTION("""COMPUTED_VALUE"""),64402.0)</f>
        <v>64402</v>
      </c>
      <c r="C88" s="538" t="str">
        <f>IFERROR(__xludf.DUMMYFUNCTION("""COMPUTED_VALUE"""),"2025-08-22 10:25:21")</f>
        <v>2025-08-22 10:25:21</v>
      </c>
      <c r="D88" s="538" t="str">
        <f>IFERROR(__xludf.DUMMYFUNCTION("""COMPUTED_VALUE"""),"completed")</f>
        <v>completed</v>
      </c>
      <c r="E88" s="538" t="str">
        <f>IFERROR(__xludf.DUMMYFUNCTION("""COMPUTED_VALUE"""),"Alessia")</f>
        <v>Alessia</v>
      </c>
      <c r="F88" s="538" t="str">
        <f>IFERROR(__xludf.DUMMYFUNCTION("""COMPUTED_VALUE"""),"Gaglianese")</f>
        <v>Gaglianese</v>
      </c>
      <c r="G88" s="538" t="str">
        <f>IFERROR(__xludf.DUMMYFUNCTION("""COMPUTED_VALUE"""),"alessia.gaglianese01@gmail.com")</f>
        <v>alessia.gaglianese01@gmail.com</v>
      </c>
      <c r="H88" s="538">
        <f>IFERROR(__xludf.DUMMYFUNCTION("""COMPUTED_VALUE"""),3.317456788E9)</f>
        <v>3317456788</v>
      </c>
      <c r="I88" s="538" t="str">
        <f>IFERROR(__xludf.DUMMYFUNCTION("""COMPUTED_VALUE"""),"Milano")</f>
        <v>Milano</v>
      </c>
      <c r="J88" s="538" t="str">
        <f>IFERROR(__xludf.DUMMYFUNCTION("""COMPUTED_VALUE"""),"Via dei Tulipani 19")</f>
        <v>Via dei Tulipani 19</v>
      </c>
      <c r="K88" s="538">
        <f>IFERROR(__xludf.DUMMYFUNCTION("""COMPUTED_VALUE"""),20146.0)</f>
        <v>20146</v>
      </c>
      <c r="L88" s="538" t="str">
        <f>IFERROR(__xludf.DUMMYFUNCTION("""COMPUTED_VALUE"""),"Apple Pay")</f>
        <v>Apple Pay</v>
      </c>
      <c r="M88" s="763"/>
      <c r="N88" s="763" t="str">
        <f>IFERROR(__xludf.DUMMYFUNCTION("""COMPUTED_VALUE"""),"64402-1755858323")</f>
        <v>64402-1755858323</v>
      </c>
      <c r="O88" s="762">
        <f>IFERROR(__xludf.DUMMYFUNCTION("""COMPUTED_VALUE"""),0.0)</f>
        <v>0</v>
      </c>
      <c r="P88" s="766">
        <f>IFERROR(__xludf.DUMMYFUNCTION("""COMPUTED_VALUE"""),1.3333333333333333)</f>
        <v>1.333333333</v>
      </c>
      <c r="Q88" s="538" t="str">
        <f>IFERROR(__xludf.DUMMYFUNCTION("""COMPUTED_VALUE"""),"EUR")</f>
        <v>EUR</v>
      </c>
      <c r="R88" s="762">
        <f>IFERROR(__xludf.DUMMYFUNCTION("""COMPUTED_VALUE"""),431.0)</f>
        <v>431</v>
      </c>
      <c r="S88" s="538" t="str">
        <f>IFERROR(__xludf.DUMMYFUNCTION("""COMPUTED_VALUE"""),"Workshop Afrofusion con Banana 2025 - Workshop Banana afrofusion")</f>
        <v>Workshop Afrofusion con Banana 2025 - Workshop Banana afrofusion</v>
      </c>
      <c r="T88" s="763"/>
      <c r="U88" s="763"/>
      <c r="V88" s="762">
        <f>IFERROR(__xludf.DUMMYFUNCTION("""COMPUTED_VALUE"""),1.0)</f>
        <v>1</v>
      </c>
      <c r="W88" s="762">
        <f>IFERROR(__xludf.DUMMYFUNCTION("""COMPUTED_VALUE"""),32.0)</f>
        <v>32</v>
      </c>
      <c r="X88" s="762">
        <f>IFERROR(__xludf.DUMMYFUNCTION("""COMPUTED_VALUE"""),32.0)</f>
        <v>32</v>
      </c>
      <c r="Y88" s="763"/>
      <c r="Z88" s="765" t="str">
        <f>IFERROR(__xludf.DUMMYFUNCTION("""COMPUTED_VALUE"""),"https://studio-gem.it/wp-admin/post.php?post=64402&amp;action=edit")</f>
        <v>https://studio-gem.it/wp-admin/post.php?post=64402&amp;action=edit</v>
      </c>
      <c r="AA88" s="763"/>
      <c r="AB88" s="763"/>
      <c r="AC88" s="763"/>
      <c r="AD88" s="763"/>
      <c r="AE88" s="763"/>
      <c r="AF88" s="763"/>
      <c r="AG88" s="763"/>
      <c r="AH88" s="763"/>
      <c r="AI88" s="763"/>
      <c r="AJ88" s="763"/>
      <c r="AK88" s="763"/>
      <c r="AL88" s="763"/>
      <c r="AM88" s="763"/>
      <c r="AN88" s="763"/>
      <c r="AO88" s="763"/>
      <c r="AP88" s="763"/>
      <c r="AQ88" s="763"/>
      <c r="AR88" s="763"/>
      <c r="AS88" s="763"/>
      <c r="AT88" s="763"/>
      <c r="AU88" s="763"/>
      <c r="AV88" s="763"/>
      <c r="AW88" s="763"/>
      <c r="AX88" s="763"/>
      <c r="AY88" s="763"/>
      <c r="AZ88" s="763"/>
      <c r="BA88" s="763"/>
      <c r="BB88" s="763"/>
      <c r="BC88" s="763"/>
      <c r="BD88" s="763"/>
      <c r="BE88" s="763"/>
      <c r="BF88" s="763"/>
      <c r="BG88" s="763" t="b">
        <f>IFERROR(__xludf.DUMMYFUNCTION("""COMPUTED_VALUE"""),TRUE)</f>
        <v>1</v>
      </c>
      <c r="BH88" s="763" t="b">
        <f>IFERROR(__xludf.DUMMYFUNCTION("""COMPUTED_VALUE"""),TRUE)</f>
        <v>1</v>
      </c>
      <c r="BI88" s="763" t="b">
        <f>IFERROR(__xludf.DUMMYFUNCTION("""COMPUTED_VALUE"""),TRUE)</f>
        <v>1</v>
      </c>
      <c r="BJ88" s="763" t="b">
        <f>IFERROR(__xludf.DUMMYFUNCTION("""COMPUTED_VALUE"""),FALSE)</f>
        <v>0</v>
      </c>
    </row>
    <row r="89">
      <c r="A89" s="762">
        <f>IFERROR(__xludf.DUMMYFUNCTION("""COMPUTED_VALUE"""),64415.0)</f>
        <v>64415</v>
      </c>
      <c r="B89" s="538">
        <f>IFERROR(__xludf.DUMMYFUNCTION("""COMPUTED_VALUE"""),64415.0)</f>
        <v>64415</v>
      </c>
      <c r="C89" s="538" t="str">
        <f>IFERROR(__xludf.DUMMYFUNCTION("""COMPUTED_VALUE"""),"2025-08-25 20:39:06")</f>
        <v>2025-08-25 20:39:06</v>
      </c>
      <c r="D89" s="538" t="str">
        <f>IFERROR(__xludf.DUMMYFUNCTION("""COMPUTED_VALUE"""),"completed")</f>
        <v>completed</v>
      </c>
      <c r="E89" s="538" t="str">
        <f>IFERROR(__xludf.DUMMYFUNCTION("""COMPUTED_VALUE"""),"Diana")</f>
        <v>Diana</v>
      </c>
      <c r="F89" s="538" t="str">
        <f>IFERROR(__xludf.DUMMYFUNCTION("""COMPUTED_VALUE"""),"Grillo")</f>
        <v>Grillo</v>
      </c>
      <c r="G89" s="538" t="str">
        <f>IFERROR(__xludf.DUMMYFUNCTION("""COMPUTED_VALUE"""),"dyana.lcc@gmail.com")</f>
        <v>dyana.lcc@gmail.com</v>
      </c>
      <c r="H89" s="538">
        <f>IFERROR(__xludf.DUMMYFUNCTION("""COMPUTED_VALUE"""),3.315800383E9)</f>
        <v>3315800383</v>
      </c>
      <c r="I89" s="538" t="str">
        <f>IFERROR(__xludf.DUMMYFUNCTION("""COMPUTED_VALUE"""),"Milano")</f>
        <v>Milano</v>
      </c>
      <c r="J89" s="538" t="str">
        <f>IFERROR(__xludf.DUMMYFUNCTION("""COMPUTED_VALUE"""),"Via Ferruccio Busoni 12")</f>
        <v>Via Ferruccio Busoni 12</v>
      </c>
      <c r="K89" s="538">
        <f>IFERROR(__xludf.DUMMYFUNCTION("""COMPUTED_VALUE"""),20137.0)</f>
        <v>20137</v>
      </c>
      <c r="L89" s="538" t="str">
        <f>IFERROR(__xludf.DUMMYFUNCTION("""COMPUTED_VALUE"""),"Apple Pay")</f>
        <v>Apple Pay</v>
      </c>
      <c r="M89" s="763"/>
      <c r="N89" s="763" t="str">
        <f>IFERROR(__xludf.DUMMYFUNCTION("""COMPUTED_VALUE"""),"64415-1756154348")</f>
        <v>64415-1756154348</v>
      </c>
      <c r="O89" s="762">
        <f>IFERROR(__xludf.DUMMYFUNCTION("""COMPUTED_VALUE"""),0.0)</f>
        <v>0</v>
      </c>
      <c r="P89" s="766">
        <f>IFERROR(__xludf.DUMMYFUNCTION("""COMPUTED_VALUE"""),1.3333333333333333)</f>
        <v>1.333333333</v>
      </c>
      <c r="Q89" s="538" t="str">
        <f>IFERROR(__xludf.DUMMYFUNCTION("""COMPUTED_VALUE"""),"EUR")</f>
        <v>EUR</v>
      </c>
      <c r="R89" s="762">
        <f>IFERROR(__xludf.DUMMYFUNCTION("""COMPUTED_VALUE"""),432.0)</f>
        <v>432</v>
      </c>
      <c r="S89" s="538" t="str">
        <f>IFERROR(__xludf.DUMMYFUNCTION("""COMPUTED_VALUE"""),"Workshop Afrofusion con Banana 2025 - Workshop Banana afrofusion")</f>
        <v>Workshop Afrofusion con Banana 2025 - Workshop Banana afrofusion</v>
      </c>
      <c r="T89" s="763"/>
      <c r="U89" s="763"/>
      <c r="V89" s="762">
        <f>IFERROR(__xludf.DUMMYFUNCTION("""COMPUTED_VALUE"""),1.0)</f>
        <v>1</v>
      </c>
      <c r="W89" s="762">
        <f>IFERROR(__xludf.DUMMYFUNCTION("""COMPUTED_VALUE"""),32.0)</f>
        <v>32</v>
      </c>
      <c r="X89" s="762">
        <f>IFERROR(__xludf.DUMMYFUNCTION("""COMPUTED_VALUE"""),32.0)</f>
        <v>32</v>
      </c>
      <c r="Y89" s="763"/>
      <c r="Z89" s="765" t="str">
        <f>IFERROR(__xludf.DUMMYFUNCTION("""COMPUTED_VALUE"""),"https://studio-gem.it/wp-admin/post.php?post=64415&amp;action=edit")</f>
        <v>https://studio-gem.it/wp-admin/post.php?post=64415&amp;action=edit</v>
      </c>
      <c r="AA89" s="763"/>
      <c r="AB89" s="763"/>
      <c r="AC89" s="763"/>
      <c r="AD89" s="763"/>
      <c r="AE89" s="763"/>
      <c r="AF89" s="763"/>
      <c r="AG89" s="763"/>
      <c r="AH89" s="763"/>
      <c r="AI89" s="763"/>
      <c r="AJ89" s="763"/>
      <c r="AK89" s="763"/>
      <c r="AL89" s="763"/>
      <c r="AM89" s="763"/>
      <c r="AN89" s="763"/>
      <c r="AO89" s="763"/>
      <c r="AP89" s="763"/>
      <c r="AQ89" s="763"/>
      <c r="AR89" s="763"/>
      <c r="AS89" s="763"/>
      <c r="AT89" s="763"/>
      <c r="AU89" s="763"/>
      <c r="AV89" s="763"/>
      <c r="AW89" s="763"/>
      <c r="AX89" s="763"/>
      <c r="AY89" s="763"/>
      <c r="AZ89" s="763"/>
      <c r="BA89" s="763"/>
      <c r="BB89" s="763"/>
      <c r="BC89" s="763"/>
      <c r="BD89" s="763"/>
      <c r="BE89" s="763"/>
      <c r="BF89" s="763"/>
      <c r="BG89" s="763" t="b">
        <f>IFERROR(__xludf.DUMMYFUNCTION("""COMPUTED_VALUE"""),TRUE)</f>
        <v>1</v>
      </c>
      <c r="BH89" s="763" t="b">
        <f>IFERROR(__xludf.DUMMYFUNCTION("""COMPUTED_VALUE"""),TRUE)</f>
        <v>1</v>
      </c>
      <c r="BI89" s="763" t="b">
        <f>IFERROR(__xludf.DUMMYFUNCTION("""COMPUTED_VALUE"""),TRUE)</f>
        <v>1</v>
      </c>
      <c r="BJ89" s="763" t="b">
        <f>IFERROR(__xludf.DUMMYFUNCTION("""COMPUTED_VALUE"""),FALSE)</f>
        <v>0</v>
      </c>
    </row>
    <row r="90">
      <c r="A90" s="762">
        <f>IFERROR(__xludf.DUMMYFUNCTION("""COMPUTED_VALUE"""),64418.0)</f>
        <v>64418</v>
      </c>
      <c r="B90" s="538">
        <f>IFERROR(__xludf.DUMMYFUNCTION("""COMPUTED_VALUE"""),64418.0)</f>
        <v>64418</v>
      </c>
      <c r="C90" s="538" t="str">
        <f>IFERROR(__xludf.DUMMYFUNCTION("""COMPUTED_VALUE"""),"2025-08-26 11:55:28")</f>
        <v>2025-08-26 11:55:28</v>
      </c>
      <c r="D90" s="538" t="str">
        <f>IFERROR(__xludf.DUMMYFUNCTION("""COMPUTED_VALUE"""),"completed")</f>
        <v>completed</v>
      </c>
      <c r="E90" s="538" t="str">
        <f>IFERROR(__xludf.DUMMYFUNCTION("""COMPUTED_VALUE"""),"Martina")</f>
        <v>Martina</v>
      </c>
      <c r="F90" s="538" t="str">
        <f>IFERROR(__xludf.DUMMYFUNCTION("""COMPUTED_VALUE"""),"Battolini")</f>
        <v>Battolini</v>
      </c>
      <c r="G90" s="538" t="str">
        <f>IFERROR(__xludf.DUMMYFUNCTION("""COMPUTED_VALUE"""),"martinabattolini@gmail.com")</f>
        <v>martinabattolini@gmail.com</v>
      </c>
      <c r="H90" s="538">
        <f>IFERROR(__xludf.DUMMYFUNCTION("""COMPUTED_VALUE"""),3.668600941E9)</f>
        <v>3668600941</v>
      </c>
      <c r="I90" s="538" t="str">
        <f>IFERROR(__xludf.DUMMYFUNCTION("""COMPUTED_VALUE"""),"Milano")</f>
        <v>Milano</v>
      </c>
      <c r="J90" s="538" t="str">
        <f>IFERROR(__xludf.DUMMYFUNCTION("""COMPUTED_VALUE"""),"Viale Papiniano 42")</f>
        <v>Viale Papiniano 42</v>
      </c>
      <c r="K90" s="538">
        <f>IFERROR(__xludf.DUMMYFUNCTION("""COMPUTED_VALUE"""),20123.0)</f>
        <v>20123</v>
      </c>
      <c r="L90" s="538" t="str">
        <f>IFERROR(__xludf.DUMMYFUNCTION("""COMPUTED_VALUE"""),"Carte di pagamento")</f>
        <v>Carte di pagamento</v>
      </c>
      <c r="M90" s="763"/>
      <c r="N90" s="763" t="str">
        <f>IFERROR(__xludf.DUMMYFUNCTION("""COMPUTED_VALUE"""),"64418-1756209330")</f>
        <v>64418-1756209330</v>
      </c>
      <c r="O90" s="762">
        <f>IFERROR(__xludf.DUMMYFUNCTION("""COMPUTED_VALUE"""),0.0)</f>
        <v>0</v>
      </c>
      <c r="P90" s="766">
        <f>IFERROR(__xludf.DUMMYFUNCTION("""COMPUTED_VALUE"""),1.3333333333333333)</f>
        <v>1.333333333</v>
      </c>
      <c r="Q90" s="538" t="str">
        <f>IFERROR(__xludf.DUMMYFUNCTION("""COMPUTED_VALUE"""),"EUR")</f>
        <v>EUR</v>
      </c>
      <c r="R90" s="762">
        <f>IFERROR(__xludf.DUMMYFUNCTION("""COMPUTED_VALUE"""),433.0)</f>
        <v>433</v>
      </c>
      <c r="S90" s="538" t="str">
        <f>IFERROR(__xludf.DUMMYFUNCTION("""COMPUTED_VALUE"""),"Workshop Afrofusion con Banana 2025 - Workshop Banana afrofusion")</f>
        <v>Workshop Afrofusion con Banana 2025 - Workshop Banana afrofusion</v>
      </c>
      <c r="T90" s="763"/>
      <c r="U90" s="763"/>
      <c r="V90" s="762">
        <f>IFERROR(__xludf.DUMMYFUNCTION("""COMPUTED_VALUE"""),1.0)</f>
        <v>1</v>
      </c>
      <c r="W90" s="762">
        <f>IFERROR(__xludf.DUMMYFUNCTION("""COMPUTED_VALUE"""),32.0)</f>
        <v>32</v>
      </c>
      <c r="X90" s="762">
        <f>IFERROR(__xludf.DUMMYFUNCTION("""COMPUTED_VALUE"""),32.0)</f>
        <v>32</v>
      </c>
      <c r="Y90" s="763"/>
      <c r="Z90" s="765" t="str">
        <f>IFERROR(__xludf.DUMMYFUNCTION("""COMPUTED_VALUE"""),"https://studio-gem.it/wp-admin/post.php?post=64418&amp;action=edit")</f>
        <v>https://studio-gem.it/wp-admin/post.php?post=64418&amp;action=edit</v>
      </c>
      <c r="AA90" s="763"/>
      <c r="AB90" s="763"/>
      <c r="AC90" s="763"/>
      <c r="AD90" s="763"/>
      <c r="AE90" s="763"/>
      <c r="AF90" s="763"/>
      <c r="AG90" s="763"/>
      <c r="AH90" s="763"/>
      <c r="AI90" s="763"/>
      <c r="AJ90" s="763"/>
      <c r="AK90" s="763"/>
      <c r="AL90" s="763"/>
      <c r="AM90" s="763"/>
      <c r="AN90" s="763"/>
      <c r="AO90" s="763"/>
      <c r="AP90" s="763"/>
      <c r="AQ90" s="763"/>
      <c r="AR90" s="763"/>
      <c r="AS90" s="763"/>
      <c r="AT90" s="763"/>
      <c r="AU90" s="763"/>
      <c r="AV90" s="763"/>
      <c r="AW90" s="763"/>
      <c r="AX90" s="763"/>
      <c r="AY90" s="763"/>
      <c r="AZ90" s="763"/>
      <c r="BA90" s="763"/>
      <c r="BB90" s="763"/>
      <c r="BC90" s="763"/>
      <c r="BD90" s="763"/>
      <c r="BE90" s="763"/>
      <c r="BF90" s="763"/>
      <c r="BG90" s="763" t="b">
        <f>IFERROR(__xludf.DUMMYFUNCTION("""COMPUTED_VALUE"""),TRUE)</f>
        <v>1</v>
      </c>
      <c r="BH90" s="763" t="b">
        <f>IFERROR(__xludf.DUMMYFUNCTION("""COMPUTED_VALUE"""),TRUE)</f>
        <v>1</v>
      </c>
      <c r="BI90" s="763" t="b">
        <f>IFERROR(__xludf.DUMMYFUNCTION("""COMPUTED_VALUE"""),TRUE)</f>
        <v>1</v>
      </c>
      <c r="BJ90" s="763" t="b">
        <f>IFERROR(__xludf.DUMMYFUNCTION("""COMPUTED_VALUE"""),FALSE)</f>
        <v>0</v>
      </c>
    </row>
    <row r="91">
      <c r="A91" s="762">
        <f>IFERROR(__xludf.DUMMYFUNCTION("""COMPUTED_VALUE"""),64421.0)</f>
        <v>64421</v>
      </c>
      <c r="B91" s="538">
        <f>IFERROR(__xludf.DUMMYFUNCTION("""COMPUTED_VALUE"""),64421.0)</f>
        <v>64421</v>
      </c>
      <c r="C91" s="538" t="str">
        <f>IFERROR(__xludf.DUMMYFUNCTION("""COMPUTED_VALUE"""),"2025-08-26 12:50:47")</f>
        <v>2025-08-26 12:50:47</v>
      </c>
      <c r="D91" s="538" t="str">
        <f>IFERROR(__xludf.DUMMYFUNCTION("""COMPUTED_VALUE"""),"cancelled")</f>
        <v>cancelled</v>
      </c>
      <c r="E91" s="538" t="str">
        <f>IFERROR(__xludf.DUMMYFUNCTION("""COMPUTED_VALUE"""),"Constanza")</f>
        <v>Constanza</v>
      </c>
      <c r="F91" s="538" t="str">
        <f>IFERROR(__xludf.DUMMYFUNCTION("""COMPUTED_VALUE"""),"Torre")</f>
        <v>Torre</v>
      </c>
      <c r="G91" s="538" t="str">
        <f>IFERROR(__xludf.DUMMYFUNCTION("""COMPUTED_VALUE"""),"constanzatorre@hotmail.com")</f>
        <v>constanzatorre@hotmail.com</v>
      </c>
      <c r="H91" s="538">
        <f>IFERROR(__xludf.DUMMYFUNCTION("""COMPUTED_VALUE"""),5.493515319913E12)</f>
        <v>5493515319913</v>
      </c>
      <c r="I91" s="538" t="str">
        <f>IFERROR(__xludf.DUMMYFUNCTION("""COMPUTED_VALUE"""),"Milano")</f>
        <v>Milano</v>
      </c>
      <c r="J91" s="538" t="str">
        <f>IFERROR(__xludf.DUMMYFUNCTION("""COMPUTED_VALUE"""),"Vía metano 4")</f>
        <v>Vía metano 4</v>
      </c>
      <c r="K91" s="538">
        <f>IFERROR(__xludf.DUMMYFUNCTION("""COMPUTED_VALUE"""),20127.0)</f>
        <v>20127</v>
      </c>
      <c r="L91" s="538" t="str">
        <f>IFERROR(__xludf.DUMMYFUNCTION("""COMPUTED_VALUE"""),"Carte di pagamento")</f>
        <v>Carte di pagamento</v>
      </c>
      <c r="M91" s="763"/>
      <c r="N91" s="763"/>
      <c r="O91" s="762">
        <f>IFERROR(__xludf.DUMMYFUNCTION("""COMPUTED_VALUE"""),0.0)</f>
        <v>0</v>
      </c>
      <c r="P91" s="766">
        <f>IFERROR(__xludf.DUMMYFUNCTION("""COMPUTED_VALUE"""),1.3333333333333333)</f>
        <v>1.333333333</v>
      </c>
      <c r="Q91" s="538" t="str">
        <f>IFERROR(__xludf.DUMMYFUNCTION("""COMPUTED_VALUE"""),"EUR")</f>
        <v>EUR</v>
      </c>
      <c r="R91" s="762">
        <f>IFERROR(__xludf.DUMMYFUNCTION("""COMPUTED_VALUE"""),434.0)</f>
        <v>434</v>
      </c>
      <c r="S91" s="538" t="str">
        <f>IFERROR(__xludf.DUMMYFUNCTION("""COMPUTED_VALUE"""),"Workshop Heels con Lulu Kulova - Workshop Lulu Heels")</f>
        <v>Workshop Heels con Lulu Kulova - Workshop Lulu Heels</v>
      </c>
      <c r="T91" s="763"/>
      <c r="U91" s="763"/>
      <c r="V91" s="762">
        <f>IFERROR(__xludf.DUMMYFUNCTION("""COMPUTED_VALUE"""),1.0)</f>
        <v>1</v>
      </c>
      <c r="W91" s="762">
        <f>IFERROR(__xludf.DUMMYFUNCTION("""COMPUTED_VALUE"""),32.0)</f>
        <v>32</v>
      </c>
      <c r="X91" s="762">
        <f>IFERROR(__xludf.DUMMYFUNCTION("""COMPUTED_VALUE"""),32.0)</f>
        <v>32</v>
      </c>
      <c r="Y91" s="763"/>
      <c r="Z91" s="765" t="str">
        <f>IFERROR(__xludf.DUMMYFUNCTION("""COMPUTED_VALUE"""),"https://studio-gem.it/wp-admin/post.php?post=64421&amp;action=edit")</f>
        <v>https://studio-gem.it/wp-admin/post.php?post=64421&amp;action=edit</v>
      </c>
      <c r="AA91" s="763"/>
      <c r="AB91" s="763"/>
      <c r="AC91" s="763"/>
      <c r="AD91" s="763"/>
      <c r="AE91" s="763"/>
      <c r="AF91" s="763"/>
      <c r="AG91" s="763"/>
      <c r="AH91" s="763"/>
      <c r="AI91" s="763"/>
      <c r="AJ91" s="763"/>
      <c r="AK91" s="763"/>
      <c r="AL91" s="763"/>
      <c r="AM91" s="763"/>
      <c r="AN91" s="763"/>
      <c r="AO91" s="763"/>
      <c r="AP91" s="763"/>
      <c r="AQ91" s="763"/>
      <c r="AR91" s="763"/>
      <c r="AS91" s="763"/>
      <c r="AT91" s="763"/>
      <c r="AU91" s="763"/>
      <c r="AV91" s="763"/>
      <c r="AW91" s="763"/>
      <c r="AX91" s="763"/>
      <c r="AY91" s="763"/>
      <c r="AZ91" s="763"/>
      <c r="BA91" s="763"/>
      <c r="BB91" s="763"/>
      <c r="BC91" s="763"/>
      <c r="BD91" s="763"/>
      <c r="BE91" s="763"/>
      <c r="BF91" s="763"/>
      <c r="BG91" s="763" t="b">
        <f>IFERROR(__xludf.DUMMYFUNCTION("""COMPUTED_VALUE"""),FALSE)</f>
        <v>0</v>
      </c>
      <c r="BH91" s="763" t="b">
        <f>IFERROR(__xludf.DUMMYFUNCTION("""COMPUTED_VALUE"""),FALSE)</f>
        <v>0</v>
      </c>
      <c r="BI91" s="763" t="b">
        <f>IFERROR(__xludf.DUMMYFUNCTION("""COMPUTED_VALUE"""),FALSE)</f>
        <v>0</v>
      </c>
      <c r="BJ91" s="763" t="b">
        <f>IFERROR(__xludf.DUMMYFUNCTION("""COMPUTED_VALUE"""),FALSE)</f>
        <v>0</v>
      </c>
    </row>
    <row r="92">
      <c r="A92" s="762">
        <f>IFERROR(__xludf.DUMMYFUNCTION("""COMPUTED_VALUE"""),64422.0)</f>
        <v>64422</v>
      </c>
      <c r="B92" s="538">
        <f>IFERROR(__xludf.DUMMYFUNCTION("""COMPUTED_VALUE"""),64422.0)</f>
        <v>64422</v>
      </c>
      <c r="C92" s="538" t="str">
        <f>IFERROR(__xludf.DUMMYFUNCTION("""COMPUTED_VALUE"""),"2025-08-26 12:51:30")</f>
        <v>2025-08-26 12:51:30</v>
      </c>
      <c r="D92" s="538" t="str">
        <f>IFERROR(__xludf.DUMMYFUNCTION("""COMPUTED_VALUE"""),"completed")</f>
        <v>completed</v>
      </c>
      <c r="E92" s="538" t="str">
        <f>IFERROR(__xludf.DUMMYFUNCTION("""COMPUTED_VALUE"""),"Sofia")</f>
        <v>Sofia</v>
      </c>
      <c r="F92" s="538" t="str">
        <f>IFERROR(__xludf.DUMMYFUNCTION("""COMPUTED_VALUE"""),"Fonte")</f>
        <v>Fonte</v>
      </c>
      <c r="G92" s="538" t="str">
        <f>IFERROR(__xludf.DUMMYFUNCTION("""COMPUTED_VALUE"""),"sf.florix@gmail.com")</f>
        <v>sf.florix@gmail.com</v>
      </c>
      <c r="H92" s="538">
        <f>IFERROR(__xludf.DUMMYFUNCTION("""COMPUTED_VALUE"""),3.423550544E9)</f>
        <v>3423550544</v>
      </c>
      <c r="I92" s="538" t="str">
        <f>IFERROR(__xludf.DUMMYFUNCTION("""COMPUTED_VALUE"""),"Milano")</f>
        <v>Milano</v>
      </c>
      <c r="J92" s="538" t="str">
        <f>IFERROR(__xludf.DUMMYFUNCTION("""COMPUTED_VALUE"""),"Via Arezzo 8")</f>
        <v>Via Arezzo 8</v>
      </c>
      <c r="K92" s="538">
        <f>IFERROR(__xludf.DUMMYFUNCTION("""COMPUTED_VALUE"""),20162.0)</f>
        <v>20162</v>
      </c>
      <c r="L92" s="538" t="str">
        <f>IFERROR(__xludf.DUMMYFUNCTION("""COMPUTED_VALUE"""),"Carte di pagamento")</f>
        <v>Carte di pagamento</v>
      </c>
      <c r="M92" s="763"/>
      <c r="N92" s="763" t="str">
        <f>IFERROR(__xludf.DUMMYFUNCTION("""COMPUTED_VALUE"""),"64422-1756212692")</f>
        <v>64422-1756212692</v>
      </c>
      <c r="O92" s="762">
        <f>IFERROR(__xludf.DUMMYFUNCTION("""COMPUTED_VALUE"""),0.0)</f>
        <v>0</v>
      </c>
      <c r="P92" s="766">
        <f>IFERROR(__xludf.DUMMYFUNCTION("""COMPUTED_VALUE"""),1.3333333333333333)</f>
        <v>1.333333333</v>
      </c>
      <c r="Q92" s="538" t="str">
        <f>IFERROR(__xludf.DUMMYFUNCTION("""COMPUTED_VALUE"""),"EUR")</f>
        <v>EUR</v>
      </c>
      <c r="R92" s="762">
        <f>IFERROR(__xludf.DUMMYFUNCTION("""COMPUTED_VALUE"""),435.0)</f>
        <v>435</v>
      </c>
      <c r="S92" s="538" t="str">
        <f>IFERROR(__xludf.DUMMYFUNCTION("""COMPUTED_VALUE"""),"Workshop Heels con Lulu Kulova - Workshop Lulu Heels")</f>
        <v>Workshop Heels con Lulu Kulova - Workshop Lulu Heels</v>
      </c>
      <c r="T92" s="763"/>
      <c r="U92" s="763"/>
      <c r="V92" s="762">
        <f>IFERROR(__xludf.DUMMYFUNCTION("""COMPUTED_VALUE"""),1.0)</f>
        <v>1</v>
      </c>
      <c r="W92" s="762">
        <f>IFERROR(__xludf.DUMMYFUNCTION("""COMPUTED_VALUE"""),32.0)</f>
        <v>32</v>
      </c>
      <c r="X92" s="762">
        <f>IFERROR(__xludf.DUMMYFUNCTION("""COMPUTED_VALUE"""),32.0)</f>
        <v>32</v>
      </c>
      <c r="Y92" s="763"/>
      <c r="Z92" s="765" t="str">
        <f>IFERROR(__xludf.DUMMYFUNCTION("""COMPUTED_VALUE"""),"https://studio-gem.it/wp-admin/post.php?post=64422&amp;action=edit")</f>
        <v>https://studio-gem.it/wp-admin/post.php?post=64422&amp;action=edit</v>
      </c>
      <c r="AA92" s="763"/>
      <c r="AB92" s="763"/>
      <c r="AC92" s="763"/>
      <c r="AD92" s="763"/>
      <c r="AE92" s="763"/>
      <c r="AF92" s="763"/>
      <c r="AG92" s="763"/>
      <c r="AH92" s="763"/>
      <c r="AI92" s="763"/>
      <c r="AJ92" s="763"/>
      <c r="AK92" s="763"/>
      <c r="AL92" s="763"/>
      <c r="AM92" s="763"/>
      <c r="AN92" s="763"/>
      <c r="AO92" s="763"/>
      <c r="AP92" s="763"/>
      <c r="AQ92" s="763"/>
      <c r="AR92" s="763"/>
      <c r="AS92" s="763"/>
      <c r="AT92" s="763"/>
      <c r="AU92" s="763"/>
      <c r="AV92" s="763"/>
      <c r="AW92" s="763"/>
      <c r="AX92" s="763"/>
      <c r="AY92" s="763"/>
      <c r="AZ92" s="763"/>
      <c r="BA92" s="763"/>
      <c r="BB92" s="763"/>
      <c r="BC92" s="763"/>
      <c r="BD92" s="763"/>
      <c r="BE92" s="763"/>
      <c r="BF92" s="763"/>
      <c r="BG92" s="763" t="b">
        <f>IFERROR(__xludf.DUMMYFUNCTION("""COMPUTED_VALUE"""),TRUE)</f>
        <v>1</v>
      </c>
      <c r="BH92" s="763" t="b">
        <f>IFERROR(__xludf.DUMMYFUNCTION("""COMPUTED_VALUE"""),TRUE)</f>
        <v>1</v>
      </c>
      <c r="BI92" s="763" t="b">
        <f>IFERROR(__xludf.DUMMYFUNCTION("""COMPUTED_VALUE"""),TRUE)</f>
        <v>1</v>
      </c>
      <c r="BJ92" s="763" t="b">
        <f>IFERROR(__xludf.DUMMYFUNCTION("""COMPUTED_VALUE"""),FALSE)</f>
        <v>0</v>
      </c>
    </row>
    <row r="93">
      <c r="A93" s="762">
        <f>IFERROR(__xludf.DUMMYFUNCTION("""COMPUTED_VALUE"""),64427.0)</f>
        <v>64427</v>
      </c>
      <c r="B93" s="538">
        <f>IFERROR(__xludf.DUMMYFUNCTION("""COMPUTED_VALUE"""),64427.0)</f>
        <v>64427</v>
      </c>
      <c r="C93" s="538" t="str">
        <f>IFERROR(__xludf.DUMMYFUNCTION("""COMPUTED_VALUE"""),"2025-08-26 16:17:03")</f>
        <v>2025-08-26 16:17:03</v>
      </c>
      <c r="D93" s="538" t="str">
        <f>IFERROR(__xludf.DUMMYFUNCTION("""COMPUTED_VALUE"""),"completed")</f>
        <v>completed</v>
      </c>
      <c r="E93" s="538" t="str">
        <f>IFERROR(__xludf.DUMMYFUNCTION("""COMPUTED_VALUE"""),"Elena")</f>
        <v>Elena</v>
      </c>
      <c r="F93" s="538" t="str">
        <f>IFERROR(__xludf.DUMMYFUNCTION("""COMPUTED_VALUE"""),"Tellini")</f>
        <v>Tellini</v>
      </c>
      <c r="G93" s="538" t="str">
        <f>IFERROR(__xludf.DUMMYFUNCTION("""COMPUTED_VALUE"""),"tellini.elena@gmail.com")</f>
        <v>tellini.elena@gmail.com</v>
      </c>
      <c r="H93" s="538">
        <f>IFERROR(__xludf.DUMMYFUNCTION("""COMPUTED_VALUE"""),3.290782335E9)</f>
        <v>3290782335</v>
      </c>
      <c r="I93" s="538" t="str">
        <f>IFERROR(__xludf.DUMMYFUNCTION("""COMPUTED_VALUE"""),"Milano")</f>
        <v>Milano</v>
      </c>
      <c r="J93" s="538" t="str">
        <f>IFERROR(__xludf.DUMMYFUNCTION("""COMPUTED_VALUE"""),"Via Ennio 13")</f>
        <v>Via Ennio 13</v>
      </c>
      <c r="K93" s="538">
        <f>IFERROR(__xludf.DUMMYFUNCTION("""COMPUTED_VALUE"""),20137.0)</f>
        <v>20137</v>
      </c>
      <c r="L93" s="538" t="str">
        <f>IFERROR(__xludf.DUMMYFUNCTION("""COMPUTED_VALUE"""),"Apple Pay")</f>
        <v>Apple Pay</v>
      </c>
      <c r="M93" s="763"/>
      <c r="N93" s="763" t="str">
        <f>IFERROR(__xludf.DUMMYFUNCTION("""COMPUTED_VALUE"""),"64427-1756225024")</f>
        <v>64427-1756225024</v>
      </c>
      <c r="O93" s="762">
        <f>IFERROR(__xludf.DUMMYFUNCTION("""COMPUTED_VALUE"""),0.0)</f>
        <v>0</v>
      </c>
      <c r="P93" s="766">
        <f>IFERROR(__xludf.DUMMYFUNCTION("""COMPUTED_VALUE"""),1.3333333333333333)</f>
        <v>1.333333333</v>
      </c>
      <c r="Q93" s="538" t="str">
        <f>IFERROR(__xludf.DUMMYFUNCTION("""COMPUTED_VALUE"""),"EUR")</f>
        <v>EUR</v>
      </c>
      <c r="R93" s="762">
        <f>IFERROR(__xludf.DUMMYFUNCTION("""COMPUTED_VALUE"""),436.0)</f>
        <v>436</v>
      </c>
      <c r="S93" s="538" t="str">
        <f>IFERROR(__xludf.DUMMYFUNCTION("""COMPUTED_VALUE"""),"Workshop Heels con Lulu Kulova - Workshop Lulu Heels")</f>
        <v>Workshop Heels con Lulu Kulova - Workshop Lulu Heels</v>
      </c>
      <c r="T93" s="763"/>
      <c r="U93" s="763"/>
      <c r="V93" s="762">
        <f>IFERROR(__xludf.DUMMYFUNCTION("""COMPUTED_VALUE"""),1.0)</f>
        <v>1</v>
      </c>
      <c r="W93" s="762">
        <f>IFERROR(__xludf.DUMMYFUNCTION("""COMPUTED_VALUE"""),32.0)</f>
        <v>32</v>
      </c>
      <c r="X93" s="762">
        <f>IFERROR(__xludf.DUMMYFUNCTION("""COMPUTED_VALUE"""),32.0)</f>
        <v>32</v>
      </c>
      <c r="Y93" s="763"/>
      <c r="Z93" s="765" t="str">
        <f>IFERROR(__xludf.DUMMYFUNCTION("""COMPUTED_VALUE"""),"https://studio-gem.it/wp-admin/post.php?post=64427&amp;action=edit")</f>
        <v>https://studio-gem.it/wp-admin/post.php?post=64427&amp;action=edit</v>
      </c>
      <c r="AA93" s="763"/>
      <c r="AB93" s="763"/>
      <c r="AC93" s="763"/>
      <c r="AD93" s="763"/>
      <c r="AE93" s="763"/>
      <c r="AF93" s="763"/>
      <c r="AG93" s="763"/>
      <c r="AH93" s="763"/>
      <c r="AI93" s="763"/>
      <c r="AJ93" s="763"/>
      <c r="AK93" s="763"/>
      <c r="AL93" s="763"/>
      <c r="AM93" s="763"/>
      <c r="AN93" s="763"/>
      <c r="AO93" s="763"/>
      <c r="AP93" s="763"/>
      <c r="AQ93" s="763"/>
      <c r="AR93" s="763"/>
      <c r="AS93" s="763"/>
      <c r="AT93" s="763"/>
      <c r="AU93" s="763"/>
      <c r="AV93" s="763"/>
      <c r="AW93" s="763"/>
      <c r="AX93" s="763"/>
      <c r="AY93" s="763"/>
      <c r="AZ93" s="763"/>
      <c r="BA93" s="763"/>
      <c r="BB93" s="763"/>
      <c r="BC93" s="763"/>
      <c r="BD93" s="763"/>
      <c r="BE93" s="763"/>
      <c r="BF93" s="763"/>
      <c r="BG93" s="763" t="b">
        <f>IFERROR(__xludf.DUMMYFUNCTION("""COMPUTED_VALUE"""),TRUE)</f>
        <v>1</v>
      </c>
      <c r="BH93" s="763" t="b">
        <f>IFERROR(__xludf.DUMMYFUNCTION("""COMPUTED_VALUE"""),TRUE)</f>
        <v>1</v>
      </c>
      <c r="BI93" s="763" t="b">
        <f>IFERROR(__xludf.DUMMYFUNCTION("""COMPUTED_VALUE"""),TRUE)</f>
        <v>1</v>
      </c>
      <c r="BJ93" s="763" t="b">
        <f>IFERROR(__xludf.DUMMYFUNCTION("""COMPUTED_VALUE"""),FALSE)</f>
        <v>0</v>
      </c>
    </row>
    <row r="94">
      <c r="A94" s="762">
        <f>IFERROR(__xludf.DUMMYFUNCTION("""COMPUTED_VALUE"""),64429.0)</f>
        <v>64429</v>
      </c>
      <c r="B94" s="538">
        <f>IFERROR(__xludf.DUMMYFUNCTION("""COMPUTED_VALUE"""),64429.0)</f>
        <v>64429</v>
      </c>
      <c r="C94" s="538" t="str">
        <f>IFERROR(__xludf.DUMMYFUNCTION("""COMPUTED_VALUE"""),"2025-08-26 18:39:41")</f>
        <v>2025-08-26 18:39:41</v>
      </c>
      <c r="D94" s="538" t="str">
        <f>IFERROR(__xludf.DUMMYFUNCTION("""COMPUTED_VALUE"""),"cancelled")</f>
        <v>cancelled</v>
      </c>
      <c r="E94" s="538" t="str">
        <f>IFERROR(__xludf.DUMMYFUNCTION("""COMPUTED_VALUE"""),"Nora")</f>
        <v>Nora</v>
      </c>
      <c r="F94" s="538" t="str">
        <f>IFERROR(__xludf.DUMMYFUNCTION("""COMPUTED_VALUE"""),"Aversente")</f>
        <v>Aversente</v>
      </c>
      <c r="G94" s="538" t="str">
        <f>IFERROR(__xludf.DUMMYFUNCTION("""COMPUTED_VALUE"""),"aversentenora@gmail.com")</f>
        <v>aversentenora@gmail.com</v>
      </c>
      <c r="H94" s="538">
        <f>IFERROR(__xludf.DUMMYFUNCTION("""COMPUTED_VALUE"""),3.294834808E9)</f>
        <v>3294834808</v>
      </c>
      <c r="I94" s="538" t="str">
        <f>IFERROR(__xludf.DUMMYFUNCTION("""COMPUTED_VALUE"""),"Augusta")</f>
        <v>Augusta</v>
      </c>
      <c r="J94" s="538" t="str">
        <f>IFERROR(__xludf.DUMMYFUNCTION("""COMPUTED_VALUE"""),"Via bari 10")</f>
        <v>Via bari 10</v>
      </c>
      <c r="K94" s="538">
        <f>IFERROR(__xludf.DUMMYFUNCTION("""COMPUTED_VALUE"""),96011.0)</f>
        <v>96011</v>
      </c>
      <c r="L94" s="538" t="str">
        <f>IFERROR(__xludf.DUMMYFUNCTION("""COMPUTED_VALUE"""),"Carte di pagamento")</f>
        <v>Carte di pagamento</v>
      </c>
      <c r="M94" s="763"/>
      <c r="N94" s="763"/>
      <c r="O94" s="762">
        <f>IFERROR(__xludf.DUMMYFUNCTION("""COMPUTED_VALUE"""),0.0)</f>
        <v>0</v>
      </c>
      <c r="P94" s="766">
        <f>IFERROR(__xludf.DUMMYFUNCTION("""COMPUTED_VALUE"""),1.3333333333333333)</f>
        <v>1.333333333</v>
      </c>
      <c r="Q94" s="538" t="str">
        <f>IFERROR(__xludf.DUMMYFUNCTION("""COMPUTED_VALUE"""),"EUR")</f>
        <v>EUR</v>
      </c>
      <c r="R94" s="762">
        <f>IFERROR(__xludf.DUMMYFUNCTION("""COMPUTED_VALUE"""),437.0)</f>
        <v>437</v>
      </c>
      <c r="S94" s="538" t="str">
        <f>IFERROR(__xludf.DUMMYFUNCTION("""COMPUTED_VALUE"""),"Workshop Heels con Lulu Kulova - Workshop Lulu Heels")</f>
        <v>Workshop Heels con Lulu Kulova - Workshop Lulu Heels</v>
      </c>
      <c r="T94" s="763"/>
      <c r="U94" s="763"/>
      <c r="V94" s="762">
        <f>IFERROR(__xludf.DUMMYFUNCTION("""COMPUTED_VALUE"""),1.0)</f>
        <v>1</v>
      </c>
      <c r="W94" s="762">
        <f>IFERROR(__xludf.DUMMYFUNCTION("""COMPUTED_VALUE"""),32.0)</f>
        <v>32</v>
      </c>
      <c r="X94" s="762">
        <f>IFERROR(__xludf.DUMMYFUNCTION("""COMPUTED_VALUE"""),32.0)</f>
        <v>32</v>
      </c>
      <c r="Y94" s="763"/>
      <c r="Z94" s="765" t="str">
        <f>IFERROR(__xludf.DUMMYFUNCTION("""COMPUTED_VALUE"""),"https://studio-gem.it/wp-admin/post.php?post=64429&amp;action=edit")</f>
        <v>https://studio-gem.it/wp-admin/post.php?post=64429&amp;action=edit</v>
      </c>
      <c r="AA94" s="763"/>
      <c r="AB94" s="763"/>
      <c r="AC94" s="763"/>
      <c r="AD94" s="763"/>
      <c r="AE94" s="763"/>
      <c r="AF94" s="763"/>
      <c r="AG94" s="763"/>
      <c r="AH94" s="763"/>
      <c r="AI94" s="763"/>
      <c r="AJ94" s="763"/>
      <c r="AK94" s="763"/>
      <c r="AL94" s="763"/>
      <c r="AM94" s="763"/>
      <c r="AN94" s="763"/>
      <c r="AO94" s="763"/>
      <c r="AP94" s="763"/>
      <c r="AQ94" s="763"/>
      <c r="AR94" s="763"/>
      <c r="AS94" s="763"/>
      <c r="AT94" s="763"/>
      <c r="AU94" s="763"/>
      <c r="AV94" s="763"/>
      <c r="AW94" s="763"/>
      <c r="AX94" s="763"/>
      <c r="AY94" s="763"/>
      <c r="AZ94" s="763"/>
      <c r="BA94" s="763"/>
      <c r="BB94" s="763"/>
      <c r="BC94" s="763"/>
      <c r="BD94" s="763"/>
      <c r="BE94" s="763"/>
      <c r="BF94" s="763"/>
      <c r="BG94" s="763" t="b">
        <f>IFERROR(__xludf.DUMMYFUNCTION("""COMPUTED_VALUE"""),FALSE)</f>
        <v>0</v>
      </c>
      <c r="BH94" s="763" t="b">
        <f>IFERROR(__xludf.DUMMYFUNCTION("""COMPUTED_VALUE"""),FALSE)</f>
        <v>0</v>
      </c>
      <c r="BI94" s="763" t="b">
        <f>IFERROR(__xludf.DUMMYFUNCTION("""COMPUTED_VALUE"""),FALSE)</f>
        <v>0</v>
      </c>
      <c r="BJ94" s="763" t="b">
        <f>IFERROR(__xludf.DUMMYFUNCTION("""COMPUTED_VALUE"""),FALSE)</f>
        <v>0</v>
      </c>
    </row>
    <row r="95">
      <c r="A95" s="762">
        <f>IFERROR(__xludf.DUMMYFUNCTION("""COMPUTED_VALUE"""),64440.0)</f>
        <v>64440</v>
      </c>
      <c r="B95" s="538">
        <f>IFERROR(__xludf.DUMMYFUNCTION("""COMPUTED_VALUE"""),64440.0)</f>
        <v>64440</v>
      </c>
      <c r="C95" s="538" t="str">
        <f>IFERROR(__xludf.DUMMYFUNCTION("""COMPUTED_VALUE"""),"2025-08-27 13:16:30")</f>
        <v>2025-08-27 13:16:30</v>
      </c>
      <c r="D95" s="538" t="str">
        <f>IFERROR(__xludf.DUMMYFUNCTION("""COMPUTED_VALUE"""),"completed")</f>
        <v>completed</v>
      </c>
      <c r="E95" s="538" t="str">
        <f>IFERROR(__xludf.DUMMYFUNCTION("""COMPUTED_VALUE"""),"Angelica")</f>
        <v>Angelica</v>
      </c>
      <c r="F95" s="538" t="str">
        <f>IFERROR(__xludf.DUMMYFUNCTION("""COMPUTED_VALUE"""),"Colombo")</f>
        <v>Colombo</v>
      </c>
      <c r="G95" s="538" t="str">
        <f>IFERROR(__xludf.DUMMYFUNCTION("""COMPUTED_VALUE"""),"robysax77@yahoo.it")</f>
        <v>robysax77@yahoo.it</v>
      </c>
      <c r="H95" s="538">
        <f>IFERROR(__xludf.DUMMYFUNCTION("""COMPUTED_VALUE"""),3.489301939E9)</f>
        <v>3489301939</v>
      </c>
      <c r="I95" s="538" t="str">
        <f>IFERROR(__xludf.DUMMYFUNCTION("""COMPUTED_VALUE"""),"Busto Arsizio")</f>
        <v>Busto Arsizio</v>
      </c>
      <c r="J95" s="538" t="str">
        <f>IFERROR(__xludf.DUMMYFUNCTION("""COMPUTED_VALUE"""),"Via Brindisi 6")</f>
        <v>Via Brindisi 6</v>
      </c>
      <c r="K95" s="538">
        <f>IFERROR(__xludf.DUMMYFUNCTION("""COMPUTED_VALUE"""),21052.0)</f>
        <v>21052</v>
      </c>
      <c r="L95" s="538" t="str">
        <f>IFERROR(__xludf.DUMMYFUNCTION("""COMPUTED_VALUE"""),"Carte di pagamento")</f>
        <v>Carte di pagamento</v>
      </c>
      <c r="M95" s="538" t="str">
        <f>IFERROR(__xludf.DUMMYFUNCTION("""COMPUTED_VALUE"""),"nura02ws")</f>
        <v>nura02ws</v>
      </c>
      <c r="N95" s="763" t="str">
        <f>IFERROR(__xludf.DUMMYFUNCTION("""COMPUTED_VALUE"""),"64440-1756301149")</f>
        <v>64440-1756301149</v>
      </c>
      <c r="O95" s="762">
        <f>IFERROR(__xludf.DUMMYFUNCTION("""COMPUTED_VALUE"""),0.0)</f>
        <v>0</v>
      </c>
      <c r="P95" s="766">
        <f>IFERROR(__xludf.DUMMYFUNCTION("""COMPUTED_VALUE"""),1.25)</f>
        <v>1.25</v>
      </c>
      <c r="Q95" s="538" t="str">
        <f>IFERROR(__xludf.DUMMYFUNCTION("""COMPUTED_VALUE"""),"EUR")</f>
        <v>EUR</v>
      </c>
      <c r="R95" s="762">
        <f>IFERROR(__xludf.DUMMYFUNCTION("""COMPUTED_VALUE"""),442.0)</f>
        <v>442</v>
      </c>
      <c r="S95" s="538" t="str">
        <f>IFERROR(__xludf.DUMMYFUNCTION("""COMPUTED_VALUE"""),"Workshop Urban con Kumo - Workshop Kumo Urban")</f>
        <v>Workshop Urban con Kumo - Workshop Kumo Urban</v>
      </c>
      <c r="T95" s="763"/>
      <c r="U95" s="763"/>
      <c r="V95" s="762">
        <f>IFERROR(__xludf.DUMMYFUNCTION("""COMPUTED_VALUE"""),1.0)</f>
        <v>1</v>
      </c>
      <c r="W95" s="762">
        <f>IFERROR(__xludf.DUMMYFUNCTION("""COMPUTED_VALUE"""),30.0)</f>
        <v>30</v>
      </c>
      <c r="X95" s="762">
        <f>IFERROR(__xludf.DUMMYFUNCTION("""COMPUTED_VALUE"""),30.0)</f>
        <v>30</v>
      </c>
      <c r="Y95" s="763"/>
      <c r="Z95" s="765" t="str">
        <f>IFERROR(__xludf.DUMMYFUNCTION("""COMPUTED_VALUE"""),"https://studio-gem.it/wp-admin/post.php?post=64440&amp;action=edit")</f>
        <v>https://studio-gem.it/wp-admin/post.php?post=64440&amp;action=edit</v>
      </c>
      <c r="AA95" s="763"/>
      <c r="AB95" s="763"/>
      <c r="AC95" s="763"/>
      <c r="AD95" s="763"/>
      <c r="AE95" s="763"/>
      <c r="AF95" s="763"/>
      <c r="AG95" s="763"/>
      <c r="AH95" s="763"/>
      <c r="AI95" s="763"/>
      <c r="AJ95" s="763"/>
      <c r="AK95" s="763"/>
      <c r="AL95" s="763"/>
      <c r="AM95" s="763"/>
      <c r="AN95" s="763"/>
      <c r="AO95" s="763"/>
      <c r="AP95" s="763"/>
      <c r="AQ95" s="763"/>
      <c r="AR95" s="763"/>
      <c r="AS95" s="763"/>
      <c r="AT95" s="763"/>
      <c r="AU95" s="763"/>
      <c r="AV95" s="763"/>
      <c r="AW95" s="763"/>
      <c r="AX95" s="763"/>
      <c r="AY95" s="763"/>
      <c r="AZ95" s="763"/>
      <c r="BA95" s="763"/>
      <c r="BB95" s="763"/>
      <c r="BC95" s="763"/>
      <c r="BD95" s="763"/>
      <c r="BE95" s="763"/>
      <c r="BF95" s="763"/>
      <c r="BG95" s="763" t="b">
        <f>IFERROR(__xludf.DUMMYFUNCTION("""COMPUTED_VALUE"""),TRUE)</f>
        <v>1</v>
      </c>
      <c r="BH95" s="763" t="b">
        <f>IFERROR(__xludf.DUMMYFUNCTION("""COMPUTED_VALUE"""),TRUE)</f>
        <v>1</v>
      </c>
      <c r="BI95" s="763" t="b">
        <f>IFERROR(__xludf.DUMMYFUNCTION("""COMPUTED_VALUE"""),TRUE)</f>
        <v>1</v>
      </c>
      <c r="BJ95" s="763" t="b">
        <f>IFERROR(__xludf.DUMMYFUNCTION("""COMPUTED_VALUE"""),FALSE)</f>
        <v>0</v>
      </c>
    </row>
    <row r="96">
      <c r="A96" s="762">
        <f>IFERROR(__xludf.DUMMYFUNCTION("""COMPUTED_VALUE"""),64442.0)</f>
        <v>64442</v>
      </c>
      <c r="B96" s="538">
        <f>IFERROR(__xludf.DUMMYFUNCTION("""COMPUTED_VALUE"""),64442.0)</f>
        <v>64442</v>
      </c>
      <c r="C96" s="538" t="str">
        <f>IFERROR(__xludf.DUMMYFUNCTION("""COMPUTED_VALUE"""),"2025-08-27 17:19:13")</f>
        <v>2025-08-27 17:19:13</v>
      </c>
      <c r="D96" s="538" t="str">
        <f>IFERROR(__xludf.DUMMYFUNCTION("""COMPUTED_VALUE"""),"completed")</f>
        <v>completed</v>
      </c>
      <c r="E96" s="538" t="str">
        <f>IFERROR(__xludf.DUMMYFUNCTION("""COMPUTED_VALUE"""),"Liyun")</f>
        <v>Liyun</v>
      </c>
      <c r="F96" s="538" t="str">
        <f>IFERROR(__xludf.DUMMYFUNCTION("""COMPUTED_VALUE"""),"Wu")</f>
        <v>Wu</v>
      </c>
      <c r="G96" s="538" t="str">
        <f>IFERROR(__xludf.DUMMYFUNCTION("""COMPUTED_VALUE"""),"lion.wu12345@gmail.com")</f>
        <v>lion.wu12345@gmail.com</v>
      </c>
      <c r="H96" s="538">
        <f>IFERROR(__xludf.DUMMYFUNCTION("""COMPUTED_VALUE"""),3.276955788E9)</f>
        <v>3276955788</v>
      </c>
      <c r="I96" s="538" t="str">
        <f>IFERROR(__xludf.DUMMYFUNCTION("""COMPUTED_VALUE"""),"Milano")</f>
        <v>Milano</v>
      </c>
      <c r="J96" s="538" t="str">
        <f>IFERROR(__xludf.DUMMYFUNCTION("""COMPUTED_VALUE"""),"Via Giuseppe Avezzana 10")</f>
        <v>Via Giuseppe Avezzana 10</v>
      </c>
      <c r="K96" s="538">
        <f>IFERROR(__xludf.DUMMYFUNCTION("""COMPUTED_VALUE"""),20139.0)</f>
        <v>20139</v>
      </c>
      <c r="L96" s="538" t="str">
        <f>IFERROR(__xludf.DUMMYFUNCTION("""COMPUTED_VALUE"""),"Carte di pagamento")</f>
        <v>Carte di pagamento</v>
      </c>
      <c r="M96" s="763"/>
      <c r="N96" s="763" t="str">
        <f>IFERROR(__xludf.DUMMYFUNCTION("""COMPUTED_VALUE"""),"64442-1756315155")</f>
        <v>64442-1756315155</v>
      </c>
      <c r="O96" s="762">
        <f>IFERROR(__xludf.DUMMYFUNCTION("""COMPUTED_VALUE"""),0.0)</f>
        <v>0</v>
      </c>
      <c r="P96" s="766">
        <f>IFERROR(__xludf.DUMMYFUNCTION("""COMPUTED_VALUE"""),1.3333333333333333)</f>
        <v>1.333333333</v>
      </c>
      <c r="Q96" s="538" t="str">
        <f>IFERROR(__xludf.DUMMYFUNCTION("""COMPUTED_VALUE"""),"EUR")</f>
        <v>EUR</v>
      </c>
      <c r="R96" s="762">
        <f>IFERROR(__xludf.DUMMYFUNCTION("""COMPUTED_VALUE"""),444.0)</f>
        <v>444</v>
      </c>
      <c r="S96" s="538" t="str">
        <f>IFERROR(__xludf.DUMMYFUNCTION("""COMPUTED_VALUE"""),"Workshop Afrofusion con Banana 2025 - Workshop Banana afrofusion")</f>
        <v>Workshop Afrofusion con Banana 2025 - Workshop Banana afrofusion</v>
      </c>
      <c r="T96" s="763"/>
      <c r="U96" s="763"/>
      <c r="V96" s="762">
        <f>IFERROR(__xludf.DUMMYFUNCTION("""COMPUTED_VALUE"""),1.0)</f>
        <v>1</v>
      </c>
      <c r="W96" s="762">
        <f>IFERROR(__xludf.DUMMYFUNCTION("""COMPUTED_VALUE"""),32.0)</f>
        <v>32</v>
      </c>
      <c r="X96" s="762">
        <f>IFERROR(__xludf.DUMMYFUNCTION("""COMPUTED_VALUE"""),32.0)</f>
        <v>32</v>
      </c>
      <c r="Y96" s="763"/>
      <c r="Z96" s="765" t="str">
        <f>IFERROR(__xludf.DUMMYFUNCTION("""COMPUTED_VALUE"""),"https://studio-gem.it/wp-admin/post.php?post=64442&amp;action=edit")</f>
        <v>https://studio-gem.it/wp-admin/post.php?post=64442&amp;action=edit</v>
      </c>
      <c r="AA96" s="763"/>
      <c r="AB96" s="763"/>
      <c r="AC96" s="763"/>
      <c r="AD96" s="763"/>
      <c r="AE96" s="763"/>
      <c r="AF96" s="763"/>
      <c r="AG96" s="763"/>
      <c r="AH96" s="763"/>
      <c r="AI96" s="763"/>
      <c r="AJ96" s="763"/>
      <c r="AK96" s="763"/>
      <c r="AL96" s="763"/>
      <c r="AM96" s="763"/>
      <c r="AN96" s="763"/>
      <c r="AO96" s="763"/>
      <c r="AP96" s="763"/>
      <c r="AQ96" s="763"/>
      <c r="AR96" s="763"/>
      <c r="AS96" s="763"/>
      <c r="AT96" s="763"/>
      <c r="AU96" s="763"/>
      <c r="AV96" s="763"/>
      <c r="AW96" s="763"/>
      <c r="AX96" s="763"/>
      <c r="AY96" s="763"/>
      <c r="AZ96" s="763"/>
      <c r="BA96" s="763"/>
      <c r="BB96" s="763"/>
      <c r="BC96" s="763"/>
      <c r="BD96" s="763"/>
      <c r="BE96" s="763"/>
      <c r="BF96" s="763"/>
      <c r="BG96" s="763" t="b">
        <f>IFERROR(__xludf.DUMMYFUNCTION("""COMPUTED_VALUE"""),TRUE)</f>
        <v>1</v>
      </c>
      <c r="BH96" s="763" t="b">
        <f>IFERROR(__xludf.DUMMYFUNCTION("""COMPUTED_VALUE"""),TRUE)</f>
        <v>1</v>
      </c>
      <c r="BI96" s="763" t="b">
        <f>IFERROR(__xludf.DUMMYFUNCTION("""COMPUTED_VALUE"""),TRUE)</f>
        <v>1</v>
      </c>
      <c r="BJ96" s="763" t="b">
        <f>IFERROR(__xludf.DUMMYFUNCTION("""COMPUTED_VALUE"""),FALSE)</f>
        <v>0</v>
      </c>
    </row>
    <row r="97">
      <c r="A97" s="762">
        <f>IFERROR(__xludf.DUMMYFUNCTION("""COMPUTED_VALUE"""),64445.0)</f>
        <v>64445</v>
      </c>
      <c r="B97" s="538">
        <f>IFERROR(__xludf.DUMMYFUNCTION("""COMPUTED_VALUE"""),64445.0)</f>
        <v>64445</v>
      </c>
      <c r="C97" s="538" t="str">
        <f>IFERROR(__xludf.DUMMYFUNCTION("""COMPUTED_VALUE"""),"2025-08-27 19:52:35")</f>
        <v>2025-08-27 19:52:35</v>
      </c>
      <c r="D97" s="538" t="str">
        <f>IFERROR(__xludf.DUMMYFUNCTION("""COMPUTED_VALUE"""),"completed")</f>
        <v>completed</v>
      </c>
      <c r="E97" s="538" t="str">
        <f>IFERROR(__xludf.DUMMYFUNCTION("""COMPUTED_VALUE"""),"Constanza")</f>
        <v>Constanza</v>
      </c>
      <c r="F97" s="538" t="str">
        <f>IFERROR(__xludf.DUMMYFUNCTION("""COMPUTED_VALUE"""),"Torre")</f>
        <v>Torre</v>
      </c>
      <c r="G97" s="538" t="str">
        <f>IFERROR(__xludf.DUMMYFUNCTION("""COMPUTED_VALUE"""),"Constanzatorre@hotmail.com")</f>
        <v>Constanzatorre@hotmail.com</v>
      </c>
      <c r="H97" s="538" t="str">
        <f>IFERROR(__xludf.DUMMYFUNCTION("""COMPUTED_VALUE"""),"+5493515319913")</f>
        <v>+5493515319913</v>
      </c>
      <c r="I97" s="538" t="str">
        <f>IFERROR(__xludf.DUMMYFUNCTION("""COMPUTED_VALUE"""),"Milano")</f>
        <v>Milano</v>
      </c>
      <c r="J97" s="538" t="str">
        <f>IFERROR(__xludf.DUMMYFUNCTION("""COMPUTED_VALUE"""),"Via Merano 4")</f>
        <v>Via Merano 4</v>
      </c>
      <c r="K97" s="538">
        <f>IFERROR(__xludf.DUMMYFUNCTION("""COMPUTED_VALUE"""),20127.0)</f>
        <v>20127</v>
      </c>
      <c r="L97" s="538" t="str">
        <f>IFERROR(__xludf.DUMMYFUNCTION("""COMPUTED_VALUE"""),"Satispay")</f>
        <v>Satispay</v>
      </c>
      <c r="M97" s="763"/>
      <c r="N97" s="763" t="str">
        <f>IFERROR(__xludf.DUMMYFUNCTION("""COMPUTED_VALUE"""),"0198ed16-dd6c-796d-9596-66aecf1ebc89")</f>
        <v>0198ed16-dd6c-796d-9596-66aecf1ebc89</v>
      </c>
      <c r="O97" s="762">
        <f>IFERROR(__xludf.DUMMYFUNCTION("""COMPUTED_VALUE"""),0.0)</f>
        <v>0</v>
      </c>
      <c r="P97" s="766">
        <f>IFERROR(__xludf.DUMMYFUNCTION("""COMPUTED_VALUE"""),1.3333333333333333)</f>
        <v>1.333333333</v>
      </c>
      <c r="Q97" s="538" t="str">
        <f>IFERROR(__xludf.DUMMYFUNCTION("""COMPUTED_VALUE"""),"EUR")</f>
        <v>EUR</v>
      </c>
      <c r="R97" s="762">
        <f>IFERROR(__xludf.DUMMYFUNCTION("""COMPUTED_VALUE"""),445.0)</f>
        <v>445</v>
      </c>
      <c r="S97" s="538" t="str">
        <f>IFERROR(__xludf.DUMMYFUNCTION("""COMPUTED_VALUE"""),"Workshop Heels con Lulu Kulova - Workshop Lulu Heels")</f>
        <v>Workshop Heels con Lulu Kulova - Workshop Lulu Heels</v>
      </c>
      <c r="T97" s="763"/>
      <c r="U97" s="763"/>
      <c r="V97" s="762">
        <f>IFERROR(__xludf.DUMMYFUNCTION("""COMPUTED_VALUE"""),1.0)</f>
        <v>1</v>
      </c>
      <c r="W97" s="762">
        <f>IFERROR(__xludf.DUMMYFUNCTION("""COMPUTED_VALUE"""),32.0)</f>
        <v>32</v>
      </c>
      <c r="X97" s="762">
        <f>IFERROR(__xludf.DUMMYFUNCTION("""COMPUTED_VALUE"""),32.0)</f>
        <v>32</v>
      </c>
      <c r="Y97" s="763"/>
      <c r="Z97" s="765" t="str">
        <f>IFERROR(__xludf.DUMMYFUNCTION("""COMPUTED_VALUE"""),"https://studio-gem.it/wp-admin/post.php?post=64445&amp;action=edit")</f>
        <v>https://studio-gem.it/wp-admin/post.php?post=64445&amp;action=edit</v>
      </c>
      <c r="AA97" s="763"/>
      <c r="AB97" s="763"/>
      <c r="AC97" s="763"/>
      <c r="AD97" s="763"/>
      <c r="AE97" s="763"/>
      <c r="AF97" s="763"/>
      <c r="AG97" s="763"/>
      <c r="AH97" s="763"/>
      <c r="AI97" s="763"/>
      <c r="AJ97" s="763"/>
      <c r="AK97" s="763"/>
      <c r="AL97" s="763"/>
      <c r="AM97" s="763"/>
      <c r="AN97" s="763"/>
      <c r="AO97" s="763"/>
      <c r="AP97" s="763"/>
      <c r="AQ97" s="763"/>
      <c r="AR97" s="763"/>
      <c r="AS97" s="763"/>
      <c r="AT97" s="763"/>
      <c r="AU97" s="763"/>
      <c r="AV97" s="763"/>
      <c r="AW97" s="763"/>
      <c r="AX97" s="763"/>
      <c r="AY97" s="763"/>
      <c r="AZ97" s="763"/>
      <c r="BA97" s="763"/>
      <c r="BB97" s="763"/>
      <c r="BC97" s="763"/>
      <c r="BD97" s="763"/>
      <c r="BE97" s="763"/>
      <c r="BF97" s="763"/>
      <c r="BG97" s="763" t="b">
        <f>IFERROR(__xludf.DUMMYFUNCTION("""COMPUTED_VALUE"""),TRUE)</f>
        <v>1</v>
      </c>
      <c r="BH97" s="763" t="b">
        <f>IFERROR(__xludf.DUMMYFUNCTION("""COMPUTED_VALUE"""),TRUE)</f>
        <v>1</v>
      </c>
      <c r="BI97" s="763" t="b">
        <f>IFERROR(__xludf.DUMMYFUNCTION("""COMPUTED_VALUE"""),TRUE)</f>
        <v>1</v>
      </c>
      <c r="BJ97" s="763" t="b">
        <f>IFERROR(__xludf.DUMMYFUNCTION("""COMPUTED_VALUE"""),FALSE)</f>
        <v>0</v>
      </c>
    </row>
    <row r="98">
      <c r="A98" s="762">
        <f>IFERROR(__xludf.DUMMYFUNCTION("""COMPUTED_VALUE"""),64450.0)</f>
        <v>64450</v>
      </c>
      <c r="B98" s="538">
        <f>IFERROR(__xludf.DUMMYFUNCTION("""COMPUTED_VALUE"""),64450.0)</f>
        <v>64450</v>
      </c>
      <c r="C98" s="538" t="str">
        <f>IFERROR(__xludf.DUMMYFUNCTION("""COMPUTED_VALUE"""),"2025-08-29 14:07:34")</f>
        <v>2025-08-29 14:07:34</v>
      </c>
      <c r="D98" s="538" t="str">
        <f>IFERROR(__xludf.DUMMYFUNCTION("""COMPUTED_VALUE"""),"cancelled")</f>
        <v>cancelled</v>
      </c>
      <c r="E98" s="538" t="str">
        <f>IFERROR(__xludf.DUMMYFUNCTION("""COMPUTED_VALUE"""),"ago")</f>
        <v>ago</v>
      </c>
      <c r="F98" s="538" t="str">
        <f>IFERROR(__xludf.DUMMYFUNCTION("""COMPUTED_VALUE"""),"genc")</f>
        <v>genc</v>
      </c>
      <c r="G98" s="538" t="str">
        <f>IFERROR(__xludf.DUMMYFUNCTION("""COMPUTED_VALUE"""),"ago@agogo.it")</f>
        <v>ago@agogo.it</v>
      </c>
      <c r="H98" s="538">
        <f>IFERROR(__xludf.DUMMYFUNCTION("""COMPUTED_VALUE"""),3.356385854E9)</f>
        <v>3356385854</v>
      </c>
      <c r="I98" s="538" t="str">
        <f>IFERROR(__xludf.DUMMYFUNCTION("""COMPUTED_VALUE"""),"Bresso")</f>
        <v>Bresso</v>
      </c>
      <c r="J98" s="538" t="str">
        <f>IFERROR(__xludf.DUMMYFUNCTION("""COMPUTED_VALUE"""),"Via Aldo villa 16")</f>
        <v>Via Aldo villa 16</v>
      </c>
      <c r="K98" s="538">
        <f>IFERROR(__xludf.DUMMYFUNCTION("""COMPUTED_VALUE"""),20900.0)</f>
        <v>20900</v>
      </c>
      <c r="L98" s="538" t="str">
        <f>IFERROR(__xludf.DUMMYFUNCTION("""COMPUTED_VALUE"""),"Carte di pagamento")</f>
        <v>Carte di pagamento</v>
      </c>
      <c r="M98" s="763"/>
      <c r="N98" s="763"/>
      <c r="O98" s="762">
        <f>IFERROR(__xludf.DUMMYFUNCTION("""COMPUTED_VALUE"""),0.0)</f>
        <v>0</v>
      </c>
      <c r="P98" s="766">
        <f>IFERROR(__xludf.DUMMYFUNCTION("""COMPUTED_VALUE"""),86.04166666666667)</f>
        <v>86.04166667</v>
      </c>
      <c r="Q98" s="538" t="str">
        <f>IFERROR(__xludf.DUMMYFUNCTION("""COMPUTED_VALUE"""),"EUR")</f>
        <v>EUR</v>
      </c>
      <c r="R98" s="762">
        <f>IFERROR(__xludf.DUMMYFUNCTION("""COMPUTED_VALUE"""),452.0)</f>
        <v>452</v>
      </c>
      <c r="S98" s="538" t="str">
        <f>IFERROR(__xludf.DUMMYFUNCTION("""COMPUTED_VALUE"""),"Campus estivo di danza per bambine e ragazze 2025 - Campus estivo di danza 1 settimana")</f>
        <v>Campus estivo di danza per bambine e ragazze 2025 - Campus estivo di danza 1 settimana</v>
      </c>
      <c r="T98" s="763"/>
      <c r="U98" s="763"/>
      <c r="V98" s="762">
        <f>IFERROR(__xludf.DUMMYFUNCTION("""COMPUTED_VALUE"""),1.0)</f>
        <v>1</v>
      </c>
      <c r="W98" s="762">
        <f>IFERROR(__xludf.DUMMYFUNCTION("""COMPUTED_VALUE"""),120.0)</f>
        <v>120</v>
      </c>
      <c r="X98" s="762">
        <f>IFERROR(__xludf.DUMMYFUNCTION("""COMPUTED_VALUE"""),120.0)</f>
        <v>120</v>
      </c>
      <c r="Y98" s="763"/>
      <c r="Z98" s="765" t="str">
        <f>IFERROR(__xludf.DUMMYFUNCTION("""COMPUTED_VALUE"""),"https://studio-gem.it/wp-admin/post.php?post=64450&amp;action=edit")</f>
        <v>https://studio-gem.it/wp-admin/post.php?post=64450&amp;action=edit</v>
      </c>
      <c r="AA98" s="763"/>
      <c r="AB98" s="763"/>
      <c r="AC98" s="763"/>
      <c r="AD98" s="763"/>
      <c r="AE98" s="763"/>
      <c r="AF98" s="763"/>
      <c r="AG98" s="763"/>
      <c r="AH98" s="763"/>
      <c r="AI98" s="763"/>
      <c r="AJ98" s="763"/>
      <c r="AK98" s="763"/>
      <c r="AL98" s="763"/>
      <c r="AM98" s="763"/>
      <c r="AN98" s="763"/>
      <c r="AO98" s="763"/>
      <c r="AP98" s="763"/>
      <c r="AQ98" s="763"/>
      <c r="AR98" s="763"/>
      <c r="AS98" s="763"/>
      <c r="AT98" s="763"/>
      <c r="AU98" s="763"/>
      <c r="AV98" s="763"/>
      <c r="AW98" s="763"/>
      <c r="AX98" s="763"/>
      <c r="AY98" s="763"/>
      <c r="AZ98" s="763"/>
      <c r="BA98" s="763"/>
      <c r="BB98" s="763"/>
      <c r="BC98" s="763"/>
      <c r="BD98" s="763"/>
      <c r="BE98" s="763"/>
      <c r="BF98" s="763"/>
      <c r="BG98" s="763" t="b">
        <f>IFERROR(__xludf.DUMMYFUNCTION("""COMPUTED_VALUE"""),FALSE)</f>
        <v>0</v>
      </c>
      <c r="BH98" s="763" t="b">
        <f>IFERROR(__xludf.DUMMYFUNCTION("""COMPUTED_VALUE"""),FALSE)</f>
        <v>0</v>
      </c>
      <c r="BI98" s="763" t="b">
        <f>IFERROR(__xludf.DUMMYFUNCTION("""COMPUTED_VALUE"""),FALSE)</f>
        <v>0</v>
      </c>
      <c r="BJ98" s="763" t="b">
        <f>IFERROR(__xludf.DUMMYFUNCTION("""COMPUTED_VALUE"""),FALSE)</f>
        <v>0</v>
      </c>
    </row>
    <row r="99">
      <c r="A99" s="762">
        <f>IFERROR(__xludf.DUMMYFUNCTION("""COMPUTED_VALUE"""),64450.0)</f>
        <v>64450</v>
      </c>
      <c r="B99" s="538">
        <f>IFERROR(__xludf.DUMMYFUNCTION("""COMPUTED_VALUE"""),64450.0)</f>
        <v>64450</v>
      </c>
      <c r="C99" s="538" t="str">
        <f>IFERROR(__xludf.DUMMYFUNCTION("""COMPUTED_VALUE"""),"2025-08-29 14:07:34")</f>
        <v>2025-08-29 14:07:34</v>
      </c>
      <c r="D99" s="538" t="str">
        <f>IFERROR(__xludf.DUMMYFUNCTION("""COMPUTED_VALUE"""),"cancelled")</f>
        <v>cancelled</v>
      </c>
      <c r="E99" s="538" t="str">
        <f>IFERROR(__xludf.DUMMYFUNCTION("""COMPUTED_VALUE"""),"ago")</f>
        <v>ago</v>
      </c>
      <c r="F99" s="538" t="str">
        <f>IFERROR(__xludf.DUMMYFUNCTION("""COMPUTED_VALUE"""),"genc")</f>
        <v>genc</v>
      </c>
      <c r="G99" s="538" t="str">
        <f>IFERROR(__xludf.DUMMYFUNCTION("""COMPUTED_VALUE"""),"ago@agogo.it")</f>
        <v>ago@agogo.it</v>
      </c>
      <c r="H99" s="538">
        <f>IFERROR(__xludf.DUMMYFUNCTION("""COMPUTED_VALUE"""),3.356385854E9)</f>
        <v>3356385854</v>
      </c>
      <c r="I99" s="538" t="str">
        <f>IFERROR(__xludf.DUMMYFUNCTION("""COMPUTED_VALUE"""),"Bresso")</f>
        <v>Bresso</v>
      </c>
      <c r="J99" s="538" t="str">
        <f>IFERROR(__xludf.DUMMYFUNCTION("""COMPUTED_VALUE"""),"Via Aldo villa 16")</f>
        <v>Via Aldo villa 16</v>
      </c>
      <c r="K99" s="538">
        <f>IFERROR(__xludf.DUMMYFUNCTION("""COMPUTED_VALUE"""),20900.0)</f>
        <v>20900</v>
      </c>
      <c r="L99" s="538" t="str">
        <f>IFERROR(__xludf.DUMMYFUNCTION("""COMPUTED_VALUE"""),"Carte di pagamento")</f>
        <v>Carte di pagamento</v>
      </c>
      <c r="M99" s="763"/>
      <c r="N99" s="763"/>
      <c r="O99" s="762">
        <f>IFERROR(__xludf.DUMMYFUNCTION("""COMPUTED_VALUE"""),0.0)</f>
        <v>0</v>
      </c>
      <c r="P99" s="766">
        <f>IFERROR(__xludf.DUMMYFUNCTION("""COMPUTED_VALUE"""),86.04166666666667)</f>
        <v>86.04166667</v>
      </c>
      <c r="Q99" s="538" t="str">
        <f>IFERROR(__xludf.DUMMYFUNCTION("""COMPUTED_VALUE"""),"EUR")</f>
        <v>EUR</v>
      </c>
      <c r="R99" s="762">
        <f>IFERROR(__xludf.DUMMYFUNCTION("""COMPUTED_VALUE"""),451.0)</f>
        <v>451</v>
      </c>
      <c r="S99" s="538" t="str">
        <f>IFERROR(__xludf.DUMMYFUNCTION("""COMPUTED_VALUE"""),"Campus estivo per bambini e ragazzi 2025 - 220€ Campus estivo 3 settimane")</f>
        <v>Campus estivo per bambini e ragazzi 2025 - 220€ Campus estivo 3 settimane</v>
      </c>
      <c r="T99" s="763"/>
      <c r="U99" s="763"/>
      <c r="V99" s="762">
        <f>IFERROR(__xludf.DUMMYFUNCTION("""COMPUTED_VALUE"""),1.0)</f>
        <v>1</v>
      </c>
      <c r="W99" s="762">
        <f>IFERROR(__xludf.DUMMYFUNCTION("""COMPUTED_VALUE"""),235.0)</f>
        <v>235</v>
      </c>
      <c r="X99" s="762">
        <f>IFERROR(__xludf.DUMMYFUNCTION("""COMPUTED_VALUE"""),235.0)</f>
        <v>235</v>
      </c>
      <c r="Y99" s="763"/>
      <c r="Z99" s="765" t="str">
        <f>IFERROR(__xludf.DUMMYFUNCTION("""COMPUTED_VALUE"""),"https://studio-gem.it/wp-admin/post.php?post=64450&amp;action=edit")</f>
        <v>https://studio-gem.it/wp-admin/post.php?post=64450&amp;action=edit</v>
      </c>
      <c r="AA99" s="763"/>
      <c r="AB99" s="763"/>
      <c r="AC99" s="763"/>
      <c r="AD99" s="763"/>
      <c r="AE99" s="763"/>
      <c r="AF99" s="763"/>
      <c r="AG99" s="763"/>
      <c r="AH99" s="763"/>
      <c r="AI99" s="763"/>
      <c r="AJ99" s="763"/>
      <c r="AK99" s="763"/>
      <c r="AL99" s="763"/>
      <c r="AM99" s="763"/>
      <c r="AN99" s="763"/>
      <c r="AO99" s="763"/>
      <c r="AP99" s="763"/>
      <c r="AQ99" s="763"/>
      <c r="AR99" s="763"/>
      <c r="AS99" s="763"/>
      <c r="AT99" s="763"/>
      <c r="AU99" s="763"/>
      <c r="AV99" s="763"/>
      <c r="AW99" s="763"/>
      <c r="AX99" s="763"/>
      <c r="AY99" s="763"/>
      <c r="AZ99" s="763"/>
      <c r="BA99" s="763"/>
      <c r="BB99" s="763"/>
      <c r="BC99" s="763"/>
      <c r="BD99" s="763"/>
      <c r="BE99" s="763"/>
      <c r="BF99" s="763"/>
      <c r="BG99" s="763" t="b">
        <f>IFERROR(__xludf.DUMMYFUNCTION("""COMPUTED_VALUE"""),FALSE)</f>
        <v>0</v>
      </c>
      <c r="BH99" s="763" t="b">
        <f>IFERROR(__xludf.DUMMYFUNCTION("""COMPUTED_VALUE"""),FALSE)</f>
        <v>0</v>
      </c>
      <c r="BI99" s="763" t="b">
        <f>IFERROR(__xludf.DUMMYFUNCTION("""COMPUTED_VALUE"""),FALSE)</f>
        <v>0</v>
      </c>
      <c r="BJ99" s="763" t="b">
        <f>IFERROR(__xludf.DUMMYFUNCTION("""COMPUTED_VALUE"""),FALSE)</f>
        <v>0</v>
      </c>
    </row>
    <row r="100">
      <c r="A100" s="762">
        <f>IFERROR(__xludf.DUMMYFUNCTION("""COMPUTED_VALUE"""),64450.0)</f>
        <v>64450</v>
      </c>
      <c r="B100" s="538">
        <f>IFERROR(__xludf.DUMMYFUNCTION("""COMPUTED_VALUE"""),64450.0)</f>
        <v>64450</v>
      </c>
      <c r="C100" s="538" t="str">
        <f>IFERROR(__xludf.DUMMYFUNCTION("""COMPUTED_VALUE"""),"2025-08-29 14:07:34")</f>
        <v>2025-08-29 14:07:34</v>
      </c>
      <c r="D100" s="538" t="str">
        <f>IFERROR(__xludf.DUMMYFUNCTION("""COMPUTED_VALUE"""),"cancelled")</f>
        <v>cancelled</v>
      </c>
      <c r="E100" s="538" t="str">
        <f>IFERROR(__xludf.DUMMYFUNCTION("""COMPUTED_VALUE"""),"ago")</f>
        <v>ago</v>
      </c>
      <c r="F100" s="538" t="str">
        <f>IFERROR(__xludf.DUMMYFUNCTION("""COMPUTED_VALUE"""),"genc")</f>
        <v>genc</v>
      </c>
      <c r="G100" s="538" t="str">
        <f>IFERROR(__xludf.DUMMYFUNCTION("""COMPUTED_VALUE"""),"ago@agogo.it")</f>
        <v>ago@agogo.it</v>
      </c>
      <c r="H100" s="538">
        <f>IFERROR(__xludf.DUMMYFUNCTION("""COMPUTED_VALUE"""),3.356385854E9)</f>
        <v>3356385854</v>
      </c>
      <c r="I100" s="538" t="str">
        <f>IFERROR(__xludf.DUMMYFUNCTION("""COMPUTED_VALUE"""),"Bresso")</f>
        <v>Bresso</v>
      </c>
      <c r="J100" s="538" t="str">
        <f>IFERROR(__xludf.DUMMYFUNCTION("""COMPUTED_VALUE"""),"Via Aldo villa 16")</f>
        <v>Via Aldo villa 16</v>
      </c>
      <c r="K100" s="538">
        <f>IFERROR(__xludf.DUMMYFUNCTION("""COMPUTED_VALUE"""),20900.0)</f>
        <v>20900</v>
      </c>
      <c r="L100" s="538" t="str">
        <f>IFERROR(__xludf.DUMMYFUNCTION("""COMPUTED_VALUE"""),"Carte di pagamento")</f>
        <v>Carte di pagamento</v>
      </c>
      <c r="M100" s="763"/>
      <c r="N100" s="763"/>
      <c r="O100" s="762">
        <f>IFERROR(__xludf.DUMMYFUNCTION("""COMPUTED_VALUE"""),0.0)</f>
        <v>0</v>
      </c>
      <c r="P100" s="766">
        <f>IFERROR(__xludf.DUMMYFUNCTION("""COMPUTED_VALUE"""),86.04166666666667)</f>
        <v>86.04166667</v>
      </c>
      <c r="Q100" s="538" t="str">
        <f>IFERROR(__xludf.DUMMYFUNCTION("""COMPUTED_VALUE"""),"EUR")</f>
        <v>EUR</v>
      </c>
      <c r="R100" s="762">
        <f>IFERROR(__xludf.DUMMYFUNCTION("""COMPUTED_VALUE"""),446.0)</f>
        <v>446</v>
      </c>
      <c r="S100" s="538" t="str">
        <f>IFERROR(__xludf.DUMMYFUNCTION("""COMPUTED_VALUE"""),"Campus estivo per bambini e ragazzi 2025 - Campus estivo 1 settimana")</f>
        <v>Campus estivo per bambini e ragazzi 2025 - Campus estivo 1 settimana</v>
      </c>
      <c r="T100" s="763"/>
      <c r="U100" s="763"/>
      <c r="V100" s="762">
        <f>IFERROR(__xludf.DUMMYFUNCTION("""COMPUTED_VALUE"""),2.0)</f>
        <v>2</v>
      </c>
      <c r="W100" s="762">
        <f>IFERROR(__xludf.DUMMYFUNCTION("""COMPUTED_VALUE"""),100.0)</f>
        <v>100</v>
      </c>
      <c r="X100" s="762">
        <f>IFERROR(__xludf.DUMMYFUNCTION("""COMPUTED_VALUE"""),200.0)</f>
        <v>200</v>
      </c>
      <c r="Y100" s="763"/>
      <c r="Z100" s="765" t="str">
        <f>IFERROR(__xludf.DUMMYFUNCTION("""COMPUTED_VALUE"""),"https://studio-gem.it/wp-admin/post.php?post=64450&amp;action=edit")</f>
        <v>https://studio-gem.it/wp-admin/post.php?post=64450&amp;action=edit</v>
      </c>
      <c r="AA100" s="763"/>
      <c r="AB100" s="763"/>
      <c r="AC100" s="763"/>
      <c r="AD100" s="763"/>
      <c r="AE100" s="763"/>
      <c r="AF100" s="763"/>
      <c r="AG100" s="763"/>
      <c r="AH100" s="763"/>
      <c r="AI100" s="763"/>
      <c r="AJ100" s="763"/>
      <c r="AK100" s="763"/>
      <c r="AL100" s="763"/>
      <c r="AM100" s="763"/>
      <c r="AN100" s="763"/>
      <c r="AO100" s="763"/>
      <c r="AP100" s="763"/>
      <c r="AQ100" s="763"/>
      <c r="AR100" s="763"/>
      <c r="AS100" s="763"/>
      <c r="AT100" s="763"/>
      <c r="AU100" s="763"/>
      <c r="AV100" s="763"/>
      <c r="AW100" s="763"/>
      <c r="AX100" s="763"/>
      <c r="AY100" s="763"/>
      <c r="AZ100" s="763"/>
      <c r="BA100" s="763"/>
      <c r="BB100" s="763"/>
      <c r="BC100" s="763"/>
      <c r="BD100" s="763"/>
      <c r="BE100" s="763"/>
      <c r="BF100" s="763"/>
      <c r="BG100" s="763" t="b">
        <f>IFERROR(__xludf.DUMMYFUNCTION("""COMPUTED_VALUE"""),FALSE)</f>
        <v>0</v>
      </c>
      <c r="BH100" s="763" t="b">
        <f>IFERROR(__xludf.DUMMYFUNCTION("""COMPUTED_VALUE"""),FALSE)</f>
        <v>0</v>
      </c>
      <c r="BI100" s="763" t="b">
        <f>IFERROR(__xludf.DUMMYFUNCTION("""COMPUTED_VALUE"""),FALSE)</f>
        <v>0</v>
      </c>
      <c r="BJ100" s="763" t="b">
        <f>IFERROR(__xludf.DUMMYFUNCTION("""COMPUTED_VALUE"""),FALSE)</f>
        <v>0</v>
      </c>
    </row>
    <row r="101">
      <c r="A101" s="762">
        <f>IFERROR(__xludf.DUMMYFUNCTION("""COMPUTED_VALUE"""),64450.0)</f>
        <v>64450</v>
      </c>
      <c r="B101" s="538">
        <f>IFERROR(__xludf.DUMMYFUNCTION("""COMPUTED_VALUE"""),64450.0)</f>
        <v>64450</v>
      </c>
      <c r="C101" s="538" t="str">
        <f>IFERROR(__xludf.DUMMYFUNCTION("""COMPUTED_VALUE"""),"2025-08-29 14:07:34")</f>
        <v>2025-08-29 14:07:34</v>
      </c>
      <c r="D101" s="538" t="str">
        <f>IFERROR(__xludf.DUMMYFUNCTION("""COMPUTED_VALUE"""),"cancelled")</f>
        <v>cancelled</v>
      </c>
      <c r="E101" s="538" t="str">
        <f>IFERROR(__xludf.DUMMYFUNCTION("""COMPUTED_VALUE"""),"ago")</f>
        <v>ago</v>
      </c>
      <c r="F101" s="538" t="str">
        <f>IFERROR(__xludf.DUMMYFUNCTION("""COMPUTED_VALUE"""),"genc")</f>
        <v>genc</v>
      </c>
      <c r="G101" s="538" t="str">
        <f>IFERROR(__xludf.DUMMYFUNCTION("""COMPUTED_VALUE"""),"ago@agogo.it")</f>
        <v>ago@agogo.it</v>
      </c>
      <c r="H101" s="538">
        <f>IFERROR(__xludf.DUMMYFUNCTION("""COMPUTED_VALUE"""),3.356385854E9)</f>
        <v>3356385854</v>
      </c>
      <c r="I101" s="538" t="str">
        <f>IFERROR(__xludf.DUMMYFUNCTION("""COMPUTED_VALUE"""),"Bresso")</f>
        <v>Bresso</v>
      </c>
      <c r="J101" s="538" t="str">
        <f>IFERROR(__xludf.DUMMYFUNCTION("""COMPUTED_VALUE"""),"Via Aldo villa 16")</f>
        <v>Via Aldo villa 16</v>
      </c>
      <c r="K101" s="538">
        <f>IFERROR(__xludf.DUMMYFUNCTION("""COMPUTED_VALUE"""),20900.0)</f>
        <v>20900</v>
      </c>
      <c r="L101" s="538" t="str">
        <f>IFERROR(__xludf.DUMMYFUNCTION("""COMPUTED_VALUE"""),"Carte di pagamento")</f>
        <v>Carte di pagamento</v>
      </c>
      <c r="M101" s="763"/>
      <c r="N101" s="763"/>
      <c r="O101" s="762">
        <f>IFERROR(__xludf.DUMMYFUNCTION("""COMPUTED_VALUE"""),0.0)</f>
        <v>0</v>
      </c>
      <c r="P101" s="766">
        <f>IFERROR(__xludf.DUMMYFUNCTION("""COMPUTED_VALUE"""),86.04166666666667)</f>
        <v>86.04166667</v>
      </c>
      <c r="Q101" s="538" t="str">
        <f>IFERROR(__xludf.DUMMYFUNCTION("""COMPUTED_VALUE"""),"EUR")</f>
        <v>EUR</v>
      </c>
      <c r="R101" s="762">
        <f>IFERROR(__xludf.DUMMYFUNCTION("""COMPUTED_VALUE"""),449.0)</f>
        <v>449</v>
      </c>
      <c r="S101" s="538" t="str">
        <f>IFERROR(__xludf.DUMMYFUNCTION("""COMPUTED_VALUE"""),"Campus estivo per bambini e ragazzi 2025 - Campus estivo 1 settimana")</f>
        <v>Campus estivo per bambini e ragazzi 2025 - Campus estivo 1 settimana</v>
      </c>
      <c r="T101" s="763"/>
      <c r="U101" s="763"/>
      <c r="V101" s="762">
        <f>IFERROR(__xludf.DUMMYFUNCTION("""COMPUTED_VALUE"""),2.0)</f>
        <v>2</v>
      </c>
      <c r="W101" s="762">
        <f>IFERROR(__xludf.DUMMYFUNCTION("""COMPUTED_VALUE"""),125.0)</f>
        <v>125</v>
      </c>
      <c r="X101" s="762">
        <f>IFERROR(__xludf.DUMMYFUNCTION("""COMPUTED_VALUE"""),250.0)</f>
        <v>250</v>
      </c>
      <c r="Y101" s="763"/>
      <c r="Z101" s="765" t="str">
        <f>IFERROR(__xludf.DUMMYFUNCTION("""COMPUTED_VALUE"""),"https://studio-gem.it/wp-admin/post.php?post=64450&amp;action=edit")</f>
        <v>https://studio-gem.it/wp-admin/post.php?post=64450&amp;action=edit</v>
      </c>
      <c r="AA101" s="763"/>
      <c r="AB101" s="763"/>
      <c r="AC101" s="763"/>
      <c r="AD101" s="763"/>
      <c r="AE101" s="763"/>
      <c r="AF101" s="763"/>
      <c r="AG101" s="763"/>
      <c r="AH101" s="763"/>
      <c r="AI101" s="763"/>
      <c r="AJ101" s="763"/>
      <c r="AK101" s="763"/>
      <c r="AL101" s="763"/>
      <c r="AM101" s="763"/>
      <c r="AN101" s="763"/>
      <c r="AO101" s="763"/>
      <c r="AP101" s="763"/>
      <c r="AQ101" s="763"/>
      <c r="AR101" s="763"/>
      <c r="AS101" s="763"/>
      <c r="AT101" s="763"/>
      <c r="AU101" s="763"/>
      <c r="AV101" s="763"/>
      <c r="AW101" s="763"/>
      <c r="AX101" s="763"/>
      <c r="AY101" s="763"/>
      <c r="AZ101" s="763"/>
      <c r="BA101" s="763"/>
      <c r="BB101" s="763"/>
      <c r="BC101" s="763"/>
      <c r="BD101" s="763"/>
      <c r="BE101" s="763"/>
      <c r="BF101" s="763"/>
      <c r="BG101" s="763" t="b">
        <f>IFERROR(__xludf.DUMMYFUNCTION("""COMPUTED_VALUE"""),FALSE)</f>
        <v>0</v>
      </c>
      <c r="BH101" s="763" t="b">
        <f>IFERROR(__xludf.DUMMYFUNCTION("""COMPUTED_VALUE"""),FALSE)</f>
        <v>0</v>
      </c>
      <c r="BI101" s="763" t="b">
        <f>IFERROR(__xludf.DUMMYFUNCTION("""COMPUTED_VALUE"""),FALSE)</f>
        <v>0</v>
      </c>
      <c r="BJ101" s="763" t="b">
        <f>IFERROR(__xludf.DUMMYFUNCTION("""COMPUTED_VALUE"""),FALSE)</f>
        <v>0</v>
      </c>
    </row>
    <row r="102">
      <c r="A102" s="762">
        <f>IFERROR(__xludf.DUMMYFUNCTION("""COMPUTED_VALUE"""),64450.0)</f>
        <v>64450</v>
      </c>
      <c r="B102" s="538">
        <f>IFERROR(__xludf.DUMMYFUNCTION("""COMPUTED_VALUE"""),64450.0)</f>
        <v>64450</v>
      </c>
      <c r="C102" s="538" t="str">
        <f>IFERROR(__xludf.DUMMYFUNCTION("""COMPUTED_VALUE"""),"2025-08-29 14:07:34")</f>
        <v>2025-08-29 14:07:34</v>
      </c>
      <c r="D102" s="538" t="str">
        <f>IFERROR(__xludf.DUMMYFUNCTION("""COMPUTED_VALUE"""),"cancelled")</f>
        <v>cancelled</v>
      </c>
      <c r="E102" s="538" t="str">
        <f>IFERROR(__xludf.DUMMYFUNCTION("""COMPUTED_VALUE"""),"ago")</f>
        <v>ago</v>
      </c>
      <c r="F102" s="538" t="str">
        <f>IFERROR(__xludf.DUMMYFUNCTION("""COMPUTED_VALUE"""),"genc")</f>
        <v>genc</v>
      </c>
      <c r="G102" s="538" t="str">
        <f>IFERROR(__xludf.DUMMYFUNCTION("""COMPUTED_VALUE"""),"ago@agogo.it")</f>
        <v>ago@agogo.it</v>
      </c>
      <c r="H102" s="538">
        <f>IFERROR(__xludf.DUMMYFUNCTION("""COMPUTED_VALUE"""),3.356385854E9)</f>
        <v>3356385854</v>
      </c>
      <c r="I102" s="538" t="str">
        <f>IFERROR(__xludf.DUMMYFUNCTION("""COMPUTED_VALUE"""),"Bresso")</f>
        <v>Bresso</v>
      </c>
      <c r="J102" s="538" t="str">
        <f>IFERROR(__xludf.DUMMYFUNCTION("""COMPUTED_VALUE"""),"Via Aldo villa 16")</f>
        <v>Via Aldo villa 16</v>
      </c>
      <c r="K102" s="538">
        <f>IFERROR(__xludf.DUMMYFUNCTION("""COMPUTED_VALUE"""),20900.0)</f>
        <v>20900</v>
      </c>
      <c r="L102" s="538" t="str">
        <f>IFERROR(__xludf.DUMMYFUNCTION("""COMPUTED_VALUE"""),"Carte di pagamento")</f>
        <v>Carte di pagamento</v>
      </c>
      <c r="M102" s="763"/>
      <c r="N102" s="763"/>
      <c r="O102" s="762">
        <f>IFERROR(__xludf.DUMMYFUNCTION("""COMPUTED_VALUE"""),0.0)</f>
        <v>0</v>
      </c>
      <c r="P102" s="766">
        <f>IFERROR(__xludf.DUMMYFUNCTION("""COMPUTED_VALUE"""),86.04166666666667)</f>
        <v>86.04166667</v>
      </c>
      <c r="Q102" s="538" t="str">
        <f>IFERROR(__xludf.DUMMYFUNCTION("""COMPUTED_VALUE"""),"EUR")</f>
        <v>EUR</v>
      </c>
      <c r="R102" s="762">
        <f>IFERROR(__xludf.DUMMYFUNCTION("""COMPUTED_VALUE"""),447.0)</f>
        <v>447</v>
      </c>
      <c r="S102" s="538" t="str">
        <f>IFERROR(__xludf.DUMMYFUNCTION("""COMPUTED_VALUE"""),"Campus estivo per bambini e ragazzi 2025 - Campus estivo 2 settimane")</f>
        <v>Campus estivo per bambini e ragazzi 2025 - Campus estivo 2 settimane</v>
      </c>
      <c r="T102" s="763"/>
      <c r="U102" s="763"/>
      <c r="V102" s="762">
        <f>IFERROR(__xludf.DUMMYFUNCTION("""COMPUTED_VALUE"""),2.0)</f>
        <v>2</v>
      </c>
      <c r="W102" s="762">
        <f>IFERROR(__xludf.DUMMYFUNCTION("""COMPUTED_VALUE"""),160.0)</f>
        <v>160</v>
      </c>
      <c r="X102" s="762">
        <f>IFERROR(__xludf.DUMMYFUNCTION("""COMPUTED_VALUE"""),320.0)</f>
        <v>320</v>
      </c>
      <c r="Y102" s="763"/>
      <c r="Z102" s="765" t="str">
        <f>IFERROR(__xludf.DUMMYFUNCTION("""COMPUTED_VALUE"""),"https://studio-gem.it/wp-admin/post.php?post=64450&amp;action=edit")</f>
        <v>https://studio-gem.it/wp-admin/post.php?post=64450&amp;action=edit</v>
      </c>
      <c r="AA102" s="763"/>
      <c r="AB102" s="763"/>
      <c r="AC102" s="763"/>
      <c r="AD102" s="763"/>
      <c r="AE102" s="763"/>
      <c r="AF102" s="763"/>
      <c r="AG102" s="763"/>
      <c r="AH102" s="763"/>
      <c r="AI102" s="763"/>
      <c r="AJ102" s="763"/>
      <c r="AK102" s="763"/>
      <c r="AL102" s="763"/>
      <c r="AM102" s="763"/>
      <c r="AN102" s="763"/>
      <c r="AO102" s="763"/>
      <c r="AP102" s="763"/>
      <c r="AQ102" s="763"/>
      <c r="AR102" s="763"/>
      <c r="AS102" s="763"/>
      <c r="AT102" s="763"/>
      <c r="AU102" s="763"/>
      <c r="AV102" s="763"/>
      <c r="AW102" s="763"/>
      <c r="AX102" s="763"/>
      <c r="AY102" s="763"/>
      <c r="AZ102" s="763"/>
      <c r="BA102" s="763"/>
      <c r="BB102" s="763"/>
      <c r="BC102" s="763"/>
      <c r="BD102" s="763"/>
      <c r="BE102" s="763"/>
      <c r="BF102" s="763"/>
      <c r="BG102" s="763" t="b">
        <f>IFERROR(__xludf.DUMMYFUNCTION("""COMPUTED_VALUE"""),FALSE)</f>
        <v>0</v>
      </c>
      <c r="BH102" s="763" t="b">
        <f>IFERROR(__xludf.DUMMYFUNCTION("""COMPUTED_VALUE"""),FALSE)</f>
        <v>0</v>
      </c>
      <c r="BI102" s="763" t="b">
        <f>IFERROR(__xludf.DUMMYFUNCTION("""COMPUTED_VALUE"""),FALSE)</f>
        <v>0</v>
      </c>
      <c r="BJ102" s="763" t="b">
        <f>IFERROR(__xludf.DUMMYFUNCTION("""COMPUTED_VALUE"""),FALSE)</f>
        <v>0</v>
      </c>
    </row>
    <row r="103">
      <c r="A103" s="762">
        <f>IFERROR(__xludf.DUMMYFUNCTION("""COMPUTED_VALUE"""),64450.0)</f>
        <v>64450</v>
      </c>
      <c r="B103" s="538">
        <f>IFERROR(__xludf.DUMMYFUNCTION("""COMPUTED_VALUE"""),64450.0)</f>
        <v>64450</v>
      </c>
      <c r="C103" s="538" t="str">
        <f>IFERROR(__xludf.DUMMYFUNCTION("""COMPUTED_VALUE"""),"2025-08-29 14:07:34")</f>
        <v>2025-08-29 14:07:34</v>
      </c>
      <c r="D103" s="538" t="str">
        <f>IFERROR(__xludf.DUMMYFUNCTION("""COMPUTED_VALUE"""),"cancelled")</f>
        <v>cancelled</v>
      </c>
      <c r="E103" s="538" t="str">
        <f>IFERROR(__xludf.DUMMYFUNCTION("""COMPUTED_VALUE"""),"ago")</f>
        <v>ago</v>
      </c>
      <c r="F103" s="538" t="str">
        <f>IFERROR(__xludf.DUMMYFUNCTION("""COMPUTED_VALUE"""),"genc")</f>
        <v>genc</v>
      </c>
      <c r="G103" s="538" t="str">
        <f>IFERROR(__xludf.DUMMYFUNCTION("""COMPUTED_VALUE"""),"ago@agogo.it")</f>
        <v>ago@agogo.it</v>
      </c>
      <c r="H103" s="538">
        <f>IFERROR(__xludf.DUMMYFUNCTION("""COMPUTED_VALUE"""),3.356385854E9)</f>
        <v>3356385854</v>
      </c>
      <c r="I103" s="538" t="str">
        <f>IFERROR(__xludf.DUMMYFUNCTION("""COMPUTED_VALUE"""),"Bresso")</f>
        <v>Bresso</v>
      </c>
      <c r="J103" s="538" t="str">
        <f>IFERROR(__xludf.DUMMYFUNCTION("""COMPUTED_VALUE"""),"Via Aldo villa 16")</f>
        <v>Via Aldo villa 16</v>
      </c>
      <c r="K103" s="538">
        <f>IFERROR(__xludf.DUMMYFUNCTION("""COMPUTED_VALUE"""),20900.0)</f>
        <v>20900</v>
      </c>
      <c r="L103" s="538" t="str">
        <f>IFERROR(__xludf.DUMMYFUNCTION("""COMPUTED_VALUE"""),"Carte di pagamento")</f>
        <v>Carte di pagamento</v>
      </c>
      <c r="M103" s="763"/>
      <c r="N103" s="763"/>
      <c r="O103" s="762">
        <f>IFERROR(__xludf.DUMMYFUNCTION("""COMPUTED_VALUE"""),0.0)</f>
        <v>0</v>
      </c>
      <c r="P103" s="766">
        <f>IFERROR(__xludf.DUMMYFUNCTION("""COMPUTED_VALUE"""),86.04166666666667)</f>
        <v>86.04166667</v>
      </c>
      <c r="Q103" s="538" t="str">
        <f>IFERROR(__xludf.DUMMYFUNCTION("""COMPUTED_VALUE"""),"EUR")</f>
        <v>EUR</v>
      </c>
      <c r="R103" s="762">
        <f>IFERROR(__xludf.DUMMYFUNCTION("""COMPUTED_VALUE"""),450.0)</f>
        <v>450</v>
      </c>
      <c r="S103" s="538" t="str">
        <f>IFERROR(__xludf.DUMMYFUNCTION("""COMPUTED_VALUE"""),"Campus estivo per bambini e ragazzi 2025 - Campus estivo 2 settimane")</f>
        <v>Campus estivo per bambini e ragazzi 2025 - Campus estivo 2 settimane</v>
      </c>
      <c r="T103" s="763"/>
      <c r="U103" s="763"/>
      <c r="V103" s="762">
        <f>IFERROR(__xludf.DUMMYFUNCTION("""COMPUTED_VALUE"""),2.0)</f>
        <v>2</v>
      </c>
      <c r="W103" s="762">
        <f>IFERROR(__xludf.DUMMYFUNCTION("""COMPUTED_VALUE"""),185.0)</f>
        <v>185</v>
      </c>
      <c r="X103" s="762">
        <f>IFERROR(__xludf.DUMMYFUNCTION("""COMPUTED_VALUE"""),370.0)</f>
        <v>370</v>
      </c>
      <c r="Y103" s="763"/>
      <c r="Z103" s="765" t="str">
        <f>IFERROR(__xludf.DUMMYFUNCTION("""COMPUTED_VALUE"""),"https://studio-gem.it/wp-admin/post.php?post=64450&amp;action=edit")</f>
        <v>https://studio-gem.it/wp-admin/post.php?post=64450&amp;action=edit</v>
      </c>
      <c r="AA103" s="763"/>
      <c r="AB103" s="763"/>
      <c r="AC103" s="763"/>
      <c r="AD103" s="763"/>
      <c r="AE103" s="763"/>
      <c r="AF103" s="763"/>
      <c r="AG103" s="763"/>
      <c r="AH103" s="763"/>
      <c r="AI103" s="763"/>
      <c r="AJ103" s="763"/>
      <c r="AK103" s="763"/>
      <c r="AL103" s="763"/>
      <c r="AM103" s="763"/>
      <c r="AN103" s="763"/>
      <c r="AO103" s="763"/>
      <c r="AP103" s="763"/>
      <c r="AQ103" s="763"/>
      <c r="AR103" s="763"/>
      <c r="AS103" s="763"/>
      <c r="AT103" s="763"/>
      <c r="AU103" s="763"/>
      <c r="AV103" s="763"/>
      <c r="AW103" s="763"/>
      <c r="AX103" s="763"/>
      <c r="AY103" s="763"/>
      <c r="AZ103" s="763"/>
      <c r="BA103" s="763"/>
      <c r="BB103" s="763"/>
      <c r="BC103" s="763"/>
      <c r="BD103" s="763"/>
      <c r="BE103" s="763"/>
      <c r="BF103" s="763"/>
      <c r="BG103" s="763" t="b">
        <f>IFERROR(__xludf.DUMMYFUNCTION("""COMPUTED_VALUE"""),FALSE)</f>
        <v>0</v>
      </c>
      <c r="BH103" s="763" t="b">
        <f>IFERROR(__xludf.DUMMYFUNCTION("""COMPUTED_VALUE"""),FALSE)</f>
        <v>0</v>
      </c>
      <c r="BI103" s="763" t="b">
        <f>IFERROR(__xludf.DUMMYFUNCTION("""COMPUTED_VALUE"""),FALSE)</f>
        <v>0</v>
      </c>
      <c r="BJ103" s="763" t="b">
        <f>IFERROR(__xludf.DUMMYFUNCTION("""COMPUTED_VALUE"""),FALSE)</f>
        <v>0</v>
      </c>
    </row>
    <row r="104">
      <c r="A104" s="762">
        <f>IFERROR(__xludf.DUMMYFUNCTION("""COMPUTED_VALUE"""),64450.0)</f>
        <v>64450</v>
      </c>
      <c r="B104" s="538">
        <f>IFERROR(__xludf.DUMMYFUNCTION("""COMPUTED_VALUE"""),64450.0)</f>
        <v>64450</v>
      </c>
      <c r="C104" s="538" t="str">
        <f>IFERROR(__xludf.DUMMYFUNCTION("""COMPUTED_VALUE"""),"2025-08-29 14:07:34")</f>
        <v>2025-08-29 14:07:34</v>
      </c>
      <c r="D104" s="538" t="str">
        <f>IFERROR(__xludf.DUMMYFUNCTION("""COMPUTED_VALUE"""),"cancelled")</f>
        <v>cancelled</v>
      </c>
      <c r="E104" s="538" t="str">
        <f>IFERROR(__xludf.DUMMYFUNCTION("""COMPUTED_VALUE"""),"ago")</f>
        <v>ago</v>
      </c>
      <c r="F104" s="538" t="str">
        <f>IFERROR(__xludf.DUMMYFUNCTION("""COMPUTED_VALUE"""),"genc")</f>
        <v>genc</v>
      </c>
      <c r="G104" s="538" t="str">
        <f>IFERROR(__xludf.DUMMYFUNCTION("""COMPUTED_VALUE"""),"ago@agogo.it")</f>
        <v>ago@agogo.it</v>
      </c>
      <c r="H104" s="538">
        <f>IFERROR(__xludf.DUMMYFUNCTION("""COMPUTED_VALUE"""),3.356385854E9)</f>
        <v>3356385854</v>
      </c>
      <c r="I104" s="538" t="str">
        <f>IFERROR(__xludf.DUMMYFUNCTION("""COMPUTED_VALUE"""),"Bresso")</f>
        <v>Bresso</v>
      </c>
      <c r="J104" s="538" t="str">
        <f>IFERROR(__xludf.DUMMYFUNCTION("""COMPUTED_VALUE"""),"Via Aldo villa 16")</f>
        <v>Via Aldo villa 16</v>
      </c>
      <c r="K104" s="538">
        <f>IFERROR(__xludf.DUMMYFUNCTION("""COMPUTED_VALUE"""),20900.0)</f>
        <v>20900</v>
      </c>
      <c r="L104" s="538" t="str">
        <f>IFERROR(__xludf.DUMMYFUNCTION("""COMPUTED_VALUE"""),"Carte di pagamento")</f>
        <v>Carte di pagamento</v>
      </c>
      <c r="M104" s="763"/>
      <c r="N104" s="763"/>
      <c r="O104" s="762">
        <f>IFERROR(__xludf.DUMMYFUNCTION("""COMPUTED_VALUE"""),0.0)</f>
        <v>0</v>
      </c>
      <c r="P104" s="766">
        <f>IFERROR(__xludf.DUMMYFUNCTION("""COMPUTED_VALUE"""),86.04166666666667)</f>
        <v>86.04166667</v>
      </c>
      <c r="Q104" s="538" t="str">
        <f>IFERROR(__xludf.DUMMYFUNCTION("""COMPUTED_VALUE"""),"EUR")</f>
        <v>EUR</v>
      </c>
      <c r="R104" s="762">
        <f>IFERROR(__xludf.DUMMYFUNCTION("""COMPUTED_VALUE"""),448.0)</f>
        <v>448</v>
      </c>
      <c r="S104" s="538" t="str">
        <f>IFERROR(__xludf.DUMMYFUNCTION("""COMPUTED_VALUE"""),"Campus estivo per bambini e ragazzi 2025 - Campus estivo 3 settimane")</f>
        <v>Campus estivo per bambini e ragazzi 2025 - Campus estivo 3 settimane</v>
      </c>
      <c r="T104" s="763"/>
      <c r="U104" s="763"/>
      <c r="V104" s="762">
        <f>IFERROR(__xludf.DUMMYFUNCTION("""COMPUTED_VALUE"""),2.0)</f>
        <v>2</v>
      </c>
      <c r="W104" s="762">
        <f>IFERROR(__xludf.DUMMYFUNCTION("""COMPUTED_VALUE"""),210.0)</f>
        <v>210</v>
      </c>
      <c r="X104" s="762">
        <f>IFERROR(__xludf.DUMMYFUNCTION("""COMPUTED_VALUE"""),420.0)</f>
        <v>420</v>
      </c>
      <c r="Y104" s="763"/>
      <c r="Z104" s="765" t="str">
        <f>IFERROR(__xludf.DUMMYFUNCTION("""COMPUTED_VALUE"""),"https://studio-gem.it/wp-admin/post.php?post=64450&amp;action=edit")</f>
        <v>https://studio-gem.it/wp-admin/post.php?post=64450&amp;action=edit</v>
      </c>
      <c r="AA104" s="763"/>
      <c r="AB104" s="763"/>
      <c r="AC104" s="763"/>
      <c r="AD104" s="763"/>
      <c r="AE104" s="763"/>
      <c r="AF104" s="763"/>
      <c r="AG104" s="763"/>
      <c r="AH104" s="763"/>
      <c r="AI104" s="763"/>
      <c r="AJ104" s="763"/>
      <c r="AK104" s="763"/>
      <c r="AL104" s="763"/>
      <c r="AM104" s="763"/>
      <c r="AN104" s="763"/>
      <c r="AO104" s="763"/>
      <c r="AP104" s="763"/>
      <c r="AQ104" s="763"/>
      <c r="AR104" s="763"/>
      <c r="AS104" s="763"/>
      <c r="AT104" s="763"/>
      <c r="AU104" s="763"/>
      <c r="AV104" s="763"/>
      <c r="AW104" s="763"/>
      <c r="AX104" s="763"/>
      <c r="AY104" s="763"/>
      <c r="AZ104" s="763"/>
      <c r="BA104" s="763"/>
      <c r="BB104" s="763"/>
      <c r="BC104" s="763"/>
      <c r="BD104" s="763"/>
      <c r="BE104" s="763"/>
      <c r="BF104" s="763"/>
      <c r="BG104" s="763" t="b">
        <f>IFERROR(__xludf.DUMMYFUNCTION("""COMPUTED_VALUE"""),FALSE)</f>
        <v>0</v>
      </c>
      <c r="BH104" s="763" t="b">
        <f>IFERROR(__xludf.DUMMYFUNCTION("""COMPUTED_VALUE"""),FALSE)</f>
        <v>0</v>
      </c>
      <c r="BI104" s="763" t="b">
        <f>IFERROR(__xludf.DUMMYFUNCTION("""COMPUTED_VALUE"""),FALSE)</f>
        <v>0</v>
      </c>
      <c r="BJ104" s="763" t="b">
        <f>IFERROR(__xludf.DUMMYFUNCTION("""COMPUTED_VALUE"""),FALSE)</f>
        <v>0</v>
      </c>
    </row>
    <row r="105">
      <c r="A105" s="762">
        <f>IFERROR(__xludf.DUMMYFUNCTION("""COMPUTED_VALUE"""),64450.0)</f>
        <v>64450</v>
      </c>
      <c r="B105" s="538">
        <f>IFERROR(__xludf.DUMMYFUNCTION("""COMPUTED_VALUE"""),64450.0)</f>
        <v>64450</v>
      </c>
      <c r="C105" s="538" t="str">
        <f>IFERROR(__xludf.DUMMYFUNCTION("""COMPUTED_VALUE"""),"2025-08-29 14:07:34")</f>
        <v>2025-08-29 14:07:34</v>
      </c>
      <c r="D105" s="538" t="str">
        <f>IFERROR(__xludf.DUMMYFUNCTION("""COMPUTED_VALUE"""),"cancelled")</f>
        <v>cancelled</v>
      </c>
      <c r="E105" s="538" t="str">
        <f>IFERROR(__xludf.DUMMYFUNCTION("""COMPUTED_VALUE"""),"ago")</f>
        <v>ago</v>
      </c>
      <c r="F105" s="538" t="str">
        <f>IFERROR(__xludf.DUMMYFUNCTION("""COMPUTED_VALUE"""),"genc")</f>
        <v>genc</v>
      </c>
      <c r="G105" s="538" t="str">
        <f>IFERROR(__xludf.DUMMYFUNCTION("""COMPUTED_VALUE"""),"ago@agogo.it")</f>
        <v>ago@agogo.it</v>
      </c>
      <c r="H105" s="538">
        <f>IFERROR(__xludf.DUMMYFUNCTION("""COMPUTED_VALUE"""),3.356385854E9)</f>
        <v>3356385854</v>
      </c>
      <c r="I105" s="538" t="str">
        <f>IFERROR(__xludf.DUMMYFUNCTION("""COMPUTED_VALUE"""),"Bresso")</f>
        <v>Bresso</v>
      </c>
      <c r="J105" s="538" t="str">
        <f>IFERROR(__xludf.DUMMYFUNCTION("""COMPUTED_VALUE"""),"Via Aldo villa 16")</f>
        <v>Via Aldo villa 16</v>
      </c>
      <c r="K105" s="538">
        <f>IFERROR(__xludf.DUMMYFUNCTION("""COMPUTED_VALUE"""),20900.0)</f>
        <v>20900</v>
      </c>
      <c r="L105" s="538" t="str">
        <f>IFERROR(__xludf.DUMMYFUNCTION("""COMPUTED_VALUE"""),"Carte di pagamento")</f>
        <v>Carte di pagamento</v>
      </c>
      <c r="M105" s="763"/>
      <c r="N105" s="763"/>
      <c r="O105" s="762">
        <f>IFERROR(__xludf.DUMMYFUNCTION("""COMPUTED_VALUE"""),0.0)</f>
        <v>0</v>
      </c>
      <c r="P105" s="766">
        <f>IFERROR(__xludf.DUMMYFUNCTION("""COMPUTED_VALUE"""),86.04166666666667)</f>
        <v>86.04166667</v>
      </c>
      <c r="Q105" s="538" t="str">
        <f>IFERROR(__xludf.DUMMYFUNCTION("""COMPUTED_VALUE"""),"EUR")</f>
        <v>EUR</v>
      </c>
      <c r="R105" s="762">
        <f>IFERROR(__xludf.DUMMYFUNCTION("""COMPUTED_VALUE"""),453.0)</f>
        <v>453</v>
      </c>
      <c r="S105" s="538" t="str">
        <f>IFERROR(__xludf.DUMMYFUNCTION("""COMPUTED_VALUE"""),"Workshop Afrofusion con Banana 2025 - Workshop Banana afrofusion")</f>
        <v>Workshop Afrofusion con Banana 2025 - Workshop Banana afrofusion</v>
      </c>
      <c r="T105" s="763"/>
      <c r="U105" s="763"/>
      <c r="V105" s="762">
        <f>IFERROR(__xludf.DUMMYFUNCTION("""COMPUTED_VALUE"""),3.0)</f>
        <v>3</v>
      </c>
      <c r="W105" s="762">
        <f>IFERROR(__xludf.DUMMYFUNCTION("""COMPUTED_VALUE"""),32.0)</f>
        <v>32</v>
      </c>
      <c r="X105" s="762">
        <f>IFERROR(__xludf.DUMMYFUNCTION("""COMPUTED_VALUE"""),96.0)</f>
        <v>96</v>
      </c>
      <c r="Y105" s="763"/>
      <c r="Z105" s="765" t="str">
        <f>IFERROR(__xludf.DUMMYFUNCTION("""COMPUTED_VALUE"""),"https://studio-gem.it/wp-admin/post.php?post=64450&amp;action=edit")</f>
        <v>https://studio-gem.it/wp-admin/post.php?post=64450&amp;action=edit</v>
      </c>
      <c r="AA105" s="763"/>
      <c r="AB105" s="763"/>
      <c r="AC105" s="763"/>
      <c r="AD105" s="763"/>
      <c r="AE105" s="763"/>
      <c r="AF105" s="763"/>
      <c r="AG105" s="763"/>
      <c r="AH105" s="763"/>
      <c r="AI105" s="763"/>
      <c r="AJ105" s="763"/>
      <c r="AK105" s="763"/>
      <c r="AL105" s="763"/>
      <c r="AM105" s="763"/>
      <c r="AN105" s="763"/>
      <c r="AO105" s="763"/>
      <c r="AP105" s="763"/>
      <c r="AQ105" s="763"/>
      <c r="AR105" s="763"/>
      <c r="AS105" s="763"/>
      <c r="AT105" s="763"/>
      <c r="AU105" s="763"/>
      <c r="AV105" s="763"/>
      <c r="AW105" s="763"/>
      <c r="AX105" s="763"/>
      <c r="AY105" s="763"/>
      <c r="AZ105" s="763"/>
      <c r="BA105" s="763"/>
      <c r="BB105" s="763"/>
      <c r="BC105" s="763"/>
      <c r="BD105" s="763"/>
      <c r="BE105" s="763"/>
      <c r="BF105" s="763"/>
      <c r="BG105" s="763" t="b">
        <f>IFERROR(__xludf.DUMMYFUNCTION("""COMPUTED_VALUE"""),FALSE)</f>
        <v>0</v>
      </c>
      <c r="BH105" s="763" t="b">
        <f>IFERROR(__xludf.DUMMYFUNCTION("""COMPUTED_VALUE"""),FALSE)</f>
        <v>0</v>
      </c>
      <c r="BI105" s="763" t="b">
        <f>IFERROR(__xludf.DUMMYFUNCTION("""COMPUTED_VALUE"""),FALSE)</f>
        <v>0</v>
      </c>
      <c r="BJ105" s="763" t="b">
        <f>IFERROR(__xludf.DUMMYFUNCTION("""COMPUTED_VALUE"""),FALSE)</f>
        <v>0</v>
      </c>
    </row>
    <row r="106">
      <c r="A106" s="762">
        <f>IFERROR(__xludf.DUMMYFUNCTION("""COMPUTED_VALUE"""),64450.0)</f>
        <v>64450</v>
      </c>
      <c r="B106" s="538">
        <f>IFERROR(__xludf.DUMMYFUNCTION("""COMPUTED_VALUE"""),64450.0)</f>
        <v>64450</v>
      </c>
      <c r="C106" s="538" t="str">
        <f>IFERROR(__xludf.DUMMYFUNCTION("""COMPUTED_VALUE"""),"2025-08-29 14:07:34")</f>
        <v>2025-08-29 14:07:34</v>
      </c>
      <c r="D106" s="538" t="str">
        <f>IFERROR(__xludf.DUMMYFUNCTION("""COMPUTED_VALUE"""),"cancelled")</f>
        <v>cancelled</v>
      </c>
      <c r="E106" s="538" t="str">
        <f>IFERROR(__xludf.DUMMYFUNCTION("""COMPUTED_VALUE"""),"ago")</f>
        <v>ago</v>
      </c>
      <c r="F106" s="538" t="str">
        <f>IFERROR(__xludf.DUMMYFUNCTION("""COMPUTED_VALUE"""),"genc")</f>
        <v>genc</v>
      </c>
      <c r="G106" s="538" t="str">
        <f>IFERROR(__xludf.DUMMYFUNCTION("""COMPUTED_VALUE"""),"ago@agogo.it")</f>
        <v>ago@agogo.it</v>
      </c>
      <c r="H106" s="538">
        <f>IFERROR(__xludf.DUMMYFUNCTION("""COMPUTED_VALUE"""),3.356385854E9)</f>
        <v>3356385854</v>
      </c>
      <c r="I106" s="538" t="str">
        <f>IFERROR(__xludf.DUMMYFUNCTION("""COMPUTED_VALUE"""),"Bresso")</f>
        <v>Bresso</v>
      </c>
      <c r="J106" s="538" t="str">
        <f>IFERROR(__xludf.DUMMYFUNCTION("""COMPUTED_VALUE"""),"Via Aldo villa 16")</f>
        <v>Via Aldo villa 16</v>
      </c>
      <c r="K106" s="538">
        <f>IFERROR(__xludf.DUMMYFUNCTION("""COMPUTED_VALUE"""),20900.0)</f>
        <v>20900</v>
      </c>
      <c r="L106" s="538" t="str">
        <f>IFERROR(__xludf.DUMMYFUNCTION("""COMPUTED_VALUE"""),"Carte di pagamento")</f>
        <v>Carte di pagamento</v>
      </c>
      <c r="M106" s="763"/>
      <c r="N106" s="763"/>
      <c r="O106" s="762">
        <f>IFERROR(__xludf.DUMMYFUNCTION("""COMPUTED_VALUE"""),0.0)</f>
        <v>0</v>
      </c>
      <c r="P106" s="766">
        <f>IFERROR(__xludf.DUMMYFUNCTION("""COMPUTED_VALUE"""),86.04166666666667)</f>
        <v>86.04166667</v>
      </c>
      <c r="Q106" s="538" t="str">
        <f>IFERROR(__xludf.DUMMYFUNCTION("""COMPUTED_VALUE"""),"EUR")</f>
        <v>EUR</v>
      </c>
      <c r="R106" s="762">
        <f>IFERROR(__xludf.DUMMYFUNCTION("""COMPUTED_VALUE"""),454.0)</f>
        <v>454</v>
      </c>
      <c r="S106" s="538" t="str">
        <f>IFERROR(__xludf.DUMMYFUNCTION("""COMPUTED_VALUE"""),"Workshop Indian Fusion con Leli - Workshop Leli Indian Fusion")</f>
        <v>Workshop Indian Fusion con Leli - Workshop Leli Indian Fusion</v>
      </c>
      <c r="T106" s="763"/>
      <c r="U106" s="763"/>
      <c r="V106" s="762">
        <f>IFERROR(__xludf.DUMMYFUNCTION("""COMPUTED_VALUE"""),2.0)</f>
        <v>2</v>
      </c>
      <c r="W106" s="762">
        <f>IFERROR(__xludf.DUMMYFUNCTION("""COMPUTED_VALUE"""),27.0)</f>
        <v>27</v>
      </c>
      <c r="X106" s="762">
        <f>IFERROR(__xludf.DUMMYFUNCTION("""COMPUTED_VALUE"""),54.0)</f>
        <v>54</v>
      </c>
      <c r="Y106" s="763"/>
      <c r="Z106" s="765" t="str">
        <f>IFERROR(__xludf.DUMMYFUNCTION("""COMPUTED_VALUE"""),"https://studio-gem.it/wp-admin/post.php?post=64450&amp;action=edit")</f>
        <v>https://studio-gem.it/wp-admin/post.php?post=64450&amp;action=edit</v>
      </c>
      <c r="AA106" s="763"/>
      <c r="AB106" s="763"/>
      <c r="AC106" s="763"/>
      <c r="AD106" s="763"/>
      <c r="AE106" s="763"/>
      <c r="AF106" s="763"/>
      <c r="AG106" s="763"/>
      <c r="AH106" s="763"/>
      <c r="AI106" s="763"/>
      <c r="AJ106" s="763"/>
      <c r="AK106" s="763"/>
      <c r="AL106" s="763"/>
      <c r="AM106" s="763"/>
      <c r="AN106" s="763"/>
      <c r="AO106" s="763"/>
      <c r="AP106" s="763"/>
      <c r="AQ106" s="763"/>
      <c r="AR106" s="763"/>
      <c r="AS106" s="763"/>
      <c r="AT106" s="763"/>
      <c r="AU106" s="763"/>
      <c r="AV106" s="763"/>
      <c r="AW106" s="763"/>
      <c r="AX106" s="763"/>
      <c r="AY106" s="763"/>
      <c r="AZ106" s="763"/>
      <c r="BA106" s="763"/>
      <c r="BB106" s="763"/>
      <c r="BC106" s="763"/>
      <c r="BD106" s="763"/>
      <c r="BE106" s="763"/>
      <c r="BF106" s="763"/>
      <c r="BG106" s="763" t="b">
        <f>IFERROR(__xludf.DUMMYFUNCTION("""COMPUTED_VALUE"""),FALSE)</f>
        <v>0</v>
      </c>
      <c r="BH106" s="763" t="b">
        <f>IFERROR(__xludf.DUMMYFUNCTION("""COMPUTED_VALUE"""),FALSE)</f>
        <v>0</v>
      </c>
      <c r="BI106" s="763" t="b">
        <f>IFERROR(__xludf.DUMMYFUNCTION("""COMPUTED_VALUE"""),FALSE)</f>
        <v>0</v>
      </c>
      <c r="BJ106" s="763" t="b">
        <f>IFERROR(__xludf.DUMMYFUNCTION("""COMPUTED_VALUE"""),FALSE)</f>
        <v>0</v>
      </c>
    </row>
    <row r="107">
      <c r="A107" s="762">
        <f>IFERROR(__xludf.DUMMYFUNCTION("""COMPUTED_VALUE"""),64451.0)</f>
        <v>64451</v>
      </c>
      <c r="B107" s="538">
        <f>IFERROR(__xludf.DUMMYFUNCTION("""COMPUTED_VALUE"""),64451.0)</f>
        <v>64451</v>
      </c>
      <c r="C107" s="538" t="str">
        <f>IFERROR(__xludf.DUMMYFUNCTION("""COMPUTED_VALUE"""),"2025-08-29 14:11:50")</f>
        <v>2025-08-29 14:11:50</v>
      </c>
      <c r="D107" s="538" t="str">
        <f>IFERROR(__xludf.DUMMYFUNCTION("""COMPUTED_VALUE"""),"cancelled")</f>
        <v>cancelled</v>
      </c>
      <c r="E107" s="538" t="str">
        <f>IFERROR(__xludf.DUMMYFUNCTION("""COMPUTED_VALUE"""),"Ago")</f>
        <v>Ago</v>
      </c>
      <c r="F107" s="538" t="str">
        <f>IFERROR(__xludf.DUMMYFUNCTION("""COMPUTED_VALUE"""),"Genca")</f>
        <v>Genca</v>
      </c>
      <c r="G107" s="538" t="str">
        <f>IFERROR(__xludf.DUMMYFUNCTION("""COMPUTED_VALUE"""),"Info@stilton.com")</f>
        <v>Info@stilton.com</v>
      </c>
      <c r="H107" s="538">
        <f>IFERROR(__xludf.DUMMYFUNCTION("""COMPUTED_VALUE"""),3.356385854E9)</f>
        <v>3356385854</v>
      </c>
      <c r="I107" s="538" t="str">
        <f>IFERROR(__xludf.DUMMYFUNCTION("""COMPUTED_VALUE"""),"Bresso")</f>
        <v>Bresso</v>
      </c>
      <c r="J107" s="538" t="str">
        <f>IFERROR(__xludf.DUMMYFUNCTION("""COMPUTED_VALUE"""),"Aldo villa")</f>
        <v>Aldo villa</v>
      </c>
      <c r="K107" s="538">
        <f>IFERROR(__xludf.DUMMYFUNCTION("""COMPUTED_VALUE"""),20091.0)</f>
        <v>20091</v>
      </c>
      <c r="L107" s="538" t="str">
        <f>IFERROR(__xludf.DUMMYFUNCTION("""COMPUTED_VALUE"""),"Carte di pagamento")</f>
        <v>Carte di pagamento</v>
      </c>
      <c r="M107" s="763"/>
      <c r="N107" s="763"/>
      <c r="O107" s="762">
        <f>IFERROR(__xludf.DUMMYFUNCTION("""COMPUTED_VALUE"""),0.0)</f>
        <v>0</v>
      </c>
      <c r="P107" s="766">
        <f>IFERROR(__xludf.DUMMYFUNCTION("""COMPUTED_VALUE"""),1.3333333333333333)</f>
        <v>1.333333333</v>
      </c>
      <c r="Q107" s="538" t="str">
        <f>IFERROR(__xludf.DUMMYFUNCTION("""COMPUTED_VALUE"""),"EUR")</f>
        <v>EUR</v>
      </c>
      <c r="R107" s="762">
        <f>IFERROR(__xludf.DUMMYFUNCTION("""COMPUTED_VALUE"""),455.0)</f>
        <v>455</v>
      </c>
      <c r="S107" s="538" t="str">
        <f>IFERROR(__xludf.DUMMYFUNCTION("""COMPUTED_VALUE"""),"Workshop Afrofusion con Banana 2025 - Workshop Banana afrofusion")</f>
        <v>Workshop Afrofusion con Banana 2025 - Workshop Banana afrofusion</v>
      </c>
      <c r="T107" s="763"/>
      <c r="U107" s="763"/>
      <c r="V107" s="762">
        <f>IFERROR(__xludf.DUMMYFUNCTION("""COMPUTED_VALUE"""),1.0)</f>
        <v>1</v>
      </c>
      <c r="W107" s="762">
        <f>IFERROR(__xludf.DUMMYFUNCTION("""COMPUTED_VALUE"""),32.0)</f>
        <v>32</v>
      </c>
      <c r="X107" s="762">
        <f>IFERROR(__xludf.DUMMYFUNCTION("""COMPUTED_VALUE"""),32.0)</f>
        <v>32</v>
      </c>
      <c r="Y107" s="763"/>
      <c r="Z107" s="765" t="str">
        <f>IFERROR(__xludf.DUMMYFUNCTION("""COMPUTED_VALUE"""),"https://studio-gem.it/wp-admin/post.php?post=64451&amp;action=edit")</f>
        <v>https://studio-gem.it/wp-admin/post.php?post=64451&amp;action=edit</v>
      </c>
      <c r="AA107" s="763"/>
      <c r="AB107" s="763"/>
      <c r="AC107" s="763"/>
      <c r="AD107" s="763"/>
      <c r="AE107" s="763"/>
      <c r="AF107" s="763"/>
      <c r="AG107" s="763"/>
      <c r="AH107" s="763"/>
      <c r="AI107" s="763"/>
      <c r="AJ107" s="763"/>
      <c r="AK107" s="763"/>
      <c r="AL107" s="763"/>
      <c r="AM107" s="763"/>
      <c r="AN107" s="763"/>
      <c r="AO107" s="763"/>
      <c r="AP107" s="763"/>
      <c r="AQ107" s="763"/>
      <c r="AR107" s="763"/>
      <c r="AS107" s="763"/>
      <c r="AT107" s="763"/>
      <c r="AU107" s="763"/>
      <c r="AV107" s="763"/>
      <c r="AW107" s="763"/>
      <c r="AX107" s="763"/>
      <c r="AY107" s="763"/>
      <c r="AZ107" s="763"/>
      <c r="BA107" s="763"/>
      <c r="BB107" s="763"/>
      <c r="BC107" s="763"/>
      <c r="BD107" s="763"/>
      <c r="BE107" s="763"/>
      <c r="BF107" s="763"/>
      <c r="BG107" s="763" t="b">
        <f>IFERROR(__xludf.DUMMYFUNCTION("""COMPUTED_VALUE"""),FALSE)</f>
        <v>0</v>
      </c>
      <c r="BH107" s="763" t="b">
        <f>IFERROR(__xludf.DUMMYFUNCTION("""COMPUTED_VALUE"""),FALSE)</f>
        <v>0</v>
      </c>
      <c r="BI107" s="763" t="b">
        <f>IFERROR(__xludf.DUMMYFUNCTION("""COMPUTED_VALUE"""),FALSE)</f>
        <v>0</v>
      </c>
      <c r="BJ107" s="763" t="b">
        <f>IFERROR(__xludf.DUMMYFUNCTION("""COMPUTED_VALUE"""),FALSE)</f>
        <v>0</v>
      </c>
    </row>
    <row r="108">
      <c r="A108" s="762">
        <f>IFERROR(__xludf.DUMMYFUNCTION("""COMPUTED_VALUE"""),64452.0)</f>
        <v>64452</v>
      </c>
      <c r="B108" s="538">
        <f>IFERROR(__xludf.DUMMYFUNCTION("""COMPUTED_VALUE"""),64452.0)</f>
        <v>64452</v>
      </c>
      <c r="C108" s="538" t="str">
        <f>IFERROR(__xludf.DUMMYFUNCTION("""COMPUTED_VALUE"""),"2025-08-29 14:18:40")</f>
        <v>2025-08-29 14:18:40</v>
      </c>
      <c r="D108" s="538" t="str">
        <f>IFERROR(__xludf.DUMMYFUNCTION("""COMPUTED_VALUE"""),"completed")</f>
        <v>completed</v>
      </c>
      <c r="E108" s="538" t="str">
        <f>IFERROR(__xludf.DUMMYFUNCTION("""COMPUTED_VALUE"""),"Esperia")</f>
        <v>Esperia</v>
      </c>
      <c r="F108" s="538" t="str">
        <f>IFERROR(__xludf.DUMMYFUNCTION("""COMPUTED_VALUE"""),"Bianchi")</f>
        <v>Bianchi</v>
      </c>
      <c r="G108" s="538" t="str">
        <f>IFERROR(__xludf.DUMMYFUNCTION("""COMPUTED_VALUE"""),"esperia.bianchi@gmail.com")</f>
        <v>esperia.bianchi@gmail.com</v>
      </c>
      <c r="H108" s="538">
        <f>IFERROR(__xludf.DUMMYFUNCTION("""COMPUTED_VALUE"""),3.347484064E9)</f>
        <v>3347484064</v>
      </c>
      <c r="I108" s="538" t="str">
        <f>IFERROR(__xludf.DUMMYFUNCTION("""COMPUTED_VALUE"""),"Bolzano")</f>
        <v>Bolzano</v>
      </c>
      <c r="J108" s="538" t="str">
        <f>IFERROR(__xludf.DUMMYFUNCTION("""COMPUTED_VALUE"""),"Galleria Telser 16")</f>
        <v>Galleria Telser 16</v>
      </c>
      <c r="K108" s="538">
        <f>IFERROR(__xludf.DUMMYFUNCTION("""COMPUTED_VALUE"""),39100.0)</f>
        <v>39100</v>
      </c>
      <c r="L108" s="538" t="str">
        <f>IFERROR(__xludf.DUMMYFUNCTION("""COMPUTED_VALUE"""),"Carte di pagamento")</f>
        <v>Carte di pagamento</v>
      </c>
      <c r="M108" s="538" t="str">
        <f>IFERROR(__xludf.DUMMYFUNCTION("""COMPUTED_VALUE"""),"nura02ws")</f>
        <v>nura02ws</v>
      </c>
      <c r="N108" s="763" t="str">
        <f>IFERROR(__xludf.DUMMYFUNCTION("""COMPUTED_VALUE"""),"64452-1756477122")</f>
        <v>64452-1756477122</v>
      </c>
      <c r="O108" s="762">
        <f>IFERROR(__xludf.DUMMYFUNCTION("""COMPUTED_VALUE"""),0.0)</f>
        <v>0</v>
      </c>
      <c r="P108" s="766">
        <f>IFERROR(__xludf.DUMMYFUNCTION("""COMPUTED_VALUE"""),1.25)</f>
        <v>1.25</v>
      </c>
      <c r="Q108" s="538" t="str">
        <f>IFERROR(__xludf.DUMMYFUNCTION("""COMPUTED_VALUE"""),"EUR")</f>
        <v>EUR</v>
      </c>
      <c r="R108" s="762">
        <f>IFERROR(__xludf.DUMMYFUNCTION("""COMPUTED_VALUE"""),456.0)</f>
        <v>456</v>
      </c>
      <c r="S108" s="538" t="str">
        <f>IFERROR(__xludf.DUMMYFUNCTION("""COMPUTED_VALUE"""),"Workshop Afrofusion con Banana 2025 - Workshop Banana afrofusion")</f>
        <v>Workshop Afrofusion con Banana 2025 - Workshop Banana afrofusion</v>
      </c>
      <c r="T108" s="763"/>
      <c r="U108" s="763"/>
      <c r="V108" s="762">
        <f>IFERROR(__xludf.DUMMYFUNCTION("""COMPUTED_VALUE"""),1.0)</f>
        <v>1</v>
      </c>
      <c r="W108" s="762">
        <f>IFERROR(__xludf.DUMMYFUNCTION("""COMPUTED_VALUE"""),30.0)</f>
        <v>30</v>
      </c>
      <c r="X108" s="762">
        <f>IFERROR(__xludf.DUMMYFUNCTION("""COMPUTED_VALUE"""),30.0)</f>
        <v>30</v>
      </c>
      <c r="Y108" s="763"/>
      <c r="Z108" s="765" t="str">
        <f>IFERROR(__xludf.DUMMYFUNCTION("""COMPUTED_VALUE"""),"https://studio-gem.it/wp-admin/post.php?post=64452&amp;action=edit")</f>
        <v>https://studio-gem.it/wp-admin/post.php?post=64452&amp;action=edit</v>
      </c>
      <c r="AA108" s="763"/>
      <c r="AB108" s="763"/>
      <c r="AC108" s="763"/>
      <c r="AD108" s="763"/>
      <c r="AE108" s="763"/>
      <c r="AF108" s="763"/>
      <c r="AG108" s="763"/>
      <c r="AH108" s="763"/>
      <c r="AI108" s="763"/>
      <c r="AJ108" s="763"/>
      <c r="AK108" s="763"/>
      <c r="AL108" s="763"/>
      <c r="AM108" s="763"/>
      <c r="AN108" s="763"/>
      <c r="AO108" s="763"/>
      <c r="AP108" s="763"/>
      <c r="AQ108" s="763"/>
      <c r="AR108" s="763"/>
      <c r="AS108" s="763"/>
      <c r="AT108" s="763"/>
      <c r="AU108" s="763"/>
      <c r="AV108" s="763"/>
      <c r="AW108" s="763"/>
      <c r="AX108" s="763"/>
      <c r="AY108" s="763"/>
      <c r="AZ108" s="763"/>
      <c r="BA108" s="763"/>
      <c r="BB108" s="763"/>
      <c r="BC108" s="763"/>
      <c r="BD108" s="763"/>
      <c r="BE108" s="763"/>
      <c r="BF108" s="763"/>
      <c r="BG108" s="763" t="b">
        <f>IFERROR(__xludf.DUMMYFUNCTION("""COMPUTED_VALUE"""),TRUE)</f>
        <v>1</v>
      </c>
      <c r="BH108" s="763" t="b">
        <f>IFERROR(__xludf.DUMMYFUNCTION("""COMPUTED_VALUE"""),TRUE)</f>
        <v>1</v>
      </c>
      <c r="BI108" s="763" t="b">
        <f>IFERROR(__xludf.DUMMYFUNCTION("""COMPUTED_VALUE"""),TRUE)</f>
        <v>1</v>
      </c>
      <c r="BJ108" s="763" t="b">
        <f>IFERROR(__xludf.DUMMYFUNCTION("""COMPUTED_VALUE"""),FALSE)</f>
        <v>0</v>
      </c>
    </row>
    <row r="109">
      <c r="A109" s="762">
        <f>IFERROR(__xludf.DUMMYFUNCTION("""COMPUTED_VALUE"""),64453.0)</f>
        <v>64453</v>
      </c>
      <c r="B109" s="538">
        <f>IFERROR(__xludf.DUMMYFUNCTION("""COMPUTED_VALUE"""),64453.0)</f>
        <v>64453</v>
      </c>
      <c r="C109" s="538" t="str">
        <f>IFERROR(__xludf.DUMMYFUNCTION("""COMPUTED_VALUE"""),"2025-08-30 06:54:43")</f>
        <v>2025-08-30 06:54:43</v>
      </c>
      <c r="D109" s="538" t="str">
        <f>IFERROR(__xludf.DUMMYFUNCTION("""COMPUTED_VALUE"""),"completed")</f>
        <v>completed</v>
      </c>
      <c r="E109" s="538" t="str">
        <f>IFERROR(__xludf.DUMMYFUNCTION("""COMPUTED_VALUE"""),"Maria Olga")</f>
        <v>Maria Olga</v>
      </c>
      <c r="F109" s="538" t="str">
        <f>IFERROR(__xludf.DUMMYFUNCTION("""COMPUTED_VALUE"""),"Galliera")</f>
        <v>Galliera</v>
      </c>
      <c r="G109" s="538" t="str">
        <f>IFERROR(__xludf.DUMMYFUNCTION("""COMPUTED_VALUE"""),"mariaolga.galliera@gmail.com")</f>
        <v>mariaolga.galliera@gmail.com</v>
      </c>
      <c r="H109" s="538">
        <f>IFERROR(__xludf.DUMMYFUNCTION("""COMPUTED_VALUE"""),3.339192044E9)</f>
        <v>3339192044</v>
      </c>
      <c r="I109" s="538" t="str">
        <f>IFERROR(__xludf.DUMMYFUNCTION("""COMPUTED_VALUE"""),"Bologna")</f>
        <v>Bologna</v>
      </c>
      <c r="J109" s="538" t="str">
        <f>IFERROR(__xludf.DUMMYFUNCTION("""COMPUTED_VALUE"""),"Via Saragozza 47")</f>
        <v>Via Saragozza 47</v>
      </c>
      <c r="K109" s="538">
        <f>IFERROR(__xludf.DUMMYFUNCTION("""COMPUTED_VALUE"""),40123.0)</f>
        <v>40123</v>
      </c>
      <c r="L109" s="538" t="str">
        <f>IFERROR(__xludf.DUMMYFUNCTION("""COMPUTED_VALUE"""),"Carte di pagamento")</f>
        <v>Carte di pagamento</v>
      </c>
      <c r="M109" s="763"/>
      <c r="N109" s="763" t="str">
        <f>IFERROR(__xludf.DUMMYFUNCTION("""COMPUTED_VALUE"""),"64453-1756536884")</f>
        <v>64453-1756536884</v>
      </c>
      <c r="O109" s="762">
        <f>IFERROR(__xludf.DUMMYFUNCTION("""COMPUTED_VALUE"""),0.0)</f>
        <v>0</v>
      </c>
      <c r="P109" s="766">
        <f>IFERROR(__xludf.DUMMYFUNCTION("""COMPUTED_VALUE"""),1.3333333333333333)</f>
        <v>1.333333333</v>
      </c>
      <c r="Q109" s="538" t="str">
        <f>IFERROR(__xludf.DUMMYFUNCTION("""COMPUTED_VALUE"""),"EUR")</f>
        <v>EUR</v>
      </c>
      <c r="R109" s="762">
        <f>IFERROR(__xludf.DUMMYFUNCTION("""COMPUTED_VALUE"""),458.0)</f>
        <v>458</v>
      </c>
      <c r="S109" s="538" t="str">
        <f>IFERROR(__xludf.DUMMYFUNCTION("""COMPUTED_VALUE"""),"Workshop Heels con Lulu Kulova - Workshop Lulu Heels")</f>
        <v>Workshop Heels con Lulu Kulova - Workshop Lulu Heels</v>
      </c>
      <c r="T109" s="763"/>
      <c r="U109" s="763"/>
      <c r="V109" s="762">
        <f>IFERROR(__xludf.DUMMYFUNCTION("""COMPUTED_VALUE"""),1.0)</f>
        <v>1</v>
      </c>
      <c r="W109" s="762">
        <f>IFERROR(__xludf.DUMMYFUNCTION("""COMPUTED_VALUE"""),32.0)</f>
        <v>32</v>
      </c>
      <c r="X109" s="762">
        <f>IFERROR(__xludf.DUMMYFUNCTION("""COMPUTED_VALUE"""),32.0)</f>
        <v>32</v>
      </c>
      <c r="Y109" s="763"/>
      <c r="Z109" s="765" t="str">
        <f>IFERROR(__xludf.DUMMYFUNCTION("""COMPUTED_VALUE"""),"https://studio-gem.it/wp-admin/post.php?post=64453&amp;action=edit")</f>
        <v>https://studio-gem.it/wp-admin/post.php?post=64453&amp;action=edit</v>
      </c>
      <c r="AA109" s="763"/>
      <c r="AB109" s="763"/>
      <c r="AC109" s="763"/>
      <c r="AD109" s="763"/>
      <c r="AE109" s="763"/>
      <c r="AF109" s="763"/>
      <c r="AG109" s="763"/>
      <c r="AH109" s="763"/>
      <c r="AI109" s="763"/>
      <c r="AJ109" s="763"/>
      <c r="AK109" s="763"/>
      <c r="AL109" s="763"/>
      <c r="AM109" s="763"/>
      <c r="AN109" s="763"/>
      <c r="AO109" s="763"/>
      <c r="AP109" s="763"/>
      <c r="AQ109" s="763"/>
      <c r="AR109" s="763"/>
      <c r="AS109" s="763"/>
      <c r="AT109" s="763"/>
      <c r="AU109" s="763"/>
      <c r="AV109" s="763"/>
      <c r="AW109" s="763"/>
      <c r="AX109" s="763"/>
      <c r="AY109" s="763"/>
      <c r="AZ109" s="763"/>
      <c r="BA109" s="763"/>
      <c r="BB109" s="763"/>
      <c r="BC109" s="763"/>
      <c r="BD109" s="763"/>
      <c r="BE109" s="763"/>
      <c r="BF109" s="763"/>
      <c r="BG109" s="763" t="b">
        <f>IFERROR(__xludf.DUMMYFUNCTION("""COMPUTED_VALUE"""),TRUE)</f>
        <v>1</v>
      </c>
      <c r="BH109" s="763" t="b">
        <f>IFERROR(__xludf.DUMMYFUNCTION("""COMPUTED_VALUE"""),TRUE)</f>
        <v>1</v>
      </c>
      <c r="BI109" s="763" t="b">
        <f>IFERROR(__xludf.DUMMYFUNCTION("""COMPUTED_VALUE"""),TRUE)</f>
        <v>1</v>
      </c>
      <c r="BJ109" s="763" t="b">
        <f>IFERROR(__xludf.DUMMYFUNCTION("""COMPUTED_VALUE"""),FALSE)</f>
        <v>0</v>
      </c>
    </row>
    <row r="110">
      <c r="A110" s="762">
        <f>IFERROR(__xludf.DUMMYFUNCTION("""COMPUTED_VALUE"""),64454.0)</f>
        <v>64454</v>
      </c>
      <c r="B110" s="538">
        <f>IFERROR(__xludf.DUMMYFUNCTION("""COMPUTED_VALUE"""),64454.0)</f>
        <v>64454</v>
      </c>
      <c r="C110" s="538" t="str">
        <f>IFERROR(__xludf.DUMMYFUNCTION("""COMPUTED_VALUE"""),"2025-08-30 08:10:06")</f>
        <v>2025-08-30 08:10:06</v>
      </c>
      <c r="D110" s="538" t="str">
        <f>IFERROR(__xludf.DUMMYFUNCTION("""COMPUTED_VALUE"""),"completed")</f>
        <v>completed</v>
      </c>
      <c r="E110" s="538" t="str">
        <f>IFERROR(__xludf.DUMMYFUNCTION("""COMPUTED_VALUE"""),"Ece Beren")</f>
        <v>Ece Beren</v>
      </c>
      <c r="F110" s="538" t="str">
        <f>IFERROR(__xludf.DUMMYFUNCTION("""COMPUTED_VALUE"""),"Kınaş")</f>
        <v>Kınaş</v>
      </c>
      <c r="G110" s="538" t="str">
        <f>IFERROR(__xludf.DUMMYFUNCTION("""COMPUTED_VALUE"""),"eceberenkinas@icloud.com")</f>
        <v>eceberenkinas@icloud.com</v>
      </c>
      <c r="H110" s="538" t="str">
        <f>IFERROR(__xludf.DUMMYFUNCTION("""COMPUTED_VALUE"""),"+393514029050")</f>
        <v>+393514029050</v>
      </c>
      <c r="I110" s="538" t="str">
        <f>IFERROR(__xludf.DUMMYFUNCTION("""COMPUTED_VALUE"""),"Rodengo-saiano")</f>
        <v>Rodengo-saiano</v>
      </c>
      <c r="J110" s="538" t="str">
        <f>IFERROR(__xludf.DUMMYFUNCTION("""COMPUTED_VALUE"""),"Rodengo Saiano")</f>
        <v>Rodengo Saiano</v>
      </c>
      <c r="K110" s="538">
        <f>IFERROR(__xludf.DUMMYFUNCTION("""COMPUTED_VALUE"""),25050.0)</f>
        <v>25050</v>
      </c>
      <c r="L110" s="538" t="str">
        <f>IFERROR(__xludf.DUMMYFUNCTION("""COMPUTED_VALUE"""),"Apple Pay")</f>
        <v>Apple Pay</v>
      </c>
      <c r="M110" s="763"/>
      <c r="N110" s="763" t="str">
        <f>IFERROR(__xludf.DUMMYFUNCTION("""COMPUTED_VALUE"""),"64454-1756541408")</f>
        <v>64454-1756541408</v>
      </c>
      <c r="O110" s="762">
        <f>IFERROR(__xludf.DUMMYFUNCTION("""COMPUTED_VALUE"""),0.0)</f>
        <v>0</v>
      </c>
      <c r="P110" s="766">
        <f>IFERROR(__xludf.DUMMYFUNCTION("""COMPUTED_VALUE"""),1.3333333333333333)</f>
        <v>1.333333333</v>
      </c>
      <c r="Q110" s="538" t="str">
        <f>IFERROR(__xludf.DUMMYFUNCTION("""COMPUTED_VALUE"""),"EUR")</f>
        <v>EUR</v>
      </c>
      <c r="R110" s="762">
        <f>IFERROR(__xludf.DUMMYFUNCTION("""COMPUTED_VALUE"""),459.0)</f>
        <v>459</v>
      </c>
      <c r="S110" s="538" t="str">
        <f>IFERROR(__xludf.DUMMYFUNCTION("""COMPUTED_VALUE"""),"Workshop Heels con Lulu Kulova - Workshop Lulu Heels")</f>
        <v>Workshop Heels con Lulu Kulova - Workshop Lulu Heels</v>
      </c>
      <c r="T110" s="763"/>
      <c r="U110" s="763"/>
      <c r="V110" s="762">
        <f>IFERROR(__xludf.DUMMYFUNCTION("""COMPUTED_VALUE"""),1.0)</f>
        <v>1</v>
      </c>
      <c r="W110" s="762">
        <f>IFERROR(__xludf.DUMMYFUNCTION("""COMPUTED_VALUE"""),32.0)</f>
        <v>32</v>
      </c>
      <c r="X110" s="762">
        <f>IFERROR(__xludf.DUMMYFUNCTION("""COMPUTED_VALUE"""),32.0)</f>
        <v>32</v>
      </c>
      <c r="Y110" s="763"/>
      <c r="Z110" s="765" t="str">
        <f>IFERROR(__xludf.DUMMYFUNCTION("""COMPUTED_VALUE"""),"https://studio-gem.it/wp-admin/post.php?post=64454&amp;action=edit")</f>
        <v>https://studio-gem.it/wp-admin/post.php?post=64454&amp;action=edit</v>
      </c>
      <c r="AA110" s="763"/>
      <c r="AB110" s="763"/>
      <c r="AC110" s="763"/>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t="b">
        <f>IFERROR(__xludf.DUMMYFUNCTION("""COMPUTED_VALUE"""),TRUE)</f>
        <v>1</v>
      </c>
      <c r="BH110" s="763" t="b">
        <f>IFERROR(__xludf.DUMMYFUNCTION("""COMPUTED_VALUE"""),TRUE)</f>
        <v>1</v>
      </c>
      <c r="BI110" s="763" t="b">
        <f>IFERROR(__xludf.DUMMYFUNCTION("""COMPUTED_VALUE"""),TRUE)</f>
        <v>1</v>
      </c>
      <c r="BJ110" s="763" t="b">
        <f>IFERROR(__xludf.DUMMYFUNCTION("""COMPUTED_VALUE"""),FALSE)</f>
        <v>0</v>
      </c>
    </row>
    <row r="111">
      <c r="A111" s="762">
        <f>IFERROR(__xludf.DUMMYFUNCTION("""COMPUTED_VALUE"""),64458.0)</f>
        <v>64458</v>
      </c>
      <c r="B111" s="538">
        <f>IFERROR(__xludf.DUMMYFUNCTION("""COMPUTED_VALUE"""),64458.0)</f>
        <v>64458</v>
      </c>
      <c r="C111" s="538" t="str">
        <f>IFERROR(__xludf.DUMMYFUNCTION("""COMPUTED_VALUE"""),"2025-08-30 18:21:25")</f>
        <v>2025-08-30 18:21:25</v>
      </c>
      <c r="D111" s="538" t="str">
        <f>IFERROR(__xludf.DUMMYFUNCTION("""COMPUTED_VALUE"""),"completed")</f>
        <v>completed</v>
      </c>
      <c r="E111" s="538" t="str">
        <f>IFERROR(__xludf.DUMMYFUNCTION("""COMPUTED_VALUE"""),"Aida")</f>
        <v>Aida</v>
      </c>
      <c r="F111" s="538" t="str">
        <f>IFERROR(__xludf.DUMMYFUNCTION("""COMPUTED_VALUE"""),"Ivanez")</f>
        <v>Ivanez</v>
      </c>
      <c r="G111" s="538" t="str">
        <f>IFERROR(__xludf.DUMMYFUNCTION("""COMPUTED_VALUE"""),"aida.ivanez@gmail.com")</f>
        <v>aida.ivanez@gmail.com</v>
      </c>
      <c r="H111" s="538">
        <f>IFERROR(__xludf.DUMMYFUNCTION("""COMPUTED_VALUE"""),3.519822663E9)</f>
        <v>3519822663</v>
      </c>
      <c r="I111" s="538" t="str">
        <f>IFERROR(__xludf.DUMMYFUNCTION("""COMPUTED_VALUE"""),"Milano")</f>
        <v>Milano</v>
      </c>
      <c r="J111" s="538" t="str">
        <f>IFERROR(__xludf.DUMMYFUNCTION("""COMPUTED_VALUE"""),"Viale Corsica 38")</f>
        <v>Viale Corsica 38</v>
      </c>
      <c r="K111" s="538">
        <f>IFERROR(__xludf.DUMMYFUNCTION("""COMPUTED_VALUE"""),20137.0)</f>
        <v>20137</v>
      </c>
      <c r="L111" s="538" t="str">
        <f>IFERROR(__xludf.DUMMYFUNCTION("""COMPUTED_VALUE"""),"Carte di pagamento")</f>
        <v>Carte di pagamento</v>
      </c>
      <c r="M111" s="763"/>
      <c r="N111" s="763" t="str">
        <f>IFERROR(__xludf.DUMMYFUNCTION("""COMPUTED_VALUE"""),"64458-1756578086")</f>
        <v>64458-1756578086</v>
      </c>
      <c r="O111" s="762">
        <f>IFERROR(__xludf.DUMMYFUNCTION("""COMPUTED_VALUE"""),0.0)</f>
        <v>0</v>
      </c>
      <c r="P111" s="766">
        <f>IFERROR(__xludf.DUMMYFUNCTION("""COMPUTED_VALUE"""),1.3333333333333333)</f>
        <v>1.333333333</v>
      </c>
      <c r="Q111" s="538" t="str">
        <f>IFERROR(__xludf.DUMMYFUNCTION("""COMPUTED_VALUE"""),"EUR")</f>
        <v>EUR</v>
      </c>
      <c r="R111" s="762">
        <f>IFERROR(__xludf.DUMMYFUNCTION("""COMPUTED_VALUE"""),460.0)</f>
        <v>460</v>
      </c>
      <c r="S111" s="538" t="str">
        <f>IFERROR(__xludf.DUMMYFUNCTION("""COMPUTED_VALUE"""),"Workshop Heels con Lulu Kulova - Workshop Lulu Heels")</f>
        <v>Workshop Heels con Lulu Kulova - Workshop Lulu Heels</v>
      </c>
      <c r="T111" s="763"/>
      <c r="U111" s="763"/>
      <c r="V111" s="762">
        <f>IFERROR(__xludf.DUMMYFUNCTION("""COMPUTED_VALUE"""),1.0)</f>
        <v>1</v>
      </c>
      <c r="W111" s="762">
        <f>IFERROR(__xludf.DUMMYFUNCTION("""COMPUTED_VALUE"""),32.0)</f>
        <v>32</v>
      </c>
      <c r="X111" s="762">
        <f>IFERROR(__xludf.DUMMYFUNCTION("""COMPUTED_VALUE"""),32.0)</f>
        <v>32</v>
      </c>
      <c r="Y111" s="763"/>
      <c r="Z111" s="765" t="str">
        <f>IFERROR(__xludf.DUMMYFUNCTION("""COMPUTED_VALUE"""),"https://studio-gem.it/wp-admin/post.php?post=64458&amp;action=edit")</f>
        <v>https://studio-gem.it/wp-admin/post.php?post=64458&amp;action=edit</v>
      </c>
      <c r="AA111" s="763"/>
      <c r="AB111" s="763"/>
      <c r="AC111" s="763"/>
      <c r="AD111" s="763"/>
      <c r="AE111" s="763"/>
      <c r="AF111" s="763"/>
      <c r="AG111" s="763"/>
      <c r="AH111" s="763"/>
      <c r="AI111" s="763"/>
      <c r="AJ111" s="763"/>
      <c r="AK111" s="763"/>
      <c r="AL111" s="763"/>
      <c r="AM111" s="763"/>
      <c r="AN111" s="763"/>
      <c r="AO111" s="763"/>
      <c r="AP111" s="763"/>
      <c r="AQ111" s="763"/>
      <c r="AR111" s="763"/>
      <c r="AS111" s="763"/>
      <c r="AT111" s="763"/>
      <c r="AU111" s="763"/>
      <c r="AV111" s="763"/>
      <c r="AW111" s="763"/>
      <c r="AX111" s="763"/>
      <c r="AY111" s="763"/>
      <c r="AZ111" s="763"/>
      <c r="BA111" s="763"/>
      <c r="BB111" s="763"/>
      <c r="BC111" s="763"/>
      <c r="BD111" s="763"/>
      <c r="BE111" s="763"/>
      <c r="BF111" s="763"/>
      <c r="BG111" s="763" t="b">
        <f>IFERROR(__xludf.DUMMYFUNCTION("""COMPUTED_VALUE"""),TRUE)</f>
        <v>1</v>
      </c>
      <c r="BH111" s="763" t="b">
        <f>IFERROR(__xludf.DUMMYFUNCTION("""COMPUTED_VALUE"""),TRUE)</f>
        <v>1</v>
      </c>
      <c r="BI111" s="763" t="b">
        <f>IFERROR(__xludf.DUMMYFUNCTION("""COMPUTED_VALUE"""),TRUE)</f>
        <v>1</v>
      </c>
      <c r="BJ111" s="763" t="b">
        <f>IFERROR(__xludf.DUMMYFUNCTION("""COMPUTED_VALUE"""),FALSE)</f>
        <v>0</v>
      </c>
    </row>
    <row r="112">
      <c r="A112" s="762">
        <f>IFERROR(__xludf.DUMMYFUNCTION("""COMPUTED_VALUE"""),64461.0)</f>
        <v>64461</v>
      </c>
      <c r="B112" s="538">
        <f>IFERROR(__xludf.DUMMYFUNCTION("""COMPUTED_VALUE"""),64461.0)</f>
        <v>64461</v>
      </c>
      <c r="C112" s="538" t="str">
        <f>IFERROR(__xludf.DUMMYFUNCTION("""COMPUTED_VALUE"""),"2025-08-31 13:57:03")</f>
        <v>2025-08-31 13:57:03</v>
      </c>
      <c r="D112" s="538" t="str">
        <f>IFERROR(__xludf.DUMMYFUNCTION("""COMPUTED_VALUE"""),"completed")</f>
        <v>completed</v>
      </c>
      <c r="E112" s="538" t="str">
        <f>IFERROR(__xludf.DUMMYFUNCTION("""COMPUTED_VALUE"""),"Maya Nadine")</f>
        <v>Maya Nadine</v>
      </c>
      <c r="F112" s="538" t="str">
        <f>IFERROR(__xludf.DUMMYFUNCTION("""COMPUTED_VALUE"""),"Gabbi")</f>
        <v>Gabbi</v>
      </c>
      <c r="G112" s="538" t="str">
        <f>IFERROR(__xludf.DUMMYFUNCTION("""COMPUTED_VALUE"""),"gabbimayaa@gmail.com")</f>
        <v>gabbimayaa@gmail.com</v>
      </c>
      <c r="H112" s="538">
        <f>IFERROR(__xludf.DUMMYFUNCTION("""COMPUTED_VALUE"""),3.938982397E9)</f>
        <v>3938982397</v>
      </c>
      <c r="I112" s="538" t="str">
        <f>IFERROR(__xludf.DUMMYFUNCTION("""COMPUTED_VALUE"""),"Milano")</f>
        <v>Milano</v>
      </c>
      <c r="J112" s="538" t="str">
        <f>IFERROR(__xludf.DUMMYFUNCTION("""COMPUTED_VALUE"""),"Via Pestalozzi 10")</f>
        <v>Via Pestalozzi 10</v>
      </c>
      <c r="K112" s="538">
        <f>IFERROR(__xludf.DUMMYFUNCTION("""COMPUTED_VALUE"""),20143.0)</f>
        <v>20143</v>
      </c>
      <c r="L112" s="538" t="str">
        <f>IFERROR(__xludf.DUMMYFUNCTION("""COMPUTED_VALUE"""),"Carte di pagamento")</f>
        <v>Carte di pagamento</v>
      </c>
      <c r="M112" s="763"/>
      <c r="N112" s="763" t="str">
        <f>IFERROR(__xludf.DUMMYFUNCTION("""COMPUTED_VALUE"""),"64461-1756648707")</f>
        <v>64461-1756648707</v>
      </c>
      <c r="O112" s="762">
        <f>IFERROR(__xludf.DUMMYFUNCTION("""COMPUTED_VALUE"""),0.0)</f>
        <v>0</v>
      </c>
      <c r="P112" s="766">
        <f>IFERROR(__xludf.DUMMYFUNCTION("""COMPUTED_VALUE"""),1.3333333333333333)</f>
        <v>1.333333333</v>
      </c>
      <c r="Q112" s="538" t="str">
        <f>IFERROR(__xludf.DUMMYFUNCTION("""COMPUTED_VALUE"""),"EUR")</f>
        <v>EUR</v>
      </c>
      <c r="R112" s="762">
        <f>IFERROR(__xludf.DUMMYFUNCTION("""COMPUTED_VALUE"""),463.0)</f>
        <v>463</v>
      </c>
      <c r="S112" s="538" t="str">
        <f>IFERROR(__xludf.DUMMYFUNCTION("""COMPUTED_VALUE"""),"Workshop Afrofusion con Banana 2025 - Workshop Banana afrofusion")</f>
        <v>Workshop Afrofusion con Banana 2025 - Workshop Banana afrofusion</v>
      </c>
      <c r="T112" s="763"/>
      <c r="U112" s="763"/>
      <c r="V112" s="762">
        <f>IFERROR(__xludf.DUMMYFUNCTION("""COMPUTED_VALUE"""),1.0)</f>
        <v>1</v>
      </c>
      <c r="W112" s="762">
        <f>IFERROR(__xludf.DUMMYFUNCTION("""COMPUTED_VALUE"""),32.0)</f>
        <v>32</v>
      </c>
      <c r="X112" s="762">
        <f>IFERROR(__xludf.DUMMYFUNCTION("""COMPUTED_VALUE"""),32.0)</f>
        <v>32</v>
      </c>
      <c r="Y112" s="763"/>
      <c r="Z112" s="765" t="str">
        <f>IFERROR(__xludf.DUMMYFUNCTION("""COMPUTED_VALUE"""),"https://studio-gem.it/wp-admin/post.php?post=64461&amp;action=edit")</f>
        <v>https://studio-gem.it/wp-admin/post.php?post=64461&amp;action=edit</v>
      </c>
      <c r="AA112" s="763"/>
      <c r="AB112" s="763"/>
      <c r="AC112" s="763"/>
      <c r="AD112" s="763"/>
      <c r="AE112" s="763"/>
      <c r="AF112" s="763"/>
      <c r="AG112" s="763"/>
      <c r="AH112" s="763"/>
      <c r="AI112" s="763"/>
      <c r="AJ112" s="763"/>
      <c r="AK112" s="763"/>
      <c r="AL112" s="763"/>
      <c r="AM112" s="763"/>
      <c r="AN112" s="763"/>
      <c r="AO112" s="763"/>
      <c r="AP112" s="763"/>
      <c r="AQ112" s="763"/>
      <c r="AR112" s="763"/>
      <c r="AS112" s="763"/>
      <c r="AT112" s="763"/>
      <c r="AU112" s="763"/>
      <c r="AV112" s="763"/>
      <c r="AW112" s="763"/>
      <c r="AX112" s="763"/>
      <c r="AY112" s="763"/>
      <c r="AZ112" s="763"/>
      <c r="BA112" s="763"/>
      <c r="BB112" s="763"/>
      <c r="BC112" s="763"/>
      <c r="BD112" s="763"/>
      <c r="BE112" s="763"/>
      <c r="BF112" s="763"/>
      <c r="BG112" s="763" t="b">
        <f>IFERROR(__xludf.DUMMYFUNCTION("""COMPUTED_VALUE"""),TRUE)</f>
        <v>1</v>
      </c>
      <c r="BH112" s="763" t="b">
        <f>IFERROR(__xludf.DUMMYFUNCTION("""COMPUTED_VALUE"""),TRUE)</f>
        <v>1</v>
      </c>
      <c r="BI112" s="763" t="b">
        <f>IFERROR(__xludf.DUMMYFUNCTION("""COMPUTED_VALUE"""),TRUE)</f>
        <v>1</v>
      </c>
      <c r="BJ112" s="763" t="b">
        <f>IFERROR(__xludf.DUMMYFUNCTION("""COMPUTED_VALUE"""),FALSE)</f>
        <v>0</v>
      </c>
    </row>
    <row r="113">
      <c r="A113" s="762">
        <f>IFERROR(__xludf.DUMMYFUNCTION("""COMPUTED_VALUE"""),64467.0)</f>
        <v>64467</v>
      </c>
      <c r="B113" s="538">
        <f>IFERROR(__xludf.DUMMYFUNCTION("""COMPUTED_VALUE"""),64467.0)</f>
        <v>64467</v>
      </c>
      <c r="C113" s="538" t="str">
        <f>IFERROR(__xludf.DUMMYFUNCTION("""COMPUTED_VALUE"""),"2025-09-01 19:19:53")</f>
        <v>2025-09-01 19:19:53</v>
      </c>
      <c r="D113" s="538" t="str">
        <f>IFERROR(__xludf.DUMMYFUNCTION("""COMPUTED_VALUE"""),"completed")</f>
        <v>completed</v>
      </c>
      <c r="E113" s="538" t="str">
        <f>IFERROR(__xludf.DUMMYFUNCTION("""COMPUTED_VALUE"""),"Emma")</f>
        <v>Emma</v>
      </c>
      <c r="F113" s="538" t="str">
        <f>IFERROR(__xludf.DUMMYFUNCTION("""COMPUTED_VALUE"""),"Buatier de Mongeot")</f>
        <v>Buatier de Mongeot</v>
      </c>
      <c r="G113" s="538" t="str">
        <f>IFERROR(__xludf.DUMMYFUNCTION("""COMPUTED_VALUE"""),"emma.buatier@outlook.com")</f>
        <v>emma.buatier@outlook.com</v>
      </c>
      <c r="H113" s="538" t="str">
        <f>IFERROR(__xludf.DUMMYFUNCTION("""COMPUTED_VALUE"""),"+393313274155")</f>
        <v>+393313274155</v>
      </c>
      <c r="I113" s="538" t="str">
        <f>IFERROR(__xludf.DUMMYFUNCTION("""COMPUTED_VALUE"""),"Monza")</f>
        <v>Monza</v>
      </c>
      <c r="J113" s="538" t="str">
        <f>IFERROR(__xludf.DUMMYFUNCTION("""COMPUTED_VALUE"""),"Via Calatafimi 7")</f>
        <v>Via Calatafimi 7</v>
      </c>
      <c r="K113" s="538">
        <f>IFERROR(__xludf.DUMMYFUNCTION("""COMPUTED_VALUE"""),20900.0)</f>
        <v>20900</v>
      </c>
      <c r="L113" s="538" t="str">
        <f>IFERROR(__xludf.DUMMYFUNCTION("""COMPUTED_VALUE"""),"Carte di pagamento")</f>
        <v>Carte di pagamento</v>
      </c>
      <c r="M113" s="538" t="str">
        <f>IFERROR(__xludf.DUMMYFUNCTION("""COMPUTED_VALUE"""),"nura02ws")</f>
        <v>nura02ws</v>
      </c>
      <c r="N113" s="763" t="str">
        <f>IFERROR(__xludf.DUMMYFUNCTION("""COMPUTED_VALUE"""),"64467-1756754394")</f>
        <v>64467-1756754394</v>
      </c>
      <c r="O113" s="762">
        <f>IFERROR(__xludf.DUMMYFUNCTION("""COMPUTED_VALUE"""),0.0)</f>
        <v>0</v>
      </c>
      <c r="P113" s="766">
        <f>IFERROR(__xludf.DUMMYFUNCTION("""COMPUTED_VALUE"""),1.25)</f>
        <v>1.25</v>
      </c>
      <c r="Q113" s="538" t="str">
        <f>IFERROR(__xludf.DUMMYFUNCTION("""COMPUTED_VALUE"""),"EUR")</f>
        <v>EUR</v>
      </c>
      <c r="R113" s="762">
        <f>IFERROR(__xludf.DUMMYFUNCTION("""COMPUTED_VALUE"""),464.0)</f>
        <v>464</v>
      </c>
      <c r="S113" s="538" t="str">
        <f>IFERROR(__xludf.DUMMYFUNCTION("""COMPUTED_VALUE"""),"Workshop Afrofusion con Banana 2025 - Workshop Banana afrofusion")</f>
        <v>Workshop Afrofusion con Banana 2025 - Workshop Banana afrofusion</v>
      </c>
      <c r="T113" s="763"/>
      <c r="U113" s="763"/>
      <c r="V113" s="762">
        <f>IFERROR(__xludf.DUMMYFUNCTION("""COMPUTED_VALUE"""),1.0)</f>
        <v>1</v>
      </c>
      <c r="W113" s="762">
        <f>IFERROR(__xludf.DUMMYFUNCTION("""COMPUTED_VALUE"""),30.0)</f>
        <v>30</v>
      </c>
      <c r="X113" s="762">
        <f>IFERROR(__xludf.DUMMYFUNCTION("""COMPUTED_VALUE"""),30.0)</f>
        <v>30</v>
      </c>
      <c r="Y113" s="763"/>
      <c r="Z113" s="765" t="str">
        <f>IFERROR(__xludf.DUMMYFUNCTION("""COMPUTED_VALUE"""),"https://studio-gem.it/wp-admin/post.php?post=64467&amp;action=edit")</f>
        <v>https://studio-gem.it/wp-admin/post.php?post=64467&amp;action=edit</v>
      </c>
      <c r="AA113" s="763"/>
      <c r="AB113" s="763"/>
      <c r="AC113" s="763"/>
      <c r="AD113" s="763"/>
      <c r="AE113" s="763"/>
      <c r="AF113" s="763"/>
      <c r="AG113" s="763"/>
      <c r="AH113" s="763"/>
      <c r="AI113" s="763"/>
      <c r="AJ113" s="763"/>
      <c r="AK113" s="763"/>
      <c r="AL113" s="763"/>
      <c r="AM113" s="763"/>
      <c r="AN113" s="763"/>
      <c r="AO113" s="763"/>
      <c r="AP113" s="763"/>
      <c r="AQ113" s="763"/>
      <c r="AR113" s="763"/>
      <c r="AS113" s="763"/>
      <c r="AT113" s="763"/>
      <c r="AU113" s="763"/>
      <c r="AV113" s="763"/>
      <c r="AW113" s="763"/>
      <c r="AX113" s="763"/>
      <c r="AY113" s="763"/>
      <c r="AZ113" s="763"/>
      <c r="BA113" s="763"/>
      <c r="BB113" s="763"/>
      <c r="BC113" s="763"/>
      <c r="BD113" s="763"/>
      <c r="BE113" s="763"/>
      <c r="BF113" s="763"/>
      <c r="BG113" s="763" t="b">
        <f>IFERROR(__xludf.DUMMYFUNCTION("""COMPUTED_VALUE"""),TRUE)</f>
        <v>1</v>
      </c>
      <c r="BH113" s="763" t="b">
        <f>IFERROR(__xludf.DUMMYFUNCTION("""COMPUTED_VALUE"""),TRUE)</f>
        <v>1</v>
      </c>
      <c r="BI113" s="763" t="b">
        <f>IFERROR(__xludf.DUMMYFUNCTION("""COMPUTED_VALUE"""),TRUE)</f>
        <v>1</v>
      </c>
      <c r="BJ113" s="763" t="b">
        <f>IFERROR(__xludf.DUMMYFUNCTION("""COMPUTED_VALUE"""),FALSE)</f>
        <v>0</v>
      </c>
    </row>
    <row r="114">
      <c r="A114" s="762">
        <f>IFERROR(__xludf.DUMMYFUNCTION("""COMPUTED_VALUE"""),64496.0)</f>
        <v>64496</v>
      </c>
      <c r="B114" s="538">
        <f>IFERROR(__xludf.DUMMYFUNCTION("""COMPUTED_VALUE"""),64496.0)</f>
        <v>64496</v>
      </c>
      <c r="C114" s="538" t="str">
        <f>IFERROR(__xludf.DUMMYFUNCTION("""COMPUTED_VALUE"""),"2025-09-02 15:56:48")</f>
        <v>2025-09-02 15:56:48</v>
      </c>
      <c r="D114" s="538" t="str">
        <f>IFERROR(__xludf.DUMMYFUNCTION("""COMPUTED_VALUE"""),"cancelled")</f>
        <v>cancelled</v>
      </c>
      <c r="E114" s="538" t="str">
        <f>IFERROR(__xludf.DUMMYFUNCTION("""COMPUTED_VALUE"""),"Linda")</f>
        <v>Linda</v>
      </c>
      <c r="F114" s="538" t="str">
        <f>IFERROR(__xludf.DUMMYFUNCTION("""COMPUTED_VALUE"""),"Micheli")</f>
        <v>Micheli</v>
      </c>
      <c r="G114" s="538" t="str">
        <f>IFERROR(__xludf.DUMMYFUNCTION("""COMPUTED_VALUE"""),"lindamicheli@icloud.com")</f>
        <v>lindamicheli@icloud.com</v>
      </c>
      <c r="H114" s="538">
        <f>IFERROR(__xludf.DUMMYFUNCTION("""COMPUTED_VALUE"""),3.317286206E9)</f>
        <v>3317286206</v>
      </c>
      <c r="I114" s="538" t="str">
        <f>IFERROR(__xludf.DUMMYFUNCTION("""COMPUTED_VALUE"""),"Cavacurta")</f>
        <v>Cavacurta</v>
      </c>
      <c r="J114" s="538" t="str">
        <f>IFERROR(__xludf.DUMMYFUNCTION("""COMPUTED_VALUE"""),"Via Don Giuseppe Sfondrini 3")</f>
        <v>Via Don Giuseppe Sfondrini 3</v>
      </c>
      <c r="K114" s="538">
        <f>IFERROR(__xludf.DUMMYFUNCTION("""COMPUTED_VALUE"""),26844.0)</f>
        <v>26844</v>
      </c>
      <c r="L114" s="538" t="str">
        <f>IFERROR(__xludf.DUMMYFUNCTION("""COMPUTED_VALUE"""),"Satispay")</f>
        <v>Satispay</v>
      </c>
      <c r="M114" s="538" t="str">
        <f>IFERROR(__xludf.DUMMYFUNCTION("""COMPUTED_VALUE"""),"nura02ws")</f>
        <v>nura02ws</v>
      </c>
      <c r="N114" s="763" t="str">
        <f>IFERROR(__xludf.DUMMYFUNCTION("""COMPUTED_VALUE"""),"01990b25-2912-78ca-90ce-ae2705e41613")</f>
        <v>01990b25-2912-78ca-90ce-ae2705e41613</v>
      </c>
      <c r="O114" s="762">
        <f>IFERROR(__xludf.DUMMYFUNCTION("""COMPUTED_VALUE"""),0.0)</f>
        <v>0</v>
      </c>
      <c r="P114" s="766">
        <f>IFERROR(__xludf.DUMMYFUNCTION("""COMPUTED_VALUE"""),1.7916666666666667)</f>
        <v>1.791666667</v>
      </c>
      <c r="Q114" s="538" t="str">
        <f>IFERROR(__xludf.DUMMYFUNCTION("""COMPUTED_VALUE"""),"EUR")</f>
        <v>EUR</v>
      </c>
      <c r="R114" s="762">
        <f>IFERROR(__xludf.DUMMYFUNCTION("""COMPUTED_VALUE"""),466.0)</f>
        <v>466</v>
      </c>
      <c r="S114" s="538" t="str">
        <f>IFERROR(__xludf.DUMMYFUNCTION("""COMPUTED_VALUE"""),"Workshop Commercial con Timor Steffens - Workshop Commercial con Timor Steffens")</f>
        <v>Workshop Commercial con Timor Steffens - Workshop Commercial con Timor Steffens</v>
      </c>
      <c r="T114" s="763"/>
      <c r="U114" s="763"/>
      <c r="V114" s="762">
        <f>IFERROR(__xludf.DUMMYFUNCTION("""COMPUTED_VALUE"""),1.0)</f>
        <v>1</v>
      </c>
      <c r="W114" s="762">
        <f>IFERROR(__xludf.DUMMYFUNCTION("""COMPUTED_VALUE"""),43.0)</f>
        <v>43</v>
      </c>
      <c r="X114" s="762">
        <f>IFERROR(__xludf.DUMMYFUNCTION("""COMPUTED_VALUE"""),43.0)</f>
        <v>43</v>
      </c>
      <c r="Y114" s="763"/>
      <c r="Z114" s="765" t="str">
        <f>IFERROR(__xludf.DUMMYFUNCTION("""COMPUTED_VALUE"""),"https://studio-gem.it/wp-admin/post.php?post=64496&amp;action=edit")</f>
        <v>https://studio-gem.it/wp-admin/post.php?post=64496&amp;action=edit</v>
      </c>
      <c r="AA114" s="763"/>
      <c r="AB114" s="763"/>
      <c r="AC114" s="763"/>
      <c r="AD114" s="763"/>
      <c r="AE114" s="763"/>
      <c r="AF114" s="763"/>
      <c r="AG114" s="763"/>
      <c r="AH114" s="763"/>
      <c r="AI114" s="763"/>
      <c r="AJ114" s="763"/>
      <c r="AK114" s="763"/>
      <c r="AL114" s="763"/>
      <c r="AM114" s="763"/>
      <c r="AN114" s="763"/>
      <c r="AO114" s="763"/>
      <c r="AP114" s="763"/>
      <c r="AQ114" s="763"/>
      <c r="AR114" s="763"/>
      <c r="AS114" s="763"/>
      <c r="AT114" s="763"/>
      <c r="AU114" s="763"/>
      <c r="AV114" s="763"/>
      <c r="AW114" s="763"/>
      <c r="AX114" s="763"/>
      <c r="AY114" s="763"/>
      <c r="AZ114" s="763"/>
      <c r="BA114" s="763"/>
      <c r="BB114" s="763"/>
      <c r="BC114" s="763"/>
      <c r="BD114" s="763"/>
      <c r="BE114" s="763"/>
      <c r="BF114" s="763"/>
      <c r="BG114" s="763" t="b">
        <f>IFERROR(__xludf.DUMMYFUNCTION("""COMPUTED_VALUE"""),FALSE)</f>
        <v>0</v>
      </c>
      <c r="BH114" s="763" t="b">
        <f>IFERROR(__xludf.DUMMYFUNCTION("""COMPUTED_VALUE"""),TRUE)</f>
        <v>1</v>
      </c>
      <c r="BI114" s="763" t="b">
        <f>IFERROR(__xludf.DUMMYFUNCTION("""COMPUTED_VALUE"""),FALSE)</f>
        <v>0</v>
      </c>
      <c r="BJ114" s="763" t="b">
        <f>IFERROR(__xludf.DUMMYFUNCTION("""COMPUTED_VALUE"""),FALSE)</f>
        <v>0</v>
      </c>
    </row>
    <row r="115">
      <c r="A115" s="762">
        <f>IFERROR(__xludf.DUMMYFUNCTION("""COMPUTED_VALUE"""),64497.0)</f>
        <v>64497</v>
      </c>
      <c r="B115" s="538">
        <f>IFERROR(__xludf.DUMMYFUNCTION("""COMPUTED_VALUE"""),64497.0)</f>
        <v>64497</v>
      </c>
      <c r="C115" s="538" t="str">
        <f>IFERROR(__xludf.DUMMYFUNCTION("""COMPUTED_VALUE"""),"2025-09-02 15:59:22")</f>
        <v>2025-09-02 15:59:22</v>
      </c>
      <c r="D115" s="538" t="str">
        <f>IFERROR(__xludf.DUMMYFUNCTION("""COMPUTED_VALUE"""),"completed")</f>
        <v>completed</v>
      </c>
      <c r="E115" s="538" t="str">
        <f>IFERROR(__xludf.DUMMYFUNCTION("""COMPUTED_VALUE"""),"Linda")</f>
        <v>Linda</v>
      </c>
      <c r="F115" s="538" t="str">
        <f>IFERROR(__xludf.DUMMYFUNCTION("""COMPUTED_VALUE"""),"Micheli")</f>
        <v>Micheli</v>
      </c>
      <c r="G115" s="538" t="str">
        <f>IFERROR(__xludf.DUMMYFUNCTION("""COMPUTED_VALUE"""),"lindamicheli@icloud.com")</f>
        <v>lindamicheli@icloud.com</v>
      </c>
      <c r="H115" s="538">
        <f>IFERROR(__xludf.DUMMYFUNCTION("""COMPUTED_VALUE"""),3.317286206E9)</f>
        <v>3317286206</v>
      </c>
      <c r="I115" s="538" t="str">
        <f>IFERROR(__xludf.DUMMYFUNCTION("""COMPUTED_VALUE"""),"Cavacurta")</f>
        <v>Cavacurta</v>
      </c>
      <c r="J115" s="538" t="str">
        <f>IFERROR(__xludf.DUMMYFUNCTION("""COMPUTED_VALUE"""),"Via Don Giuseppe Sfondrini 3")</f>
        <v>Via Don Giuseppe Sfondrini 3</v>
      </c>
      <c r="K115" s="538">
        <f>IFERROR(__xludf.DUMMYFUNCTION("""COMPUTED_VALUE"""),26844.0)</f>
        <v>26844</v>
      </c>
      <c r="L115" s="538" t="str">
        <f>IFERROR(__xludf.DUMMYFUNCTION("""COMPUTED_VALUE"""),"Apple Pay")</f>
        <v>Apple Pay</v>
      </c>
      <c r="M115" s="538" t="str">
        <f>IFERROR(__xludf.DUMMYFUNCTION("""COMPUTED_VALUE"""),"nura02ws")</f>
        <v>nura02ws</v>
      </c>
      <c r="N115" s="763" t="str">
        <f>IFERROR(__xludf.DUMMYFUNCTION("""COMPUTED_VALUE"""),"64497-1756828855")</f>
        <v>64497-1756828855</v>
      </c>
      <c r="O115" s="762">
        <f>IFERROR(__xludf.DUMMYFUNCTION("""COMPUTED_VALUE"""),0.0)</f>
        <v>0</v>
      </c>
      <c r="P115" s="766">
        <f>IFERROR(__xludf.DUMMYFUNCTION("""COMPUTED_VALUE"""),1.7916666666666667)</f>
        <v>1.791666667</v>
      </c>
      <c r="Q115" s="538" t="str">
        <f>IFERROR(__xludf.DUMMYFUNCTION("""COMPUTED_VALUE"""),"EUR")</f>
        <v>EUR</v>
      </c>
      <c r="R115" s="762">
        <f>IFERROR(__xludf.DUMMYFUNCTION("""COMPUTED_VALUE"""),470.0)</f>
        <v>470</v>
      </c>
      <c r="S115" s="538" t="str">
        <f>IFERROR(__xludf.DUMMYFUNCTION("""COMPUTED_VALUE"""),"Workshop Commercial con Timor Steffens - Workshop Commercial con Timor Steffens")</f>
        <v>Workshop Commercial con Timor Steffens - Workshop Commercial con Timor Steffens</v>
      </c>
      <c r="T115" s="763"/>
      <c r="U115" s="763"/>
      <c r="V115" s="762">
        <f>IFERROR(__xludf.DUMMYFUNCTION("""COMPUTED_VALUE"""),1.0)</f>
        <v>1</v>
      </c>
      <c r="W115" s="762">
        <f>IFERROR(__xludf.DUMMYFUNCTION("""COMPUTED_VALUE"""),43.0)</f>
        <v>43</v>
      </c>
      <c r="X115" s="762">
        <f>IFERROR(__xludf.DUMMYFUNCTION("""COMPUTED_VALUE"""),43.0)</f>
        <v>43</v>
      </c>
      <c r="Y115" s="763"/>
      <c r="Z115" s="765" t="str">
        <f>IFERROR(__xludf.DUMMYFUNCTION("""COMPUTED_VALUE"""),"https://studio-gem.it/wp-admin/post.php?post=64497&amp;action=edit")</f>
        <v>https://studio-gem.it/wp-admin/post.php?post=64497&amp;action=edit</v>
      </c>
      <c r="AA115" s="763"/>
      <c r="AB115" s="763"/>
      <c r="AC115" s="763"/>
      <c r="AD115" s="763"/>
      <c r="AE115" s="763"/>
      <c r="AF115" s="763"/>
      <c r="AG115" s="763"/>
      <c r="AH115" s="763"/>
      <c r="AI115" s="763"/>
      <c r="AJ115" s="763"/>
      <c r="AK115" s="763"/>
      <c r="AL115" s="763"/>
      <c r="AM115" s="763"/>
      <c r="AN115" s="763"/>
      <c r="AO115" s="763"/>
      <c r="AP115" s="763"/>
      <c r="AQ115" s="763"/>
      <c r="AR115" s="763"/>
      <c r="AS115" s="763"/>
      <c r="AT115" s="763"/>
      <c r="AU115" s="763"/>
      <c r="AV115" s="763"/>
      <c r="AW115" s="763"/>
      <c r="AX115" s="763"/>
      <c r="AY115" s="763"/>
      <c r="AZ115" s="763"/>
      <c r="BA115" s="763"/>
      <c r="BB115" s="763"/>
      <c r="BC115" s="763"/>
      <c r="BD115" s="763"/>
      <c r="BE115" s="763"/>
      <c r="BF115" s="763"/>
      <c r="BG115" s="763" t="b">
        <f>IFERROR(__xludf.DUMMYFUNCTION("""COMPUTED_VALUE"""),TRUE)</f>
        <v>1</v>
      </c>
      <c r="BH115" s="763" t="b">
        <f>IFERROR(__xludf.DUMMYFUNCTION("""COMPUTED_VALUE"""),TRUE)</f>
        <v>1</v>
      </c>
      <c r="BI115" s="763" t="b">
        <f>IFERROR(__xludf.DUMMYFUNCTION("""COMPUTED_VALUE"""),TRUE)</f>
        <v>1</v>
      </c>
      <c r="BJ115" s="763" t="b">
        <f>IFERROR(__xludf.DUMMYFUNCTION("""COMPUTED_VALUE"""),FALSE)</f>
        <v>0</v>
      </c>
    </row>
    <row r="116">
      <c r="A116" s="762">
        <f>IFERROR(__xludf.DUMMYFUNCTION("""COMPUTED_VALUE"""),64499.0)</f>
        <v>64499</v>
      </c>
      <c r="B116" s="538">
        <f>IFERROR(__xludf.DUMMYFUNCTION("""COMPUTED_VALUE"""),64499.0)</f>
        <v>64499</v>
      </c>
      <c r="C116" s="538" t="str">
        <f>IFERROR(__xludf.DUMMYFUNCTION("""COMPUTED_VALUE"""),"2025-09-02 19:49:14")</f>
        <v>2025-09-02 19:49:14</v>
      </c>
      <c r="D116" s="538" t="str">
        <f>IFERROR(__xludf.DUMMYFUNCTION("""COMPUTED_VALUE"""),"completed")</f>
        <v>completed</v>
      </c>
      <c r="E116" s="538" t="str">
        <f>IFERROR(__xludf.DUMMYFUNCTION("""COMPUTED_VALUE"""),"Vanessa Alisja")</f>
        <v>Vanessa Alisja</v>
      </c>
      <c r="F116" s="538" t="str">
        <f>IFERROR(__xludf.DUMMYFUNCTION("""COMPUTED_VALUE"""),"Loreto")</f>
        <v>Loreto</v>
      </c>
      <c r="G116" s="538" t="str">
        <f>IFERROR(__xludf.DUMMYFUNCTION("""COMPUTED_VALUE"""),"vanessaloreto98@gmail.com")</f>
        <v>vanessaloreto98@gmail.com</v>
      </c>
      <c r="H116" s="538">
        <f>IFERROR(__xludf.DUMMYFUNCTION("""COMPUTED_VALUE"""),3.420039409E9)</f>
        <v>3420039409</v>
      </c>
      <c r="I116" s="538" t="str">
        <f>IFERROR(__xludf.DUMMYFUNCTION("""COMPUTED_VALUE"""),"Mantova")</f>
        <v>Mantova</v>
      </c>
      <c r="J116" s="538" t="str">
        <f>IFERROR(__xludf.DUMMYFUNCTION("""COMPUTED_VALUE"""),"Vicolo ronda 3")</f>
        <v>Vicolo ronda 3</v>
      </c>
      <c r="K116" s="538">
        <f>IFERROR(__xludf.DUMMYFUNCTION("""COMPUTED_VALUE"""),46100.0)</f>
        <v>46100</v>
      </c>
      <c r="L116" s="538" t="str">
        <f>IFERROR(__xludf.DUMMYFUNCTION("""COMPUTED_VALUE"""),"Carte di pagamento")</f>
        <v>Carte di pagamento</v>
      </c>
      <c r="M116" s="763"/>
      <c r="N116" s="763" t="str">
        <f>IFERROR(__xludf.DUMMYFUNCTION("""COMPUTED_VALUE"""),"64499-1756842555")</f>
        <v>64499-1756842555</v>
      </c>
      <c r="O116" s="762">
        <f>IFERROR(__xludf.DUMMYFUNCTION("""COMPUTED_VALUE"""),0.0)</f>
        <v>0</v>
      </c>
      <c r="P116" s="766">
        <f>IFERROR(__xludf.DUMMYFUNCTION("""COMPUTED_VALUE"""),1.3333333333333333)</f>
        <v>1.333333333</v>
      </c>
      <c r="Q116" s="538" t="str">
        <f>IFERROR(__xludf.DUMMYFUNCTION("""COMPUTED_VALUE"""),"EUR")</f>
        <v>EUR</v>
      </c>
      <c r="R116" s="762">
        <f>IFERROR(__xludf.DUMMYFUNCTION("""COMPUTED_VALUE"""),472.0)</f>
        <v>472</v>
      </c>
      <c r="S116" s="538" t="str">
        <f>IFERROR(__xludf.DUMMYFUNCTION("""COMPUTED_VALUE"""),"Workshop Afrofusion con Banana 2025 - Workshop Banana afrofusion")</f>
        <v>Workshop Afrofusion con Banana 2025 - Workshop Banana afrofusion</v>
      </c>
      <c r="T116" s="763"/>
      <c r="U116" s="763"/>
      <c r="V116" s="762">
        <f>IFERROR(__xludf.DUMMYFUNCTION("""COMPUTED_VALUE"""),1.0)</f>
        <v>1</v>
      </c>
      <c r="W116" s="762">
        <f>IFERROR(__xludf.DUMMYFUNCTION("""COMPUTED_VALUE"""),32.0)</f>
        <v>32</v>
      </c>
      <c r="X116" s="762">
        <f>IFERROR(__xludf.DUMMYFUNCTION("""COMPUTED_VALUE"""),32.0)</f>
        <v>32</v>
      </c>
      <c r="Y116" s="763"/>
      <c r="Z116" s="765" t="str">
        <f>IFERROR(__xludf.DUMMYFUNCTION("""COMPUTED_VALUE"""),"https://studio-gem.it/wp-admin/post.php?post=64499&amp;action=edit")</f>
        <v>https://studio-gem.it/wp-admin/post.php?post=64499&amp;action=edit</v>
      </c>
      <c r="AA116" s="763"/>
      <c r="AB116" s="763"/>
      <c r="AC116" s="763"/>
      <c r="AD116" s="763"/>
      <c r="AE116" s="763"/>
      <c r="AF116" s="763"/>
      <c r="AG116" s="763"/>
      <c r="AH116" s="763"/>
      <c r="AI116" s="763"/>
      <c r="AJ116" s="763"/>
      <c r="AK116" s="763"/>
      <c r="AL116" s="763"/>
      <c r="AM116" s="763"/>
      <c r="AN116" s="763"/>
      <c r="AO116" s="763"/>
      <c r="AP116" s="763"/>
      <c r="AQ116" s="763"/>
      <c r="AR116" s="763"/>
      <c r="AS116" s="763"/>
      <c r="AT116" s="763"/>
      <c r="AU116" s="763"/>
      <c r="AV116" s="763"/>
      <c r="AW116" s="763"/>
      <c r="AX116" s="763"/>
      <c r="AY116" s="763"/>
      <c r="AZ116" s="763"/>
      <c r="BA116" s="763"/>
      <c r="BB116" s="763"/>
      <c r="BC116" s="763"/>
      <c r="BD116" s="763"/>
      <c r="BE116" s="763"/>
      <c r="BF116" s="763"/>
      <c r="BG116" s="763" t="b">
        <f>IFERROR(__xludf.DUMMYFUNCTION("""COMPUTED_VALUE"""),TRUE)</f>
        <v>1</v>
      </c>
      <c r="BH116" s="763" t="b">
        <f>IFERROR(__xludf.DUMMYFUNCTION("""COMPUTED_VALUE"""),TRUE)</f>
        <v>1</v>
      </c>
      <c r="BI116" s="763" t="b">
        <f>IFERROR(__xludf.DUMMYFUNCTION("""COMPUTED_VALUE"""),TRUE)</f>
        <v>1</v>
      </c>
      <c r="BJ116" s="763" t="b">
        <f>IFERROR(__xludf.DUMMYFUNCTION("""COMPUTED_VALUE"""),FALSE)</f>
        <v>0</v>
      </c>
    </row>
    <row r="117">
      <c r="A117" s="762">
        <f>IFERROR(__xludf.DUMMYFUNCTION("""COMPUTED_VALUE"""),64522.0)</f>
        <v>64522</v>
      </c>
      <c r="B117" s="538">
        <f>IFERROR(__xludf.DUMMYFUNCTION("""COMPUTED_VALUE"""),64522.0)</f>
        <v>64522</v>
      </c>
      <c r="C117" s="538" t="str">
        <f>IFERROR(__xludf.DUMMYFUNCTION("""COMPUTED_VALUE"""),"2025-09-04 11:24:12")</f>
        <v>2025-09-04 11:24:12</v>
      </c>
      <c r="D117" s="538" t="str">
        <f>IFERROR(__xludf.DUMMYFUNCTION("""COMPUTED_VALUE"""),"completed")</f>
        <v>completed</v>
      </c>
      <c r="E117" s="538" t="str">
        <f>IFERROR(__xludf.DUMMYFUNCTION("""COMPUTED_VALUE"""),"Rebecca")</f>
        <v>Rebecca</v>
      </c>
      <c r="F117" s="538" t="str">
        <f>IFERROR(__xludf.DUMMYFUNCTION("""COMPUTED_VALUE"""),"Paltrinieri")</f>
        <v>Paltrinieri</v>
      </c>
      <c r="G117" s="538" t="str">
        <f>IFERROR(__xludf.DUMMYFUNCTION("""COMPUTED_VALUE"""),"Francescadaga16@gmail.com")</f>
        <v>Francescadaga16@gmail.com</v>
      </c>
      <c r="H117" s="538">
        <f>IFERROR(__xludf.DUMMYFUNCTION("""COMPUTED_VALUE"""),3.404989375E9)</f>
        <v>3404989375</v>
      </c>
      <c r="I117" s="538" t="str">
        <f>IFERROR(__xludf.DUMMYFUNCTION("""COMPUTED_VALUE"""),"Milano")</f>
        <v>Milano</v>
      </c>
      <c r="J117" s="538" t="str">
        <f>IFERROR(__xludf.DUMMYFUNCTION("""COMPUTED_VALUE"""),"Via Nirone 5")</f>
        <v>Via Nirone 5</v>
      </c>
      <c r="K117" s="538">
        <f>IFERROR(__xludf.DUMMYFUNCTION("""COMPUTED_VALUE"""),20123.0)</f>
        <v>20123</v>
      </c>
      <c r="L117" s="538" t="str">
        <f>IFERROR(__xludf.DUMMYFUNCTION("""COMPUTED_VALUE"""),"Apple Pay")</f>
        <v>Apple Pay</v>
      </c>
      <c r="M117" s="763"/>
      <c r="N117" s="763" t="str">
        <f>IFERROR(__xludf.DUMMYFUNCTION("""COMPUTED_VALUE"""),"64522-1756985054")</f>
        <v>64522-1756985054</v>
      </c>
      <c r="O117" s="762">
        <f>IFERROR(__xludf.DUMMYFUNCTION("""COMPUTED_VALUE"""),0.0)</f>
        <v>0</v>
      </c>
      <c r="P117" s="766">
        <f>IFERROR(__xludf.DUMMYFUNCTION("""COMPUTED_VALUE"""),2.0833333333333335)</f>
        <v>2.083333333</v>
      </c>
      <c r="Q117" s="538" t="str">
        <f>IFERROR(__xludf.DUMMYFUNCTION("""COMPUTED_VALUE"""),"EUR")</f>
        <v>EUR</v>
      </c>
      <c r="R117" s="762">
        <f>IFERROR(__xludf.DUMMYFUNCTION("""COMPUTED_VALUE"""),473.0)</f>
        <v>473</v>
      </c>
      <c r="S117" s="538" t="str">
        <f>IFERROR(__xludf.DUMMYFUNCTION("""COMPUTED_VALUE"""),"Gift card - Gift card 50€")</f>
        <v>Gift card - Gift card 50€</v>
      </c>
      <c r="T117" s="763"/>
      <c r="U117" s="763"/>
      <c r="V117" s="762">
        <f>IFERROR(__xludf.DUMMYFUNCTION("""COMPUTED_VALUE"""),1.0)</f>
        <v>1</v>
      </c>
      <c r="W117" s="762">
        <f>IFERROR(__xludf.DUMMYFUNCTION("""COMPUTED_VALUE"""),50.0)</f>
        <v>50</v>
      </c>
      <c r="X117" s="762">
        <f>IFERROR(__xludf.DUMMYFUNCTION("""COMPUTED_VALUE"""),50.0)</f>
        <v>50</v>
      </c>
      <c r="Y117" s="763"/>
      <c r="Z117" s="765" t="str">
        <f>IFERROR(__xludf.DUMMYFUNCTION("""COMPUTED_VALUE"""),"https://studio-gem.it/wp-admin/post.php?post=64522&amp;action=edit")</f>
        <v>https://studio-gem.it/wp-admin/post.php?post=64522&amp;action=edit</v>
      </c>
      <c r="AA117" s="763"/>
      <c r="AB117" s="763"/>
      <c r="AC117" s="763"/>
      <c r="AD117" s="763"/>
      <c r="AE117" s="763"/>
      <c r="AF117" s="763"/>
      <c r="AG117" s="763"/>
      <c r="AH117" s="763"/>
      <c r="AI117" s="763"/>
      <c r="AJ117" s="763"/>
      <c r="AK117" s="763"/>
      <c r="AL117" s="763"/>
      <c r="AM117" s="763"/>
      <c r="AN117" s="763"/>
      <c r="AO117" s="763"/>
      <c r="AP117" s="763"/>
      <c r="AQ117" s="763"/>
      <c r="AR117" s="763"/>
      <c r="AS117" s="763"/>
      <c r="AT117" s="763"/>
      <c r="AU117" s="763"/>
      <c r="AV117" s="763"/>
      <c r="AW117" s="763"/>
      <c r="AX117" s="763"/>
      <c r="AY117" s="763"/>
      <c r="AZ117" s="763"/>
      <c r="BA117" s="763"/>
      <c r="BB117" s="763"/>
      <c r="BC117" s="763"/>
      <c r="BD117" s="763"/>
      <c r="BE117" s="763"/>
      <c r="BF117" s="763"/>
      <c r="BG117" s="763" t="b">
        <f>IFERROR(__xludf.DUMMYFUNCTION("""COMPUTED_VALUE"""),FALSE)</f>
        <v>0</v>
      </c>
      <c r="BH117" s="763" t="b">
        <f>IFERROR(__xludf.DUMMYFUNCTION("""COMPUTED_VALUE"""),TRUE)</f>
        <v>1</v>
      </c>
      <c r="BI117" s="763" t="b">
        <f>IFERROR(__xludf.DUMMYFUNCTION("""COMPUTED_VALUE"""),FALSE)</f>
        <v>0</v>
      </c>
      <c r="BJ117" s="763" t="b">
        <f>IFERROR(__xludf.DUMMYFUNCTION("""COMPUTED_VALUE"""),FALSE)</f>
        <v>0</v>
      </c>
    </row>
    <row r="118">
      <c r="A118" s="762">
        <f>IFERROR(__xludf.DUMMYFUNCTION("""COMPUTED_VALUE"""),64526.0)</f>
        <v>64526</v>
      </c>
      <c r="B118" s="538">
        <f>IFERROR(__xludf.DUMMYFUNCTION("""COMPUTED_VALUE"""),64526.0)</f>
        <v>64526</v>
      </c>
      <c r="C118" s="538" t="str">
        <f>IFERROR(__xludf.DUMMYFUNCTION("""COMPUTED_VALUE"""),"2025-09-04 13:58:19")</f>
        <v>2025-09-04 13:58:19</v>
      </c>
      <c r="D118" s="538" t="str">
        <f>IFERROR(__xludf.DUMMYFUNCTION("""COMPUTED_VALUE"""),"processing")</f>
        <v>processing</v>
      </c>
      <c r="E118" s="538" t="str">
        <f>IFERROR(__xludf.DUMMYFUNCTION("""COMPUTED_VALUE"""),"Vanessa Alisja")</f>
        <v>Vanessa Alisja</v>
      </c>
      <c r="F118" s="538" t="str">
        <f>IFERROR(__xludf.DUMMYFUNCTION("""COMPUTED_VALUE"""),"Loreto")</f>
        <v>Loreto</v>
      </c>
      <c r="G118" s="538" t="str">
        <f>IFERROR(__xludf.DUMMYFUNCTION("""COMPUTED_VALUE"""),"vanessaloreto98@gmail.com")</f>
        <v>vanessaloreto98@gmail.com</v>
      </c>
      <c r="H118" s="538">
        <f>IFERROR(__xludf.DUMMYFUNCTION("""COMPUTED_VALUE"""),3.420039409E9)</f>
        <v>3420039409</v>
      </c>
      <c r="I118" s="538" t="str">
        <f>IFERROR(__xludf.DUMMYFUNCTION("""COMPUTED_VALUE"""),"Mantova")</f>
        <v>Mantova</v>
      </c>
      <c r="J118" s="538" t="str">
        <f>IFERROR(__xludf.DUMMYFUNCTION("""COMPUTED_VALUE"""),"Vicolo ronda 3")</f>
        <v>Vicolo ronda 3</v>
      </c>
      <c r="K118" s="538">
        <f>IFERROR(__xludf.DUMMYFUNCTION("""COMPUTED_VALUE"""),46100.0)</f>
        <v>46100</v>
      </c>
      <c r="L118" s="538" t="str">
        <f>IFERROR(__xludf.DUMMYFUNCTION("""COMPUTED_VALUE"""),"Carte di pagamento")</f>
        <v>Carte di pagamento</v>
      </c>
      <c r="M118" s="538" t="str">
        <f>IFERROR(__xludf.DUMMYFUNCTION("""COMPUTED_VALUE"""),"estefany02ws")</f>
        <v>estefany02ws</v>
      </c>
      <c r="N118" s="763" t="str">
        <f>IFERROR(__xludf.DUMMYFUNCTION("""COMPUTED_VALUE"""),"64526-1756994380")</f>
        <v>64526-1756994380</v>
      </c>
      <c r="O118" s="762">
        <f>IFERROR(__xludf.DUMMYFUNCTION("""COMPUTED_VALUE"""),0.0)</f>
        <v>0</v>
      </c>
      <c r="P118" s="766">
        <f>IFERROR(__xludf.DUMMYFUNCTION("""COMPUTED_VALUE"""),1.25)</f>
        <v>1.25</v>
      </c>
      <c r="Q118" s="538" t="str">
        <f>IFERROR(__xludf.DUMMYFUNCTION("""COMPUTED_VALUE"""),"EUR")</f>
        <v>EUR</v>
      </c>
      <c r="R118" s="762">
        <f>IFERROR(__xludf.DUMMYFUNCTION("""COMPUTED_VALUE"""),476.0)</f>
        <v>476</v>
      </c>
      <c r="S118" s="538" t="str">
        <f>IFERROR(__xludf.DUMMYFUNCTION("""COMPUTED_VALUE"""),"Workshop Heels con Lulu Kulova - Workshop Lulu Heels")</f>
        <v>Workshop Heels con Lulu Kulova - Workshop Lulu Heels</v>
      </c>
      <c r="T118" s="763"/>
      <c r="U118" s="763"/>
      <c r="V118" s="762">
        <f>IFERROR(__xludf.DUMMYFUNCTION("""COMPUTED_VALUE"""),1.0)</f>
        <v>1</v>
      </c>
      <c r="W118" s="762">
        <f>IFERROR(__xludf.DUMMYFUNCTION("""COMPUTED_VALUE"""),30.0)</f>
        <v>30</v>
      </c>
      <c r="X118" s="762">
        <f>IFERROR(__xludf.DUMMYFUNCTION("""COMPUTED_VALUE"""),30.0)</f>
        <v>30</v>
      </c>
      <c r="Y118" s="763"/>
      <c r="Z118" s="765" t="str">
        <f>IFERROR(__xludf.DUMMYFUNCTION("""COMPUTED_VALUE"""),"https://studio-gem.it/wp-admin/post.php?post=64526&amp;action=edit")</f>
        <v>https://studio-gem.it/wp-admin/post.php?post=64526&amp;action=edit</v>
      </c>
      <c r="AA118" s="763"/>
      <c r="AB118" s="763"/>
      <c r="AC118" s="763"/>
      <c r="AD118" s="763"/>
      <c r="AE118" s="763"/>
      <c r="AF118" s="763"/>
      <c r="AG118" s="763"/>
      <c r="AH118" s="763"/>
      <c r="AI118" s="763"/>
      <c r="AJ118" s="763"/>
      <c r="AK118" s="763"/>
      <c r="AL118" s="763"/>
      <c r="AM118" s="763"/>
      <c r="AN118" s="763"/>
      <c r="AO118" s="763"/>
      <c r="AP118" s="763"/>
      <c r="AQ118" s="763"/>
      <c r="AR118" s="763"/>
      <c r="AS118" s="763"/>
      <c r="AT118" s="763"/>
      <c r="AU118" s="763"/>
      <c r="AV118" s="763"/>
      <c r="AW118" s="763"/>
      <c r="AX118" s="763"/>
      <c r="AY118" s="763"/>
      <c r="AZ118" s="763"/>
      <c r="BA118" s="763"/>
      <c r="BB118" s="763"/>
      <c r="BC118" s="763"/>
      <c r="BD118" s="763"/>
      <c r="BE118" s="763"/>
      <c r="BF118" s="763"/>
      <c r="BG118" s="763" t="b">
        <f>IFERROR(__xludf.DUMMYFUNCTION("""COMPUTED_VALUE"""),TRUE)</f>
        <v>1</v>
      </c>
      <c r="BH118" s="763" t="b">
        <f>IFERROR(__xludf.DUMMYFUNCTION("""COMPUTED_VALUE"""),TRUE)</f>
        <v>1</v>
      </c>
      <c r="BI118" s="763" t="b">
        <f>IFERROR(__xludf.DUMMYFUNCTION("""COMPUTED_VALUE"""),TRUE)</f>
        <v>1</v>
      </c>
      <c r="BJ118" s="763" t="b">
        <f>IFERROR(__xludf.DUMMYFUNCTION("""COMPUTED_VALUE"""),FALSE)</f>
        <v>0</v>
      </c>
    </row>
    <row r="119">
      <c r="A119" s="762">
        <f>IFERROR(__xludf.DUMMYFUNCTION("""COMPUTED_VALUE"""),64569.0)</f>
        <v>64569</v>
      </c>
      <c r="B119" s="538">
        <f>IFERROR(__xludf.DUMMYFUNCTION("""COMPUTED_VALUE"""),64569.0)</f>
        <v>64569</v>
      </c>
      <c r="C119" s="538" t="str">
        <f>IFERROR(__xludf.DUMMYFUNCTION("""COMPUTED_VALUE"""),"2025-09-07 07:21:32")</f>
        <v>2025-09-07 07:21:32</v>
      </c>
      <c r="D119" s="538" t="str">
        <f>IFERROR(__xludf.DUMMYFUNCTION("""COMPUTED_VALUE"""),"processing")</f>
        <v>processing</v>
      </c>
      <c r="E119" s="538" t="str">
        <f>IFERROR(__xludf.DUMMYFUNCTION("""COMPUTED_VALUE"""),"Alice")</f>
        <v>Alice</v>
      </c>
      <c r="F119" s="538" t="str">
        <f>IFERROR(__xludf.DUMMYFUNCTION("""COMPUTED_VALUE"""),"Clima")</f>
        <v>Clima</v>
      </c>
      <c r="G119" s="538" t="str">
        <f>IFERROR(__xludf.DUMMYFUNCTION("""COMPUTED_VALUE"""),"aliceclima1@gmail.com")</f>
        <v>aliceclima1@gmail.com</v>
      </c>
      <c r="H119" s="538">
        <f>IFERROR(__xludf.DUMMYFUNCTION("""COMPUTED_VALUE"""),3.738832549E9)</f>
        <v>3738832549</v>
      </c>
      <c r="I119" s="538" t="str">
        <f>IFERROR(__xludf.DUMMYFUNCTION("""COMPUTED_VALUE"""),"Milano")</f>
        <v>Milano</v>
      </c>
      <c r="J119" s="538" t="str">
        <f>IFERROR(__xludf.DUMMYFUNCTION("""COMPUTED_VALUE"""),"Via Santa Sofia, 8")</f>
        <v>Via Santa Sofia, 8</v>
      </c>
      <c r="K119" s="538">
        <f>IFERROR(__xludf.DUMMYFUNCTION("""COMPUTED_VALUE"""),20122.0)</f>
        <v>20122</v>
      </c>
      <c r="L119" s="538" t="str">
        <f>IFERROR(__xludf.DUMMYFUNCTION("""COMPUTED_VALUE"""),"Carte di pagamento")</f>
        <v>Carte di pagamento</v>
      </c>
      <c r="M119" s="763"/>
      <c r="N119" s="763" t="str">
        <f>IFERROR(__xludf.DUMMYFUNCTION("""COMPUTED_VALUE"""),"64569-1757229693")</f>
        <v>64569-1757229693</v>
      </c>
      <c r="O119" s="762">
        <f>IFERROR(__xludf.DUMMYFUNCTION("""COMPUTED_VALUE"""),0.0)</f>
        <v>0</v>
      </c>
      <c r="P119" s="766">
        <f>IFERROR(__xludf.DUMMYFUNCTION("""COMPUTED_VALUE"""),3.2083333333333335)</f>
        <v>3.208333333</v>
      </c>
      <c r="Q119" s="538" t="str">
        <f>IFERROR(__xludf.DUMMYFUNCTION("""COMPUTED_VALUE"""),"EUR")</f>
        <v>EUR</v>
      </c>
      <c r="R119" s="762">
        <f>IFERROR(__xludf.DUMMYFUNCTION("""COMPUTED_VALUE"""),478.0)</f>
        <v>478</v>
      </c>
      <c r="S119" s="538" t="str">
        <f>IFERROR(__xludf.DUMMYFUNCTION("""COMPUTED_VALUE"""),"Workshop Commercial con Timor Steffens - Workshop Commercial con Timor Steffens")</f>
        <v>Workshop Commercial con Timor Steffens - Workshop Commercial con Timor Steffens</v>
      </c>
      <c r="T119" s="763"/>
      <c r="U119" s="763"/>
      <c r="V119" s="762">
        <f>IFERROR(__xludf.DUMMYFUNCTION("""COMPUTED_VALUE"""),1.0)</f>
        <v>1</v>
      </c>
      <c r="W119" s="762">
        <f>IFERROR(__xludf.DUMMYFUNCTION("""COMPUTED_VALUE"""),45.0)</f>
        <v>45</v>
      </c>
      <c r="X119" s="762">
        <f>IFERROR(__xludf.DUMMYFUNCTION("""COMPUTED_VALUE"""),45.0)</f>
        <v>45</v>
      </c>
      <c r="Y119" s="763"/>
      <c r="Z119" s="765" t="str">
        <f>IFERROR(__xludf.DUMMYFUNCTION("""COMPUTED_VALUE"""),"https://studio-gem.it/wp-admin/post.php?post=64569&amp;action=edit")</f>
        <v>https://studio-gem.it/wp-admin/post.php?post=64569&amp;action=edit</v>
      </c>
      <c r="AA119" s="763"/>
      <c r="AB119" s="763"/>
      <c r="AC119" s="763"/>
      <c r="AD119" s="763"/>
      <c r="AE119" s="763"/>
      <c r="AF119" s="763"/>
      <c r="AG119" s="763"/>
      <c r="AH119" s="763"/>
      <c r="AI119" s="763"/>
      <c r="AJ119" s="763"/>
      <c r="AK119" s="763"/>
      <c r="AL119" s="763"/>
      <c r="AM119" s="763"/>
      <c r="AN119" s="763"/>
      <c r="AO119" s="763"/>
      <c r="AP119" s="763"/>
      <c r="AQ119" s="763"/>
      <c r="AR119" s="763"/>
      <c r="AS119" s="763"/>
      <c r="AT119" s="763"/>
      <c r="AU119" s="763"/>
      <c r="AV119" s="763"/>
      <c r="AW119" s="763"/>
      <c r="AX119" s="763"/>
      <c r="AY119" s="763"/>
      <c r="AZ119" s="763"/>
      <c r="BA119" s="763"/>
      <c r="BB119" s="763"/>
      <c r="BC119" s="763"/>
      <c r="BD119" s="763"/>
      <c r="BE119" s="763"/>
      <c r="BF119" s="763"/>
      <c r="BG119" s="763" t="b">
        <f>IFERROR(__xludf.DUMMYFUNCTION("""COMPUTED_VALUE"""),FALSE)</f>
        <v>0</v>
      </c>
      <c r="BH119" s="763" t="b">
        <f>IFERROR(__xludf.DUMMYFUNCTION("""COMPUTED_VALUE"""),TRUE)</f>
        <v>1</v>
      </c>
      <c r="BI119" s="763" t="b">
        <f>IFERROR(__xludf.DUMMYFUNCTION("""COMPUTED_VALUE"""),TRUE)</f>
        <v>1</v>
      </c>
      <c r="BJ119" s="763" t="b">
        <f>IFERROR(__xludf.DUMMYFUNCTION("""COMPUTED_VALUE"""),FALSE)</f>
        <v>0</v>
      </c>
    </row>
    <row r="120">
      <c r="A120" s="762">
        <f>IFERROR(__xludf.DUMMYFUNCTION("""COMPUTED_VALUE"""),64569.0)</f>
        <v>64569</v>
      </c>
      <c r="B120" s="538">
        <f>IFERROR(__xludf.DUMMYFUNCTION("""COMPUTED_VALUE"""),64569.0)</f>
        <v>64569</v>
      </c>
      <c r="C120" s="538" t="str">
        <f>IFERROR(__xludf.DUMMYFUNCTION("""COMPUTED_VALUE"""),"2025-09-07 07:21:32")</f>
        <v>2025-09-07 07:21:32</v>
      </c>
      <c r="D120" s="538" t="str">
        <f>IFERROR(__xludf.DUMMYFUNCTION("""COMPUTED_VALUE"""),"processing")</f>
        <v>processing</v>
      </c>
      <c r="E120" s="538" t="str">
        <f>IFERROR(__xludf.DUMMYFUNCTION("""COMPUTED_VALUE"""),"Alice")</f>
        <v>Alice</v>
      </c>
      <c r="F120" s="538" t="str">
        <f>IFERROR(__xludf.DUMMYFUNCTION("""COMPUTED_VALUE"""),"Clima")</f>
        <v>Clima</v>
      </c>
      <c r="G120" s="538" t="str">
        <f>IFERROR(__xludf.DUMMYFUNCTION("""COMPUTED_VALUE"""),"aliceclima1@gmail.com")</f>
        <v>aliceclima1@gmail.com</v>
      </c>
      <c r="H120" s="538">
        <f>IFERROR(__xludf.DUMMYFUNCTION("""COMPUTED_VALUE"""),3.738832549E9)</f>
        <v>3738832549</v>
      </c>
      <c r="I120" s="538" t="str">
        <f>IFERROR(__xludf.DUMMYFUNCTION("""COMPUTED_VALUE"""),"Milano")</f>
        <v>Milano</v>
      </c>
      <c r="J120" s="538" t="str">
        <f>IFERROR(__xludf.DUMMYFUNCTION("""COMPUTED_VALUE"""),"Via Santa Sofia, 8")</f>
        <v>Via Santa Sofia, 8</v>
      </c>
      <c r="K120" s="538">
        <f>IFERROR(__xludf.DUMMYFUNCTION("""COMPUTED_VALUE"""),20122.0)</f>
        <v>20122</v>
      </c>
      <c r="L120" s="538" t="str">
        <f>IFERROR(__xludf.DUMMYFUNCTION("""COMPUTED_VALUE"""),"Carte di pagamento")</f>
        <v>Carte di pagamento</v>
      </c>
      <c r="M120" s="763"/>
      <c r="N120" s="763" t="str">
        <f>IFERROR(__xludf.DUMMYFUNCTION("""COMPUTED_VALUE"""),"64569-1757229693")</f>
        <v>64569-1757229693</v>
      </c>
      <c r="O120" s="762">
        <f>IFERROR(__xludf.DUMMYFUNCTION("""COMPUTED_VALUE"""),0.0)</f>
        <v>0</v>
      </c>
      <c r="P120" s="766">
        <f>IFERROR(__xludf.DUMMYFUNCTION("""COMPUTED_VALUE"""),3.2083333333333335)</f>
        <v>3.208333333</v>
      </c>
      <c r="Q120" s="538" t="str">
        <f>IFERROR(__xludf.DUMMYFUNCTION("""COMPUTED_VALUE"""),"EUR")</f>
        <v>EUR</v>
      </c>
      <c r="R120" s="762">
        <f>IFERROR(__xludf.DUMMYFUNCTION("""COMPUTED_VALUE"""),479.0)</f>
        <v>479</v>
      </c>
      <c r="S120" s="538" t="str">
        <f>IFERROR(__xludf.DUMMYFUNCTION("""COMPUTED_VALUE"""),"Workshop Urban con Kumo - Workshop Kumo Urban")</f>
        <v>Workshop Urban con Kumo - Workshop Kumo Urban</v>
      </c>
      <c r="T120" s="763"/>
      <c r="U120" s="763"/>
      <c r="V120" s="762">
        <f>IFERROR(__xludf.DUMMYFUNCTION("""COMPUTED_VALUE"""),1.0)</f>
        <v>1</v>
      </c>
      <c r="W120" s="762">
        <f>IFERROR(__xludf.DUMMYFUNCTION("""COMPUTED_VALUE"""),32.0)</f>
        <v>32</v>
      </c>
      <c r="X120" s="762">
        <f>IFERROR(__xludf.DUMMYFUNCTION("""COMPUTED_VALUE"""),32.0)</f>
        <v>32</v>
      </c>
      <c r="Y120" s="763"/>
      <c r="Z120" s="765" t="str">
        <f>IFERROR(__xludf.DUMMYFUNCTION("""COMPUTED_VALUE"""),"https://studio-gem.it/wp-admin/post.php?post=64569&amp;action=edit")</f>
        <v>https://studio-gem.it/wp-admin/post.php?post=64569&amp;action=edit</v>
      </c>
      <c r="AA120" s="763"/>
      <c r="AB120" s="763"/>
      <c r="AC120" s="763"/>
      <c r="AD120" s="763"/>
      <c r="AE120" s="763"/>
      <c r="AF120" s="763"/>
      <c r="AG120" s="763"/>
      <c r="AH120" s="763"/>
      <c r="AI120" s="763"/>
      <c r="AJ120" s="763"/>
      <c r="AK120" s="763"/>
      <c r="AL120" s="763"/>
      <c r="AM120" s="763"/>
      <c r="AN120" s="763"/>
      <c r="AO120" s="763"/>
      <c r="AP120" s="763"/>
      <c r="AQ120" s="763"/>
      <c r="AR120" s="763"/>
      <c r="AS120" s="763"/>
      <c r="AT120" s="763"/>
      <c r="AU120" s="763"/>
      <c r="AV120" s="763"/>
      <c r="AW120" s="763"/>
      <c r="AX120" s="763"/>
      <c r="AY120" s="763"/>
      <c r="AZ120" s="763"/>
      <c r="BA120" s="763"/>
      <c r="BB120" s="763"/>
      <c r="BC120" s="763"/>
      <c r="BD120" s="763"/>
      <c r="BE120" s="763"/>
      <c r="BF120" s="763"/>
      <c r="BG120" s="763" t="b">
        <f>IFERROR(__xludf.DUMMYFUNCTION("""COMPUTED_VALUE"""),FALSE)</f>
        <v>0</v>
      </c>
      <c r="BH120" s="763" t="b">
        <f>IFERROR(__xludf.DUMMYFUNCTION("""COMPUTED_VALUE"""),TRUE)</f>
        <v>1</v>
      </c>
      <c r="BI120" s="763" t="b">
        <f>IFERROR(__xludf.DUMMYFUNCTION("""COMPUTED_VALUE"""),FALSE)</f>
        <v>0</v>
      </c>
      <c r="BJ120" s="763" t="b">
        <f>IFERROR(__xludf.DUMMYFUNCTION("""COMPUTED_VALUE"""),FALSE)</f>
        <v>0</v>
      </c>
    </row>
    <row r="121">
      <c r="A121" s="762">
        <f>IFERROR(__xludf.DUMMYFUNCTION("""COMPUTED_VALUE"""),64570.0)</f>
        <v>64570</v>
      </c>
      <c r="B121" s="538">
        <f>IFERROR(__xludf.DUMMYFUNCTION("""COMPUTED_VALUE"""),64570.0)</f>
        <v>64570</v>
      </c>
      <c r="C121" s="538" t="str">
        <f>IFERROR(__xludf.DUMMYFUNCTION("""COMPUTED_VALUE"""),"2025-09-07 10:14:48")</f>
        <v>2025-09-07 10:14:48</v>
      </c>
      <c r="D121" s="538" t="str">
        <f>IFERROR(__xludf.DUMMYFUNCTION("""COMPUTED_VALUE"""),"completed")</f>
        <v>completed</v>
      </c>
      <c r="E121" s="538" t="str">
        <f>IFERROR(__xludf.DUMMYFUNCTION("""COMPUTED_VALUE"""),"Alice")</f>
        <v>Alice</v>
      </c>
      <c r="F121" s="538" t="str">
        <f>IFERROR(__xludf.DUMMYFUNCTION("""COMPUTED_VALUE"""),"Galdi")</f>
        <v>Galdi</v>
      </c>
      <c r="G121" s="538" t="str">
        <f>IFERROR(__xludf.DUMMYFUNCTION("""COMPUTED_VALUE"""),"alice.galdi2000@gmail.com")</f>
        <v>alice.galdi2000@gmail.com</v>
      </c>
      <c r="H121" s="538">
        <f>IFERROR(__xludf.DUMMYFUNCTION("""COMPUTED_VALUE"""),3.332932548E9)</f>
        <v>3332932548</v>
      </c>
      <c r="I121" s="538" t="str">
        <f>IFERROR(__xludf.DUMMYFUNCTION("""COMPUTED_VALUE"""),"Milano")</f>
        <v>Milano</v>
      </c>
      <c r="J121" s="538" t="str">
        <f>IFERROR(__xludf.DUMMYFUNCTION("""COMPUTED_VALUE"""),"Via francesco gonin 25/B")</f>
        <v>Via francesco gonin 25/B</v>
      </c>
      <c r="K121" s="538">
        <f>IFERROR(__xludf.DUMMYFUNCTION("""COMPUTED_VALUE"""),20147.0)</f>
        <v>20147</v>
      </c>
      <c r="L121" s="538" t="str">
        <f>IFERROR(__xludf.DUMMYFUNCTION("""COMPUTED_VALUE"""),"Carte di pagamento")</f>
        <v>Carte di pagamento</v>
      </c>
      <c r="M121" s="763"/>
      <c r="N121" s="763" t="str">
        <f>IFERROR(__xludf.DUMMYFUNCTION("""COMPUTED_VALUE"""),"64570-1757240089")</f>
        <v>64570-1757240089</v>
      </c>
      <c r="O121" s="762">
        <f>IFERROR(__xludf.DUMMYFUNCTION("""COMPUTED_VALUE"""),0.0)</f>
        <v>0</v>
      </c>
      <c r="P121" s="766">
        <f>IFERROR(__xludf.DUMMYFUNCTION("""COMPUTED_VALUE"""),1.875)</f>
        <v>1.875</v>
      </c>
      <c r="Q121" s="538" t="str">
        <f>IFERROR(__xludf.DUMMYFUNCTION("""COMPUTED_VALUE"""),"EUR")</f>
        <v>EUR</v>
      </c>
      <c r="R121" s="762">
        <f>IFERROR(__xludf.DUMMYFUNCTION("""COMPUTED_VALUE"""),480.0)</f>
        <v>480</v>
      </c>
      <c r="S121" s="538" t="str">
        <f>IFERROR(__xludf.DUMMYFUNCTION("""COMPUTED_VALUE"""),"Workshop Commercial con Timor Steffens - Workshop Commercial con Timor Steffens")</f>
        <v>Workshop Commercial con Timor Steffens - Workshop Commercial con Timor Steffens</v>
      </c>
      <c r="T121" s="763"/>
      <c r="U121" s="763"/>
      <c r="V121" s="762">
        <f>IFERROR(__xludf.DUMMYFUNCTION("""COMPUTED_VALUE"""),1.0)</f>
        <v>1</v>
      </c>
      <c r="W121" s="762">
        <f>IFERROR(__xludf.DUMMYFUNCTION("""COMPUTED_VALUE"""),45.0)</f>
        <v>45</v>
      </c>
      <c r="X121" s="762">
        <f>IFERROR(__xludf.DUMMYFUNCTION("""COMPUTED_VALUE"""),45.0)</f>
        <v>45</v>
      </c>
      <c r="Y121" s="763"/>
      <c r="Z121" s="765" t="str">
        <f>IFERROR(__xludf.DUMMYFUNCTION("""COMPUTED_VALUE"""),"https://studio-gem.it/wp-admin/post.php?post=64570&amp;action=edit")</f>
        <v>https://studio-gem.it/wp-admin/post.php?post=64570&amp;action=edit</v>
      </c>
      <c r="AA121" s="763"/>
      <c r="AB121" s="763"/>
      <c r="AC121" s="763"/>
      <c r="AD121" s="763"/>
      <c r="AE121" s="763"/>
      <c r="AF121" s="763"/>
      <c r="AG121" s="763"/>
      <c r="AH121" s="763"/>
      <c r="AI121" s="763"/>
      <c r="AJ121" s="763"/>
      <c r="AK121" s="763"/>
      <c r="AL121" s="763"/>
      <c r="AM121" s="763"/>
      <c r="AN121" s="763"/>
      <c r="AO121" s="763"/>
      <c r="AP121" s="763"/>
      <c r="AQ121" s="763"/>
      <c r="AR121" s="763"/>
      <c r="AS121" s="763"/>
      <c r="AT121" s="763"/>
      <c r="AU121" s="763"/>
      <c r="AV121" s="763"/>
      <c r="AW121" s="763"/>
      <c r="AX121" s="763"/>
      <c r="AY121" s="763"/>
      <c r="AZ121" s="763"/>
      <c r="BA121" s="763"/>
      <c r="BB121" s="763"/>
      <c r="BC121" s="763"/>
      <c r="BD121" s="763"/>
      <c r="BE121" s="763"/>
      <c r="BF121" s="763"/>
      <c r="BG121" s="763" t="b">
        <f>IFERROR(__xludf.DUMMYFUNCTION("""COMPUTED_VALUE"""),FALSE)</f>
        <v>0</v>
      </c>
      <c r="BH121" s="763" t="b">
        <f>IFERROR(__xludf.DUMMYFUNCTION("""COMPUTED_VALUE"""),TRUE)</f>
        <v>1</v>
      </c>
      <c r="BI121" s="763" t="b">
        <f>IFERROR(__xludf.DUMMYFUNCTION("""COMPUTED_VALUE"""),TRUE)</f>
        <v>1</v>
      </c>
      <c r="BJ121" s="763" t="b">
        <f>IFERROR(__xludf.DUMMYFUNCTION("""COMPUTED_VALUE"""),FALSE)</f>
        <v>0</v>
      </c>
    </row>
    <row r="122">
      <c r="A122" s="762">
        <f>IFERROR(__xludf.DUMMYFUNCTION("""COMPUTED_VALUE"""),64572.0)</f>
        <v>64572</v>
      </c>
      <c r="B122" s="538">
        <f>IFERROR(__xludf.DUMMYFUNCTION("""COMPUTED_VALUE"""),64572.0)</f>
        <v>64572</v>
      </c>
      <c r="C122" s="538" t="str">
        <f>IFERROR(__xludf.DUMMYFUNCTION("""COMPUTED_VALUE"""),"2025-09-07 11:58:44")</f>
        <v>2025-09-07 11:58:44</v>
      </c>
      <c r="D122" s="538" t="str">
        <f>IFERROR(__xludf.DUMMYFUNCTION("""COMPUTED_VALUE"""),"processing")</f>
        <v>processing</v>
      </c>
      <c r="E122" s="538" t="str">
        <f>IFERROR(__xludf.DUMMYFUNCTION("""COMPUTED_VALUE"""),"Aurora")</f>
        <v>Aurora</v>
      </c>
      <c r="F122" s="538" t="str">
        <f>IFERROR(__xludf.DUMMYFUNCTION("""COMPUTED_VALUE"""),"Medanich")</f>
        <v>Medanich</v>
      </c>
      <c r="G122" s="538" t="str">
        <f>IFERROR(__xludf.DUMMYFUNCTION("""COMPUTED_VALUE"""),"Aurimfm@gmail.com")</f>
        <v>Aurimfm@gmail.com</v>
      </c>
      <c r="H122" s="538">
        <f>IFERROR(__xludf.DUMMYFUNCTION("""COMPUTED_VALUE"""),3.384362858E9)</f>
        <v>3384362858</v>
      </c>
      <c r="I122" s="538" t="str">
        <f>IFERROR(__xludf.DUMMYFUNCTION("""COMPUTED_VALUE"""),"Torino")</f>
        <v>Torino</v>
      </c>
      <c r="J122" s="538" t="str">
        <f>IFERROR(__xludf.DUMMYFUNCTION("""COMPUTED_VALUE"""),"Piazza Vittorio Veneto 23")</f>
        <v>Piazza Vittorio Veneto 23</v>
      </c>
      <c r="K122" s="538">
        <f>IFERROR(__xludf.DUMMYFUNCTION("""COMPUTED_VALUE"""),10124.0)</f>
        <v>10124</v>
      </c>
      <c r="L122" s="538" t="str">
        <f>IFERROR(__xludf.DUMMYFUNCTION("""COMPUTED_VALUE"""),"Carte di pagamento")</f>
        <v>Carte di pagamento</v>
      </c>
      <c r="M122" s="763"/>
      <c r="N122" s="763" t="str">
        <f>IFERROR(__xludf.DUMMYFUNCTION("""COMPUTED_VALUE"""),"64572-1757246326")</f>
        <v>64572-1757246326</v>
      </c>
      <c r="O122" s="762">
        <f>IFERROR(__xludf.DUMMYFUNCTION("""COMPUTED_VALUE"""),0.0)</f>
        <v>0</v>
      </c>
      <c r="P122" s="766">
        <f>IFERROR(__xludf.DUMMYFUNCTION("""COMPUTED_VALUE"""),1.3333333333333333)</f>
        <v>1.333333333</v>
      </c>
      <c r="Q122" s="538" t="str">
        <f>IFERROR(__xludf.DUMMYFUNCTION("""COMPUTED_VALUE"""),"EUR")</f>
        <v>EUR</v>
      </c>
      <c r="R122" s="762">
        <f>IFERROR(__xludf.DUMMYFUNCTION("""COMPUTED_VALUE"""),481.0)</f>
        <v>481</v>
      </c>
      <c r="S122" s="538" t="str">
        <f>IFERROR(__xludf.DUMMYFUNCTION("""COMPUTED_VALUE"""),"Workshop Heels con Lulu Kulova - Workshop Lulu Heels")</f>
        <v>Workshop Heels con Lulu Kulova - Workshop Lulu Heels</v>
      </c>
      <c r="T122" s="763"/>
      <c r="U122" s="763"/>
      <c r="V122" s="762">
        <f>IFERROR(__xludf.DUMMYFUNCTION("""COMPUTED_VALUE"""),1.0)</f>
        <v>1</v>
      </c>
      <c r="W122" s="762">
        <f>IFERROR(__xludf.DUMMYFUNCTION("""COMPUTED_VALUE"""),32.0)</f>
        <v>32</v>
      </c>
      <c r="X122" s="762">
        <f>IFERROR(__xludf.DUMMYFUNCTION("""COMPUTED_VALUE"""),32.0)</f>
        <v>32</v>
      </c>
      <c r="Y122" s="763"/>
      <c r="Z122" s="765" t="str">
        <f>IFERROR(__xludf.DUMMYFUNCTION("""COMPUTED_VALUE"""),"https://studio-gem.it/wp-admin/post.php?post=64572&amp;action=edit")</f>
        <v>https://studio-gem.it/wp-admin/post.php?post=64572&amp;action=edit</v>
      </c>
      <c r="AA122" s="763"/>
      <c r="AB122" s="763"/>
      <c r="AC122" s="763"/>
      <c r="AD122" s="763"/>
      <c r="AE122" s="763"/>
      <c r="AF122" s="763"/>
      <c r="AG122" s="763"/>
      <c r="AH122" s="763"/>
      <c r="AI122" s="763"/>
      <c r="AJ122" s="763"/>
      <c r="AK122" s="763"/>
      <c r="AL122" s="763"/>
      <c r="AM122" s="763"/>
      <c r="AN122" s="763"/>
      <c r="AO122" s="763"/>
      <c r="AP122" s="763"/>
      <c r="AQ122" s="763"/>
      <c r="AR122" s="763"/>
      <c r="AS122" s="763"/>
      <c r="AT122" s="763"/>
      <c r="AU122" s="763"/>
      <c r="AV122" s="763"/>
      <c r="AW122" s="763"/>
      <c r="AX122" s="763"/>
      <c r="AY122" s="763"/>
      <c r="AZ122" s="763"/>
      <c r="BA122" s="763"/>
      <c r="BB122" s="763"/>
      <c r="BC122" s="763"/>
      <c r="BD122" s="763"/>
      <c r="BE122" s="763"/>
      <c r="BF122" s="763"/>
      <c r="BG122" s="763" t="b">
        <f>IFERROR(__xludf.DUMMYFUNCTION("""COMPUTED_VALUE"""),FALSE)</f>
        <v>0</v>
      </c>
      <c r="BH122" s="763" t="b">
        <f>IFERROR(__xludf.DUMMYFUNCTION("""COMPUTED_VALUE"""),TRUE)</f>
        <v>1</v>
      </c>
      <c r="BI122" s="763" t="b">
        <f>IFERROR(__xludf.DUMMYFUNCTION("""COMPUTED_VALUE"""),TRUE)</f>
        <v>1</v>
      </c>
      <c r="BJ122" s="763" t="b">
        <f>IFERROR(__xludf.DUMMYFUNCTION("""COMPUTED_VALUE"""),FALSE)</f>
        <v>0</v>
      </c>
    </row>
    <row r="123">
      <c r="A123" s="762">
        <f>IFERROR(__xludf.DUMMYFUNCTION("""COMPUTED_VALUE"""),64584.0)</f>
        <v>64584</v>
      </c>
      <c r="B123" s="538">
        <f>IFERROR(__xludf.DUMMYFUNCTION("""COMPUTED_VALUE"""),64584.0)</f>
        <v>64584</v>
      </c>
      <c r="C123" s="538" t="str">
        <f>IFERROR(__xludf.DUMMYFUNCTION("""COMPUTED_VALUE"""),"2025-09-08 16:13:01")</f>
        <v>2025-09-08 16:13:01</v>
      </c>
      <c r="D123" s="538" t="str">
        <f>IFERROR(__xludf.DUMMYFUNCTION("""COMPUTED_VALUE"""),"completed")</f>
        <v>completed</v>
      </c>
      <c r="E123" s="538" t="str">
        <f>IFERROR(__xludf.DUMMYFUNCTION("""COMPUTED_VALUE"""),"Caroline")</f>
        <v>Caroline</v>
      </c>
      <c r="F123" s="538" t="str">
        <f>IFERROR(__xludf.DUMMYFUNCTION("""COMPUTED_VALUE"""),"Ravasi")</f>
        <v>Ravasi</v>
      </c>
      <c r="G123" s="538" t="str">
        <f>IFERROR(__xludf.DUMMYFUNCTION("""COMPUTED_VALUE"""),"manuela.ravasi@bluewin.ch")</f>
        <v>manuela.ravasi@bluewin.ch</v>
      </c>
      <c r="H123" s="538">
        <f>IFERROR(__xludf.DUMMYFUNCTION("""COMPUTED_VALUE"""),4.17877493E10)</f>
        <v>41787749300</v>
      </c>
      <c r="I123" s="538" t="str">
        <f>IFERROR(__xludf.DUMMYFUNCTION("""COMPUTED_VALUE"""),"Genestrerio Svizzera")</f>
        <v>Genestrerio Svizzera</v>
      </c>
      <c r="J123" s="538" t="str">
        <f>IFERROR(__xludf.DUMMYFUNCTION("""COMPUTED_VALUE"""),"Via campagnola 18b")</f>
        <v>Via campagnola 18b</v>
      </c>
      <c r="K123" s="538">
        <f>IFERROR(__xludf.DUMMYFUNCTION("""COMPUTED_VALUE"""),6852.0)</f>
        <v>6852</v>
      </c>
      <c r="L123" s="538" t="str">
        <f>IFERROR(__xludf.DUMMYFUNCTION("""COMPUTED_VALUE"""),"Carte di pagamento")</f>
        <v>Carte di pagamento</v>
      </c>
      <c r="M123" s="763"/>
      <c r="N123" s="763" t="str">
        <f>IFERROR(__xludf.DUMMYFUNCTION("""COMPUTED_VALUE"""),"64584-1757347982")</f>
        <v>64584-1757347982</v>
      </c>
      <c r="O123" s="762">
        <f>IFERROR(__xludf.DUMMYFUNCTION("""COMPUTED_VALUE"""),0.0)</f>
        <v>0</v>
      </c>
      <c r="P123" s="766">
        <f>IFERROR(__xludf.DUMMYFUNCTION("""COMPUTED_VALUE"""),1.875)</f>
        <v>1.875</v>
      </c>
      <c r="Q123" s="538" t="str">
        <f>IFERROR(__xludf.DUMMYFUNCTION("""COMPUTED_VALUE"""),"EUR")</f>
        <v>EUR</v>
      </c>
      <c r="R123" s="762">
        <f>IFERROR(__xludf.DUMMYFUNCTION("""COMPUTED_VALUE"""),482.0)</f>
        <v>482</v>
      </c>
      <c r="S123" s="538" t="str">
        <f>IFERROR(__xludf.DUMMYFUNCTION("""COMPUTED_VALUE"""),"Workshop Commercial con Timor Steffens - Workshop Commercial con Timor Steffens")</f>
        <v>Workshop Commercial con Timor Steffens - Workshop Commercial con Timor Steffens</v>
      </c>
      <c r="T123" s="763"/>
      <c r="U123" s="763"/>
      <c r="V123" s="762">
        <f>IFERROR(__xludf.DUMMYFUNCTION("""COMPUTED_VALUE"""),1.0)</f>
        <v>1</v>
      </c>
      <c r="W123" s="762">
        <f>IFERROR(__xludf.DUMMYFUNCTION("""COMPUTED_VALUE"""),45.0)</f>
        <v>45</v>
      </c>
      <c r="X123" s="762">
        <f>IFERROR(__xludf.DUMMYFUNCTION("""COMPUTED_VALUE"""),45.0)</f>
        <v>45</v>
      </c>
      <c r="Y123" s="763"/>
      <c r="Z123" s="765" t="str">
        <f>IFERROR(__xludf.DUMMYFUNCTION("""COMPUTED_VALUE"""),"https://studio-gem.it/wp-admin/post.php?post=64584&amp;action=edit")</f>
        <v>https://studio-gem.it/wp-admin/post.php?post=64584&amp;action=edit</v>
      </c>
      <c r="AA123" s="763"/>
      <c r="AB123" s="763"/>
      <c r="AC123" s="763"/>
      <c r="AD123" s="763"/>
      <c r="AE123" s="763"/>
      <c r="AF123" s="763"/>
      <c r="AG123" s="763"/>
      <c r="AH123" s="763"/>
      <c r="AI123" s="763"/>
      <c r="AJ123" s="763"/>
      <c r="AK123" s="763"/>
      <c r="AL123" s="763"/>
      <c r="AM123" s="763"/>
      <c r="AN123" s="763"/>
      <c r="AO123" s="763"/>
      <c r="AP123" s="763"/>
      <c r="AQ123" s="763"/>
      <c r="AR123" s="763"/>
      <c r="AS123" s="763"/>
      <c r="AT123" s="763"/>
      <c r="AU123" s="763"/>
      <c r="AV123" s="763"/>
      <c r="AW123" s="763"/>
      <c r="AX123" s="763"/>
      <c r="AY123" s="763"/>
      <c r="AZ123" s="763"/>
      <c r="BA123" s="763"/>
      <c r="BB123" s="763"/>
      <c r="BC123" s="763"/>
      <c r="BD123" s="763"/>
      <c r="BE123" s="763"/>
      <c r="BF123" s="763"/>
      <c r="BG123" s="763" t="b">
        <f>IFERROR(__xludf.DUMMYFUNCTION("""COMPUTED_VALUE"""),TRUE)</f>
        <v>1</v>
      </c>
      <c r="BH123" s="763" t="b">
        <f>IFERROR(__xludf.DUMMYFUNCTION("""COMPUTED_VALUE"""),TRUE)</f>
        <v>1</v>
      </c>
      <c r="BI123" s="763" t="b">
        <f>IFERROR(__xludf.DUMMYFUNCTION("""COMPUTED_VALUE"""),TRUE)</f>
        <v>1</v>
      </c>
      <c r="BJ123" s="763" t="b">
        <f>IFERROR(__xludf.DUMMYFUNCTION("""COMPUTED_VALUE"""),FALSE)</f>
        <v>0</v>
      </c>
    </row>
    <row r="124">
      <c r="A124" s="762">
        <f>IFERROR(__xludf.DUMMYFUNCTION("""COMPUTED_VALUE"""),64601.0)</f>
        <v>64601</v>
      </c>
      <c r="B124" s="538">
        <f>IFERROR(__xludf.DUMMYFUNCTION("""COMPUTED_VALUE"""),64601.0)</f>
        <v>64601</v>
      </c>
      <c r="C124" s="538" t="str">
        <f>IFERROR(__xludf.DUMMYFUNCTION("""COMPUTED_VALUE"""),"2025-09-09 15:43:58")</f>
        <v>2025-09-09 15:43:58</v>
      </c>
      <c r="D124" s="538" t="str">
        <f>IFERROR(__xludf.DUMMYFUNCTION("""COMPUTED_VALUE"""),"completed")</f>
        <v>completed</v>
      </c>
      <c r="E124" s="538" t="str">
        <f>IFERROR(__xludf.DUMMYFUNCTION("""COMPUTED_VALUE"""),"Claudia")</f>
        <v>Claudia</v>
      </c>
      <c r="F124" s="538" t="str">
        <f>IFERROR(__xludf.DUMMYFUNCTION("""COMPUTED_VALUE"""),"Perin")</f>
        <v>Perin</v>
      </c>
      <c r="G124" s="538" t="str">
        <f>IFERROR(__xludf.DUMMYFUNCTION("""COMPUTED_VALUE"""),"claudia.perin@outlook.com")</f>
        <v>claudia.perin@outlook.com</v>
      </c>
      <c r="H124" s="538">
        <f>IFERROR(__xludf.DUMMYFUNCTION("""COMPUTED_VALUE"""),3.472435106E9)</f>
        <v>3472435106</v>
      </c>
      <c r="I124" s="538" t="str">
        <f>IFERROR(__xludf.DUMMYFUNCTION("""COMPUTED_VALUE"""),"Milano")</f>
        <v>Milano</v>
      </c>
      <c r="J124" s="538" t="str">
        <f>IFERROR(__xludf.DUMMYFUNCTION("""COMPUTED_VALUE"""),"via San Mansueto 4")</f>
        <v>via San Mansueto 4</v>
      </c>
      <c r="K124" s="538">
        <f>IFERROR(__xludf.DUMMYFUNCTION("""COMPUTED_VALUE"""),20136.0)</f>
        <v>20136</v>
      </c>
      <c r="L124" s="538" t="str">
        <f>IFERROR(__xludf.DUMMYFUNCTION("""COMPUTED_VALUE"""),"Carte di pagamento")</f>
        <v>Carte di pagamento</v>
      </c>
      <c r="M124" s="763"/>
      <c r="N124" s="763" t="str">
        <f>IFERROR(__xludf.DUMMYFUNCTION("""COMPUTED_VALUE"""),"64601-1757432639")</f>
        <v>64601-1757432639</v>
      </c>
      <c r="O124" s="762">
        <f>IFERROR(__xludf.DUMMYFUNCTION("""COMPUTED_VALUE"""),0.0)</f>
        <v>0</v>
      </c>
      <c r="P124" s="766">
        <f>IFERROR(__xludf.DUMMYFUNCTION("""COMPUTED_VALUE"""),1.125)</f>
        <v>1.125</v>
      </c>
      <c r="Q124" s="538" t="str">
        <f>IFERROR(__xludf.DUMMYFUNCTION("""COMPUTED_VALUE"""),"EUR")</f>
        <v>EUR</v>
      </c>
      <c r="R124" s="762">
        <f>IFERROR(__xludf.DUMMYFUNCTION("""COMPUTED_VALUE"""),483.0)</f>
        <v>483</v>
      </c>
      <c r="S124" s="538" t="str">
        <f>IFERROR(__xludf.DUMMYFUNCTION("""COMPUTED_VALUE"""),"Workshop Salsa Musicality con Nicolò De Angelis - Workshop Nicolò Salsa Musicality")</f>
        <v>Workshop Salsa Musicality con Nicolò De Angelis - Workshop Nicolò Salsa Musicality</v>
      </c>
      <c r="T124" s="763"/>
      <c r="U124" s="763"/>
      <c r="V124" s="762">
        <f>IFERROR(__xludf.DUMMYFUNCTION("""COMPUTED_VALUE"""),1.0)</f>
        <v>1</v>
      </c>
      <c r="W124" s="762">
        <f>IFERROR(__xludf.DUMMYFUNCTION("""COMPUTED_VALUE"""),27.0)</f>
        <v>27</v>
      </c>
      <c r="X124" s="762">
        <f>IFERROR(__xludf.DUMMYFUNCTION("""COMPUTED_VALUE"""),27.0)</f>
        <v>27</v>
      </c>
      <c r="Y124" s="763"/>
      <c r="Z124" s="765" t="str">
        <f>IFERROR(__xludf.DUMMYFUNCTION("""COMPUTED_VALUE"""),"https://studio-gem.it/wp-admin/post.php?post=64601&amp;action=edit")</f>
        <v>https://studio-gem.it/wp-admin/post.php?post=64601&amp;action=edit</v>
      </c>
      <c r="AA124" s="763"/>
      <c r="AB124" s="763"/>
      <c r="AC124" s="763"/>
      <c r="AD124" s="763"/>
      <c r="AE124" s="763"/>
      <c r="AF124" s="763"/>
      <c r="AG124" s="763"/>
      <c r="AH124" s="763"/>
      <c r="AI124" s="763"/>
      <c r="AJ124" s="763"/>
      <c r="AK124" s="763"/>
      <c r="AL124" s="763"/>
      <c r="AM124" s="763"/>
      <c r="AN124" s="763"/>
      <c r="AO124" s="763"/>
      <c r="AP124" s="763"/>
      <c r="AQ124" s="763"/>
      <c r="AR124" s="763"/>
      <c r="AS124" s="763"/>
      <c r="AT124" s="763"/>
      <c r="AU124" s="763"/>
      <c r="AV124" s="763"/>
      <c r="AW124" s="763"/>
      <c r="AX124" s="763"/>
      <c r="AY124" s="763"/>
      <c r="AZ124" s="763"/>
      <c r="BA124" s="763"/>
      <c r="BB124" s="763"/>
      <c r="BC124" s="763"/>
      <c r="BD124" s="763"/>
      <c r="BE124" s="763"/>
      <c r="BF124" s="763"/>
      <c r="BG124" s="763" t="b">
        <f>IFERROR(__xludf.DUMMYFUNCTION("""COMPUTED_VALUE"""),TRUE)</f>
        <v>1</v>
      </c>
      <c r="BH124" s="763" t="b">
        <f>IFERROR(__xludf.DUMMYFUNCTION("""COMPUTED_VALUE"""),TRUE)</f>
        <v>1</v>
      </c>
      <c r="BI124" s="763" t="b">
        <f>IFERROR(__xludf.DUMMYFUNCTION("""COMPUTED_VALUE"""),TRUE)</f>
        <v>1</v>
      </c>
      <c r="BJ124" s="763" t="b">
        <f>IFERROR(__xludf.DUMMYFUNCTION("""COMPUTED_VALUE"""),FALSE)</f>
        <v>0</v>
      </c>
    </row>
    <row r="125">
      <c r="A125" s="762">
        <f>IFERROR(__xludf.DUMMYFUNCTION("""COMPUTED_VALUE"""),64673.0)</f>
        <v>64673</v>
      </c>
      <c r="B125" s="538">
        <f>IFERROR(__xludf.DUMMYFUNCTION("""COMPUTED_VALUE"""),64673.0)</f>
        <v>64673</v>
      </c>
      <c r="C125" s="538" t="str">
        <f>IFERROR(__xludf.DUMMYFUNCTION("""COMPUTED_VALUE"""),"2025-09-10 11:52:59")</f>
        <v>2025-09-10 11:52:59</v>
      </c>
      <c r="D125" s="538" t="str">
        <f>IFERROR(__xludf.DUMMYFUNCTION("""COMPUTED_VALUE"""),"cancelled")</f>
        <v>cancelled</v>
      </c>
      <c r="E125" s="538" t="str">
        <f>IFERROR(__xludf.DUMMYFUNCTION("""COMPUTED_VALUE"""),"Lorenza Genta")</f>
        <v>Lorenza Genta</v>
      </c>
      <c r="F125" s="538" t="str">
        <f>IFERROR(__xludf.DUMMYFUNCTION("""COMPUTED_VALUE"""),"Genta")</f>
        <v>Genta</v>
      </c>
      <c r="G125" s="538" t="str">
        <f>IFERROR(__xludf.DUMMYFUNCTION("""COMPUTED_VALUE"""),"lore.genta.lg@gmail.com")</f>
        <v>lore.genta.lg@gmail.com</v>
      </c>
      <c r="H125" s="538">
        <f>IFERROR(__xludf.DUMMYFUNCTION("""COMPUTED_VALUE"""),3.45110466E9)</f>
        <v>3451104660</v>
      </c>
      <c r="I125" s="538" t="str">
        <f>IFERROR(__xludf.DUMMYFUNCTION("""COMPUTED_VALUE"""),"Albino")</f>
        <v>Albino</v>
      </c>
      <c r="J125" s="538" t="str">
        <f>IFERROR(__xludf.DUMMYFUNCTION("""COMPUTED_VALUE"""),"Via briolini 13")</f>
        <v>Via briolini 13</v>
      </c>
      <c r="K125" s="538">
        <f>IFERROR(__xludf.DUMMYFUNCTION("""COMPUTED_VALUE"""),24021.0)</f>
        <v>24021</v>
      </c>
      <c r="L125" s="538" t="str">
        <f>IFERROR(__xludf.DUMMYFUNCTION("""COMPUTED_VALUE"""),"Google Pay")</f>
        <v>Google Pay</v>
      </c>
      <c r="M125" s="763"/>
      <c r="N125" s="763"/>
      <c r="O125" s="762">
        <f>IFERROR(__xludf.DUMMYFUNCTION("""COMPUTED_VALUE"""),0.0)</f>
        <v>0</v>
      </c>
      <c r="P125" s="766">
        <f>IFERROR(__xludf.DUMMYFUNCTION("""COMPUTED_VALUE"""),1.3333333333333333)</f>
        <v>1.333333333</v>
      </c>
      <c r="Q125" s="538" t="str">
        <f>IFERROR(__xludf.DUMMYFUNCTION("""COMPUTED_VALUE"""),"EUR")</f>
        <v>EUR</v>
      </c>
      <c r="R125" s="762">
        <f>IFERROR(__xludf.DUMMYFUNCTION("""COMPUTED_VALUE"""),485.0)</f>
        <v>485</v>
      </c>
      <c r="S125" s="538" t="str">
        <f>IFERROR(__xludf.DUMMYFUNCTION("""COMPUTED_VALUE"""),"Workshop Heels con Lulu Kulova - Workshop Lulu Heels")</f>
        <v>Workshop Heels con Lulu Kulova - Workshop Lulu Heels</v>
      </c>
      <c r="T125" s="763"/>
      <c r="U125" s="763"/>
      <c r="V125" s="762">
        <f>IFERROR(__xludf.DUMMYFUNCTION("""COMPUTED_VALUE"""),1.0)</f>
        <v>1</v>
      </c>
      <c r="W125" s="762">
        <f>IFERROR(__xludf.DUMMYFUNCTION("""COMPUTED_VALUE"""),32.0)</f>
        <v>32</v>
      </c>
      <c r="X125" s="762">
        <f>IFERROR(__xludf.DUMMYFUNCTION("""COMPUTED_VALUE"""),32.0)</f>
        <v>32</v>
      </c>
      <c r="Y125" s="763"/>
      <c r="Z125" s="765" t="str">
        <f>IFERROR(__xludf.DUMMYFUNCTION("""COMPUTED_VALUE"""),"https://studio-gem.it/wp-admin/post.php?post=64673&amp;action=edit")</f>
        <v>https://studio-gem.it/wp-admin/post.php?post=64673&amp;action=edit</v>
      </c>
      <c r="AA125" s="763"/>
      <c r="AB125" s="763"/>
      <c r="AC125" s="763"/>
      <c r="AD125" s="763"/>
      <c r="AE125" s="763"/>
      <c r="AF125" s="763"/>
      <c r="AG125" s="763"/>
      <c r="AH125" s="763"/>
      <c r="AI125" s="763"/>
      <c r="AJ125" s="763"/>
      <c r="AK125" s="763"/>
      <c r="AL125" s="763"/>
      <c r="AM125" s="763"/>
      <c r="AN125" s="763"/>
      <c r="AO125" s="763"/>
      <c r="AP125" s="763"/>
      <c r="AQ125" s="763"/>
      <c r="AR125" s="763"/>
      <c r="AS125" s="763"/>
      <c r="AT125" s="763"/>
      <c r="AU125" s="763"/>
      <c r="AV125" s="763"/>
      <c r="AW125" s="763"/>
      <c r="AX125" s="763"/>
      <c r="AY125" s="763"/>
      <c r="AZ125" s="763"/>
      <c r="BA125" s="763"/>
      <c r="BB125" s="763"/>
      <c r="BC125" s="763"/>
      <c r="BD125" s="763"/>
      <c r="BE125" s="763"/>
      <c r="BF125" s="763"/>
      <c r="BG125" s="763" t="b">
        <f>IFERROR(__xludf.DUMMYFUNCTION("""COMPUTED_VALUE"""),FALSE)</f>
        <v>0</v>
      </c>
      <c r="BH125" s="763" t="b">
        <f>IFERROR(__xludf.DUMMYFUNCTION("""COMPUTED_VALUE"""),FALSE)</f>
        <v>0</v>
      </c>
      <c r="BI125" s="763" t="b">
        <f>IFERROR(__xludf.DUMMYFUNCTION("""COMPUTED_VALUE"""),FALSE)</f>
        <v>0</v>
      </c>
      <c r="BJ125" s="763" t="b">
        <f>IFERROR(__xludf.DUMMYFUNCTION("""COMPUTED_VALUE"""),FALSE)</f>
        <v>0</v>
      </c>
    </row>
    <row r="126">
      <c r="A126" s="762">
        <f>IFERROR(__xludf.DUMMYFUNCTION("""COMPUTED_VALUE"""),64674.0)</f>
        <v>64674</v>
      </c>
      <c r="B126" s="538">
        <f>IFERROR(__xludf.DUMMYFUNCTION("""COMPUTED_VALUE"""),64674.0)</f>
        <v>64674</v>
      </c>
      <c r="C126" s="538" t="str">
        <f>IFERROR(__xludf.DUMMYFUNCTION("""COMPUTED_VALUE"""),"2025-09-10 12:09:42")</f>
        <v>2025-09-10 12:09:42</v>
      </c>
      <c r="D126" s="538" t="str">
        <f>IFERROR(__xludf.DUMMYFUNCTION("""COMPUTED_VALUE"""),"completed")</f>
        <v>completed</v>
      </c>
      <c r="E126" s="538" t="str">
        <f>IFERROR(__xludf.DUMMYFUNCTION("""COMPUTED_VALUE"""),"Lorenza")</f>
        <v>Lorenza</v>
      </c>
      <c r="F126" s="538" t="str">
        <f>IFERROR(__xludf.DUMMYFUNCTION("""COMPUTED_VALUE"""),"Genta")</f>
        <v>Genta</v>
      </c>
      <c r="G126" s="538" t="str">
        <f>IFERROR(__xludf.DUMMYFUNCTION("""COMPUTED_VALUE"""),"lore.genta.lg@gmail.com")</f>
        <v>lore.genta.lg@gmail.com</v>
      </c>
      <c r="H126" s="538">
        <f>IFERROR(__xludf.DUMMYFUNCTION("""COMPUTED_VALUE"""),3.45110466E9)</f>
        <v>3451104660</v>
      </c>
      <c r="I126" s="538" t="str">
        <f>IFERROR(__xludf.DUMMYFUNCTION("""COMPUTED_VALUE"""),"Albino")</f>
        <v>Albino</v>
      </c>
      <c r="J126" s="538" t="str">
        <f>IFERROR(__xludf.DUMMYFUNCTION("""COMPUTED_VALUE"""),"Via briolini 13")</f>
        <v>Via briolini 13</v>
      </c>
      <c r="K126" s="538">
        <f>IFERROR(__xludf.DUMMYFUNCTION("""COMPUTED_VALUE"""),24021.0)</f>
        <v>24021</v>
      </c>
      <c r="L126" s="538" t="str">
        <f>IFERROR(__xludf.DUMMYFUNCTION("""COMPUTED_VALUE"""),"Google Pay")</f>
        <v>Google Pay</v>
      </c>
      <c r="M126" s="763"/>
      <c r="N126" s="763" t="str">
        <f>IFERROR(__xludf.DUMMYFUNCTION("""COMPUTED_VALUE"""),"64674-1757506183")</f>
        <v>64674-1757506183</v>
      </c>
      <c r="O126" s="762">
        <f>IFERROR(__xludf.DUMMYFUNCTION("""COMPUTED_VALUE"""),0.0)</f>
        <v>0</v>
      </c>
      <c r="P126" s="766">
        <f>IFERROR(__xludf.DUMMYFUNCTION("""COMPUTED_VALUE"""),1.3333333333333333)</f>
        <v>1.333333333</v>
      </c>
      <c r="Q126" s="538" t="str">
        <f>IFERROR(__xludf.DUMMYFUNCTION("""COMPUTED_VALUE"""),"EUR")</f>
        <v>EUR</v>
      </c>
      <c r="R126" s="762">
        <f>IFERROR(__xludf.DUMMYFUNCTION("""COMPUTED_VALUE"""),486.0)</f>
        <v>486</v>
      </c>
      <c r="S126" s="538" t="str">
        <f>IFERROR(__xludf.DUMMYFUNCTION("""COMPUTED_VALUE"""),"Workshop Heels con Lulu Kulova - Workshop Lulu Heels")</f>
        <v>Workshop Heels con Lulu Kulova - Workshop Lulu Heels</v>
      </c>
      <c r="T126" s="763"/>
      <c r="U126" s="763"/>
      <c r="V126" s="762">
        <f>IFERROR(__xludf.DUMMYFUNCTION("""COMPUTED_VALUE"""),1.0)</f>
        <v>1</v>
      </c>
      <c r="W126" s="762">
        <f>IFERROR(__xludf.DUMMYFUNCTION("""COMPUTED_VALUE"""),32.0)</f>
        <v>32</v>
      </c>
      <c r="X126" s="762">
        <f>IFERROR(__xludf.DUMMYFUNCTION("""COMPUTED_VALUE"""),32.0)</f>
        <v>32</v>
      </c>
      <c r="Y126" s="763"/>
      <c r="Z126" s="765" t="str">
        <f>IFERROR(__xludf.DUMMYFUNCTION("""COMPUTED_VALUE"""),"https://studio-gem.it/wp-admin/post.php?post=64674&amp;action=edit")</f>
        <v>https://studio-gem.it/wp-admin/post.php?post=64674&amp;action=edit</v>
      </c>
      <c r="AA126" s="763"/>
      <c r="AB126" s="763"/>
      <c r="AC126" s="763"/>
      <c r="AD126" s="763"/>
      <c r="AE126" s="763"/>
      <c r="AF126" s="763"/>
      <c r="AG126" s="763"/>
      <c r="AH126" s="763"/>
      <c r="AI126" s="763"/>
      <c r="AJ126" s="763"/>
      <c r="AK126" s="763"/>
      <c r="AL126" s="763"/>
      <c r="AM126" s="763"/>
      <c r="AN126" s="763"/>
      <c r="AO126" s="763"/>
      <c r="AP126" s="763"/>
      <c r="AQ126" s="763"/>
      <c r="AR126" s="763"/>
      <c r="AS126" s="763"/>
      <c r="AT126" s="763"/>
      <c r="AU126" s="763"/>
      <c r="AV126" s="763"/>
      <c r="AW126" s="763"/>
      <c r="AX126" s="763"/>
      <c r="AY126" s="763"/>
      <c r="AZ126" s="763"/>
      <c r="BA126" s="763"/>
      <c r="BB126" s="763"/>
      <c r="BC126" s="763"/>
      <c r="BD126" s="763"/>
      <c r="BE126" s="763"/>
      <c r="BF126" s="763"/>
      <c r="BG126" s="763" t="b">
        <f>IFERROR(__xludf.DUMMYFUNCTION("""COMPUTED_VALUE"""),TRUE)</f>
        <v>1</v>
      </c>
      <c r="BH126" s="763" t="b">
        <f>IFERROR(__xludf.DUMMYFUNCTION("""COMPUTED_VALUE"""),TRUE)</f>
        <v>1</v>
      </c>
      <c r="BI126" s="763" t="b">
        <f>IFERROR(__xludf.DUMMYFUNCTION("""COMPUTED_VALUE"""),TRUE)</f>
        <v>1</v>
      </c>
      <c r="BJ126" s="763" t="b">
        <f>IFERROR(__xludf.DUMMYFUNCTION("""COMPUTED_VALUE"""),FALSE)</f>
        <v>0</v>
      </c>
    </row>
    <row r="127">
      <c r="A127" s="762">
        <f>IFERROR(__xludf.DUMMYFUNCTION("""COMPUTED_VALUE"""),64676.0)</f>
        <v>64676</v>
      </c>
      <c r="B127" s="538">
        <f>IFERROR(__xludf.DUMMYFUNCTION("""COMPUTED_VALUE"""),64676.0)</f>
        <v>64676</v>
      </c>
      <c r="C127" s="538" t="str">
        <f>IFERROR(__xludf.DUMMYFUNCTION("""COMPUTED_VALUE"""),"2025-09-10 14:25:14")</f>
        <v>2025-09-10 14:25:14</v>
      </c>
      <c r="D127" s="538" t="str">
        <f>IFERROR(__xludf.DUMMYFUNCTION("""COMPUTED_VALUE"""),"completed")</f>
        <v>completed</v>
      </c>
      <c r="E127" s="538" t="str">
        <f>IFERROR(__xludf.DUMMYFUNCTION("""COMPUTED_VALUE"""),"Barbara")</f>
        <v>Barbara</v>
      </c>
      <c r="F127" s="538" t="str">
        <f>IFERROR(__xludf.DUMMYFUNCTION("""COMPUTED_VALUE"""),"Ferrarese")</f>
        <v>Ferrarese</v>
      </c>
      <c r="G127" s="538" t="str">
        <f>IFERROR(__xludf.DUMMYFUNCTION("""COMPUTED_VALUE"""),"barbaraferrarese2000@gmail.com")</f>
        <v>barbaraferrarese2000@gmail.com</v>
      </c>
      <c r="H127" s="538">
        <f>IFERROR(__xludf.DUMMYFUNCTION("""COMPUTED_VALUE"""),3.476027572E9)</f>
        <v>3476027572</v>
      </c>
      <c r="I127" s="538" t="str">
        <f>IFERROR(__xludf.DUMMYFUNCTION("""COMPUTED_VALUE"""),"Trecate")</f>
        <v>Trecate</v>
      </c>
      <c r="J127" s="538" t="str">
        <f>IFERROR(__xludf.DUMMYFUNCTION("""COMPUTED_VALUE"""),"Via dell’euro 16")</f>
        <v>Via dell’euro 16</v>
      </c>
      <c r="K127" s="538">
        <f>IFERROR(__xludf.DUMMYFUNCTION("""COMPUTED_VALUE"""),28069.0)</f>
        <v>28069</v>
      </c>
      <c r="L127" s="538" t="str">
        <f>IFERROR(__xludf.DUMMYFUNCTION("""COMPUTED_VALUE"""),"Carte di pagamento")</f>
        <v>Carte di pagamento</v>
      </c>
      <c r="M127" s="763"/>
      <c r="N127" s="763" t="str">
        <f>IFERROR(__xludf.DUMMYFUNCTION("""COMPUTED_VALUE"""),"64676-1757514316")</f>
        <v>64676-1757514316</v>
      </c>
      <c r="O127" s="762">
        <f>IFERROR(__xludf.DUMMYFUNCTION("""COMPUTED_VALUE"""),0.0)</f>
        <v>0</v>
      </c>
      <c r="P127" s="766">
        <f>IFERROR(__xludf.DUMMYFUNCTION("""COMPUTED_VALUE"""),1.3333333333333333)</f>
        <v>1.333333333</v>
      </c>
      <c r="Q127" s="538" t="str">
        <f>IFERROR(__xludf.DUMMYFUNCTION("""COMPUTED_VALUE"""),"EUR")</f>
        <v>EUR</v>
      </c>
      <c r="R127" s="762">
        <f>IFERROR(__xludf.DUMMYFUNCTION("""COMPUTED_VALUE"""),487.0)</f>
        <v>487</v>
      </c>
      <c r="S127" s="538" t="str">
        <f>IFERROR(__xludf.DUMMYFUNCTION("""COMPUTED_VALUE"""),"Workshop Heels con Lulu Kulova - Workshop Lulu Heels")</f>
        <v>Workshop Heels con Lulu Kulova - Workshop Lulu Heels</v>
      </c>
      <c r="T127" s="763"/>
      <c r="U127" s="763"/>
      <c r="V127" s="762">
        <f>IFERROR(__xludf.DUMMYFUNCTION("""COMPUTED_VALUE"""),1.0)</f>
        <v>1</v>
      </c>
      <c r="W127" s="762">
        <f>IFERROR(__xludf.DUMMYFUNCTION("""COMPUTED_VALUE"""),32.0)</f>
        <v>32</v>
      </c>
      <c r="X127" s="762">
        <f>IFERROR(__xludf.DUMMYFUNCTION("""COMPUTED_VALUE"""),32.0)</f>
        <v>32</v>
      </c>
      <c r="Y127" s="763"/>
      <c r="Z127" s="765" t="str">
        <f>IFERROR(__xludf.DUMMYFUNCTION("""COMPUTED_VALUE"""),"https://studio-gem.it/wp-admin/post.php?post=64676&amp;action=edit")</f>
        <v>https://studio-gem.it/wp-admin/post.php?post=64676&amp;action=edit</v>
      </c>
      <c r="AA127" s="763"/>
      <c r="AB127" s="763"/>
      <c r="AC127" s="763"/>
      <c r="AD127" s="763"/>
      <c r="AE127" s="763"/>
      <c r="AF127" s="763"/>
      <c r="AG127" s="763"/>
      <c r="AH127" s="763"/>
      <c r="AI127" s="763"/>
      <c r="AJ127" s="763"/>
      <c r="AK127" s="763"/>
      <c r="AL127" s="763"/>
      <c r="AM127" s="763"/>
      <c r="AN127" s="763"/>
      <c r="AO127" s="763"/>
      <c r="AP127" s="763"/>
      <c r="AQ127" s="763"/>
      <c r="AR127" s="763"/>
      <c r="AS127" s="763"/>
      <c r="AT127" s="763"/>
      <c r="AU127" s="763"/>
      <c r="AV127" s="763"/>
      <c r="AW127" s="763"/>
      <c r="AX127" s="763"/>
      <c r="AY127" s="763"/>
      <c r="AZ127" s="763"/>
      <c r="BA127" s="763"/>
      <c r="BB127" s="763"/>
      <c r="BC127" s="763"/>
      <c r="BD127" s="763"/>
      <c r="BE127" s="763"/>
      <c r="BF127" s="763"/>
      <c r="BG127" s="763" t="b">
        <f>IFERROR(__xludf.DUMMYFUNCTION("""COMPUTED_VALUE"""),TRUE)</f>
        <v>1</v>
      </c>
      <c r="BH127" s="763" t="b">
        <f>IFERROR(__xludf.DUMMYFUNCTION("""COMPUTED_VALUE"""),TRUE)</f>
        <v>1</v>
      </c>
      <c r="BI127" s="763" t="b">
        <f>IFERROR(__xludf.DUMMYFUNCTION("""COMPUTED_VALUE"""),TRUE)</f>
        <v>1</v>
      </c>
      <c r="BJ127" s="763" t="b">
        <f>IFERROR(__xludf.DUMMYFUNCTION("""COMPUTED_VALUE"""),FALSE)</f>
        <v>0</v>
      </c>
    </row>
    <row r="128">
      <c r="A128" s="762">
        <f>IFERROR(__xludf.DUMMYFUNCTION("""COMPUTED_VALUE"""),64678.0)</f>
        <v>64678</v>
      </c>
      <c r="B128" s="538">
        <f>IFERROR(__xludf.DUMMYFUNCTION("""COMPUTED_VALUE"""),64678.0)</f>
        <v>64678</v>
      </c>
      <c r="C128" s="538" t="str">
        <f>IFERROR(__xludf.DUMMYFUNCTION("""COMPUTED_VALUE"""),"2025-09-10 17:22:53")</f>
        <v>2025-09-10 17:22:53</v>
      </c>
      <c r="D128" s="538" t="str">
        <f>IFERROR(__xludf.DUMMYFUNCTION("""COMPUTED_VALUE"""),"processing")</f>
        <v>processing</v>
      </c>
      <c r="E128" s="538" t="str">
        <f>IFERROR(__xludf.DUMMYFUNCTION("""COMPUTED_VALUE"""),"Valerie")</f>
        <v>Valerie</v>
      </c>
      <c r="F128" s="538" t="str">
        <f>IFERROR(__xludf.DUMMYFUNCTION("""COMPUTED_VALUE"""),"Debeni")</f>
        <v>Debeni</v>
      </c>
      <c r="G128" s="538" t="str">
        <f>IFERROR(__xludf.DUMMYFUNCTION("""COMPUTED_VALUE"""),"valeriedebeni99@gmail.com")</f>
        <v>valeriedebeni99@gmail.com</v>
      </c>
      <c r="H128" s="538">
        <f>IFERROR(__xludf.DUMMYFUNCTION("""COMPUTED_VALUE"""),3.486450547E9)</f>
        <v>3486450547</v>
      </c>
      <c r="I128" s="538" t="str">
        <f>IFERROR(__xludf.DUMMYFUNCTION("""COMPUTED_VALUE"""),"Sommacampagna")</f>
        <v>Sommacampagna</v>
      </c>
      <c r="J128" s="538" t="str">
        <f>IFERROR(__xludf.DUMMYFUNCTION("""COMPUTED_VALUE"""),"Strada Per Dossobuono 44")</f>
        <v>Strada Per Dossobuono 44</v>
      </c>
      <c r="K128" s="538">
        <f>IFERROR(__xludf.DUMMYFUNCTION("""COMPUTED_VALUE"""),37066.0)</f>
        <v>37066</v>
      </c>
      <c r="L128" s="538" t="str">
        <f>IFERROR(__xludf.DUMMYFUNCTION("""COMPUTED_VALUE"""),"Carte di pagamento")</f>
        <v>Carte di pagamento</v>
      </c>
      <c r="M128" s="763"/>
      <c r="N128" s="763" t="str">
        <f>IFERROR(__xludf.DUMMYFUNCTION("""COMPUTED_VALUE"""),"64678-1757524974")</f>
        <v>64678-1757524974</v>
      </c>
      <c r="O128" s="762">
        <f>IFERROR(__xludf.DUMMYFUNCTION("""COMPUTED_VALUE"""),0.0)</f>
        <v>0</v>
      </c>
      <c r="P128" s="766">
        <f>IFERROR(__xludf.DUMMYFUNCTION("""COMPUTED_VALUE"""),1.875)</f>
        <v>1.875</v>
      </c>
      <c r="Q128" s="538" t="str">
        <f>IFERROR(__xludf.DUMMYFUNCTION("""COMPUTED_VALUE"""),"EUR")</f>
        <v>EUR</v>
      </c>
      <c r="R128" s="762">
        <f>IFERROR(__xludf.DUMMYFUNCTION("""COMPUTED_VALUE"""),488.0)</f>
        <v>488</v>
      </c>
      <c r="S128" s="538" t="str">
        <f>IFERROR(__xludf.DUMMYFUNCTION("""COMPUTED_VALUE"""),"Workshop Commercial con Timor Steffens - Workshop Commercial con Timor Steffens")</f>
        <v>Workshop Commercial con Timor Steffens - Workshop Commercial con Timor Steffens</v>
      </c>
      <c r="T128" s="763"/>
      <c r="U128" s="763"/>
      <c r="V128" s="762">
        <f>IFERROR(__xludf.DUMMYFUNCTION("""COMPUTED_VALUE"""),1.0)</f>
        <v>1</v>
      </c>
      <c r="W128" s="762">
        <f>IFERROR(__xludf.DUMMYFUNCTION("""COMPUTED_VALUE"""),45.0)</f>
        <v>45</v>
      </c>
      <c r="X128" s="762">
        <f>IFERROR(__xludf.DUMMYFUNCTION("""COMPUTED_VALUE"""),45.0)</f>
        <v>45</v>
      </c>
      <c r="Y128" s="763"/>
      <c r="Z128" s="765" t="str">
        <f>IFERROR(__xludf.DUMMYFUNCTION("""COMPUTED_VALUE"""),"https://studio-gem.it/wp-admin/post.php?post=64678&amp;action=edit")</f>
        <v>https://studio-gem.it/wp-admin/post.php?post=64678&amp;action=edit</v>
      </c>
      <c r="AA128" s="763"/>
      <c r="AB128" s="763"/>
      <c r="AC128" s="763"/>
      <c r="AD128" s="763"/>
      <c r="AE128" s="763"/>
      <c r="AF128" s="763"/>
      <c r="AG128" s="763"/>
      <c r="AH128" s="763"/>
      <c r="AI128" s="763"/>
      <c r="AJ128" s="763"/>
      <c r="AK128" s="763"/>
      <c r="AL128" s="763"/>
      <c r="AM128" s="763"/>
      <c r="AN128" s="763"/>
      <c r="AO128" s="763"/>
      <c r="AP128" s="763"/>
      <c r="AQ128" s="763"/>
      <c r="AR128" s="763"/>
      <c r="AS128" s="763"/>
      <c r="AT128" s="763"/>
      <c r="AU128" s="763"/>
      <c r="AV128" s="763"/>
      <c r="AW128" s="763"/>
      <c r="AX128" s="763"/>
      <c r="AY128" s="763"/>
      <c r="AZ128" s="763"/>
      <c r="BA128" s="763"/>
      <c r="BB128" s="763"/>
      <c r="BC128" s="763"/>
      <c r="BD128" s="763"/>
      <c r="BE128" s="763"/>
      <c r="BF128" s="763"/>
      <c r="BG128" s="763" t="b">
        <f>IFERROR(__xludf.DUMMYFUNCTION("""COMPUTED_VALUE"""),TRUE)</f>
        <v>1</v>
      </c>
      <c r="BH128" s="763" t="b">
        <f>IFERROR(__xludf.DUMMYFUNCTION("""COMPUTED_VALUE"""),TRUE)</f>
        <v>1</v>
      </c>
      <c r="BI128" s="763" t="b">
        <f>IFERROR(__xludf.DUMMYFUNCTION("""COMPUTED_VALUE"""),TRUE)</f>
        <v>1</v>
      </c>
      <c r="BJ128" s="763" t="b">
        <f>IFERROR(__xludf.DUMMYFUNCTION("""COMPUTED_VALUE"""),FALSE)</f>
        <v>0</v>
      </c>
    </row>
    <row r="129">
      <c r="A129" s="762">
        <f>IFERROR(__xludf.DUMMYFUNCTION("""COMPUTED_VALUE"""),64682.0)</f>
        <v>64682</v>
      </c>
      <c r="B129" s="538">
        <f>IFERROR(__xludf.DUMMYFUNCTION("""COMPUTED_VALUE"""),64682.0)</f>
        <v>64682</v>
      </c>
      <c r="C129" s="538" t="str">
        <f>IFERROR(__xludf.DUMMYFUNCTION("""COMPUTED_VALUE"""),"2025-09-10 21:45:19")</f>
        <v>2025-09-10 21:45:19</v>
      </c>
      <c r="D129" s="538" t="str">
        <f>IFERROR(__xludf.DUMMYFUNCTION("""COMPUTED_VALUE"""),"processing")</f>
        <v>processing</v>
      </c>
      <c r="E129" s="538" t="str">
        <f>IFERROR(__xludf.DUMMYFUNCTION("""COMPUTED_VALUE"""),"Liliana")</f>
        <v>Liliana</v>
      </c>
      <c r="F129" s="538" t="str">
        <f>IFERROR(__xludf.DUMMYFUNCTION("""COMPUTED_VALUE"""),"Donati")</f>
        <v>Donati</v>
      </c>
      <c r="G129" s="538" t="str">
        <f>IFERROR(__xludf.DUMMYFUNCTION("""COMPUTED_VALUE"""),"donatililiana94@gmail.com")</f>
        <v>donatililiana94@gmail.com</v>
      </c>
      <c r="H129" s="538">
        <f>IFERROR(__xludf.DUMMYFUNCTION("""COMPUTED_VALUE"""),3.402691291E9)</f>
        <v>3402691291</v>
      </c>
      <c r="I129" s="538" t="str">
        <f>IFERROR(__xludf.DUMMYFUNCTION("""COMPUTED_VALUE"""),"Torino")</f>
        <v>Torino</v>
      </c>
      <c r="J129" s="538" t="str">
        <f>IFERROR(__xludf.DUMMYFUNCTION("""COMPUTED_VALUE"""),"Piazza Emanuele flliberto 2")</f>
        <v>Piazza Emanuele flliberto 2</v>
      </c>
      <c r="K129" s="538">
        <f>IFERROR(__xludf.DUMMYFUNCTION("""COMPUTED_VALUE"""),40101.0)</f>
        <v>40101</v>
      </c>
      <c r="L129" s="538" t="str">
        <f>IFERROR(__xludf.DUMMYFUNCTION("""COMPUTED_VALUE"""),"Carte di pagamento")</f>
        <v>Carte di pagamento</v>
      </c>
      <c r="M129" s="763"/>
      <c r="N129" s="763" t="str">
        <f>IFERROR(__xludf.DUMMYFUNCTION("""COMPUTED_VALUE"""),"64682-1757540787")</f>
        <v>64682-1757540787</v>
      </c>
      <c r="O129" s="762">
        <f>IFERROR(__xludf.DUMMYFUNCTION("""COMPUTED_VALUE"""),0.0)</f>
        <v>0</v>
      </c>
      <c r="P129" s="766">
        <f>IFERROR(__xludf.DUMMYFUNCTION("""COMPUTED_VALUE"""),1.3333333333333333)</f>
        <v>1.333333333</v>
      </c>
      <c r="Q129" s="538" t="str">
        <f>IFERROR(__xludf.DUMMYFUNCTION("""COMPUTED_VALUE"""),"EUR")</f>
        <v>EUR</v>
      </c>
      <c r="R129" s="762">
        <f>IFERROR(__xludf.DUMMYFUNCTION("""COMPUTED_VALUE"""),490.0)</f>
        <v>490</v>
      </c>
      <c r="S129" s="538" t="str">
        <f>IFERROR(__xludf.DUMMYFUNCTION("""COMPUTED_VALUE"""),"Workshop Heels con Lulu Kulova - Workshop Lulu Heels")</f>
        <v>Workshop Heels con Lulu Kulova - Workshop Lulu Heels</v>
      </c>
      <c r="T129" s="763"/>
      <c r="U129" s="763"/>
      <c r="V129" s="762">
        <f>IFERROR(__xludf.DUMMYFUNCTION("""COMPUTED_VALUE"""),1.0)</f>
        <v>1</v>
      </c>
      <c r="W129" s="762">
        <f>IFERROR(__xludf.DUMMYFUNCTION("""COMPUTED_VALUE"""),32.0)</f>
        <v>32</v>
      </c>
      <c r="X129" s="762">
        <f>IFERROR(__xludf.DUMMYFUNCTION("""COMPUTED_VALUE"""),32.0)</f>
        <v>32</v>
      </c>
      <c r="Y129" s="763"/>
      <c r="Z129" s="765" t="str">
        <f>IFERROR(__xludf.DUMMYFUNCTION("""COMPUTED_VALUE"""),"https://studio-gem.it/wp-admin/post.php?post=64682&amp;action=edit")</f>
        <v>https://studio-gem.it/wp-admin/post.php?post=64682&amp;action=edit</v>
      </c>
      <c r="AA129" s="763"/>
      <c r="AB129" s="763"/>
      <c r="AC129" s="763"/>
      <c r="AD129" s="763"/>
      <c r="AE129" s="763"/>
      <c r="AF129" s="763"/>
      <c r="AG129" s="763"/>
      <c r="AH129" s="763"/>
      <c r="AI129" s="763"/>
      <c r="AJ129" s="763"/>
      <c r="AK129" s="763"/>
      <c r="AL129" s="763"/>
      <c r="AM129" s="763"/>
      <c r="AN129" s="763"/>
      <c r="AO129" s="763"/>
      <c r="AP129" s="763"/>
      <c r="AQ129" s="763"/>
      <c r="AR129" s="763"/>
      <c r="AS129" s="763"/>
      <c r="AT129" s="763"/>
      <c r="AU129" s="763"/>
      <c r="AV129" s="763"/>
      <c r="AW129" s="763"/>
      <c r="AX129" s="763"/>
      <c r="AY129" s="763"/>
      <c r="AZ129" s="763"/>
      <c r="BA129" s="763"/>
      <c r="BB129" s="763"/>
      <c r="BC129" s="763"/>
      <c r="BD129" s="763"/>
      <c r="BE129" s="763"/>
      <c r="BF129" s="763"/>
      <c r="BG129" s="763" t="b">
        <f>IFERROR(__xludf.DUMMYFUNCTION("""COMPUTED_VALUE"""),TRUE)</f>
        <v>1</v>
      </c>
      <c r="BH129" s="763" t="b">
        <f>IFERROR(__xludf.DUMMYFUNCTION("""COMPUTED_VALUE"""),TRUE)</f>
        <v>1</v>
      </c>
      <c r="BI129" s="763" t="b">
        <f>IFERROR(__xludf.DUMMYFUNCTION("""COMPUTED_VALUE"""),TRUE)</f>
        <v>1</v>
      </c>
      <c r="BJ129" s="763" t="b">
        <f>IFERROR(__xludf.DUMMYFUNCTION("""COMPUTED_VALUE"""),FALSE)</f>
        <v>0</v>
      </c>
    </row>
    <row r="130">
      <c r="A130" s="762">
        <f>IFERROR(__xludf.DUMMYFUNCTION("""COMPUTED_VALUE"""),64714.0)</f>
        <v>64714</v>
      </c>
      <c r="B130" s="538">
        <f>IFERROR(__xludf.DUMMYFUNCTION("""COMPUTED_VALUE"""),64714.0)</f>
        <v>64714</v>
      </c>
      <c r="C130" s="538" t="str">
        <f>IFERROR(__xludf.DUMMYFUNCTION("""COMPUTED_VALUE"""),"2025-09-11 09:15:24")</f>
        <v>2025-09-11 09:15:24</v>
      </c>
      <c r="D130" s="538" t="str">
        <f>IFERROR(__xludf.DUMMYFUNCTION("""COMPUTED_VALUE"""),"completed")</f>
        <v>completed</v>
      </c>
      <c r="E130" s="538" t="str">
        <f>IFERROR(__xludf.DUMMYFUNCTION("""COMPUTED_VALUE"""),"Alessio")</f>
        <v>Alessio</v>
      </c>
      <c r="F130" s="538" t="str">
        <f>IFERROR(__xludf.DUMMYFUNCTION("""COMPUTED_VALUE"""),"Campagna")</f>
        <v>Campagna</v>
      </c>
      <c r="G130" s="538" t="str">
        <f>IFERROR(__xludf.DUMMYFUNCTION("""COMPUTED_VALUE"""),"alessiotcgtrade@gmail.com")</f>
        <v>alessiotcgtrade@gmail.com</v>
      </c>
      <c r="H130" s="538">
        <f>IFERROR(__xludf.DUMMYFUNCTION("""COMPUTED_VALUE"""),3.517240804E9)</f>
        <v>3517240804</v>
      </c>
      <c r="I130" s="538" t="str">
        <f>IFERROR(__xludf.DUMMYFUNCTION("""COMPUTED_VALUE"""),"Milano")</f>
        <v>Milano</v>
      </c>
      <c r="J130" s="538" t="str">
        <f>IFERROR(__xludf.DUMMYFUNCTION("""COMPUTED_VALUE"""),"Corso di porta vigentina 38")</f>
        <v>Corso di porta vigentina 38</v>
      </c>
      <c r="K130" s="538">
        <f>IFERROR(__xludf.DUMMYFUNCTION("""COMPUTED_VALUE"""),20122.0)</f>
        <v>20122</v>
      </c>
      <c r="L130" s="763"/>
      <c r="M130" s="763"/>
      <c r="N130" s="763"/>
      <c r="O130" s="762">
        <f>IFERROR(__xludf.DUMMYFUNCTION("""COMPUTED_VALUE"""),0.0)</f>
        <v>0</v>
      </c>
      <c r="P130" s="764">
        <f>IFERROR(__xludf.DUMMYFUNCTION("""COMPUTED_VALUE"""),0.0)</f>
        <v>0</v>
      </c>
      <c r="Q130" s="538" t="str">
        <f>IFERROR(__xludf.DUMMYFUNCTION("""COMPUTED_VALUE"""),"EUR")</f>
        <v>EUR</v>
      </c>
      <c r="R130" s="762">
        <f>IFERROR(__xludf.DUMMYFUNCTION("""COMPUTED_VALUE"""),491.0)</f>
        <v>491</v>
      </c>
      <c r="S130" s="538" t="str">
        <f>IFERROR(__xludf.DUMMYFUNCTION("""COMPUTED_VALUE"""),"Domeniche in movimento - Gratuito per open week e open mattino 1 lezione dalle 10 alle 11.50")</f>
        <v>Domeniche in movimento - Gratuito per open week e open mattino 1 lezione dalle 10 alle 11.50</v>
      </c>
      <c r="T130" s="763"/>
      <c r="U130" s="763"/>
      <c r="V130" s="762">
        <f>IFERROR(__xludf.DUMMYFUNCTION("""COMPUTED_VALUE"""),1.0)</f>
        <v>1</v>
      </c>
      <c r="W130" s="762">
        <f>IFERROR(__xludf.DUMMYFUNCTION("""COMPUTED_VALUE"""),0.0)</f>
        <v>0</v>
      </c>
      <c r="X130" s="762">
        <f>IFERROR(__xludf.DUMMYFUNCTION("""COMPUTED_VALUE"""),0.0)</f>
        <v>0</v>
      </c>
      <c r="Y130" s="763"/>
      <c r="Z130" s="765" t="str">
        <f>IFERROR(__xludf.DUMMYFUNCTION("""COMPUTED_VALUE"""),"https://studio-gem.it/wp-admin/post.php?post=64714&amp;action=edit")</f>
        <v>https://studio-gem.it/wp-admin/post.php?post=64714&amp;action=edit</v>
      </c>
      <c r="AA130" s="763"/>
      <c r="AB130" s="763"/>
      <c r="AC130" s="763"/>
      <c r="AD130" s="763"/>
      <c r="AE130" s="763"/>
      <c r="AF130" s="763"/>
      <c r="AG130" s="763"/>
      <c r="AH130" s="763"/>
      <c r="AI130" s="763"/>
      <c r="AJ130" s="763"/>
      <c r="AK130" s="763"/>
      <c r="AL130" s="763"/>
      <c r="AM130" s="763"/>
      <c r="AN130" s="763"/>
      <c r="AO130" s="763"/>
      <c r="AP130" s="763"/>
      <c r="AQ130" s="763"/>
      <c r="AR130" s="763"/>
      <c r="AS130" s="763"/>
      <c r="AT130" s="763"/>
      <c r="AU130" s="763"/>
      <c r="AV130" s="763"/>
      <c r="AW130" s="763"/>
      <c r="AX130" s="763"/>
      <c r="AY130" s="763"/>
      <c r="AZ130" s="763"/>
      <c r="BA130" s="763"/>
      <c r="BB130" s="763"/>
      <c r="BC130" s="763"/>
      <c r="BD130" s="763"/>
      <c r="BE130" s="763"/>
      <c r="BF130" s="763"/>
      <c r="BG130" s="763" t="b">
        <f>IFERROR(__xludf.DUMMYFUNCTION("""COMPUTED_VALUE"""),FALSE)</f>
        <v>0</v>
      </c>
      <c r="BH130" s="763" t="b">
        <f>IFERROR(__xludf.DUMMYFUNCTION("""COMPUTED_VALUE"""),FALSE)</f>
        <v>0</v>
      </c>
      <c r="BI130" s="763" t="b">
        <f>IFERROR(__xludf.DUMMYFUNCTION("""COMPUTED_VALUE"""),TRUE)</f>
        <v>1</v>
      </c>
      <c r="BJ130" s="763" t="b">
        <f>IFERROR(__xludf.DUMMYFUNCTION("""COMPUTED_VALUE"""),FALSE)</f>
        <v>0</v>
      </c>
    </row>
    <row r="131">
      <c r="A131" s="762">
        <f>IFERROR(__xludf.DUMMYFUNCTION("""COMPUTED_VALUE"""),64735.0)</f>
        <v>64735</v>
      </c>
      <c r="B131" s="538">
        <f>IFERROR(__xludf.DUMMYFUNCTION("""COMPUTED_VALUE"""),64735.0)</f>
        <v>64735</v>
      </c>
      <c r="C131" s="538" t="str">
        <f>IFERROR(__xludf.DUMMYFUNCTION("""COMPUTED_VALUE"""),"2025-09-11 09:35:55")</f>
        <v>2025-09-11 09:35:55</v>
      </c>
      <c r="D131" s="538" t="str">
        <f>IFERROR(__xludf.DUMMYFUNCTION("""COMPUTED_VALUE"""),"completed")</f>
        <v>completed</v>
      </c>
      <c r="E131" s="538" t="str">
        <f>IFERROR(__xludf.DUMMYFUNCTION("""COMPUTED_VALUE"""),"Sara")</f>
        <v>Sara</v>
      </c>
      <c r="F131" s="538" t="str">
        <f>IFERROR(__xludf.DUMMYFUNCTION("""COMPUTED_VALUE"""),"Arrigoni")</f>
        <v>Arrigoni</v>
      </c>
      <c r="G131" s="538" t="str">
        <f>IFERROR(__xludf.DUMMYFUNCTION("""COMPUTED_VALUE"""),"sara.arrigoni@live.it")</f>
        <v>sara.arrigoni@live.it</v>
      </c>
      <c r="H131" s="538">
        <f>IFERROR(__xludf.DUMMYFUNCTION("""COMPUTED_VALUE"""),3.460031869E9)</f>
        <v>3460031869</v>
      </c>
      <c r="I131" s="538" t="str">
        <f>IFERROR(__xludf.DUMMYFUNCTION("""COMPUTED_VALUE"""),"Milano")</f>
        <v>Milano</v>
      </c>
      <c r="J131" s="538" t="str">
        <f>IFERROR(__xludf.DUMMYFUNCTION("""COMPUTED_VALUE"""),"Via Montessori 1")</f>
        <v>Via Montessori 1</v>
      </c>
      <c r="K131" s="538">
        <f>IFERROR(__xludf.DUMMYFUNCTION("""COMPUTED_VALUE"""),20138.0)</f>
        <v>20138</v>
      </c>
      <c r="L131" s="538" t="str">
        <f>IFERROR(__xludf.DUMMYFUNCTION("""COMPUTED_VALUE"""),"Apple Pay")</f>
        <v>Apple Pay</v>
      </c>
      <c r="M131" s="538" t="str">
        <f>IFERROR(__xludf.DUMMYFUNCTION("""COMPUTED_VALUE"""),"sara02ws")</f>
        <v>sara02ws</v>
      </c>
      <c r="N131" s="763" t="str">
        <f>IFERROR(__xludf.DUMMYFUNCTION("""COMPUTED_VALUE"""),"64735-1757583357")</f>
        <v>64735-1757583357</v>
      </c>
      <c r="O131" s="762">
        <f>IFERROR(__xludf.DUMMYFUNCTION("""COMPUTED_VALUE"""),0.0)</f>
        <v>0</v>
      </c>
      <c r="P131" s="766">
        <f>IFERROR(__xludf.DUMMYFUNCTION("""COMPUTED_VALUE"""),1.7916666666666667)</f>
        <v>1.791666667</v>
      </c>
      <c r="Q131" s="538" t="str">
        <f>IFERROR(__xludf.DUMMYFUNCTION("""COMPUTED_VALUE"""),"EUR")</f>
        <v>EUR</v>
      </c>
      <c r="R131" s="762">
        <f>IFERROR(__xludf.DUMMYFUNCTION("""COMPUTED_VALUE"""),492.0)</f>
        <v>492</v>
      </c>
      <c r="S131" s="538" t="str">
        <f>IFERROR(__xludf.DUMMYFUNCTION("""COMPUTED_VALUE"""),"Workshop Commercial con Timor Steffens - Workshop Commercial con Timor Steffens")</f>
        <v>Workshop Commercial con Timor Steffens - Workshop Commercial con Timor Steffens</v>
      </c>
      <c r="T131" s="763"/>
      <c r="U131" s="763"/>
      <c r="V131" s="762">
        <f>IFERROR(__xludf.DUMMYFUNCTION("""COMPUTED_VALUE"""),1.0)</f>
        <v>1</v>
      </c>
      <c r="W131" s="762">
        <f>IFERROR(__xludf.DUMMYFUNCTION("""COMPUTED_VALUE"""),43.0)</f>
        <v>43</v>
      </c>
      <c r="X131" s="762">
        <f>IFERROR(__xludf.DUMMYFUNCTION("""COMPUTED_VALUE"""),43.0)</f>
        <v>43</v>
      </c>
      <c r="Y131" s="763"/>
      <c r="Z131" s="765" t="str">
        <f>IFERROR(__xludf.DUMMYFUNCTION("""COMPUTED_VALUE"""),"https://studio-gem.it/wp-admin/post.php?post=64735&amp;action=edit")</f>
        <v>https://studio-gem.it/wp-admin/post.php?post=64735&amp;action=edit</v>
      </c>
      <c r="AA131" s="763"/>
      <c r="AB131" s="763"/>
      <c r="AC131" s="763"/>
      <c r="AD131" s="763"/>
      <c r="AE131" s="763"/>
      <c r="AF131" s="763"/>
      <c r="AG131" s="763"/>
      <c r="AH131" s="763"/>
      <c r="AI131" s="763"/>
      <c r="AJ131" s="763"/>
      <c r="AK131" s="763"/>
      <c r="AL131" s="763"/>
      <c r="AM131" s="763"/>
      <c r="AN131" s="763"/>
      <c r="AO131" s="763"/>
      <c r="AP131" s="763"/>
      <c r="AQ131" s="763"/>
      <c r="AR131" s="763"/>
      <c r="AS131" s="763"/>
      <c r="AT131" s="763"/>
      <c r="AU131" s="763"/>
      <c r="AV131" s="763"/>
      <c r="AW131" s="763"/>
      <c r="AX131" s="763"/>
      <c r="AY131" s="763"/>
      <c r="AZ131" s="763"/>
      <c r="BA131" s="763"/>
      <c r="BB131" s="763"/>
      <c r="BC131" s="763"/>
      <c r="BD131" s="763"/>
      <c r="BE131" s="763"/>
      <c r="BF131" s="763"/>
      <c r="BG131" s="763" t="b">
        <f>IFERROR(__xludf.DUMMYFUNCTION("""COMPUTED_VALUE"""),TRUE)</f>
        <v>1</v>
      </c>
      <c r="BH131" s="763" t="b">
        <f>IFERROR(__xludf.DUMMYFUNCTION("""COMPUTED_VALUE"""),TRUE)</f>
        <v>1</v>
      </c>
      <c r="BI131" s="763" t="b">
        <f>IFERROR(__xludf.DUMMYFUNCTION("""COMPUTED_VALUE"""),TRUE)</f>
        <v>1</v>
      </c>
      <c r="BJ131" s="763" t="b">
        <f>IFERROR(__xludf.DUMMYFUNCTION("""COMPUTED_VALUE"""),FALSE)</f>
        <v>0</v>
      </c>
    </row>
    <row r="132">
      <c r="A132" s="762">
        <f>IFERROR(__xludf.DUMMYFUNCTION("""COMPUTED_VALUE"""),64746.0)</f>
        <v>64746</v>
      </c>
      <c r="B132" s="538">
        <f>IFERROR(__xludf.DUMMYFUNCTION("""COMPUTED_VALUE"""),64746.0)</f>
        <v>64746</v>
      </c>
      <c r="C132" s="538" t="str">
        <f>IFERROR(__xludf.DUMMYFUNCTION("""COMPUTED_VALUE"""),"2025-09-11 13:09:47")</f>
        <v>2025-09-11 13:09:47</v>
      </c>
      <c r="D132" s="538" t="str">
        <f>IFERROR(__xludf.DUMMYFUNCTION("""COMPUTED_VALUE"""),"processing")</f>
        <v>processing</v>
      </c>
      <c r="E132" s="538" t="str">
        <f>IFERROR(__xludf.DUMMYFUNCTION("""COMPUTED_VALUE"""),"Ginevra")</f>
        <v>Ginevra</v>
      </c>
      <c r="F132" s="538" t="str">
        <f>IFERROR(__xludf.DUMMYFUNCTION("""COMPUTED_VALUE"""),"Gusella")</f>
        <v>Gusella</v>
      </c>
      <c r="G132" s="538" t="str">
        <f>IFERROR(__xludf.DUMMYFUNCTION("""COMPUTED_VALUE"""),"Ginevra.gusella11@yahoo.com")</f>
        <v>Ginevra.gusella11@yahoo.com</v>
      </c>
      <c r="H132" s="538">
        <f>IFERROR(__xludf.DUMMYFUNCTION("""COMPUTED_VALUE"""),3.285361665E9)</f>
        <v>3285361665</v>
      </c>
      <c r="I132" s="538" t="str">
        <f>IFERROR(__xludf.DUMMYFUNCTION("""COMPUTED_VALUE"""),"Milano")</f>
        <v>Milano</v>
      </c>
      <c r="J132" s="538" t="str">
        <f>IFERROR(__xludf.DUMMYFUNCTION("""COMPUTED_VALUE"""),"Via delle Ande 8")</f>
        <v>Via delle Ande 8</v>
      </c>
      <c r="K132" s="538">
        <f>IFERROR(__xludf.DUMMYFUNCTION("""COMPUTED_VALUE"""),20151.0)</f>
        <v>20151</v>
      </c>
      <c r="L132" s="538" t="str">
        <f>IFERROR(__xludf.DUMMYFUNCTION("""COMPUTED_VALUE"""),"Carte di pagamento")</f>
        <v>Carte di pagamento</v>
      </c>
      <c r="M132" s="763"/>
      <c r="N132" s="763" t="str">
        <f>IFERROR(__xludf.DUMMYFUNCTION("""COMPUTED_VALUE"""),"64746-1757596189")</f>
        <v>64746-1757596189</v>
      </c>
      <c r="O132" s="762">
        <f>IFERROR(__xludf.DUMMYFUNCTION("""COMPUTED_VALUE"""),0.0)</f>
        <v>0</v>
      </c>
      <c r="P132" s="766">
        <f>IFERROR(__xludf.DUMMYFUNCTION("""COMPUTED_VALUE"""),1.3333333333333333)</f>
        <v>1.333333333</v>
      </c>
      <c r="Q132" s="538" t="str">
        <f>IFERROR(__xludf.DUMMYFUNCTION("""COMPUTED_VALUE"""),"EUR")</f>
        <v>EUR</v>
      </c>
      <c r="R132" s="762">
        <f>IFERROR(__xludf.DUMMYFUNCTION("""COMPUTED_VALUE"""),494.0)</f>
        <v>494</v>
      </c>
      <c r="S132" s="538" t="str">
        <f>IFERROR(__xludf.DUMMYFUNCTION("""COMPUTED_VALUE"""),"Workshop Afrofusion con Banana 2025 - Workshop Banana afrofusion")</f>
        <v>Workshop Afrofusion con Banana 2025 - Workshop Banana afrofusion</v>
      </c>
      <c r="T132" s="763"/>
      <c r="U132" s="763"/>
      <c r="V132" s="762">
        <f>IFERROR(__xludf.DUMMYFUNCTION("""COMPUTED_VALUE"""),1.0)</f>
        <v>1</v>
      </c>
      <c r="W132" s="762">
        <f>IFERROR(__xludf.DUMMYFUNCTION("""COMPUTED_VALUE"""),32.0)</f>
        <v>32</v>
      </c>
      <c r="X132" s="762">
        <f>IFERROR(__xludf.DUMMYFUNCTION("""COMPUTED_VALUE"""),32.0)</f>
        <v>32</v>
      </c>
      <c r="Y132" s="763"/>
      <c r="Z132" s="765" t="str">
        <f>IFERROR(__xludf.DUMMYFUNCTION("""COMPUTED_VALUE"""),"https://studio-gem.it/wp-admin/post.php?post=64746&amp;action=edit")</f>
        <v>https://studio-gem.it/wp-admin/post.php?post=64746&amp;action=edit</v>
      </c>
      <c r="AA132" s="763"/>
      <c r="AB132" s="763"/>
      <c r="AC132" s="763"/>
      <c r="AD132" s="763"/>
      <c r="AE132" s="763"/>
      <c r="AF132" s="763"/>
      <c r="AG132" s="763"/>
      <c r="AH132" s="763"/>
      <c r="AI132" s="763"/>
      <c r="AJ132" s="763"/>
      <c r="AK132" s="763"/>
      <c r="AL132" s="763"/>
      <c r="AM132" s="763"/>
      <c r="AN132" s="763"/>
      <c r="AO132" s="763"/>
      <c r="AP132" s="763"/>
      <c r="AQ132" s="763"/>
      <c r="AR132" s="763"/>
      <c r="AS132" s="763"/>
      <c r="AT132" s="763"/>
      <c r="AU132" s="763"/>
      <c r="AV132" s="763"/>
      <c r="AW132" s="763"/>
      <c r="AX132" s="763"/>
      <c r="AY132" s="763"/>
      <c r="AZ132" s="763"/>
      <c r="BA132" s="763"/>
      <c r="BB132" s="763"/>
      <c r="BC132" s="763"/>
      <c r="BD132" s="763"/>
      <c r="BE132" s="763"/>
      <c r="BF132" s="763"/>
      <c r="BG132" s="763" t="b">
        <f>IFERROR(__xludf.DUMMYFUNCTION("""COMPUTED_VALUE"""),TRUE)</f>
        <v>1</v>
      </c>
      <c r="BH132" s="763" t="b">
        <f>IFERROR(__xludf.DUMMYFUNCTION("""COMPUTED_VALUE"""),TRUE)</f>
        <v>1</v>
      </c>
      <c r="BI132" s="763" t="b">
        <f>IFERROR(__xludf.DUMMYFUNCTION("""COMPUTED_VALUE"""),TRUE)</f>
        <v>1</v>
      </c>
      <c r="BJ132" s="763" t="b">
        <f>IFERROR(__xludf.DUMMYFUNCTION("""COMPUTED_VALUE"""),FALSE)</f>
        <v>0</v>
      </c>
    </row>
    <row r="133">
      <c r="A133" s="762">
        <f>IFERROR(__xludf.DUMMYFUNCTION("""COMPUTED_VALUE"""),64747.0)</f>
        <v>64747</v>
      </c>
      <c r="B133" s="538">
        <f>IFERROR(__xludf.DUMMYFUNCTION("""COMPUTED_VALUE"""),64747.0)</f>
        <v>64747</v>
      </c>
      <c r="C133" s="538" t="str">
        <f>IFERROR(__xludf.DUMMYFUNCTION("""COMPUTED_VALUE"""),"2025-09-11 14:16:18")</f>
        <v>2025-09-11 14:16:18</v>
      </c>
      <c r="D133" s="538" t="str">
        <f>IFERROR(__xludf.DUMMYFUNCTION("""COMPUTED_VALUE"""),"completed")</f>
        <v>completed</v>
      </c>
      <c r="E133" s="538" t="str">
        <f>IFERROR(__xludf.DUMMYFUNCTION("""COMPUTED_VALUE"""),"Carolina")</f>
        <v>Carolina</v>
      </c>
      <c r="F133" s="538" t="str">
        <f>IFERROR(__xludf.DUMMYFUNCTION("""COMPUTED_VALUE"""),"Marino")</f>
        <v>Marino</v>
      </c>
      <c r="G133" s="538" t="str">
        <f>IFERROR(__xludf.DUMMYFUNCTION("""COMPUTED_VALUE"""),"carolinamarino1997@gmail.com")</f>
        <v>carolinamarino1997@gmail.com</v>
      </c>
      <c r="H133" s="538">
        <f>IFERROR(__xludf.DUMMYFUNCTION("""COMPUTED_VALUE"""),3.296550485E9)</f>
        <v>3296550485</v>
      </c>
      <c r="I133" s="538" t="str">
        <f>IFERROR(__xludf.DUMMYFUNCTION("""COMPUTED_VALUE"""),"Trezzano sul Naviglio")</f>
        <v>Trezzano sul Naviglio</v>
      </c>
      <c r="J133" s="538" t="str">
        <f>IFERROR(__xludf.DUMMYFUNCTION("""COMPUTED_VALUE"""),"Via Paolo Sarpi 12")</f>
        <v>Via Paolo Sarpi 12</v>
      </c>
      <c r="K133" s="538">
        <f>IFERROR(__xludf.DUMMYFUNCTION("""COMPUTED_VALUE"""),20090.0)</f>
        <v>20090</v>
      </c>
      <c r="L133" s="538" t="str">
        <f>IFERROR(__xludf.DUMMYFUNCTION("""COMPUTED_VALUE"""),"Apple Pay")</f>
        <v>Apple Pay</v>
      </c>
      <c r="M133" s="538" t="str">
        <f>IFERROR(__xludf.DUMMYFUNCTION("""COMPUTED_VALUE"""),"sara02ws")</f>
        <v>sara02ws</v>
      </c>
      <c r="N133" s="763" t="str">
        <f>IFERROR(__xludf.DUMMYFUNCTION("""COMPUTED_VALUE"""),"64747-1757600234")</f>
        <v>64747-1757600234</v>
      </c>
      <c r="O133" s="762">
        <f>IFERROR(__xludf.DUMMYFUNCTION("""COMPUTED_VALUE"""),0.0)</f>
        <v>0</v>
      </c>
      <c r="P133" s="766">
        <f>IFERROR(__xludf.DUMMYFUNCTION("""COMPUTED_VALUE"""),1.25)</f>
        <v>1.25</v>
      </c>
      <c r="Q133" s="538" t="str">
        <f>IFERROR(__xludf.DUMMYFUNCTION("""COMPUTED_VALUE"""),"EUR")</f>
        <v>EUR</v>
      </c>
      <c r="R133" s="762">
        <f>IFERROR(__xludf.DUMMYFUNCTION("""COMPUTED_VALUE"""),497.0)</f>
        <v>497</v>
      </c>
      <c r="S133" s="538" t="str">
        <f>IFERROR(__xludf.DUMMYFUNCTION("""COMPUTED_VALUE"""),"Workshop Heels con Deborah Esposito - Workshop Heels con Deborah Esposito")</f>
        <v>Workshop Heels con Deborah Esposito - Workshop Heels con Deborah Esposito</v>
      </c>
      <c r="T133" s="763"/>
      <c r="U133" s="763"/>
      <c r="V133" s="762">
        <f>IFERROR(__xludf.DUMMYFUNCTION("""COMPUTED_VALUE"""),1.0)</f>
        <v>1</v>
      </c>
      <c r="W133" s="762">
        <f>IFERROR(__xludf.DUMMYFUNCTION("""COMPUTED_VALUE"""),30.0)</f>
        <v>30</v>
      </c>
      <c r="X133" s="762">
        <f>IFERROR(__xludf.DUMMYFUNCTION("""COMPUTED_VALUE"""),30.0)</f>
        <v>30</v>
      </c>
      <c r="Y133" s="763"/>
      <c r="Z133" s="765" t="str">
        <f>IFERROR(__xludf.DUMMYFUNCTION("""COMPUTED_VALUE"""),"https://studio-gem.it/wp-admin/post.php?post=64747&amp;action=edit")</f>
        <v>https://studio-gem.it/wp-admin/post.php?post=64747&amp;action=edit</v>
      </c>
      <c r="AA133" s="763"/>
      <c r="AB133" s="763"/>
      <c r="AC133" s="763"/>
      <c r="AD133" s="763"/>
      <c r="AE133" s="763"/>
      <c r="AF133" s="763"/>
      <c r="AG133" s="763"/>
      <c r="AH133" s="763"/>
      <c r="AI133" s="763"/>
      <c r="AJ133" s="763"/>
      <c r="AK133" s="763"/>
      <c r="AL133" s="763"/>
      <c r="AM133" s="763"/>
      <c r="AN133" s="763"/>
      <c r="AO133" s="763"/>
      <c r="AP133" s="763"/>
      <c r="AQ133" s="763"/>
      <c r="AR133" s="763"/>
      <c r="AS133" s="763"/>
      <c r="AT133" s="763"/>
      <c r="AU133" s="763"/>
      <c r="AV133" s="763"/>
      <c r="AW133" s="763"/>
      <c r="AX133" s="763"/>
      <c r="AY133" s="763"/>
      <c r="AZ133" s="763"/>
      <c r="BA133" s="763"/>
      <c r="BB133" s="763"/>
      <c r="BC133" s="763"/>
      <c r="BD133" s="763"/>
      <c r="BE133" s="763"/>
      <c r="BF133" s="763"/>
      <c r="BG133" s="763" t="b">
        <f>IFERROR(__xludf.DUMMYFUNCTION("""COMPUTED_VALUE"""),TRUE)</f>
        <v>1</v>
      </c>
      <c r="BH133" s="763" t="b">
        <f>IFERROR(__xludf.DUMMYFUNCTION("""COMPUTED_VALUE"""),TRUE)</f>
        <v>1</v>
      </c>
      <c r="BI133" s="763" t="b">
        <f>IFERROR(__xludf.DUMMYFUNCTION("""COMPUTED_VALUE"""),TRUE)</f>
        <v>1</v>
      </c>
      <c r="BJ133" s="763" t="b">
        <f>IFERROR(__xludf.DUMMYFUNCTION("""COMPUTED_VALUE"""),FALSE)</f>
        <v>0</v>
      </c>
    </row>
    <row r="134">
      <c r="A134" s="762">
        <f>IFERROR(__xludf.DUMMYFUNCTION("""COMPUTED_VALUE"""),64751.0)</f>
        <v>64751</v>
      </c>
      <c r="B134" s="538">
        <f>IFERROR(__xludf.DUMMYFUNCTION("""COMPUTED_VALUE"""),64751.0)</f>
        <v>64751</v>
      </c>
      <c r="C134" s="538" t="str">
        <f>IFERROR(__xludf.DUMMYFUNCTION("""COMPUTED_VALUE"""),"2025-09-11 15:29:41")</f>
        <v>2025-09-11 15:29:41</v>
      </c>
      <c r="D134" s="538" t="str">
        <f>IFERROR(__xludf.DUMMYFUNCTION("""COMPUTED_VALUE"""),"processing")</f>
        <v>processing</v>
      </c>
      <c r="E134" s="538" t="str">
        <f>IFERROR(__xludf.DUMMYFUNCTION("""COMPUTED_VALUE"""),"Donatella")</f>
        <v>Donatella</v>
      </c>
      <c r="F134" s="538" t="str">
        <f>IFERROR(__xludf.DUMMYFUNCTION("""COMPUTED_VALUE"""),"Di Giorgio")</f>
        <v>Di Giorgio</v>
      </c>
      <c r="G134" s="538" t="str">
        <f>IFERROR(__xludf.DUMMYFUNCTION("""COMPUTED_VALUE"""),"donatella.di.giorgio03@gmail.com")</f>
        <v>donatella.di.giorgio03@gmail.com</v>
      </c>
      <c r="H134" s="538">
        <f>IFERROR(__xludf.DUMMYFUNCTION("""COMPUTED_VALUE"""),3.484219574E9)</f>
        <v>3484219574</v>
      </c>
      <c r="I134" s="538" t="str">
        <f>IFERROR(__xludf.DUMMYFUNCTION("""COMPUTED_VALUE"""),"BERNALDA")</f>
        <v>BERNALDA</v>
      </c>
      <c r="J134" s="538" t="str">
        <f>IFERROR(__xludf.DUMMYFUNCTION("""COMPUTED_VALUE"""),"Via del Concilio Vaticano II n.51")</f>
        <v>Via del Concilio Vaticano II n.51</v>
      </c>
      <c r="K134" s="538">
        <f>IFERROR(__xludf.DUMMYFUNCTION("""COMPUTED_VALUE"""),75012.0)</f>
        <v>75012</v>
      </c>
      <c r="L134" s="538" t="str">
        <f>IFERROR(__xludf.DUMMYFUNCTION("""COMPUTED_VALUE"""),"Carte di pagamento")</f>
        <v>Carte di pagamento</v>
      </c>
      <c r="M134" s="763"/>
      <c r="N134" s="763" t="str">
        <f>IFERROR(__xludf.DUMMYFUNCTION("""COMPUTED_VALUE"""),"64751-1757604582")</f>
        <v>64751-1757604582</v>
      </c>
      <c r="O134" s="762">
        <f>IFERROR(__xludf.DUMMYFUNCTION("""COMPUTED_VALUE"""),0.0)</f>
        <v>0</v>
      </c>
      <c r="P134" s="766">
        <f>IFERROR(__xludf.DUMMYFUNCTION("""COMPUTED_VALUE"""),1.125)</f>
        <v>1.125</v>
      </c>
      <c r="Q134" s="538" t="str">
        <f>IFERROR(__xludf.DUMMYFUNCTION("""COMPUTED_VALUE"""),"EUR")</f>
        <v>EUR</v>
      </c>
      <c r="R134" s="762">
        <f>IFERROR(__xludf.DUMMYFUNCTION("""COMPUTED_VALUE"""),499.0)</f>
        <v>499</v>
      </c>
      <c r="S134" s="538" t="str">
        <f>IFERROR(__xludf.DUMMYFUNCTION("""COMPUTED_VALUE"""),"Workshop Salsa Musicality con Nicolò De Angelis - Workshop Nicolò Salsa Musicality")</f>
        <v>Workshop Salsa Musicality con Nicolò De Angelis - Workshop Nicolò Salsa Musicality</v>
      </c>
      <c r="T134" s="763"/>
      <c r="U134" s="763"/>
      <c r="V134" s="762">
        <f>IFERROR(__xludf.DUMMYFUNCTION("""COMPUTED_VALUE"""),1.0)</f>
        <v>1</v>
      </c>
      <c r="W134" s="762">
        <f>IFERROR(__xludf.DUMMYFUNCTION("""COMPUTED_VALUE"""),27.0)</f>
        <v>27</v>
      </c>
      <c r="X134" s="762">
        <f>IFERROR(__xludf.DUMMYFUNCTION("""COMPUTED_VALUE"""),27.0)</f>
        <v>27</v>
      </c>
      <c r="Y134" s="763"/>
      <c r="Z134" s="765" t="str">
        <f>IFERROR(__xludf.DUMMYFUNCTION("""COMPUTED_VALUE"""),"https://studio-gem.it/wp-admin/post.php?post=64751&amp;action=edit")</f>
        <v>https://studio-gem.it/wp-admin/post.php?post=64751&amp;action=edit</v>
      </c>
      <c r="AA134" s="763"/>
      <c r="AB134" s="763"/>
      <c r="AC134" s="763"/>
      <c r="AD134" s="763"/>
      <c r="AE134" s="763"/>
      <c r="AF134" s="763"/>
      <c r="AG134" s="763"/>
      <c r="AH134" s="763"/>
      <c r="AI134" s="763"/>
      <c r="AJ134" s="763"/>
      <c r="AK134" s="763"/>
      <c r="AL134" s="763"/>
      <c r="AM134" s="763"/>
      <c r="AN134" s="763"/>
      <c r="AO134" s="763"/>
      <c r="AP134" s="763"/>
      <c r="AQ134" s="763"/>
      <c r="AR134" s="763"/>
      <c r="AS134" s="763"/>
      <c r="AT134" s="763"/>
      <c r="AU134" s="763"/>
      <c r="AV134" s="763"/>
      <c r="AW134" s="763"/>
      <c r="AX134" s="763"/>
      <c r="AY134" s="763"/>
      <c r="AZ134" s="763"/>
      <c r="BA134" s="763"/>
      <c r="BB134" s="763"/>
      <c r="BC134" s="763"/>
      <c r="BD134" s="763"/>
      <c r="BE134" s="763"/>
      <c r="BF134" s="763"/>
      <c r="BG134" s="763" t="b">
        <f>IFERROR(__xludf.DUMMYFUNCTION("""COMPUTED_VALUE"""),TRUE)</f>
        <v>1</v>
      </c>
      <c r="BH134" s="763" t="b">
        <f>IFERROR(__xludf.DUMMYFUNCTION("""COMPUTED_VALUE"""),TRUE)</f>
        <v>1</v>
      </c>
      <c r="BI134" s="763" t="b">
        <f>IFERROR(__xludf.DUMMYFUNCTION("""COMPUTED_VALUE"""),TRUE)</f>
        <v>1</v>
      </c>
      <c r="BJ134" s="763" t="b">
        <f>IFERROR(__xludf.DUMMYFUNCTION("""COMPUTED_VALUE"""),FALSE)</f>
        <v>0</v>
      </c>
    </row>
    <row r="135">
      <c r="A135" s="762">
        <f>IFERROR(__xludf.DUMMYFUNCTION("""COMPUTED_VALUE"""),64752.0)</f>
        <v>64752</v>
      </c>
      <c r="B135" s="538">
        <f>IFERROR(__xludf.DUMMYFUNCTION("""COMPUTED_VALUE"""),64752.0)</f>
        <v>64752</v>
      </c>
      <c r="C135" s="538" t="str">
        <f>IFERROR(__xludf.DUMMYFUNCTION("""COMPUTED_VALUE"""),"2025-09-11 16:07:47")</f>
        <v>2025-09-11 16:07:47</v>
      </c>
      <c r="D135" s="538" t="str">
        <f>IFERROR(__xludf.DUMMYFUNCTION("""COMPUTED_VALUE"""),"completed")</f>
        <v>completed</v>
      </c>
      <c r="E135" s="538" t="str">
        <f>IFERROR(__xludf.DUMMYFUNCTION("""COMPUTED_VALUE"""),"Giulia")</f>
        <v>Giulia</v>
      </c>
      <c r="F135" s="538" t="str">
        <f>IFERROR(__xludf.DUMMYFUNCTION("""COMPUTED_VALUE"""),"Piva")</f>
        <v>Piva</v>
      </c>
      <c r="G135" s="538" t="str">
        <f>IFERROR(__xludf.DUMMYFUNCTION("""COMPUTED_VALUE"""),"giulia.piva2024@gmail.com")</f>
        <v>giulia.piva2024@gmail.com</v>
      </c>
      <c r="H135" s="538">
        <f>IFERROR(__xludf.DUMMYFUNCTION("""COMPUTED_VALUE"""),3.337184341E9)</f>
        <v>3337184341</v>
      </c>
      <c r="I135" s="538" t="str">
        <f>IFERROR(__xludf.DUMMYFUNCTION("""COMPUTED_VALUE"""),"san donato milanese")</f>
        <v>san donato milanese</v>
      </c>
      <c r="J135" s="538" t="str">
        <f>IFERROR(__xludf.DUMMYFUNCTION("""COMPUTED_VALUE"""),"via don minzoni 38")</f>
        <v>via don minzoni 38</v>
      </c>
      <c r="K135" s="538">
        <f>IFERROR(__xludf.DUMMYFUNCTION("""COMPUTED_VALUE"""),20097.0)</f>
        <v>20097</v>
      </c>
      <c r="L135" s="538" t="str">
        <f>IFERROR(__xludf.DUMMYFUNCTION("""COMPUTED_VALUE"""),"Carte di pagamento")</f>
        <v>Carte di pagamento</v>
      </c>
      <c r="M135" s="538" t="str">
        <f>IFERROR(__xludf.DUMMYFUNCTION("""COMPUTED_VALUE"""),"nura02ws")</f>
        <v>nura02ws</v>
      </c>
      <c r="N135" s="763" t="str">
        <f>IFERROR(__xludf.DUMMYFUNCTION("""COMPUTED_VALUE"""),"64752-1757606868")</f>
        <v>64752-1757606868</v>
      </c>
      <c r="O135" s="762">
        <f>IFERROR(__xludf.DUMMYFUNCTION("""COMPUTED_VALUE"""),0.0)</f>
        <v>0</v>
      </c>
      <c r="P135" s="766">
        <f>IFERROR(__xludf.DUMMYFUNCTION("""COMPUTED_VALUE"""),1.7916666666666667)</f>
        <v>1.791666667</v>
      </c>
      <c r="Q135" s="538" t="str">
        <f>IFERROR(__xludf.DUMMYFUNCTION("""COMPUTED_VALUE"""),"EUR")</f>
        <v>EUR</v>
      </c>
      <c r="R135" s="762">
        <f>IFERROR(__xludf.DUMMYFUNCTION("""COMPUTED_VALUE"""),500.0)</f>
        <v>500</v>
      </c>
      <c r="S135" s="538" t="str">
        <f>IFERROR(__xludf.DUMMYFUNCTION("""COMPUTED_VALUE"""),"Workshop Commercial con Timor Steffens - Workshop Commercial con Timor Steffens")</f>
        <v>Workshop Commercial con Timor Steffens - Workshop Commercial con Timor Steffens</v>
      </c>
      <c r="T135" s="763"/>
      <c r="U135" s="763"/>
      <c r="V135" s="762">
        <f>IFERROR(__xludf.DUMMYFUNCTION("""COMPUTED_VALUE"""),1.0)</f>
        <v>1</v>
      </c>
      <c r="W135" s="762">
        <f>IFERROR(__xludf.DUMMYFUNCTION("""COMPUTED_VALUE"""),43.0)</f>
        <v>43</v>
      </c>
      <c r="X135" s="762">
        <f>IFERROR(__xludf.DUMMYFUNCTION("""COMPUTED_VALUE"""),43.0)</f>
        <v>43</v>
      </c>
      <c r="Y135" s="763"/>
      <c r="Z135" s="765" t="str">
        <f>IFERROR(__xludf.DUMMYFUNCTION("""COMPUTED_VALUE"""),"https://studio-gem.it/wp-admin/post.php?post=64752&amp;action=edit")</f>
        <v>https://studio-gem.it/wp-admin/post.php?post=64752&amp;action=edit</v>
      </c>
      <c r="AA135" s="763"/>
      <c r="AB135" s="763"/>
      <c r="AC135" s="763"/>
      <c r="AD135" s="763"/>
      <c r="AE135" s="763"/>
      <c r="AF135" s="763"/>
      <c r="AG135" s="763"/>
      <c r="AH135" s="763"/>
      <c r="AI135" s="763"/>
      <c r="AJ135" s="763"/>
      <c r="AK135" s="763"/>
      <c r="AL135" s="763"/>
      <c r="AM135" s="763"/>
      <c r="AN135" s="763"/>
      <c r="AO135" s="763"/>
      <c r="AP135" s="763"/>
      <c r="AQ135" s="763"/>
      <c r="AR135" s="763"/>
      <c r="AS135" s="763"/>
      <c r="AT135" s="763"/>
      <c r="AU135" s="763"/>
      <c r="AV135" s="763"/>
      <c r="AW135" s="763"/>
      <c r="AX135" s="763"/>
      <c r="AY135" s="763"/>
      <c r="AZ135" s="763"/>
      <c r="BA135" s="763"/>
      <c r="BB135" s="763"/>
      <c r="BC135" s="763"/>
      <c r="BD135" s="763"/>
      <c r="BE135" s="763"/>
      <c r="BF135" s="763"/>
      <c r="BG135" s="763" t="b">
        <f>IFERROR(__xludf.DUMMYFUNCTION("""COMPUTED_VALUE"""),TRUE)</f>
        <v>1</v>
      </c>
      <c r="BH135" s="763" t="b">
        <f>IFERROR(__xludf.DUMMYFUNCTION("""COMPUTED_VALUE"""),TRUE)</f>
        <v>1</v>
      </c>
      <c r="BI135" s="763" t="b">
        <f>IFERROR(__xludf.DUMMYFUNCTION("""COMPUTED_VALUE"""),TRUE)</f>
        <v>1</v>
      </c>
      <c r="BJ135" s="763" t="b">
        <f>IFERROR(__xludf.DUMMYFUNCTION("""COMPUTED_VALUE"""),FALSE)</f>
        <v>0</v>
      </c>
    </row>
    <row r="136">
      <c r="A136" s="762">
        <f>IFERROR(__xludf.DUMMYFUNCTION("""COMPUTED_VALUE"""),64757.0)</f>
        <v>64757</v>
      </c>
      <c r="B136" s="538">
        <f>IFERROR(__xludf.DUMMYFUNCTION("""COMPUTED_VALUE"""),64757.0)</f>
        <v>64757</v>
      </c>
      <c r="C136" s="538" t="str">
        <f>IFERROR(__xludf.DUMMYFUNCTION("""COMPUTED_VALUE"""),"2025-09-12 07:46:17")</f>
        <v>2025-09-12 07:46:17</v>
      </c>
      <c r="D136" s="538" t="str">
        <f>IFERROR(__xludf.DUMMYFUNCTION("""COMPUTED_VALUE"""),"completed")</f>
        <v>completed</v>
      </c>
      <c r="E136" s="538" t="str">
        <f>IFERROR(__xludf.DUMMYFUNCTION("""COMPUTED_VALUE"""),"Matilde")</f>
        <v>Matilde</v>
      </c>
      <c r="F136" s="538" t="str">
        <f>IFERROR(__xludf.DUMMYFUNCTION("""COMPUTED_VALUE"""),"Laera")</f>
        <v>Laera</v>
      </c>
      <c r="G136" s="538" t="str">
        <f>IFERROR(__xludf.DUMMYFUNCTION("""COMPUTED_VALUE"""),"laeramatilde@gmail.com")</f>
        <v>laeramatilde@gmail.com</v>
      </c>
      <c r="H136" s="538">
        <f>IFERROR(__xludf.DUMMYFUNCTION("""COMPUTED_VALUE"""),3.668786797E9)</f>
        <v>3668786797</v>
      </c>
      <c r="I136" s="538" t="str">
        <f>IFERROR(__xludf.DUMMYFUNCTION("""COMPUTED_VALUE"""),"Milano")</f>
        <v>Milano</v>
      </c>
      <c r="J136" s="538" t="str">
        <f>IFERROR(__xludf.DUMMYFUNCTION("""COMPUTED_VALUE"""),"Via Gonin, 8")</f>
        <v>Via Gonin, 8</v>
      </c>
      <c r="K136" s="538">
        <f>IFERROR(__xludf.DUMMYFUNCTION("""COMPUTED_VALUE"""),20147.0)</f>
        <v>20147</v>
      </c>
      <c r="L136" s="538" t="str">
        <f>IFERROR(__xludf.DUMMYFUNCTION("""COMPUTED_VALUE"""),"Apple Pay")</f>
        <v>Apple Pay</v>
      </c>
      <c r="M136" s="763"/>
      <c r="N136" s="763" t="str">
        <f>IFERROR(__xludf.DUMMYFUNCTION("""COMPUTED_VALUE"""),"64757-1757663179")</f>
        <v>64757-1757663179</v>
      </c>
      <c r="O136" s="762">
        <f>IFERROR(__xludf.DUMMYFUNCTION("""COMPUTED_VALUE"""),0.0)</f>
        <v>0</v>
      </c>
      <c r="P136" s="766">
        <f>IFERROR(__xludf.DUMMYFUNCTION("""COMPUTED_VALUE"""),1.3333333333333333)</f>
        <v>1.333333333</v>
      </c>
      <c r="Q136" s="538" t="str">
        <f>IFERROR(__xludf.DUMMYFUNCTION("""COMPUTED_VALUE"""),"EUR")</f>
        <v>EUR</v>
      </c>
      <c r="R136" s="762">
        <f>IFERROR(__xludf.DUMMYFUNCTION("""COMPUTED_VALUE"""),502.0)</f>
        <v>502</v>
      </c>
      <c r="S136" s="538" t="str">
        <f>IFERROR(__xludf.DUMMYFUNCTION("""COMPUTED_VALUE"""),"Workshop Heels con Lulu Kulova - Workshop Lulu Heels")</f>
        <v>Workshop Heels con Lulu Kulova - Workshop Lulu Heels</v>
      </c>
      <c r="T136" s="763"/>
      <c r="U136" s="763"/>
      <c r="V136" s="762">
        <f>IFERROR(__xludf.DUMMYFUNCTION("""COMPUTED_VALUE"""),1.0)</f>
        <v>1</v>
      </c>
      <c r="W136" s="762">
        <f>IFERROR(__xludf.DUMMYFUNCTION("""COMPUTED_VALUE"""),32.0)</f>
        <v>32</v>
      </c>
      <c r="X136" s="762">
        <f>IFERROR(__xludf.DUMMYFUNCTION("""COMPUTED_VALUE"""),32.0)</f>
        <v>32</v>
      </c>
      <c r="Y136" s="763"/>
      <c r="Z136" s="765" t="str">
        <f>IFERROR(__xludf.DUMMYFUNCTION("""COMPUTED_VALUE"""),"https://studio-gem.it/wp-admin/post.php?post=64757&amp;action=edit")</f>
        <v>https://studio-gem.it/wp-admin/post.php?post=64757&amp;action=edit</v>
      </c>
      <c r="AA136" s="763"/>
      <c r="AB136" s="763"/>
      <c r="AC136" s="763"/>
      <c r="AD136" s="763"/>
      <c r="AE136" s="763"/>
      <c r="AF136" s="763"/>
      <c r="AG136" s="763"/>
      <c r="AH136" s="763"/>
      <c r="AI136" s="763"/>
      <c r="AJ136" s="763"/>
      <c r="AK136" s="763"/>
      <c r="AL136" s="763"/>
      <c r="AM136" s="763"/>
      <c r="AN136" s="763"/>
      <c r="AO136" s="763"/>
      <c r="AP136" s="763"/>
      <c r="AQ136" s="763"/>
      <c r="AR136" s="763"/>
      <c r="AS136" s="763"/>
      <c r="AT136" s="763"/>
      <c r="AU136" s="763"/>
      <c r="AV136" s="763"/>
      <c r="AW136" s="763"/>
      <c r="AX136" s="763"/>
      <c r="AY136" s="763"/>
      <c r="AZ136" s="763"/>
      <c r="BA136" s="763"/>
      <c r="BB136" s="763"/>
      <c r="BC136" s="763"/>
      <c r="BD136" s="763"/>
      <c r="BE136" s="763"/>
      <c r="BF136" s="763"/>
      <c r="BG136" s="763" t="b">
        <f>IFERROR(__xludf.DUMMYFUNCTION("""COMPUTED_VALUE"""),TRUE)</f>
        <v>1</v>
      </c>
      <c r="BH136" s="763" t="b">
        <f>IFERROR(__xludf.DUMMYFUNCTION("""COMPUTED_VALUE"""),TRUE)</f>
        <v>1</v>
      </c>
      <c r="BI136" s="763" t="b">
        <f>IFERROR(__xludf.DUMMYFUNCTION("""COMPUTED_VALUE"""),TRUE)</f>
        <v>1</v>
      </c>
      <c r="BJ136" s="763" t="b">
        <f>IFERROR(__xludf.DUMMYFUNCTION("""COMPUTED_VALUE"""),FALSE)</f>
        <v>0</v>
      </c>
    </row>
    <row r="137">
      <c r="A137" s="762">
        <f>IFERROR(__xludf.DUMMYFUNCTION("""COMPUTED_VALUE"""),64761.0)</f>
        <v>64761</v>
      </c>
      <c r="B137" s="538">
        <f>IFERROR(__xludf.DUMMYFUNCTION("""COMPUTED_VALUE"""),64761.0)</f>
        <v>64761</v>
      </c>
      <c r="C137" s="538" t="str">
        <f>IFERROR(__xludf.DUMMYFUNCTION("""COMPUTED_VALUE"""),"2025-09-12 11:51:08")</f>
        <v>2025-09-12 11:51:08</v>
      </c>
      <c r="D137" s="538" t="str">
        <f>IFERROR(__xludf.DUMMYFUNCTION("""COMPUTED_VALUE"""),"processing")</f>
        <v>processing</v>
      </c>
      <c r="E137" s="538" t="str">
        <f>IFERROR(__xludf.DUMMYFUNCTION("""COMPUTED_VALUE"""),"Myriam")</f>
        <v>Myriam</v>
      </c>
      <c r="F137" s="538" t="str">
        <f>IFERROR(__xludf.DUMMYFUNCTION("""COMPUTED_VALUE"""),"Desnus")</f>
        <v>Desnus</v>
      </c>
      <c r="G137" s="538" t="str">
        <f>IFERROR(__xludf.DUMMYFUNCTION("""COMPUTED_VALUE"""),"myriam.desnus@wanadoo.fr")</f>
        <v>myriam.desnus@wanadoo.fr</v>
      </c>
      <c r="H137" s="538">
        <f>IFERROR(__xludf.DUMMYFUNCTION("""COMPUTED_VALUE"""),3.421403685E9)</f>
        <v>3421403685</v>
      </c>
      <c r="I137" s="538" t="str">
        <f>IFERROR(__xludf.DUMMYFUNCTION("""COMPUTED_VALUE"""),"Milano")</f>
        <v>Milano</v>
      </c>
      <c r="J137" s="538" t="str">
        <f>IFERROR(__xludf.DUMMYFUNCTION("""COMPUTED_VALUE"""),"Via Principe Eugenio 30")</f>
        <v>Via Principe Eugenio 30</v>
      </c>
      <c r="K137" s="538">
        <f>IFERROR(__xludf.DUMMYFUNCTION("""COMPUTED_VALUE"""),20155.0)</f>
        <v>20155</v>
      </c>
      <c r="L137" s="538" t="str">
        <f>IFERROR(__xludf.DUMMYFUNCTION("""COMPUTED_VALUE"""),"Carte di pagamento")</f>
        <v>Carte di pagamento</v>
      </c>
      <c r="M137" s="763"/>
      <c r="N137" s="763" t="str">
        <f>IFERROR(__xludf.DUMMYFUNCTION("""COMPUTED_VALUE"""),"64761-1757677869")</f>
        <v>64761-1757677869</v>
      </c>
      <c r="O137" s="762">
        <f>IFERROR(__xludf.DUMMYFUNCTION("""COMPUTED_VALUE"""),0.0)</f>
        <v>0</v>
      </c>
      <c r="P137" s="766">
        <f>IFERROR(__xludf.DUMMYFUNCTION("""COMPUTED_VALUE"""),1.125)</f>
        <v>1.125</v>
      </c>
      <c r="Q137" s="538" t="str">
        <f>IFERROR(__xludf.DUMMYFUNCTION("""COMPUTED_VALUE"""),"EUR")</f>
        <v>EUR</v>
      </c>
      <c r="R137" s="762">
        <f>IFERROR(__xludf.DUMMYFUNCTION("""COMPUTED_VALUE"""),503.0)</f>
        <v>503</v>
      </c>
      <c r="S137" s="538" t="str">
        <f>IFERROR(__xludf.DUMMYFUNCTION("""COMPUTED_VALUE"""),"Workshop Indian Fusion con Leli - Workshop Leli Indian Fusion")</f>
        <v>Workshop Indian Fusion con Leli - Workshop Leli Indian Fusion</v>
      </c>
      <c r="T137" s="763"/>
      <c r="U137" s="763"/>
      <c r="V137" s="762">
        <f>IFERROR(__xludf.DUMMYFUNCTION("""COMPUTED_VALUE"""),1.0)</f>
        <v>1</v>
      </c>
      <c r="W137" s="762">
        <f>IFERROR(__xludf.DUMMYFUNCTION("""COMPUTED_VALUE"""),27.0)</f>
        <v>27</v>
      </c>
      <c r="X137" s="762">
        <f>IFERROR(__xludf.DUMMYFUNCTION("""COMPUTED_VALUE"""),27.0)</f>
        <v>27</v>
      </c>
      <c r="Y137" s="763"/>
      <c r="Z137" s="765" t="str">
        <f>IFERROR(__xludf.DUMMYFUNCTION("""COMPUTED_VALUE"""),"https://studio-gem.it/wp-admin/post.php?post=64761&amp;action=edit")</f>
        <v>https://studio-gem.it/wp-admin/post.php?post=64761&amp;action=edit</v>
      </c>
      <c r="AA137" s="763"/>
      <c r="AB137" s="763"/>
      <c r="AC137" s="763"/>
      <c r="AD137" s="763"/>
      <c r="AE137" s="763"/>
      <c r="AF137" s="763"/>
      <c r="AG137" s="763"/>
      <c r="AH137" s="763"/>
      <c r="AI137" s="763"/>
      <c r="AJ137" s="763"/>
      <c r="AK137" s="763"/>
      <c r="AL137" s="763"/>
      <c r="AM137" s="763"/>
      <c r="AN137" s="763"/>
      <c r="AO137" s="763"/>
      <c r="AP137" s="763"/>
      <c r="AQ137" s="763"/>
      <c r="AR137" s="763"/>
      <c r="AS137" s="763"/>
      <c r="AT137" s="763"/>
      <c r="AU137" s="763"/>
      <c r="AV137" s="763"/>
      <c r="AW137" s="763"/>
      <c r="AX137" s="763"/>
      <c r="AY137" s="763"/>
      <c r="AZ137" s="763"/>
      <c r="BA137" s="763"/>
      <c r="BB137" s="763"/>
      <c r="BC137" s="763"/>
      <c r="BD137" s="763"/>
      <c r="BE137" s="763"/>
      <c r="BF137" s="763"/>
      <c r="BG137" s="763" t="b">
        <f>IFERROR(__xludf.DUMMYFUNCTION("""COMPUTED_VALUE"""),TRUE)</f>
        <v>1</v>
      </c>
      <c r="BH137" s="763" t="b">
        <f>IFERROR(__xludf.DUMMYFUNCTION("""COMPUTED_VALUE"""),TRUE)</f>
        <v>1</v>
      </c>
      <c r="BI137" s="763" t="b">
        <f>IFERROR(__xludf.DUMMYFUNCTION("""COMPUTED_VALUE"""),TRUE)</f>
        <v>1</v>
      </c>
      <c r="BJ137" s="763" t="b">
        <f>IFERROR(__xludf.DUMMYFUNCTION("""COMPUTED_VALUE"""),FALSE)</f>
        <v>0</v>
      </c>
    </row>
    <row r="138">
      <c r="A138" s="762">
        <f>IFERROR(__xludf.DUMMYFUNCTION("""COMPUTED_VALUE"""),64769.0)</f>
        <v>64769</v>
      </c>
      <c r="B138" s="538">
        <f>IFERROR(__xludf.DUMMYFUNCTION("""COMPUTED_VALUE"""),64769.0)</f>
        <v>64769</v>
      </c>
      <c r="C138" s="538" t="str">
        <f>IFERROR(__xludf.DUMMYFUNCTION("""COMPUTED_VALUE"""),"2025-09-13 08:49:54")</f>
        <v>2025-09-13 08:49:54</v>
      </c>
      <c r="D138" s="538" t="str">
        <f>IFERROR(__xludf.DUMMYFUNCTION("""COMPUTED_VALUE"""),"completed")</f>
        <v>completed</v>
      </c>
      <c r="E138" s="538" t="str">
        <f>IFERROR(__xludf.DUMMYFUNCTION("""COMPUTED_VALUE"""),"Roberta")</f>
        <v>Roberta</v>
      </c>
      <c r="F138" s="538" t="str">
        <f>IFERROR(__xludf.DUMMYFUNCTION("""COMPUTED_VALUE"""),"Rambaldi")</f>
        <v>Rambaldi</v>
      </c>
      <c r="G138" s="538" t="str">
        <f>IFERROR(__xludf.DUMMYFUNCTION("""COMPUTED_VALUE"""),"rambaldi.roberta6@gmail.com")</f>
        <v>rambaldi.roberta6@gmail.com</v>
      </c>
      <c r="H138" s="538">
        <f>IFERROR(__xludf.DUMMYFUNCTION("""COMPUTED_VALUE"""),3.313419879E9)</f>
        <v>3313419879</v>
      </c>
      <c r="I138" s="538" t="str">
        <f>IFERROR(__xludf.DUMMYFUNCTION("""COMPUTED_VALUE"""),"Milano")</f>
        <v>Milano</v>
      </c>
      <c r="J138" s="538" t="str">
        <f>IFERROR(__xludf.DUMMYFUNCTION("""COMPUTED_VALUE"""),"Via Archimede 24")</f>
        <v>Via Archimede 24</v>
      </c>
      <c r="K138" s="538">
        <f>IFERROR(__xludf.DUMMYFUNCTION("""COMPUTED_VALUE"""),20129.0)</f>
        <v>20129</v>
      </c>
      <c r="L138" s="538" t="str">
        <f>IFERROR(__xludf.DUMMYFUNCTION("""COMPUTED_VALUE"""),"Apple Pay")</f>
        <v>Apple Pay</v>
      </c>
      <c r="M138" s="538" t="str">
        <f>IFERROR(__xludf.DUMMYFUNCTION("""COMPUTED_VALUE"""),"estefany02ws")</f>
        <v>estefany02ws</v>
      </c>
      <c r="N138" s="763" t="str">
        <f>IFERROR(__xludf.DUMMYFUNCTION("""COMPUTED_VALUE"""),"64769-1757753395")</f>
        <v>64769-1757753395</v>
      </c>
      <c r="O138" s="762">
        <f>IFERROR(__xludf.DUMMYFUNCTION("""COMPUTED_VALUE"""),0.0)</f>
        <v>0</v>
      </c>
      <c r="P138" s="766">
        <f>IFERROR(__xludf.DUMMYFUNCTION("""COMPUTED_VALUE"""),1.25)</f>
        <v>1.25</v>
      </c>
      <c r="Q138" s="538" t="str">
        <f>IFERROR(__xludf.DUMMYFUNCTION("""COMPUTED_VALUE"""),"EUR")</f>
        <v>EUR</v>
      </c>
      <c r="R138" s="762">
        <f>IFERROR(__xludf.DUMMYFUNCTION("""COMPUTED_VALUE"""),504.0)</f>
        <v>504</v>
      </c>
      <c r="S138" s="538" t="str">
        <f>IFERROR(__xludf.DUMMYFUNCTION("""COMPUTED_VALUE"""),"Workshop Afrofusion con Banana 2025 - Workshop Banana afrofusion")</f>
        <v>Workshop Afrofusion con Banana 2025 - Workshop Banana afrofusion</v>
      </c>
      <c r="T138" s="763"/>
      <c r="U138" s="763"/>
      <c r="V138" s="762">
        <f>IFERROR(__xludf.DUMMYFUNCTION("""COMPUTED_VALUE"""),1.0)</f>
        <v>1</v>
      </c>
      <c r="W138" s="762">
        <f>IFERROR(__xludf.DUMMYFUNCTION("""COMPUTED_VALUE"""),30.0)</f>
        <v>30</v>
      </c>
      <c r="X138" s="762">
        <f>IFERROR(__xludf.DUMMYFUNCTION("""COMPUTED_VALUE"""),30.0)</f>
        <v>30</v>
      </c>
      <c r="Y138" s="763"/>
      <c r="Z138" s="765" t="str">
        <f>IFERROR(__xludf.DUMMYFUNCTION("""COMPUTED_VALUE"""),"https://studio-gem.it/wp-admin/post.php?post=64769&amp;action=edit")</f>
        <v>https://studio-gem.it/wp-admin/post.php?post=64769&amp;action=edit</v>
      </c>
      <c r="AA138" s="763"/>
      <c r="AB138" s="763"/>
      <c r="AC138" s="763"/>
      <c r="AD138" s="763"/>
      <c r="AE138" s="763"/>
      <c r="AF138" s="763"/>
      <c r="AG138" s="763"/>
      <c r="AH138" s="763"/>
      <c r="AI138" s="763"/>
      <c r="AJ138" s="763"/>
      <c r="AK138" s="763"/>
      <c r="AL138" s="763"/>
      <c r="AM138" s="763"/>
      <c r="AN138" s="763"/>
      <c r="AO138" s="763"/>
      <c r="AP138" s="763"/>
      <c r="AQ138" s="763"/>
      <c r="AR138" s="763"/>
      <c r="AS138" s="763"/>
      <c r="AT138" s="763"/>
      <c r="AU138" s="763"/>
      <c r="AV138" s="763"/>
      <c r="AW138" s="763"/>
      <c r="AX138" s="763"/>
      <c r="AY138" s="763"/>
      <c r="AZ138" s="763"/>
      <c r="BA138" s="763"/>
      <c r="BB138" s="763"/>
      <c r="BC138" s="763"/>
      <c r="BD138" s="763"/>
      <c r="BE138" s="763"/>
      <c r="BF138" s="763"/>
      <c r="BG138" s="763" t="b">
        <f>IFERROR(__xludf.DUMMYFUNCTION("""COMPUTED_VALUE"""),TRUE)</f>
        <v>1</v>
      </c>
      <c r="BH138" s="763" t="b">
        <f>IFERROR(__xludf.DUMMYFUNCTION("""COMPUTED_VALUE"""),TRUE)</f>
        <v>1</v>
      </c>
      <c r="BI138" s="763" t="b">
        <f>IFERROR(__xludf.DUMMYFUNCTION("""COMPUTED_VALUE"""),TRUE)</f>
        <v>1</v>
      </c>
      <c r="BJ138" s="763" t="b">
        <f>IFERROR(__xludf.DUMMYFUNCTION("""COMPUTED_VALUE"""),FALSE)</f>
        <v>0</v>
      </c>
    </row>
    <row r="139">
      <c r="A139" s="762">
        <f>IFERROR(__xludf.DUMMYFUNCTION("""COMPUTED_VALUE"""),64771.0)</f>
        <v>64771</v>
      </c>
      <c r="B139" s="538">
        <f>IFERROR(__xludf.DUMMYFUNCTION("""COMPUTED_VALUE"""),64771.0)</f>
        <v>64771</v>
      </c>
      <c r="C139" s="538" t="str">
        <f>IFERROR(__xludf.DUMMYFUNCTION("""COMPUTED_VALUE"""),"2025-09-13 09:31:54")</f>
        <v>2025-09-13 09:31:54</v>
      </c>
      <c r="D139" s="538" t="str">
        <f>IFERROR(__xludf.DUMMYFUNCTION("""COMPUTED_VALUE"""),"completed")</f>
        <v>completed</v>
      </c>
      <c r="E139" s="538" t="str">
        <f>IFERROR(__xludf.DUMMYFUNCTION("""COMPUTED_VALUE"""),"Roberta")</f>
        <v>Roberta</v>
      </c>
      <c r="F139" s="538" t="str">
        <f>IFERROR(__xludf.DUMMYFUNCTION("""COMPUTED_VALUE"""),"Rambaldi")</f>
        <v>Rambaldi</v>
      </c>
      <c r="G139" s="538" t="str">
        <f>IFERROR(__xludf.DUMMYFUNCTION("""COMPUTED_VALUE"""),"rambaldi.roberta6@gmail.com")</f>
        <v>rambaldi.roberta6@gmail.com</v>
      </c>
      <c r="H139" s="538">
        <f>IFERROR(__xludf.DUMMYFUNCTION("""COMPUTED_VALUE"""),3.313419879E9)</f>
        <v>3313419879</v>
      </c>
      <c r="I139" s="538" t="str">
        <f>IFERROR(__xludf.DUMMYFUNCTION("""COMPUTED_VALUE"""),"Milano")</f>
        <v>Milano</v>
      </c>
      <c r="J139" s="538" t="str">
        <f>IFERROR(__xludf.DUMMYFUNCTION("""COMPUTED_VALUE"""),"Via Archimede 24")</f>
        <v>Via Archimede 24</v>
      </c>
      <c r="K139" s="538">
        <f>IFERROR(__xludf.DUMMYFUNCTION("""COMPUTED_VALUE"""),20129.0)</f>
        <v>20129</v>
      </c>
      <c r="L139" s="538" t="str">
        <f>IFERROR(__xludf.DUMMYFUNCTION("""COMPUTED_VALUE"""),"Apple Pay")</f>
        <v>Apple Pay</v>
      </c>
      <c r="M139" s="538" t="str">
        <f>IFERROR(__xludf.DUMMYFUNCTION("""COMPUTED_VALUE"""),"alexandra02ws")</f>
        <v>alexandra02ws</v>
      </c>
      <c r="N139" s="763" t="str">
        <f>IFERROR(__xludf.DUMMYFUNCTION("""COMPUTED_VALUE"""),"64771-1757756043")</f>
        <v>64771-1757756043</v>
      </c>
      <c r="O139" s="762">
        <f>IFERROR(__xludf.DUMMYFUNCTION("""COMPUTED_VALUE"""),0.0)</f>
        <v>0</v>
      </c>
      <c r="P139" s="766">
        <f>IFERROR(__xludf.DUMMYFUNCTION("""COMPUTED_VALUE"""),1.25)</f>
        <v>1.25</v>
      </c>
      <c r="Q139" s="538" t="str">
        <f>IFERROR(__xludf.DUMMYFUNCTION("""COMPUTED_VALUE"""),"EUR")</f>
        <v>EUR</v>
      </c>
      <c r="R139" s="762">
        <f>IFERROR(__xludf.DUMMYFUNCTION("""COMPUTED_VALUE"""),506.0)</f>
        <v>506</v>
      </c>
      <c r="S139" s="538" t="str">
        <f>IFERROR(__xludf.DUMMYFUNCTION("""COMPUTED_VALUE"""),"Workshop Urban con Kumo - Workshop Kumo Urban")</f>
        <v>Workshop Urban con Kumo - Workshop Kumo Urban</v>
      </c>
      <c r="T139" s="763"/>
      <c r="U139" s="763"/>
      <c r="V139" s="762">
        <f>IFERROR(__xludf.DUMMYFUNCTION("""COMPUTED_VALUE"""),1.0)</f>
        <v>1</v>
      </c>
      <c r="W139" s="762">
        <f>IFERROR(__xludf.DUMMYFUNCTION("""COMPUTED_VALUE"""),30.0)</f>
        <v>30</v>
      </c>
      <c r="X139" s="762">
        <f>IFERROR(__xludf.DUMMYFUNCTION("""COMPUTED_VALUE"""),30.0)</f>
        <v>30</v>
      </c>
      <c r="Y139" s="763"/>
      <c r="Z139" s="765" t="str">
        <f>IFERROR(__xludf.DUMMYFUNCTION("""COMPUTED_VALUE"""),"https://studio-gem.it/wp-admin/post.php?post=64771&amp;action=edit")</f>
        <v>https://studio-gem.it/wp-admin/post.php?post=64771&amp;action=edit</v>
      </c>
      <c r="AA139" s="763"/>
      <c r="AB139" s="763"/>
      <c r="AC139" s="763"/>
      <c r="AD139" s="763"/>
      <c r="AE139" s="763"/>
      <c r="AF139" s="763"/>
      <c r="AG139" s="763"/>
      <c r="AH139" s="763"/>
      <c r="AI139" s="763"/>
      <c r="AJ139" s="763"/>
      <c r="AK139" s="763"/>
      <c r="AL139" s="763"/>
      <c r="AM139" s="763"/>
      <c r="AN139" s="763"/>
      <c r="AO139" s="763"/>
      <c r="AP139" s="763"/>
      <c r="AQ139" s="763"/>
      <c r="AR139" s="763"/>
      <c r="AS139" s="763"/>
      <c r="AT139" s="763"/>
      <c r="AU139" s="763"/>
      <c r="AV139" s="763"/>
      <c r="AW139" s="763"/>
      <c r="AX139" s="763"/>
      <c r="AY139" s="763"/>
      <c r="AZ139" s="763"/>
      <c r="BA139" s="763"/>
      <c r="BB139" s="763"/>
      <c r="BC139" s="763"/>
      <c r="BD139" s="763"/>
      <c r="BE139" s="763"/>
      <c r="BF139" s="763"/>
      <c r="BG139" s="763" t="b">
        <f>IFERROR(__xludf.DUMMYFUNCTION("""COMPUTED_VALUE"""),TRUE)</f>
        <v>1</v>
      </c>
      <c r="BH139" s="763" t="b">
        <f>IFERROR(__xludf.DUMMYFUNCTION("""COMPUTED_VALUE"""),TRUE)</f>
        <v>1</v>
      </c>
      <c r="BI139" s="763" t="b">
        <f>IFERROR(__xludf.DUMMYFUNCTION("""COMPUTED_VALUE"""),TRUE)</f>
        <v>1</v>
      </c>
      <c r="BJ139" s="763" t="b">
        <f>IFERROR(__xludf.DUMMYFUNCTION("""COMPUTED_VALUE"""),FALSE)</f>
        <v>0</v>
      </c>
    </row>
    <row r="140">
      <c r="A140" s="762">
        <f>IFERROR(__xludf.DUMMYFUNCTION("""COMPUTED_VALUE"""),64773.0)</f>
        <v>64773</v>
      </c>
      <c r="B140" s="538">
        <f>IFERROR(__xludf.DUMMYFUNCTION("""COMPUTED_VALUE"""),64773.0)</f>
        <v>64773</v>
      </c>
      <c r="C140" s="538" t="str">
        <f>IFERROR(__xludf.DUMMYFUNCTION("""COMPUTED_VALUE"""),"2025-09-13 11:32:37")</f>
        <v>2025-09-13 11:32:37</v>
      </c>
      <c r="D140" s="538" t="str">
        <f>IFERROR(__xludf.DUMMYFUNCTION("""COMPUTED_VALUE"""),"processing")</f>
        <v>processing</v>
      </c>
      <c r="E140" s="538" t="str">
        <f>IFERROR(__xludf.DUMMYFUNCTION("""COMPUTED_VALUE"""),"Pietro")</f>
        <v>Pietro</v>
      </c>
      <c r="F140" s="538" t="str">
        <f>IFERROR(__xludf.DUMMYFUNCTION("""COMPUTED_VALUE"""),"Agnoli")</f>
        <v>Agnoli</v>
      </c>
      <c r="G140" s="538" t="str">
        <f>IFERROR(__xludf.DUMMYFUNCTION("""COMPUTED_VALUE"""),"caterina.pernici@gmail.com")</f>
        <v>caterina.pernici@gmail.com</v>
      </c>
      <c r="H140" s="538">
        <f>IFERROR(__xludf.DUMMYFUNCTION("""COMPUTED_VALUE"""),3.272297813E9)</f>
        <v>3272297813</v>
      </c>
      <c r="I140" s="538" t="str">
        <f>IFERROR(__xludf.DUMMYFUNCTION("""COMPUTED_VALUE"""),"San Giuliano Milanese")</f>
        <v>San Giuliano Milanese</v>
      </c>
      <c r="J140" s="538" t="str">
        <f>IFERROR(__xludf.DUMMYFUNCTION("""COMPUTED_VALUE"""),"Via Risorgimento 53")</f>
        <v>Via Risorgimento 53</v>
      </c>
      <c r="K140" s="538">
        <f>IFERROR(__xludf.DUMMYFUNCTION("""COMPUTED_VALUE"""),20098.0)</f>
        <v>20098</v>
      </c>
      <c r="L140" s="538" t="str">
        <f>IFERROR(__xludf.DUMMYFUNCTION("""COMPUTED_VALUE"""),"Carte di pagamento")</f>
        <v>Carte di pagamento</v>
      </c>
      <c r="M140" s="763"/>
      <c r="N140" s="763" t="str">
        <f>IFERROR(__xludf.DUMMYFUNCTION("""COMPUTED_VALUE"""),"64773-1757763159")</f>
        <v>64773-1757763159</v>
      </c>
      <c r="O140" s="762">
        <f>IFERROR(__xludf.DUMMYFUNCTION("""COMPUTED_VALUE"""),0.0)</f>
        <v>0</v>
      </c>
      <c r="P140" s="766">
        <f>IFERROR(__xludf.DUMMYFUNCTION("""COMPUTED_VALUE"""),1.125)</f>
        <v>1.125</v>
      </c>
      <c r="Q140" s="538" t="str">
        <f>IFERROR(__xludf.DUMMYFUNCTION("""COMPUTED_VALUE"""),"EUR")</f>
        <v>EUR</v>
      </c>
      <c r="R140" s="762">
        <f>IFERROR(__xludf.DUMMYFUNCTION("""COMPUTED_VALUE"""),508.0)</f>
        <v>508</v>
      </c>
      <c r="S140" s="538" t="str">
        <f>IFERROR(__xludf.DUMMYFUNCTION("""COMPUTED_VALUE"""),"Workshop Salsa Musicality con Nicolò De Angelis - Workshop Nicolò Salsa Musicality")</f>
        <v>Workshop Salsa Musicality con Nicolò De Angelis - Workshop Nicolò Salsa Musicality</v>
      </c>
      <c r="T140" s="763"/>
      <c r="U140" s="763"/>
      <c r="V140" s="762">
        <f>IFERROR(__xludf.DUMMYFUNCTION("""COMPUTED_VALUE"""),1.0)</f>
        <v>1</v>
      </c>
      <c r="W140" s="762">
        <f>IFERROR(__xludf.DUMMYFUNCTION("""COMPUTED_VALUE"""),27.0)</f>
        <v>27</v>
      </c>
      <c r="X140" s="762">
        <f>IFERROR(__xludf.DUMMYFUNCTION("""COMPUTED_VALUE"""),27.0)</f>
        <v>27</v>
      </c>
      <c r="Y140" s="763"/>
      <c r="Z140" s="765" t="str">
        <f>IFERROR(__xludf.DUMMYFUNCTION("""COMPUTED_VALUE"""),"https://studio-gem.it/wp-admin/post.php?post=64773&amp;action=edit")</f>
        <v>https://studio-gem.it/wp-admin/post.php?post=64773&amp;action=edit</v>
      </c>
      <c r="AA140" s="763"/>
      <c r="AB140" s="763"/>
      <c r="AC140" s="763"/>
      <c r="AD140" s="763"/>
      <c r="AE140" s="763"/>
      <c r="AF140" s="763"/>
      <c r="AG140" s="763"/>
      <c r="AH140" s="763"/>
      <c r="AI140" s="763"/>
      <c r="AJ140" s="763"/>
      <c r="AK140" s="763"/>
      <c r="AL140" s="763"/>
      <c r="AM140" s="763"/>
      <c r="AN140" s="763"/>
      <c r="AO140" s="763"/>
      <c r="AP140" s="763"/>
      <c r="AQ140" s="763"/>
      <c r="AR140" s="763"/>
      <c r="AS140" s="763"/>
      <c r="AT140" s="763"/>
      <c r="AU140" s="763"/>
      <c r="AV140" s="763"/>
      <c r="AW140" s="763"/>
      <c r="AX140" s="763"/>
      <c r="AY140" s="763"/>
      <c r="AZ140" s="763"/>
      <c r="BA140" s="763"/>
      <c r="BB140" s="763"/>
      <c r="BC140" s="763"/>
      <c r="BD140" s="763"/>
      <c r="BE140" s="763"/>
      <c r="BF140" s="763"/>
      <c r="BG140" s="763" t="b">
        <f>IFERROR(__xludf.DUMMYFUNCTION("""COMPUTED_VALUE"""),TRUE)</f>
        <v>1</v>
      </c>
      <c r="BH140" s="763" t="b">
        <f>IFERROR(__xludf.DUMMYFUNCTION("""COMPUTED_VALUE"""),TRUE)</f>
        <v>1</v>
      </c>
      <c r="BI140" s="763" t="b">
        <f>IFERROR(__xludf.DUMMYFUNCTION("""COMPUTED_VALUE"""),TRUE)</f>
        <v>1</v>
      </c>
      <c r="BJ140" s="763" t="b">
        <f>IFERROR(__xludf.DUMMYFUNCTION("""COMPUTED_VALUE"""),FALSE)</f>
        <v>0</v>
      </c>
    </row>
    <row r="141">
      <c r="A141" s="762">
        <f>IFERROR(__xludf.DUMMYFUNCTION("""COMPUTED_VALUE"""),64775.0)</f>
        <v>64775</v>
      </c>
      <c r="B141" s="538">
        <f>IFERROR(__xludf.DUMMYFUNCTION("""COMPUTED_VALUE"""),64775.0)</f>
        <v>64775</v>
      </c>
      <c r="C141" s="538" t="str">
        <f>IFERROR(__xludf.DUMMYFUNCTION("""COMPUTED_VALUE"""),"2025-09-13 18:31:23")</f>
        <v>2025-09-13 18:31:23</v>
      </c>
      <c r="D141" s="538" t="str">
        <f>IFERROR(__xludf.DUMMYFUNCTION("""COMPUTED_VALUE"""),"processing")</f>
        <v>processing</v>
      </c>
      <c r="E141" s="538" t="str">
        <f>IFERROR(__xludf.DUMMYFUNCTION("""COMPUTED_VALUE"""),"Gabriele")</f>
        <v>Gabriele</v>
      </c>
      <c r="F141" s="538" t="str">
        <f>IFERROR(__xludf.DUMMYFUNCTION("""COMPUTED_VALUE"""),"Di Girolamo")</f>
        <v>Di Girolamo</v>
      </c>
      <c r="G141" s="538" t="str">
        <f>IFERROR(__xludf.DUMMYFUNCTION("""COMPUTED_VALUE"""),"digigabriele103@gmail.com")</f>
        <v>digigabriele103@gmail.com</v>
      </c>
      <c r="H141" s="538">
        <f>IFERROR(__xludf.DUMMYFUNCTION("""COMPUTED_VALUE"""),3.920703008E9)</f>
        <v>3920703008</v>
      </c>
      <c r="I141" s="538" t="str">
        <f>IFERROR(__xludf.DUMMYFUNCTION("""COMPUTED_VALUE"""),"Brugherio")</f>
        <v>Brugherio</v>
      </c>
      <c r="J141" s="538" t="str">
        <f>IFERROR(__xludf.DUMMYFUNCTION("""COMPUTED_VALUE"""),"Via Paolo Andreani 5")</f>
        <v>Via Paolo Andreani 5</v>
      </c>
      <c r="K141" s="538">
        <f>IFERROR(__xludf.DUMMYFUNCTION("""COMPUTED_VALUE"""),20861.0)</f>
        <v>20861</v>
      </c>
      <c r="L141" s="538" t="str">
        <f>IFERROR(__xludf.DUMMYFUNCTION("""COMPUTED_VALUE"""),"Carte di pagamento")</f>
        <v>Carte di pagamento</v>
      </c>
      <c r="M141" s="763"/>
      <c r="N141" s="763" t="str">
        <f>IFERROR(__xludf.DUMMYFUNCTION("""COMPUTED_VALUE"""),"64775-1757788284")</f>
        <v>64775-1757788284</v>
      </c>
      <c r="O141" s="762">
        <f>IFERROR(__xludf.DUMMYFUNCTION("""COMPUTED_VALUE"""),0.0)</f>
        <v>0</v>
      </c>
      <c r="P141" s="766">
        <f>IFERROR(__xludf.DUMMYFUNCTION("""COMPUTED_VALUE"""),1.875)</f>
        <v>1.875</v>
      </c>
      <c r="Q141" s="538" t="str">
        <f>IFERROR(__xludf.DUMMYFUNCTION("""COMPUTED_VALUE"""),"EUR")</f>
        <v>EUR</v>
      </c>
      <c r="R141" s="762">
        <f>IFERROR(__xludf.DUMMYFUNCTION("""COMPUTED_VALUE"""),509.0)</f>
        <v>509</v>
      </c>
      <c r="S141" s="538" t="str">
        <f>IFERROR(__xludf.DUMMYFUNCTION("""COMPUTED_VALUE"""),"Workshop Commercial con Timor Steffens - Workshop Commercial con Timor Steffens")</f>
        <v>Workshop Commercial con Timor Steffens - Workshop Commercial con Timor Steffens</v>
      </c>
      <c r="T141" s="763"/>
      <c r="U141" s="763"/>
      <c r="V141" s="762">
        <f>IFERROR(__xludf.DUMMYFUNCTION("""COMPUTED_VALUE"""),1.0)</f>
        <v>1</v>
      </c>
      <c r="W141" s="762">
        <f>IFERROR(__xludf.DUMMYFUNCTION("""COMPUTED_VALUE"""),45.0)</f>
        <v>45</v>
      </c>
      <c r="X141" s="762">
        <f>IFERROR(__xludf.DUMMYFUNCTION("""COMPUTED_VALUE"""),45.0)</f>
        <v>45</v>
      </c>
      <c r="Y141" s="763"/>
      <c r="Z141" s="765" t="str">
        <f>IFERROR(__xludf.DUMMYFUNCTION("""COMPUTED_VALUE"""),"https://studio-gem.it/wp-admin/post.php?post=64775&amp;action=edit")</f>
        <v>https://studio-gem.it/wp-admin/post.php?post=64775&amp;action=edit</v>
      </c>
      <c r="AA141" s="763"/>
      <c r="AB141" s="763"/>
      <c r="AC141" s="763"/>
      <c r="AD141" s="763"/>
      <c r="AE141" s="763"/>
      <c r="AF141" s="763"/>
      <c r="AG141" s="763"/>
      <c r="AH141" s="763"/>
      <c r="AI141" s="763"/>
      <c r="AJ141" s="763"/>
      <c r="AK141" s="763"/>
      <c r="AL141" s="763"/>
      <c r="AM141" s="763"/>
      <c r="AN141" s="763"/>
      <c r="AO141" s="763"/>
      <c r="AP141" s="763"/>
      <c r="AQ141" s="763"/>
      <c r="AR141" s="763"/>
      <c r="AS141" s="763"/>
      <c r="AT141" s="763"/>
      <c r="AU141" s="763"/>
      <c r="AV141" s="763"/>
      <c r="AW141" s="763"/>
      <c r="AX141" s="763"/>
      <c r="AY141" s="763"/>
      <c r="AZ141" s="763"/>
      <c r="BA141" s="763"/>
      <c r="BB141" s="763"/>
      <c r="BC141" s="763"/>
      <c r="BD141" s="763"/>
      <c r="BE141" s="763"/>
      <c r="BF141" s="763"/>
      <c r="BG141" s="763" t="b">
        <f>IFERROR(__xludf.DUMMYFUNCTION("""COMPUTED_VALUE"""),TRUE)</f>
        <v>1</v>
      </c>
      <c r="BH141" s="763" t="b">
        <f>IFERROR(__xludf.DUMMYFUNCTION("""COMPUTED_VALUE"""),TRUE)</f>
        <v>1</v>
      </c>
      <c r="BI141" s="763" t="b">
        <f>IFERROR(__xludf.DUMMYFUNCTION("""COMPUTED_VALUE"""),TRUE)</f>
        <v>1</v>
      </c>
      <c r="BJ141" s="763" t="b">
        <f>IFERROR(__xludf.DUMMYFUNCTION("""COMPUTED_VALUE"""),FALSE)</f>
        <v>0</v>
      </c>
    </row>
    <row r="142">
      <c r="A142" s="762">
        <f>IFERROR(__xludf.DUMMYFUNCTION("""COMPUTED_VALUE"""),64782.0)</f>
        <v>64782</v>
      </c>
      <c r="B142" s="538">
        <f>IFERROR(__xludf.DUMMYFUNCTION("""COMPUTED_VALUE"""),64782.0)</f>
        <v>64782</v>
      </c>
      <c r="C142" s="538" t="str">
        <f>IFERROR(__xludf.DUMMYFUNCTION("""COMPUTED_VALUE"""),"2025-09-14 20:06:18")</f>
        <v>2025-09-14 20:06:18</v>
      </c>
      <c r="D142" s="538" t="str">
        <f>IFERROR(__xludf.DUMMYFUNCTION("""COMPUTED_VALUE"""),"processing")</f>
        <v>processing</v>
      </c>
      <c r="E142" s="538" t="str">
        <f>IFERROR(__xludf.DUMMYFUNCTION("""COMPUTED_VALUE"""),"Milena")</f>
        <v>Milena</v>
      </c>
      <c r="F142" s="538" t="str">
        <f>IFERROR(__xludf.DUMMYFUNCTION("""COMPUTED_VALUE"""),"Rocco")</f>
        <v>Rocco</v>
      </c>
      <c r="G142" s="538" t="str">
        <f>IFERROR(__xludf.DUMMYFUNCTION("""COMPUTED_VALUE"""),"milena01rocco@gmail.com")</f>
        <v>milena01rocco@gmail.com</v>
      </c>
      <c r="H142" s="538">
        <f>IFERROR(__xludf.DUMMYFUNCTION("""COMPUTED_VALUE"""),3.891158562E9)</f>
        <v>3891158562</v>
      </c>
      <c r="I142" s="538" t="str">
        <f>IFERROR(__xludf.DUMMYFUNCTION("""COMPUTED_VALUE"""),"Casalpusterlengo")</f>
        <v>Casalpusterlengo</v>
      </c>
      <c r="J142" s="538" t="str">
        <f>IFERROR(__xludf.DUMMYFUNCTION("""COMPUTED_VALUE"""),"Via Alcide de gasperi 49A")</f>
        <v>Via Alcide de gasperi 49A</v>
      </c>
      <c r="K142" s="538">
        <f>IFERROR(__xludf.DUMMYFUNCTION("""COMPUTED_VALUE"""),26841.0)</f>
        <v>26841</v>
      </c>
      <c r="L142" s="538" t="str">
        <f>IFERROR(__xludf.DUMMYFUNCTION("""COMPUTED_VALUE"""),"Carte di pagamento")</f>
        <v>Carte di pagamento</v>
      </c>
      <c r="M142" s="538" t="str">
        <f>IFERROR(__xludf.DUMMYFUNCTION("""COMPUTED_VALUE"""),"nura02ws")</f>
        <v>nura02ws</v>
      </c>
      <c r="N142" s="763" t="str">
        <f>IFERROR(__xludf.DUMMYFUNCTION("""COMPUTED_VALUE"""),"64782-1757880589")</f>
        <v>64782-1757880589</v>
      </c>
      <c r="O142" s="762">
        <f>IFERROR(__xludf.DUMMYFUNCTION("""COMPUTED_VALUE"""),0.0)</f>
        <v>0</v>
      </c>
      <c r="P142" s="766">
        <f>IFERROR(__xludf.DUMMYFUNCTION("""COMPUTED_VALUE"""),1.25)</f>
        <v>1.25</v>
      </c>
      <c r="Q142" s="538" t="str">
        <f>IFERROR(__xludf.DUMMYFUNCTION("""COMPUTED_VALUE"""),"EUR")</f>
        <v>EUR</v>
      </c>
      <c r="R142" s="762">
        <f>IFERROR(__xludf.DUMMYFUNCTION("""COMPUTED_VALUE"""),510.0)</f>
        <v>510</v>
      </c>
      <c r="S142" s="538" t="str">
        <f>IFERROR(__xludf.DUMMYFUNCTION("""COMPUTED_VALUE"""),"Workshop Urban con Kumo - Workshop Kumo Urban")</f>
        <v>Workshop Urban con Kumo - Workshop Kumo Urban</v>
      </c>
      <c r="T142" s="763"/>
      <c r="U142" s="763"/>
      <c r="V142" s="762">
        <f>IFERROR(__xludf.DUMMYFUNCTION("""COMPUTED_VALUE"""),1.0)</f>
        <v>1</v>
      </c>
      <c r="W142" s="762">
        <f>IFERROR(__xludf.DUMMYFUNCTION("""COMPUTED_VALUE"""),30.0)</f>
        <v>30</v>
      </c>
      <c r="X142" s="762">
        <f>IFERROR(__xludf.DUMMYFUNCTION("""COMPUTED_VALUE"""),30.0)</f>
        <v>30</v>
      </c>
      <c r="Y142" s="763"/>
      <c r="Z142" s="765" t="str">
        <f>IFERROR(__xludf.DUMMYFUNCTION("""COMPUTED_VALUE"""),"https://studio-gem.it/wp-admin/post.php?post=64782&amp;action=edit")</f>
        <v>https://studio-gem.it/wp-admin/post.php?post=64782&amp;action=edit</v>
      </c>
      <c r="AA142" s="763"/>
      <c r="AB142" s="763"/>
      <c r="AC142" s="763"/>
      <c r="AD142" s="763"/>
      <c r="AE142" s="763"/>
      <c r="AF142" s="763"/>
      <c r="AG142" s="763"/>
      <c r="AH142" s="763"/>
      <c r="AI142" s="763"/>
      <c r="AJ142" s="763"/>
      <c r="AK142" s="763"/>
      <c r="AL142" s="763"/>
      <c r="AM142" s="763"/>
      <c r="AN142" s="763"/>
      <c r="AO142" s="763"/>
      <c r="AP142" s="763"/>
      <c r="AQ142" s="763"/>
      <c r="AR142" s="763"/>
      <c r="AS142" s="763"/>
      <c r="AT142" s="763"/>
      <c r="AU142" s="763"/>
      <c r="AV142" s="763"/>
      <c r="AW142" s="763"/>
      <c r="AX142" s="763"/>
      <c r="AY142" s="763"/>
      <c r="AZ142" s="763"/>
      <c r="BA142" s="763"/>
      <c r="BB142" s="763"/>
      <c r="BC142" s="763"/>
      <c r="BD142" s="763"/>
      <c r="BE142" s="763"/>
      <c r="BF142" s="763"/>
      <c r="BG142" s="763" t="b">
        <f>IFERROR(__xludf.DUMMYFUNCTION("""COMPUTED_VALUE"""),TRUE)</f>
        <v>1</v>
      </c>
      <c r="BH142" s="763" t="b">
        <f>IFERROR(__xludf.DUMMYFUNCTION("""COMPUTED_VALUE"""),TRUE)</f>
        <v>1</v>
      </c>
      <c r="BI142" s="763" t="b">
        <f>IFERROR(__xludf.DUMMYFUNCTION("""COMPUTED_VALUE"""),TRUE)</f>
        <v>1</v>
      </c>
      <c r="BJ142" s="763" t="b">
        <f>IFERROR(__xludf.DUMMYFUNCTION("""COMPUTED_VALUE"""),FALSE)</f>
        <v>0</v>
      </c>
    </row>
    <row r="143">
      <c r="A143" s="762">
        <f>IFERROR(__xludf.DUMMYFUNCTION("""COMPUTED_VALUE"""),64785.0)</f>
        <v>64785</v>
      </c>
      <c r="B143" s="538">
        <f>IFERROR(__xludf.DUMMYFUNCTION("""COMPUTED_VALUE"""),64785.0)</f>
        <v>64785</v>
      </c>
      <c r="C143" s="538" t="str">
        <f>IFERROR(__xludf.DUMMYFUNCTION("""COMPUTED_VALUE"""),"2025-09-15 09:12:03")</f>
        <v>2025-09-15 09:12:03</v>
      </c>
      <c r="D143" s="538" t="str">
        <f>IFERROR(__xludf.DUMMYFUNCTION("""COMPUTED_VALUE"""),"completed")</f>
        <v>completed</v>
      </c>
      <c r="E143" s="538" t="str">
        <f>IFERROR(__xludf.DUMMYFUNCTION("""COMPUTED_VALUE"""),"Emma")</f>
        <v>Emma</v>
      </c>
      <c r="F143" s="538" t="str">
        <f>IFERROR(__xludf.DUMMYFUNCTION("""COMPUTED_VALUE"""),"Allam")</f>
        <v>Allam</v>
      </c>
      <c r="G143" s="538" t="str">
        <f>IFERROR(__xludf.DUMMYFUNCTION("""COMPUTED_VALUE"""),"emma.allam1@gmail.com")</f>
        <v>emma.allam1@gmail.com</v>
      </c>
      <c r="H143" s="538">
        <f>IFERROR(__xludf.DUMMYFUNCTION("""COMPUTED_VALUE"""),3.898724423E9)</f>
        <v>3898724423</v>
      </c>
      <c r="I143" s="538" t="str">
        <f>IFERROR(__xludf.DUMMYFUNCTION("""COMPUTED_VALUE"""),"Milano")</f>
        <v>Milano</v>
      </c>
      <c r="J143" s="538" t="str">
        <f>IFERROR(__xludf.DUMMYFUNCTION("""COMPUTED_VALUE"""),"vialer bezzi 2")</f>
        <v>vialer bezzi 2</v>
      </c>
      <c r="K143" s="538">
        <f>IFERROR(__xludf.DUMMYFUNCTION("""COMPUTED_VALUE"""),20146.0)</f>
        <v>20146</v>
      </c>
      <c r="L143" s="538" t="str">
        <f>IFERROR(__xludf.DUMMYFUNCTION("""COMPUTED_VALUE"""),"Carte di pagamento")</f>
        <v>Carte di pagamento</v>
      </c>
      <c r="M143" s="538" t="str">
        <f>IFERROR(__xludf.DUMMYFUNCTION("""COMPUTED_VALUE"""),"alexandra02ws")</f>
        <v>alexandra02ws</v>
      </c>
      <c r="N143" s="763" t="str">
        <f>IFERROR(__xludf.DUMMYFUNCTION("""COMPUTED_VALUE"""),"64785-1757927524")</f>
        <v>64785-1757927524</v>
      </c>
      <c r="O143" s="762">
        <f>IFERROR(__xludf.DUMMYFUNCTION("""COMPUTED_VALUE"""),0.0)</f>
        <v>0</v>
      </c>
      <c r="P143" s="766">
        <f>IFERROR(__xludf.DUMMYFUNCTION("""COMPUTED_VALUE"""),1.25)</f>
        <v>1.25</v>
      </c>
      <c r="Q143" s="538" t="str">
        <f>IFERROR(__xludf.DUMMYFUNCTION("""COMPUTED_VALUE"""),"EUR")</f>
        <v>EUR</v>
      </c>
      <c r="R143" s="762">
        <f>IFERROR(__xludf.DUMMYFUNCTION("""COMPUTED_VALUE"""),512.0)</f>
        <v>512</v>
      </c>
      <c r="S143" s="538" t="str">
        <f>IFERROR(__xludf.DUMMYFUNCTION("""COMPUTED_VALUE"""),"Workshop Afrofusion con Banana 2025 - Workshop Banana afrofusion")</f>
        <v>Workshop Afrofusion con Banana 2025 - Workshop Banana afrofusion</v>
      </c>
      <c r="T143" s="763"/>
      <c r="U143" s="763"/>
      <c r="V143" s="762">
        <f>IFERROR(__xludf.DUMMYFUNCTION("""COMPUTED_VALUE"""),1.0)</f>
        <v>1</v>
      </c>
      <c r="W143" s="762">
        <f>IFERROR(__xludf.DUMMYFUNCTION("""COMPUTED_VALUE"""),30.0)</f>
        <v>30</v>
      </c>
      <c r="X143" s="762">
        <f>IFERROR(__xludf.DUMMYFUNCTION("""COMPUTED_VALUE"""),30.0)</f>
        <v>30</v>
      </c>
      <c r="Y143" s="763"/>
      <c r="Z143" s="765" t="str">
        <f>IFERROR(__xludf.DUMMYFUNCTION("""COMPUTED_VALUE"""),"https://studio-gem.it/wp-admin/post.php?post=64785&amp;action=edit")</f>
        <v>https://studio-gem.it/wp-admin/post.php?post=64785&amp;action=edit</v>
      </c>
      <c r="AA143" s="763"/>
      <c r="AB143" s="763"/>
      <c r="AC143" s="763"/>
      <c r="AD143" s="763"/>
      <c r="AE143" s="763"/>
      <c r="AF143" s="763"/>
      <c r="AG143" s="763"/>
      <c r="AH143" s="763"/>
      <c r="AI143" s="763"/>
      <c r="AJ143" s="763"/>
      <c r="AK143" s="763"/>
      <c r="AL143" s="763"/>
      <c r="AM143" s="763"/>
      <c r="AN143" s="763"/>
      <c r="AO143" s="763"/>
      <c r="AP143" s="763"/>
      <c r="AQ143" s="763"/>
      <c r="AR143" s="763"/>
      <c r="AS143" s="763"/>
      <c r="AT143" s="763"/>
      <c r="AU143" s="763"/>
      <c r="AV143" s="763"/>
      <c r="AW143" s="763"/>
      <c r="AX143" s="763"/>
      <c r="AY143" s="763"/>
      <c r="AZ143" s="763"/>
      <c r="BA143" s="763"/>
      <c r="BB143" s="763"/>
      <c r="BC143" s="763"/>
      <c r="BD143" s="763"/>
      <c r="BE143" s="763"/>
      <c r="BF143" s="763"/>
      <c r="BG143" s="763" t="b">
        <f>IFERROR(__xludf.DUMMYFUNCTION("""COMPUTED_VALUE"""),TRUE)</f>
        <v>1</v>
      </c>
      <c r="BH143" s="763" t="b">
        <f>IFERROR(__xludf.DUMMYFUNCTION("""COMPUTED_VALUE"""),TRUE)</f>
        <v>1</v>
      </c>
      <c r="BI143" s="763" t="b">
        <f>IFERROR(__xludf.DUMMYFUNCTION("""COMPUTED_VALUE"""),TRUE)</f>
        <v>1</v>
      </c>
      <c r="BJ143" s="763" t="b">
        <f>IFERROR(__xludf.DUMMYFUNCTION("""COMPUTED_VALUE"""),FALSE)</f>
        <v>0</v>
      </c>
    </row>
    <row r="144">
      <c r="A144" s="762">
        <f>IFERROR(__xludf.DUMMYFUNCTION("""COMPUTED_VALUE"""),64790.0)</f>
        <v>64790</v>
      </c>
      <c r="B144" s="538">
        <f>IFERROR(__xludf.DUMMYFUNCTION("""COMPUTED_VALUE"""),64790.0)</f>
        <v>64790</v>
      </c>
      <c r="C144" s="538" t="str">
        <f>IFERROR(__xludf.DUMMYFUNCTION("""COMPUTED_VALUE"""),"2025-09-15 10:54:19")</f>
        <v>2025-09-15 10:54:19</v>
      </c>
      <c r="D144" s="538" t="str">
        <f>IFERROR(__xludf.DUMMYFUNCTION("""COMPUTED_VALUE"""),"completed")</f>
        <v>completed</v>
      </c>
      <c r="E144" s="538" t="str">
        <f>IFERROR(__xludf.DUMMYFUNCTION("""COMPUTED_VALUE"""),"Daiana")</f>
        <v>Daiana</v>
      </c>
      <c r="F144" s="538" t="str">
        <f>IFERROR(__xludf.DUMMYFUNCTION("""COMPUTED_VALUE"""),"Saxer Nova")</f>
        <v>Saxer Nova</v>
      </c>
      <c r="G144" s="538" t="str">
        <f>IFERROR(__xludf.DUMMYFUNCTION("""COMPUTED_VALUE"""),"daianasaxernova@gmail.com")</f>
        <v>daianasaxernova@gmail.com</v>
      </c>
      <c r="H144" s="538">
        <f>IFERROR(__xludf.DUMMYFUNCTION("""COMPUTED_VALUE"""),3.757022477E9)</f>
        <v>3757022477</v>
      </c>
      <c r="I144" s="538" t="str">
        <f>IFERROR(__xludf.DUMMYFUNCTION("""COMPUTED_VALUE"""),"Milano")</f>
        <v>Milano</v>
      </c>
      <c r="J144" s="538" t="str">
        <f>IFERROR(__xludf.DUMMYFUNCTION("""COMPUTED_VALUE"""),"Via Ruggero Boscovich 44")</f>
        <v>Via Ruggero Boscovich 44</v>
      </c>
      <c r="K144" s="538">
        <f>IFERROR(__xludf.DUMMYFUNCTION("""COMPUTED_VALUE"""),20124.0)</f>
        <v>20124</v>
      </c>
      <c r="L144" s="538" t="str">
        <f>IFERROR(__xludf.DUMMYFUNCTION("""COMPUTED_VALUE"""),"Carte di pagamento")</f>
        <v>Carte di pagamento</v>
      </c>
      <c r="M144" s="538" t="str">
        <f>IFERROR(__xludf.DUMMYFUNCTION("""COMPUTED_VALUE"""),"estefany02ws")</f>
        <v>estefany02ws</v>
      </c>
      <c r="N144" s="763" t="str">
        <f>IFERROR(__xludf.DUMMYFUNCTION("""COMPUTED_VALUE"""),"64790-1757933661")</f>
        <v>64790-1757933661</v>
      </c>
      <c r="O144" s="762">
        <f>IFERROR(__xludf.DUMMYFUNCTION("""COMPUTED_VALUE"""),0.0)</f>
        <v>0</v>
      </c>
      <c r="P144" s="766">
        <f>IFERROR(__xludf.DUMMYFUNCTION("""COMPUTED_VALUE"""),1.25)</f>
        <v>1.25</v>
      </c>
      <c r="Q144" s="538" t="str">
        <f>IFERROR(__xludf.DUMMYFUNCTION("""COMPUTED_VALUE"""),"EUR")</f>
        <v>EUR</v>
      </c>
      <c r="R144" s="762">
        <f>IFERROR(__xludf.DUMMYFUNCTION("""COMPUTED_VALUE"""),514.0)</f>
        <v>514</v>
      </c>
      <c r="S144" s="538" t="str">
        <f>IFERROR(__xludf.DUMMYFUNCTION("""COMPUTED_VALUE"""),"Workshop Heels con Lulu Kulova - Workshop Lulu Heels")</f>
        <v>Workshop Heels con Lulu Kulova - Workshop Lulu Heels</v>
      </c>
      <c r="T144" s="763"/>
      <c r="U144" s="763"/>
      <c r="V144" s="762">
        <f>IFERROR(__xludf.DUMMYFUNCTION("""COMPUTED_VALUE"""),1.0)</f>
        <v>1</v>
      </c>
      <c r="W144" s="762">
        <f>IFERROR(__xludf.DUMMYFUNCTION("""COMPUTED_VALUE"""),30.0)</f>
        <v>30</v>
      </c>
      <c r="X144" s="762">
        <f>IFERROR(__xludf.DUMMYFUNCTION("""COMPUTED_VALUE"""),30.0)</f>
        <v>30</v>
      </c>
      <c r="Y144" s="763"/>
      <c r="Z144" s="765" t="str">
        <f>IFERROR(__xludf.DUMMYFUNCTION("""COMPUTED_VALUE"""),"https://studio-gem.it/wp-admin/post.php?post=64790&amp;action=edit")</f>
        <v>https://studio-gem.it/wp-admin/post.php?post=64790&amp;action=edit</v>
      </c>
      <c r="AA144" s="763"/>
      <c r="AB144" s="763"/>
      <c r="AC144" s="763"/>
      <c r="AD144" s="763"/>
      <c r="AE144" s="763"/>
      <c r="AF144" s="763"/>
      <c r="AG144" s="763"/>
      <c r="AH144" s="763"/>
      <c r="AI144" s="763"/>
      <c r="AJ144" s="763"/>
      <c r="AK144" s="763"/>
      <c r="AL144" s="763"/>
      <c r="AM144" s="763"/>
      <c r="AN144" s="763"/>
      <c r="AO144" s="763"/>
      <c r="AP144" s="763"/>
      <c r="AQ144" s="763"/>
      <c r="AR144" s="763"/>
      <c r="AS144" s="763"/>
      <c r="AT144" s="763"/>
      <c r="AU144" s="763"/>
      <c r="AV144" s="763"/>
      <c r="AW144" s="763"/>
      <c r="AX144" s="763"/>
      <c r="AY144" s="763"/>
      <c r="AZ144" s="763"/>
      <c r="BA144" s="763"/>
      <c r="BB144" s="763"/>
      <c r="BC144" s="763"/>
      <c r="BD144" s="763"/>
      <c r="BE144" s="763"/>
      <c r="BF144" s="763"/>
      <c r="BG144" s="763" t="b">
        <f>IFERROR(__xludf.DUMMYFUNCTION("""COMPUTED_VALUE"""),TRUE)</f>
        <v>1</v>
      </c>
      <c r="BH144" s="763" t="b">
        <f>IFERROR(__xludf.DUMMYFUNCTION("""COMPUTED_VALUE"""),TRUE)</f>
        <v>1</v>
      </c>
      <c r="BI144" s="763" t="b">
        <f>IFERROR(__xludf.DUMMYFUNCTION("""COMPUTED_VALUE"""),TRUE)</f>
        <v>1</v>
      </c>
      <c r="BJ144" s="763" t="b">
        <f>IFERROR(__xludf.DUMMYFUNCTION("""COMPUTED_VALUE"""),FALSE)</f>
        <v>0</v>
      </c>
    </row>
    <row r="145">
      <c r="A145" s="762">
        <f>IFERROR(__xludf.DUMMYFUNCTION("""COMPUTED_VALUE"""),64793.0)</f>
        <v>64793</v>
      </c>
      <c r="B145" s="538">
        <f>IFERROR(__xludf.DUMMYFUNCTION("""COMPUTED_VALUE"""),64793.0)</f>
        <v>64793</v>
      </c>
      <c r="C145" s="538" t="str">
        <f>IFERROR(__xludf.DUMMYFUNCTION("""COMPUTED_VALUE"""),"2025-09-15 13:17:49")</f>
        <v>2025-09-15 13:17:49</v>
      </c>
      <c r="D145" s="538" t="str">
        <f>IFERROR(__xludf.DUMMYFUNCTION("""COMPUTED_VALUE"""),"completed")</f>
        <v>completed</v>
      </c>
      <c r="E145" s="538" t="str">
        <f>IFERROR(__xludf.DUMMYFUNCTION("""COMPUTED_VALUE"""),"Aleksandra")</f>
        <v>Aleksandra</v>
      </c>
      <c r="F145" s="538" t="str">
        <f>IFERROR(__xludf.DUMMYFUNCTION("""COMPUTED_VALUE"""),"Kostanecka")</f>
        <v>Kostanecka</v>
      </c>
      <c r="G145" s="538" t="str">
        <f>IFERROR(__xludf.DUMMYFUNCTION("""COMPUTED_VALUE"""),"ola.kostanecka2005@gmail.com")</f>
        <v>ola.kostanecka2005@gmail.com</v>
      </c>
      <c r="H145" s="538">
        <f>IFERROR(__xludf.DUMMYFUNCTION("""COMPUTED_VALUE"""),3.47856998E9)</f>
        <v>3478569980</v>
      </c>
      <c r="I145" s="538" t="str">
        <f>IFERROR(__xludf.DUMMYFUNCTION("""COMPUTED_VALUE"""),"Milano")</f>
        <v>Milano</v>
      </c>
      <c r="J145" s="538" t="str">
        <f>IFERROR(__xludf.DUMMYFUNCTION("""COMPUTED_VALUE"""),"Via Castiglioni 8")</f>
        <v>Via Castiglioni 8</v>
      </c>
      <c r="K145" s="538">
        <f>IFERROR(__xludf.DUMMYFUNCTION("""COMPUTED_VALUE"""),20136.0)</f>
        <v>20136</v>
      </c>
      <c r="L145" s="538" t="str">
        <f>IFERROR(__xludf.DUMMYFUNCTION("""COMPUTED_VALUE"""),"Apple Pay")</f>
        <v>Apple Pay</v>
      </c>
      <c r="M145" s="763"/>
      <c r="N145" s="763" t="str">
        <f>IFERROR(__xludf.DUMMYFUNCTION("""COMPUTED_VALUE"""),"64793-1757942270")</f>
        <v>64793-1757942270</v>
      </c>
      <c r="O145" s="762">
        <f>IFERROR(__xludf.DUMMYFUNCTION("""COMPUTED_VALUE"""),0.0)</f>
        <v>0</v>
      </c>
      <c r="P145" s="766">
        <f>IFERROR(__xludf.DUMMYFUNCTION("""COMPUTED_VALUE"""),3.2083333333333335)</f>
        <v>3.208333333</v>
      </c>
      <c r="Q145" s="538" t="str">
        <f>IFERROR(__xludf.DUMMYFUNCTION("""COMPUTED_VALUE"""),"EUR")</f>
        <v>EUR</v>
      </c>
      <c r="R145" s="762">
        <f>IFERROR(__xludf.DUMMYFUNCTION("""COMPUTED_VALUE"""),516.0)</f>
        <v>516</v>
      </c>
      <c r="S145" s="538" t="str">
        <f>IFERROR(__xludf.DUMMYFUNCTION("""COMPUTED_VALUE"""),"Workshop Commercial con Timor Steffens - Workshop Commercial con Timor Steffens")</f>
        <v>Workshop Commercial con Timor Steffens - Workshop Commercial con Timor Steffens</v>
      </c>
      <c r="T145" s="763"/>
      <c r="U145" s="763"/>
      <c r="V145" s="762">
        <f>IFERROR(__xludf.DUMMYFUNCTION("""COMPUTED_VALUE"""),1.0)</f>
        <v>1</v>
      </c>
      <c r="W145" s="762">
        <f>IFERROR(__xludf.DUMMYFUNCTION("""COMPUTED_VALUE"""),45.0)</f>
        <v>45</v>
      </c>
      <c r="X145" s="762">
        <f>IFERROR(__xludf.DUMMYFUNCTION("""COMPUTED_VALUE"""),45.0)</f>
        <v>45</v>
      </c>
      <c r="Y145" s="763"/>
      <c r="Z145" s="765" t="str">
        <f>IFERROR(__xludf.DUMMYFUNCTION("""COMPUTED_VALUE"""),"https://studio-gem.it/wp-admin/post.php?post=64793&amp;action=edit")</f>
        <v>https://studio-gem.it/wp-admin/post.php?post=64793&amp;action=edit</v>
      </c>
      <c r="AA145" s="763"/>
      <c r="AB145" s="763"/>
      <c r="AC145" s="763"/>
      <c r="AD145" s="763"/>
      <c r="AE145" s="763"/>
      <c r="AF145" s="763"/>
      <c r="AG145" s="763"/>
      <c r="AH145" s="763"/>
      <c r="AI145" s="763"/>
      <c r="AJ145" s="763"/>
      <c r="AK145" s="763"/>
      <c r="AL145" s="763"/>
      <c r="AM145" s="763"/>
      <c r="AN145" s="763"/>
      <c r="AO145" s="763"/>
      <c r="AP145" s="763"/>
      <c r="AQ145" s="763"/>
      <c r="AR145" s="763"/>
      <c r="AS145" s="763"/>
      <c r="AT145" s="763"/>
      <c r="AU145" s="763"/>
      <c r="AV145" s="763"/>
      <c r="AW145" s="763"/>
      <c r="AX145" s="763"/>
      <c r="AY145" s="763"/>
      <c r="AZ145" s="763"/>
      <c r="BA145" s="763"/>
      <c r="BB145" s="763"/>
      <c r="BC145" s="763"/>
      <c r="BD145" s="763"/>
      <c r="BE145" s="763"/>
      <c r="BF145" s="763"/>
      <c r="BG145" s="763" t="b">
        <f>IFERROR(__xludf.DUMMYFUNCTION("""COMPUTED_VALUE"""),TRUE)</f>
        <v>1</v>
      </c>
      <c r="BH145" s="763" t="b">
        <f>IFERROR(__xludf.DUMMYFUNCTION("""COMPUTED_VALUE"""),TRUE)</f>
        <v>1</v>
      </c>
      <c r="BI145" s="763" t="b">
        <f>IFERROR(__xludf.DUMMYFUNCTION("""COMPUTED_VALUE"""),TRUE)</f>
        <v>1</v>
      </c>
      <c r="BJ145" s="763" t="b">
        <f>IFERROR(__xludf.DUMMYFUNCTION("""COMPUTED_VALUE"""),FALSE)</f>
        <v>0</v>
      </c>
    </row>
    <row r="146">
      <c r="A146" s="762">
        <f>IFERROR(__xludf.DUMMYFUNCTION("""COMPUTED_VALUE"""),64793.0)</f>
        <v>64793</v>
      </c>
      <c r="B146" s="538">
        <f>IFERROR(__xludf.DUMMYFUNCTION("""COMPUTED_VALUE"""),64793.0)</f>
        <v>64793</v>
      </c>
      <c r="C146" s="538" t="str">
        <f>IFERROR(__xludf.DUMMYFUNCTION("""COMPUTED_VALUE"""),"2025-09-15 13:17:49")</f>
        <v>2025-09-15 13:17:49</v>
      </c>
      <c r="D146" s="538" t="str">
        <f>IFERROR(__xludf.DUMMYFUNCTION("""COMPUTED_VALUE"""),"completed")</f>
        <v>completed</v>
      </c>
      <c r="E146" s="538" t="str">
        <f>IFERROR(__xludf.DUMMYFUNCTION("""COMPUTED_VALUE"""),"Aleksandra")</f>
        <v>Aleksandra</v>
      </c>
      <c r="F146" s="538" t="str">
        <f>IFERROR(__xludf.DUMMYFUNCTION("""COMPUTED_VALUE"""),"Kostanecka")</f>
        <v>Kostanecka</v>
      </c>
      <c r="G146" s="538" t="str">
        <f>IFERROR(__xludf.DUMMYFUNCTION("""COMPUTED_VALUE"""),"ola.kostanecka2005@gmail.com")</f>
        <v>ola.kostanecka2005@gmail.com</v>
      </c>
      <c r="H146" s="538">
        <f>IFERROR(__xludf.DUMMYFUNCTION("""COMPUTED_VALUE"""),3.47856998E9)</f>
        <v>3478569980</v>
      </c>
      <c r="I146" s="538" t="str">
        <f>IFERROR(__xludf.DUMMYFUNCTION("""COMPUTED_VALUE"""),"Milano")</f>
        <v>Milano</v>
      </c>
      <c r="J146" s="538" t="str">
        <f>IFERROR(__xludf.DUMMYFUNCTION("""COMPUTED_VALUE"""),"Via Castiglioni 8")</f>
        <v>Via Castiglioni 8</v>
      </c>
      <c r="K146" s="538">
        <f>IFERROR(__xludf.DUMMYFUNCTION("""COMPUTED_VALUE"""),20136.0)</f>
        <v>20136</v>
      </c>
      <c r="L146" s="538" t="str">
        <f>IFERROR(__xludf.DUMMYFUNCTION("""COMPUTED_VALUE"""),"Apple Pay")</f>
        <v>Apple Pay</v>
      </c>
      <c r="M146" s="763"/>
      <c r="N146" s="763" t="str">
        <f>IFERROR(__xludf.DUMMYFUNCTION("""COMPUTED_VALUE"""),"64793-1757942270")</f>
        <v>64793-1757942270</v>
      </c>
      <c r="O146" s="762">
        <f>IFERROR(__xludf.DUMMYFUNCTION("""COMPUTED_VALUE"""),0.0)</f>
        <v>0</v>
      </c>
      <c r="P146" s="766">
        <f>IFERROR(__xludf.DUMMYFUNCTION("""COMPUTED_VALUE"""),3.2083333333333335)</f>
        <v>3.208333333</v>
      </c>
      <c r="Q146" s="538" t="str">
        <f>IFERROR(__xludf.DUMMYFUNCTION("""COMPUTED_VALUE"""),"EUR")</f>
        <v>EUR</v>
      </c>
      <c r="R146" s="762">
        <f>IFERROR(__xludf.DUMMYFUNCTION("""COMPUTED_VALUE"""),517.0)</f>
        <v>517</v>
      </c>
      <c r="S146" s="538" t="str">
        <f>IFERROR(__xludf.DUMMYFUNCTION("""COMPUTED_VALUE"""),"Workshop Urban con Kumo - Workshop Kumo Urban")</f>
        <v>Workshop Urban con Kumo - Workshop Kumo Urban</v>
      </c>
      <c r="T146" s="763"/>
      <c r="U146" s="763"/>
      <c r="V146" s="762">
        <f>IFERROR(__xludf.DUMMYFUNCTION("""COMPUTED_VALUE"""),1.0)</f>
        <v>1</v>
      </c>
      <c r="W146" s="762">
        <f>IFERROR(__xludf.DUMMYFUNCTION("""COMPUTED_VALUE"""),32.0)</f>
        <v>32</v>
      </c>
      <c r="X146" s="762">
        <f>IFERROR(__xludf.DUMMYFUNCTION("""COMPUTED_VALUE"""),32.0)</f>
        <v>32</v>
      </c>
      <c r="Y146" s="763"/>
      <c r="Z146" s="765" t="str">
        <f>IFERROR(__xludf.DUMMYFUNCTION("""COMPUTED_VALUE"""),"https://studio-gem.it/wp-admin/post.php?post=64793&amp;action=edit")</f>
        <v>https://studio-gem.it/wp-admin/post.php?post=64793&amp;action=edit</v>
      </c>
      <c r="AA146" s="763"/>
      <c r="AB146" s="763"/>
      <c r="AC146" s="763"/>
      <c r="AD146" s="763"/>
      <c r="AE146" s="763"/>
      <c r="AF146" s="763"/>
      <c r="AG146" s="763"/>
      <c r="AH146" s="763"/>
      <c r="AI146" s="763"/>
      <c r="AJ146" s="763"/>
      <c r="AK146" s="763"/>
      <c r="AL146" s="763"/>
      <c r="AM146" s="763"/>
      <c r="AN146" s="763"/>
      <c r="AO146" s="763"/>
      <c r="AP146" s="763"/>
      <c r="AQ146" s="763"/>
      <c r="AR146" s="763"/>
      <c r="AS146" s="763"/>
      <c r="AT146" s="763"/>
      <c r="AU146" s="763"/>
      <c r="AV146" s="763"/>
      <c r="AW146" s="763"/>
      <c r="AX146" s="763"/>
      <c r="AY146" s="763"/>
      <c r="AZ146" s="763"/>
      <c r="BA146" s="763"/>
      <c r="BB146" s="763"/>
      <c r="BC146" s="763"/>
      <c r="BD146" s="763"/>
      <c r="BE146" s="763"/>
      <c r="BF146" s="763"/>
      <c r="BG146" s="763" t="b">
        <f>IFERROR(__xludf.DUMMYFUNCTION("""COMPUTED_VALUE"""),TRUE)</f>
        <v>1</v>
      </c>
      <c r="BH146" s="763" t="b">
        <f>IFERROR(__xludf.DUMMYFUNCTION("""COMPUTED_VALUE"""),TRUE)</f>
        <v>1</v>
      </c>
      <c r="BI146" s="763" t="b">
        <f>IFERROR(__xludf.DUMMYFUNCTION("""COMPUTED_VALUE"""),TRUE)</f>
        <v>1</v>
      </c>
      <c r="BJ146" s="763" t="b">
        <f>IFERROR(__xludf.DUMMYFUNCTION("""COMPUTED_VALUE"""),FALSE)</f>
        <v>0</v>
      </c>
    </row>
    <row r="147">
      <c r="A147" s="762">
        <f>IFERROR(__xludf.DUMMYFUNCTION("""COMPUTED_VALUE"""),64796.0)</f>
        <v>64796</v>
      </c>
      <c r="B147" s="538">
        <f>IFERROR(__xludf.DUMMYFUNCTION("""COMPUTED_VALUE"""),64796.0)</f>
        <v>64796</v>
      </c>
      <c r="C147" s="538" t="str">
        <f>IFERROR(__xludf.DUMMYFUNCTION("""COMPUTED_VALUE"""),"2025-09-15 13:59:27")</f>
        <v>2025-09-15 13:59:27</v>
      </c>
      <c r="D147" s="538" t="str">
        <f>IFERROR(__xludf.DUMMYFUNCTION("""COMPUTED_VALUE"""),"completed")</f>
        <v>completed</v>
      </c>
      <c r="E147" s="538" t="str">
        <f>IFERROR(__xludf.DUMMYFUNCTION("""COMPUTED_VALUE"""),"Chiara")</f>
        <v>Chiara</v>
      </c>
      <c r="F147" s="538" t="str">
        <f>IFERROR(__xludf.DUMMYFUNCTION("""COMPUTED_VALUE"""),"Bianchi")</f>
        <v>Bianchi</v>
      </c>
      <c r="G147" s="538" t="str">
        <f>IFERROR(__xludf.DUMMYFUNCTION("""COMPUTED_VALUE"""),"chiarabnch@gmail.com")</f>
        <v>chiarabnch@gmail.com</v>
      </c>
      <c r="H147" s="538">
        <f>IFERROR(__xludf.DUMMYFUNCTION("""COMPUTED_VALUE"""),3.492411844E9)</f>
        <v>3492411844</v>
      </c>
      <c r="I147" s="538" t="str">
        <f>IFERROR(__xludf.DUMMYFUNCTION("""COMPUTED_VALUE"""),"Abbiategrasso")</f>
        <v>Abbiategrasso</v>
      </c>
      <c r="J147" s="538" t="str">
        <f>IFERROR(__xludf.DUMMYFUNCTION("""COMPUTED_VALUE"""),"via Ciro Menotti 15")</f>
        <v>via Ciro Menotti 15</v>
      </c>
      <c r="K147" s="538">
        <f>IFERROR(__xludf.DUMMYFUNCTION("""COMPUTED_VALUE"""),20081.0)</f>
        <v>20081</v>
      </c>
      <c r="L147" s="538" t="str">
        <f>IFERROR(__xludf.DUMMYFUNCTION("""COMPUTED_VALUE"""),"Carte di pagamento")</f>
        <v>Carte di pagamento</v>
      </c>
      <c r="M147" s="763"/>
      <c r="N147" s="763" t="str">
        <f>IFERROR(__xludf.DUMMYFUNCTION("""COMPUTED_VALUE"""),"64796-1757944768")</f>
        <v>64796-1757944768</v>
      </c>
      <c r="O147" s="762">
        <f>IFERROR(__xludf.DUMMYFUNCTION("""COMPUTED_VALUE"""),0.0)</f>
        <v>0</v>
      </c>
      <c r="P147" s="766">
        <f>IFERROR(__xludf.DUMMYFUNCTION("""COMPUTED_VALUE"""),1.125)</f>
        <v>1.125</v>
      </c>
      <c r="Q147" s="538" t="str">
        <f>IFERROR(__xludf.DUMMYFUNCTION("""COMPUTED_VALUE"""),"EUR")</f>
        <v>EUR</v>
      </c>
      <c r="R147" s="762">
        <f>IFERROR(__xludf.DUMMYFUNCTION("""COMPUTED_VALUE"""),518.0)</f>
        <v>518</v>
      </c>
      <c r="S147" s="538" t="str">
        <f>IFERROR(__xludf.DUMMYFUNCTION("""COMPUTED_VALUE"""),"Workshop Indian Fusion con Leli - Workshop Leli Indian Fusion")</f>
        <v>Workshop Indian Fusion con Leli - Workshop Leli Indian Fusion</v>
      </c>
      <c r="T147" s="763"/>
      <c r="U147" s="763"/>
      <c r="V147" s="762">
        <f>IFERROR(__xludf.DUMMYFUNCTION("""COMPUTED_VALUE"""),1.0)</f>
        <v>1</v>
      </c>
      <c r="W147" s="762">
        <f>IFERROR(__xludf.DUMMYFUNCTION("""COMPUTED_VALUE"""),27.0)</f>
        <v>27</v>
      </c>
      <c r="X147" s="762">
        <f>IFERROR(__xludf.DUMMYFUNCTION("""COMPUTED_VALUE"""),27.0)</f>
        <v>27</v>
      </c>
      <c r="Y147" s="763"/>
      <c r="Z147" s="765" t="str">
        <f>IFERROR(__xludf.DUMMYFUNCTION("""COMPUTED_VALUE"""),"https://studio-gem.it/wp-admin/post.php?post=64796&amp;action=edit")</f>
        <v>https://studio-gem.it/wp-admin/post.php?post=64796&amp;action=edit</v>
      </c>
      <c r="AA147" s="763"/>
      <c r="AB147" s="763"/>
      <c r="AC147" s="763"/>
      <c r="AD147" s="763"/>
      <c r="AE147" s="763"/>
      <c r="AF147" s="763"/>
      <c r="AG147" s="763"/>
      <c r="AH147" s="763"/>
      <c r="AI147" s="763"/>
      <c r="AJ147" s="763"/>
      <c r="AK147" s="763"/>
      <c r="AL147" s="763"/>
      <c r="AM147" s="763"/>
      <c r="AN147" s="763"/>
      <c r="AO147" s="763"/>
      <c r="AP147" s="763"/>
      <c r="AQ147" s="763"/>
      <c r="AR147" s="763"/>
      <c r="AS147" s="763"/>
      <c r="AT147" s="763"/>
      <c r="AU147" s="763"/>
      <c r="AV147" s="763"/>
      <c r="AW147" s="763"/>
      <c r="AX147" s="763"/>
      <c r="AY147" s="763"/>
      <c r="AZ147" s="763"/>
      <c r="BA147" s="763"/>
      <c r="BB147" s="763"/>
      <c r="BC147" s="763"/>
      <c r="BD147" s="763"/>
      <c r="BE147" s="763"/>
      <c r="BF147" s="763"/>
      <c r="BG147" s="763" t="b">
        <f>IFERROR(__xludf.DUMMYFUNCTION("""COMPUTED_VALUE"""),TRUE)</f>
        <v>1</v>
      </c>
      <c r="BH147" s="763" t="b">
        <f>IFERROR(__xludf.DUMMYFUNCTION("""COMPUTED_VALUE"""),TRUE)</f>
        <v>1</v>
      </c>
      <c r="BI147" s="763" t="b">
        <f>IFERROR(__xludf.DUMMYFUNCTION("""COMPUTED_VALUE"""),TRUE)</f>
        <v>1</v>
      </c>
      <c r="BJ147" s="763" t="b">
        <f>IFERROR(__xludf.DUMMYFUNCTION("""COMPUTED_VALUE"""),FALSE)</f>
        <v>0</v>
      </c>
    </row>
    <row r="148">
      <c r="A148" s="762">
        <f>IFERROR(__xludf.DUMMYFUNCTION("""COMPUTED_VALUE"""),64811.0)</f>
        <v>64811</v>
      </c>
      <c r="B148" s="538">
        <f>IFERROR(__xludf.DUMMYFUNCTION("""COMPUTED_VALUE"""),64811.0)</f>
        <v>64811</v>
      </c>
      <c r="C148" s="538" t="str">
        <f>IFERROR(__xludf.DUMMYFUNCTION("""COMPUTED_VALUE"""),"2025-09-15 20:46:21")</f>
        <v>2025-09-15 20:46:21</v>
      </c>
      <c r="D148" s="538" t="str">
        <f>IFERROR(__xludf.DUMMYFUNCTION("""COMPUTED_VALUE"""),"pending")</f>
        <v>pending</v>
      </c>
      <c r="E148" s="538" t="str">
        <f>IFERROR(__xludf.DUMMYFUNCTION("""COMPUTED_VALUE"""),"Doreen")</f>
        <v>Doreen</v>
      </c>
      <c r="F148" s="538" t="str">
        <f>IFERROR(__xludf.DUMMYFUNCTION("""COMPUTED_VALUE"""),"Cavargna")</f>
        <v>Cavargna</v>
      </c>
      <c r="G148" s="538" t="str">
        <f>IFERROR(__xludf.DUMMYFUNCTION("""COMPUTED_VALUE"""),"doreen2000@live.com")</f>
        <v>doreen2000@live.com</v>
      </c>
      <c r="H148" s="538">
        <f>IFERROR(__xludf.DUMMYFUNCTION("""COMPUTED_VALUE"""),4.1798593379E10)</f>
        <v>41798593379</v>
      </c>
      <c r="I148" s="538" t="str">
        <f>IFERROR(__xludf.DUMMYFUNCTION("""COMPUTED_VALUE"""),"Milano")</f>
        <v>Milano</v>
      </c>
      <c r="J148" s="538" t="str">
        <f>IFERROR(__xludf.DUMMYFUNCTION("""COMPUTED_VALUE"""),"Via monte cristallo 1")</f>
        <v>Via monte cristallo 1</v>
      </c>
      <c r="K148" s="538">
        <f>IFERROR(__xludf.DUMMYFUNCTION("""COMPUTED_VALUE"""),20159.0)</f>
        <v>20159</v>
      </c>
      <c r="L148" s="538" t="str">
        <f>IFERROR(__xludf.DUMMYFUNCTION("""COMPUTED_VALUE"""),"Carte di pagamento")</f>
        <v>Carte di pagamento</v>
      </c>
      <c r="M148" s="763"/>
      <c r="N148" s="763"/>
      <c r="O148" s="762">
        <f>IFERROR(__xludf.DUMMYFUNCTION("""COMPUTED_VALUE"""),0.0)</f>
        <v>0</v>
      </c>
      <c r="P148" s="766">
        <f>IFERROR(__xludf.DUMMYFUNCTION("""COMPUTED_VALUE"""),1.3333333333333333)</f>
        <v>1.333333333</v>
      </c>
      <c r="Q148" s="538" t="str">
        <f>IFERROR(__xludf.DUMMYFUNCTION("""COMPUTED_VALUE"""),"EUR")</f>
        <v>EUR</v>
      </c>
      <c r="R148" s="762">
        <f>IFERROR(__xludf.DUMMYFUNCTION("""COMPUTED_VALUE"""),519.0)</f>
        <v>519</v>
      </c>
      <c r="S148" s="538" t="str">
        <f>IFERROR(__xludf.DUMMYFUNCTION("""COMPUTED_VALUE"""),"Workshop Urban con Kumo - Workshop Kumo Urban")</f>
        <v>Workshop Urban con Kumo - Workshop Kumo Urban</v>
      </c>
      <c r="T148" s="763"/>
      <c r="U148" s="763"/>
      <c r="V148" s="762">
        <f>IFERROR(__xludf.DUMMYFUNCTION("""COMPUTED_VALUE"""),1.0)</f>
        <v>1</v>
      </c>
      <c r="W148" s="762">
        <f>IFERROR(__xludf.DUMMYFUNCTION("""COMPUTED_VALUE"""),32.0)</f>
        <v>32</v>
      </c>
      <c r="X148" s="762">
        <f>IFERROR(__xludf.DUMMYFUNCTION("""COMPUTED_VALUE"""),32.0)</f>
        <v>32</v>
      </c>
      <c r="Y148" s="763"/>
      <c r="Z148" s="765" t="str">
        <f>IFERROR(__xludf.DUMMYFUNCTION("""COMPUTED_VALUE"""),"https://studio-gem.it/wp-admin/post.php?post=64811&amp;action=edit")</f>
        <v>https://studio-gem.it/wp-admin/post.php?post=64811&amp;action=edit</v>
      </c>
      <c r="AA148" s="763"/>
      <c r="AB148" s="763"/>
      <c r="AC148" s="763"/>
      <c r="AD148" s="763"/>
      <c r="AE148" s="763"/>
      <c r="AF148" s="763"/>
      <c r="AG148" s="763"/>
      <c r="AH148" s="763"/>
      <c r="AI148" s="763"/>
      <c r="AJ148" s="763"/>
      <c r="AK148" s="763"/>
      <c r="AL148" s="763"/>
      <c r="AM148" s="763"/>
      <c r="AN148" s="763"/>
      <c r="AO148" s="763"/>
      <c r="AP148" s="763"/>
      <c r="AQ148" s="763"/>
      <c r="AR148" s="763"/>
      <c r="AS148" s="763"/>
      <c r="AT148" s="763"/>
      <c r="AU148" s="763"/>
      <c r="AV148" s="763"/>
      <c r="AW148" s="763"/>
      <c r="AX148" s="763"/>
      <c r="AY148" s="763"/>
      <c r="AZ148" s="763"/>
      <c r="BA148" s="763"/>
      <c r="BB148" s="763"/>
      <c r="BC148" s="763"/>
      <c r="BD148" s="763"/>
      <c r="BE148" s="763"/>
      <c r="BF148" s="763"/>
      <c r="BG148" s="763" t="b">
        <f>IFERROR(__xludf.DUMMYFUNCTION("""COMPUTED_VALUE"""),FALSE)</f>
        <v>0</v>
      </c>
      <c r="BH148" s="763" t="b">
        <f>IFERROR(__xludf.DUMMYFUNCTION("""COMPUTED_VALUE"""),FALSE)</f>
        <v>0</v>
      </c>
      <c r="BI148" s="763" t="b">
        <f>IFERROR(__xludf.DUMMYFUNCTION("""COMPUTED_VALUE"""),FALSE)</f>
        <v>0</v>
      </c>
      <c r="BJ148" s="763" t="b">
        <f>IFERROR(__xludf.DUMMYFUNCTION("""COMPUTED_VALUE"""),FALSE)</f>
        <v>0</v>
      </c>
    </row>
    <row r="149">
      <c r="A149" s="762">
        <f>IFERROR(__xludf.DUMMYFUNCTION("""COMPUTED_VALUE"""),64815.0)</f>
        <v>64815</v>
      </c>
      <c r="B149" s="538">
        <f>IFERROR(__xludf.DUMMYFUNCTION("""COMPUTED_VALUE"""),64815.0)</f>
        <v>64815</v>
      </c>
      <c r="C149" s="538" t="str">
        <f>IFERROR(__xludf.DUMMYFUNCTION("""COMPUTED_VALUE"""),"2025-09-16 10:23:13")</f>
        <v>2025-09-16 10:23:13</v>
      </c>
      <c r="D149" s="538" t="str">
        <f>IFERROR(__xludf.DUMMYFUNCTION("""COMPUTED_VALUE"""),"completed")</f>
        <v>completed</v>
      </c>
      <c r="E149" s="538" t="str">
        <f>IFERROR(__xludf.DUMMYFUNCTION("""COMPUTED_VALUE"""),"Martina")</f>
        <v>Martina</v>
      </c>
      <c r="F149" s="538" t="str">
        <f>IFERROR(__xludf.DUMMYFUNCTION("""COMPUTED_VALUE"""),"Manoli")</f>
        <v>Manoli</v>
      </c>
      <c r="G149" s="538" t="str">
        <f>IFERROR(__xludf.DUMMYFUNCTION("""COMPUTED_VALUE"""),"martina.manoli2005@gmail.com")</f>
        <v>martina.manoli2005@gmail.com</v>
      </c>
      <c r="H149" s="538">
        <f>IFERROR(__xludf.DUMMYFUNCTION("""COMPUTED_VALUE"""),3.516068264E9)</f>
        <v>3516068264</v>
      </c>
      <c r="I149" s="538" t="str">
        <f>IFERROR(__xludf.DUMMYFUNCTION("""COMPUTED_VALUE"""),"Lacchiarella")</f>
        <v>Lacchiarella</v>
      </c>
      <c r="J149" s="538" t="str">
        <f>IFERROR(__xludf.DUMMYFUNCTION("""COMPUTED_VALUE"""),"Monsignor Bargiggia 2")</f>
        <v>Monsignor Bargiggia 2</v>
      </c>
      <c r="K149" s="538">
        <f>IFERROR(__xludf.DUMMYFUNCTION("""COMPUTED_VALUE"""),20084.0)</f>
        <v>20084</v>
      </c>
      <c r="L149" s="538" t="str">
        <f>IFERROR(__xludf.DUMMYFUNCTION("""COMPUTED_VALUE"""),"Google Pay")</f>
        <v>Google Pay</v>
      </c>
      <c r="M149" s="763"/>
      <c r="N149" s="763" t="str">
        <f>IFERROR(__xludf.DUMMYFUNCTION("""COMPUTED_VALUE"""),"64815-1758018431")</f>
        <v>64815-1758018431</v>
      </c>
      <c r="O149" s="762">
        <f>IFERROR(__xludf.DUMMYFUNCTION("""COMPUTED_VALUE"""),0.0)</f>
        <v>0</v>
      </c>
      <c r="P149" s="766">
        <f>IFERROR(__xludf.DUMMYFUNCTION("""COMPUTED_VALUE"""),1.3333333333333333)</f>
        <v>1.333333333</v>
      </c>
      <c r="Q149" s="538" t="str">
        <f>IFERROR(__xludf.DUMMYFUNCTION("""COMPUTED_VALUE"""),"EUR")</f>
        <v>EUR</v>
      </c>
      <c r="R149" s="762">
        <f>IFERROR(__xludf.DUMMYFUNCTION("""COMPUTED_VALUE"""),521.0)</f>
        <v>521</v>
      </c>
      <c r="S149" s="538" t="str">
        <f>IFERROR(__xludf.DUMMYFUNCTION("""COMPUTED_VALUE"""),"Workshop Afrofusion con Banana 2025 - Workshop Banana afrofusion")</f>
        <v>Workshop Afrofusion con Banana 2025 - Workshop Banana afrofusion</v>
      </c>
      <c r="T149" s="763"/>
      <c r="U149" s="763"/>
      <c r="V149" s="762">
        <f>IFERROR(__xludf.DUMMYFUNCTION("""COMPUTED_VALUE"""),1.0)</f>
        <v>1</v>
      </c>
      <c r="W149" s="762">
        <f>IFERROR(__xludf.DUMMYFUNCTION("""COMPUTED_VALUE"""),32.0)</f>
        <v>32</v>
      </c>
      <c r="X149" s="762">
        <f>IFERROR(__xludf.DUMMYFUNCTION("""COMPUTED_VALUE"""),32.0)</f>
        <v>32</v>
      </c>
      <c r="Y149" s="763"/>
      <c r="Z149" s="765" t="str">
        <f>IFERROR(__xludf.DUMMYFUNCTION("""COMPUTED_VALUE"""),"https://studio-gem.it/wp-admin/post.php?post=64815&amp;action=edit")</f>
        <v>https://studio-gem.it/wp-admin/post.php?post=64815&amp;action=edit</v>
      </c>
      <c r="AA149" s="763"/>
      <c r="AB149" s="763"/>
      <c r="AC149" s="763"/>
      <c r="AD149" s="763"/>
      <c r="AE149" s="763"/>
      <c r="AF149" s="763"/>
      <c r="AG149" s="763"/>
      <c r="AH149" s="763"/>
      <c r="AI149" s="763"/>
      <c r="AJ149" s="763"/>
      <c r="AK149" s="763"/>
      <c r="AL149" s="763"/>
      <c r="AM149" s="763"/>
      <c r="AN149" s="763"/>
      <c r="AO149" s="763"/>
      <c r="AP149" s="763"/>
      <c r="AQ149" s="763"/>
      <c r="AR149" s="763"/>
      <c r="AS149" s="763"/>
      <c r="AT149" s="763"/>
      <c r="AU149" s="763"/>
      <c r="AV149" s="763"/>
      <c r="AW149" s="763"/>
      <c r="AX149" s="763"/>
      <c r="AY149" s="763"/>
      <c r="AZ149" s="763"/>
      <c r="BA149" s="763"/>
      <c r="BB149" s="763"/>
      <c r="BC149" s="763"/>
      <c r="BD149" s="763"/>
      <c r="BE149" s="763"/>
      <c r="BF149" s="763"/>
      <c r="BG149" s="763" t="b">
        <f>IFERROR(__xludf.DUMMYFUNCTION("""COMPUTED_VALUE"""),TRUE)</f>
        <v>1</v>
      </c>
      <c r="BH149" s="763" t="b">
        <f>IFERROR(__xludf.DUMMYFUNCTION("""COMPUTED_VALUE"""),TRUE)</f>
        <v>1</v>
      </c>
      <c r="BI149" s="763" t="b">
        <f>IFERROR(__xludf.DUMMYFUNCTION("""COMPUTED_VALUE"""),TRUE)</f>
        <v>1</v>
      </c>
      <c r="BJ149" s="763" t="b">
        <f>IFERROR(__xludf.DUMMYFUNCTION("""COMPUTED_VALUE"""),FALSE)</f>
        <v>0</v>
      </c>
    </row>
    <row r="150">
      <c r="A150" s="762">
        <f>IFERROR(__xludf.DUMMYFUNCTION("""COMPUTED_VALUE"""),64819.0)</f>
        <v>64819</v>
      </c>
      <c r="B150" s="538">
        <f>IFERROR(__xludf.DUMMYFUNCTION("""COMPUTED_VALUE"""),64819.0)</f>
        <v>64819</v>
      </c>
      <c r="C150" s="538" t="str">
        <f>IFERROR(__xludf.DUMMYFUNCTION("""COMPUTED_VALUE"""),"2025-09-16 14:20:24")</f>
        <v>2025-09-16 14:20:24</v>
      </c>
      <c r="D150" s="538" t="str">
        <f>IFERROR(__xludf.DUMMYFUNCTION("""COMPUTED_VALUE"""),"completed")</f>
        <v>completed</v>
      </c>
      <c r="E150" s="538" t="str">
        <f>IFERROR(__xludf.DUMMYFUNCTION("""COMPUTED_VALUE"""),"Chiara")</f>
        <v>Chiara</v>
      </c>
      <c r="F150" s="538" t="str">
        <f>IFERROR(__xludf.DUMMYFUNCTION("""COMPUTED_VALUE"""),"Zhang")</f>
        <v>Zhang</v>
      </c>
      <c r="G150" s="538" t="str">
        <f>IFERROR(__xludf.DUMMYFUNCTION("""COMPUTED_VALUE"""),"Chiaranonantola@gmail.com")</f>
        <v>Chiaranonantola@gmail.com</v>
      </c>
      <c r="H150" s="538">
        <f>IFERROR(__xludf.DUMMYFUNCTION("""COMPUTED_VALUE"""),3.755282204E9)</f>
        <v>3755282204</v>
      </c>
      <c r="I150" s="538" t="str">
        <f>IFERROR(__xludf.DUMMYFUNCTION("""COMPUTED_VALUE"""),"Milano")</f>
        <v>Milano</v>
      </c>
      <c r="J150" s="538" t="str">
        <f>IFERROR(__xludf.DUMMYFUNCTION("""COMPUTED_VALUE"""),"Comasina 57")</f>
        <v>Comasina 57</v>
      </c>
      <c r="K150" s="538">
        <f>IFERROR(__xludf.DUMMYFUNCTION("""COMPUTED_VALUE"""),20122.0)</f>
        <v>20122</v>
      </c>
      <c r="L150" s="538" t="str">
        <f>IFERROR(__xludf.DUMMYFUNCTION("""COMPUTED_VALUE"""),"Apple Pay")</f>
        <v>Apple Pay</v>
      </c>
      <c r="M150" s="763"/>
      <c r="N150" s="763" t="str">
        <f>IFERROR(__xludf.DUMMYFUNCTION("""COMPUTED_VALUE"""),"64819-1758032425")</f>
        <v>64819-1758032425</v>
      </c>
      <c r="O150" s="762">
        <f>IFERROR(__xludf.DUMMYFUNCTION("""COMPUTED_VALUE"""),0.0)</f>
        <v>0</v>
      </c>
      <c r="P150" s="766">
        <f>IFERROR(__xludf.DUMMYFUNCTION("""COMPUTED_VALUE"""),1.3333333333333333)</f>
        <v>1.333333333</v>
      </c>
      <c r="Q150" s="538" t="str">
        <f>IFERROR(__xludf.DUMMYFUNCTION("""COMPUTED_VALUE"""),"EUR")</f>
        <v>EUR</v>
      </c>
      <c r="R150" s="762">
        <f>IFERROR(__xludf.DUMMYFUNCTION("""COMPUTED_VALUE"""),522.0)</f>
        <v>522</v>
      </c>
      <c r="S150" s="538" t="str">
        <f>IFERROR(__xludf.DUMMYFUNCTION("""COMPUTED_VALUE"""),"Workshop Afrofusion con Banana 2025 - Workshop Banana afrofusion")</f>
        <v>Workshop Afrofusion con Banana 2025 - Workshop Banana afrofusion</v>
      </c>
      <c r="T150" s="763"/>
      <c r="U150" s="763"/>
      <c r="V150" s="762">
        <f>IFERROR(__xludf.DUMMYFUNCTION("""COMPUTED_VALUE"""),1.0)</f>
        <v>1</v>
      </c>
      <c r="W150" s="762">
        <f>IFERROR(__xludf.DUMMYFUNCTION("""COMPUTED_VALUE"""),32.0)</f>
        <v>32</v>
      </c>
      <c r="X150" s="762">
        <f>IFERROR(__xludf.DUMMYFUNCTION("""COMPUTED_VALUE"""),32.0)</f>
        <v>32</v>
      </c>
      <c r="Y150" s="763"/>
      <c r="Z150" s="765" t="str">
        <f>IFERROR(__xludf.DUMMYFUNCTION("""COMPUTED_VALUE"""),"https://studio-gem.it/wp-admin/post.php?post=64819&amp;action=edit")</f>
        <v>https://studio-gem.it/wp-admin/post.php?post=64819&amp;action=edit</v>
      </c>
      <c r="AA150" s="763"/>
      <c r="AB150" s="763"/>
      <c r="AC150" s="763"/>
      <c r="AD150" s="763"/>
      <c r="AE150" s="763"/>
      <c r="AF150" s="763"/>
      <c r="AG150" s="763"/>
      <c r="AH150" s="763"/>
      <c r="AI150" s="763"/>
      <c r="AJ150" s="763"/>
      <c r="AK150" s="763"/>
      <c r="AL150" s="763"/>
      <c r="AM150" s="763"/>
      <c r="AN150" s="763"/>
      <c r="AO150" s="763"/>
      <c r="AP150" s="763"/>
      <c r="AQ150" s="763"/>
      <c r="AR150" s="763"/>
      <c r="AS150" s="763"/>
      <c r="AT150" s="763"/>
      <c r="AU150" s="763"/>
      <c r="AV150" s="763"/>
      <c r="AW150" s="763"/>
      <c r="AX150" s="763"/>
      <c r="AY150" s="763"/>
      <c r="AZ150" s="763"/>
      <c r="BA150" s="763"/>
      <c r="BB150" s="763"/>
      <c r="BC150" s="763"/>
      <c r="BD150" s="763"/>
      <c r="BE150" s="763"/>
      <c r="BF150" s="763"/>
      <c r="BG150" s="763" t="b">
        <f>IFERROR(__xludf.DUMMYFUNCTION("""COMPUTED_VALUE"""),TRUE)</f>
        <v>1</v>
      </c>
      <c r="BH150" s="763" t="b">
        <f>IFERROR(__xludf.DUMMYFUNCTION("""COMPUTED_VALUE"""),TRUE)</f>
        <v>1</v>
      </c>
      <c r="BI150" s="763" t="b">
        <f>IFERROR(__xludf.DUMMYFUNCTION("""COMPUTED_VALUE"""),TRUE)</f>
        <v>1</v>
      </c>
      <c r="BJ150" s="763" t="b">
        <f>IFERROR(__xludf.DUMMYFUNCTION("""COMPUTED_VALUE"""),FALSE)</f>
        <v>0</v>
      </c>
    </row>
    <row r="151">
      <c r="A151" s="762">
        <f>IFERROR(__xludf.DUMMYFUNCTION("""COMPUTED_VALUE"""),64825.0)</f>
        <v>64825</v>
      </c>
      <c r="B151" s="538">
        <f>IFERROR(__xludf.DUMMYFUNCTION("""COMPUTED_VALUE"""),64825.0)</f>
        <v>64825</v>
      </c>
      <c r="C151" s="538" t="str">
        <f>IFERROR(__xludf.DUMMYFUNCTION("""COMPUTED_VALUE"""),"2025-09-17 08:23:31")</f>
        <v>2025-09-17 08:23:31</v>
      </c>
      <c r="D151" s="538" t="str">
        <f>IFERROR(__xludf.DUMMYFUNCTION("""COMPUTED_VALUE"""),"completed")</f>
        <v>completed</v>
      </c>
      <c r="E151" s="538" t="str">
        <f>IFERROR(__xludf.DUMMYFUNCTION("""COMPUTED_VALUE"""),"Aurora")</f>
        <v>Aurora</v>
      </c>
      <c r="F151" s="538" t="str">
        <f>IFERROR(__xludf.DUMMYFUNCTION("""COMPUTED_VALUE"""),"Fabiano")</f>
        <v>Fabiano</v>
      </c>
      <c r="G151" s="538" t="str">
        <f>IFERROR(__xludf.DUMMYFUNCTION("""COMPUTED_VALUE"""),"V.gibilisco@virgilio.it")</f>
        <v>V.gibilisco@virgilio.it</v>
      </c>
      <c r="H151" s="538">
        <f>IFERROR(__xludf.DUMMYFUNCTION("""COMPUTED_VALUE"""),3.927442232E9)</f>
        <v>3927442232</v>
      </c>
      <c r="I151" s="538" t="str">
        <f>IFERROR(__xludf.DUMMYFUNCTION("""COMPUTED_VALUE"""),"Siracusa")</f>
        <v>Siracusa</v>
      </c>
      <c r="J151" s="538" t="str">
        <f>IFERROR(__xludf.DUMMYFUNCTION("""COMPUTED_VALUE"""),"Via P Salibra 133")</f>
        <v>Via P Salibra 133</v>
      </c>
      <c r="K151" s="538">
        <f>IFERROR(__xludf.DUMMYFUNCTION("""COMPUTED_VALUE"""),96100.0)</f>
        <v>96100</v>
      </c>
      <c r="L151" s="538" t="str">
        <f>IFERROR(__xludf.DUMMYFUNCTION("""COMPUTED_VALUE"""),"Apple Pay")</f>
        <v>Apple Pay</v>
      </c>
      <c r="M151" s="763"/>
      <c r="N151" s="763" t="str">
        <f>IFERROR(__xludf.DUMMYFUNCTION("""COMPUTED_VALUE"""),"64825-1758097412")</f>
        <v>64825-1758097412</v>
      </c>
      <c r="O151" s="762">
        <f>IFERROR(__xludf.DUMMYFUNCTION("""COMPUTED_VALUE"""),0.0)</f>
        <v>0</v>
      </c>
      <c r="P151" s="766">
        <f>IFERROR(__xludf.DUMMYFUNCTION("""COMPUTED_VALUE"""),1.875)</f>
        <v>1.875</v>
      </c>
      <c r="Q151" s="538" t="str">
        <f>IFERROR(__xludf.DUMMYFUNCTION("""COMPUTED_VALUE"""),"EUR")</f>
        <v>EUR</v>
      </c>
      <c r="R151" s="762">
        <f>IFERROR(__xludf.DUMMYFUNCTION("""COMPUTED_VALUE"""),523.0)</f>
        <v>523</v>
      </c>
      <c r="S151" s="538" t="str">
        <f>IFERROR(__xludf.DUMMYFUNCTION("""COMPUTED_VALUE"""),"Workshop Commercial con Timor Steffens - Workshop Commercial con Timor Steffens")</f>
        <v>Workshop Commercial con Timor Steffens - Workshop Commercial con Timor Steffens</v>
      </c>
      <c r="T151" s="763"/>
      <c r="U151" s="763"/>
      <c r="V151" s="762">
        <f>IFERROR(__xludf.DUMMYFUNCTION("""COMPUTED_VALUE"""),1.0)</f>
        <v>1</v>
      </c>
      <c r="W151" s="762">
        <f>IFERROR(__xludf.DUMMYFUNCTION("""COMPUTED_VALUE"""),45.0)</f>
        <v>45</v>
      </c>
      <c r="X151" s="762">
        <f>IFERROR(__xludf.DUMMYFUNCTION("""COMPUTED_VALUE"""),45.0)</f>
        <v>45</v>
      </c>
      <c r="Y151" s="763"/>
      <c r="Z151" s="765" t="str">
        <f>IFERROR(__xludf.DUMMYFUNCTION("""COMPUTED_VALUE"""),"https://studio-gem.it/wp-admin/post.php?post=64825&amp;action=edit")</f>
        <v>https://studio-gem.it/wp-admin/post.php?post=64825&amp;action=edit</v>
      </c>
      <c r="AA151" s="763"/>
      <c r="AB151" s="763"/>
      <c r="AC151" s="763"/>
      <c r="AD151" s="763"/>
      <c r="AE151" s="763"/>
      <c r="AF151" s="763"/>
      <c r="AG151" s="763"/>
      <c r="AH151" s="763"/>
      <c r="AI151" s="763"/>
      <c r="AJ151" s="763"/>
      <c r="AK151" s="763"/>
      <c r="AL151" s="763"/>
      <c r="AM151" s="763"/>
      <c r="AN151" s="763"/>
      <c r="AO151" s="763"/>
      <c r="AP151" s="763"/>
      <c r="AQ151" s="763"/>
      <c r="AR151" s="763"/>
      <c r="AS151" s="763"/>
      <c r="AT151" s="763"/>
      <c r="AU151" s="763"/>
      <c r="AV151" s="763"/>
      <c r="AW151" s="763"/>
      <c r="AX151" s="763"/>
      <c r="AY151" s="763"/>
      <c r="AZ151" s="763"/>
      <c r="BA151" s="763"/>
      <c r="BB151" s="763"/>
      <c r="BC151" s="763"/>
      <c r="BD151" s="763"/>
      <c r="BE151" s="763"/>
      <c r="BF151" s="763"/>
      <c r="BG151" s="763" t="b">
        <f>IFERROR(__xludf.DUMMYFUNCTION("""COMPUTED_VALUE"""),TRUE)</f>
        <v>1</v>
      </c>
      <c r="BH151" s="763" t="b">
        <f>IFERROR(__xludf.DUMMYFUNCTION("""COMPUTED_VALUE"""),TRUE)</f>
        <v>1</v>
      </c>
      <c r="BI151" s="763" t="b">
        <f>IFERROR(__xludf.DUMMYFUNCTION("""COMPUTED_VALUE"""),TRUE)</f>
        <v>1</v>
      </c>
      <c r="BJ151" s="763" t="b">
        <f>IFERROR(__xludf.DUMMYFUNCTION("""COMPUTED_VALUE"""),FALSE)</f>
        <v>0</v>
      </c>
    </row>
    <row r="152">
      <c r="A152" s="762">
        <f>IFERROR(__xludf.DUMMYFUNCTION("""COMPUTED_VALUE"""),64834.0)</f>
        <v>64834</v>
      </c>
      <c r="B152" s="538">
        <f>IFERROR(__xludf.DUMMYFUNCTION("""COMPUTED_VALUE"""),64834.0)</f>
        <v>64834</v>
      </c>
      <c r="C152" s="538" t="str">
        <f>IFERROR(__xludf.DUMMYFUNCTION("""COMPUTED_VALUE"""),"2025-09-17 21:58:04")</f>
        <v>2025-09-17 21:58:04</v>
      </c>
      <c r="D152" s="538" t="str">
        <f>IFERROR(__xludf.DUMMYFUNCTION("""COMPUTED_VALUE"""),"pending")</f>
        <v>pending</v>
      </c>
      <c r="E152" s="538" t="str">
        <f>IFERROR(__xludf.DUMMYFUNCTION("""COMPUTED_VALUE"""),"Isabella")</f>
        <v>Isabella</v>
      </c>
      <c r="F152" s="538" t="str">
        <f>IFERROR(__xludf.DUMMYFUNCTION("""COMPUTED_VALUE"""),"Feola")</f>
        <v>Feola</v>
      </c>
      <c r="G152" s="538" t="str">
        <f>IFERROR(__xludf.DUMMYFUNCTION("""COMPUTED_VALUE"""),"Isabellafeola21@gmail.com")</f>
        <v>Isabellafeola21@gmail.com</v>
      </c>
      <c r="H152" s="538">
        <f>IFERROR(__xludf.DUMMYFUNCTION("""COMPUTED_VALUE"""),3.39499222E9)</f>
        <v>3394992220</v>
      </c>
      <c r="I152" s="538" t="str">
        <f>IFERROR(__xludf.DUMMYFUNCTION("""COMPUTED_VALUE"""),"Milano")</f>
        <v>Milano</v>
      </c>
      <c r="J152" s="538" t="str">
        <f>IFERROR(__xludf.DUMMYFUNCTION("""COMPUTED_VALUE"""),"Via privata pomezia")</f>
        <v>Via privata pomezia</v>
      </c>
      <c r="K152" s="538">
        <f>IFERROR(__xludf.DUMMYFUNCTION("""COMPUTED_VALUE"""),20127.0)</f>
        <v>20127</v>
      </c>
      <c r="L152" s="538" t="str">
        <f>IFERROR(__xludf.DUMMYFUNCTION("""COMPUTED_VALUE"""),"Apple Pay")</f>
        <v>Apple Pay</v>
      </c>
      <c r="M152" s="538" t="str">
        <f>IFERROR(__xludf.DUMMYFUNCTION("""COMPUTED_VALUE"""),"nura02ws")</f>
        <v>nura02ws</v>
      </c>
      <c r="N152" s="763" t="str">
        <f>IFERROR(__xludf.DUMMYFUNCTION("""COMPUTED_VALUE"""),"64834-1758146336")</f>
        <v>64834-1758146336</v>
      </c>
      <c r="O152" s="762">
        <f>IFERROR(__xludf.DUMMYFUNCTION("""COMPUTED_VALUE"""),0.0)</f>
        <v>0</v>
      </c>
      <c r="P152" s="766">
        <f>IFERROR(__xludf.DUMMYFUNCTION("""COMPUTED_VALUE"""),1.25)</f>
        <v>1.25</v>
      </c>
      <c r="Q152" s="538" t="str">
        <f>IFERROR(__xludf.DUMMYFUNCTION("""COMPUTED_VALUE"""),"EUR")</f>
        <v>EUR</v>
      </c>
      <c r="R152" s="762">
        <f>IFERROR(__xludf.DUMMYFUNCTION("""COMPUTED_VALUE"""),524.0)</f>
        <v>524</v>
      </c>
      <c r="S152" s="538" t="str">
        <f>IFERROR(__xludf.DUMMYFUNCTION("""COMPUTED_VALUE"""),"Workshop Afrofusion con Banana 2025 - Workshop Banana afrofusion")</f>
        <v>Workshop Afrofusion con Banana 2025 - Workshop Banana afrofusion</v>
      </c>
      <c r="T152" s="763"/>
      <c r="U152" s="763"/>
      <c r="V152" s="762">
        <f>IFERROR(__xludf.DUMMYFUNCTION("""COMPUTED_VALUE"""),1.0)</f>
        <v>1</v>
      </c>
      <c r="W152" s="762">
        <f>IFERROR(__xludf.DUMMYFUNCTION("""COMPUTED_VALUE"""),30.0)</f>
        <v>30</v>
      </c>
      <c r="X152" s="762">
        <f>IFERROR(__xludf.DUMMYFUNCTION("""COMPUTED_VALUE"""),30.0)</f>
        <v>30</v>
      </c>
      <c r="Y152" s="763"/>
      <c r="Z152" s="765" t="str">
        <f>IFERROR(__xludf.DUMMYFUNCTION("""COMPUTED_VALUE"""),"https://studio-gem.it/wp-admin/post.php?post=64834&amp;action=edit")</f>
        <v>https://studio-gem.it/wp-admin/post.php?post=64834&amp;action=edit</v>
      </c>
      <c r="AA152" s="763"/>
      <c r="AB152" s="763"/>
      <c r="AC152" s="763"/>
      <c r="AD152" s="763"/>
      <c r="AE152" s="763"/>
      <c r="AF152" s="763"/>
      <c r="AG152" s="763"/>
      <c r="AH152" s="763"/>
      <c r="AI152" s="763"/>
      <c r="AJ152" s="763"/>
      <c r="AK152" s="763"/>
      <c r="AL152" s="763"/>
      <c r="AM152" s="763"/>
      <c r="AN152" s="763"/>
      <c r="AO152" s="763"/>
      <c r="AP152" s="763"/>
      <c r="AQ152" s="763"/>
      <c r="AR152" s="763"/>
      <c r="AS152" s="763"/>
      <c r="AT152" s="763"/>
      <c r="AU152" s="763"/>
      <c r="AV152" s="763"/>
      <c r="AW152" s="763"/>
      <c r="AX152" s="763"/>
      <c r="AY152" s="763"/>
      <c r="AZ152" s="763"/>
      <c r="BA152" s="763"/>
      <c r="BB152" s="763"/>
      <c r="BC152" s="763"/>
      <c r="BD152" s="763"/>
      <c r="BE152" s="763"/>
      <c r="BF152" s="763"/>
      <c r="BG152" s="763" t="b">
        <f>IFERROR(__xludf.DUMMYFUNCTION("""COMPUTED_VALUE"""),TRUE)</f>
        <v>1</v>
      </c>
      <c r="BH152" s="763" t="b">
        <f>IFERROR(__xludf.DUMMYFUNCTION("""COMPUTED_VALUE"""),TRUE)</f>
        <v>1</v>
      </c>
      <c r="BI152" s="763" t="b">
        <f>IFERROR(__xludf.DUMMYFUNCTION("""COMPUTED_VALUE"""),FALSE)</f>
        <v>0</v>
      </c>
      <c r="BJ152" s="763" t="b">
        <f>IFERROR(__xludf.DUMMYFUNCTION("""COMPUTED_VALUE"""),FALSE)</f>
        <v>0</v>
      </c>
    </row>
    <row r="153">
      <c r="A153" s="762">
        <f>IFERROR(__xludf.DUMMYFUNCTION("""COMPUTED_VALUE"""),64834.0)</f>
        <v>64834</v>
      </c>
      <c r="B153" s="538">
        <f>IFERROR(__xludf.DUMMYFUNCTION("""COMPUTED_VALUE"""),64834.0)</f>
        <v>64834</v>
      </c>
      <c r="C153" s="538" t="str">
        <f>IFERROR(__xludf.DUMMYFUNCTION("""COMPUTED_VALUE"""),"2025-09-17 21:58:04")</f>
        <v>2025-09-17 21:58:04</v>
      </c>
      <c r="D153" s="538" t="str">
        <f>IFERROR(__xludf.DUMMYFUNCTION("""COMPUTED_VALUE"""),"processing")</f>
        <v>processing</v>
      </c>
      <c r="E153" s="538" t="str">
        <f>IFERROR(__xludf.DUMMYFUNCTION("""COMPUTED_VALUE"""),"Isabella")</f>
        <v>Isabella</v>
      </c>
      <c r="F153" s="538" t="str">
        <f>IFERROR(__xludf.DUMMYFUNCTION("""COMPUTED_VALUE"""),"Feola")</f>
        <v>Feola</v>
      </c>
      <c r="G153" s="538" t="str">
        <f>IFERROR(__xludf.DUMMYFUNCTION("""COMPUTED_VALUE"""),"Isabellafeola21@gmail.com")</f>
        <v>Isabellafeola21@gmail.com</v>
      </c>
      <c r="H153" s="538">
        <f>IFERROR(__xludf.DUMMYFUNCTION("""COMPUTED_VALUE"""),3.39499222E9)</f>
        <v>3394992220</v>
      </c>
      <c r="I153" s="538" t="str">
        <f>IFERROR(__xludf.DUMMYFUNCTION("""COMPUTED_VALUE"""),"Milano")</f>
        <v>Milano</v>
      </c>
      <c r="J153" s="538" t="str">
        <f>IFERROR(__xludf.DUMMYFUNCTION("""COMPUTED_VALUE"""),"Via privata pomezia")</f>
        <v>Via privata pomezia</v>
      </c>
      <c r="K153" s="538">
        <f>IFERROR(__xludf.DUMMYFUNCTION("""COMPUTED_VALUE"""),20127.0)</f>
        <v>20127</v>
      </c>
      <c r="L153" s="538" t="str">
        <f>IFERROR(__xludf.DUMMYFUNCTION("""COMPUTED_VALUE"""),"Carte di pagamento")</f>
        <v>Carte di pagamento</v>
      </c>
      <c r="M153" s="538" t="str">
        <f>IFERROR(__xludf.DUMMYFUNCTION("""COMPUTED_VALUE"""),"nura02ws")</f>
        <v>nura02ws</v>
      </c>
      <c r="N153" s="763" t="str">
        <f>IFERROR(__xludf.DUMMYFUNCTION("""COMPUTED_VALUE"""),"64834-1758146336")</f>
        <v>64834-1758146336</v>
      </c>
      <c r="O153" s="762">
        <f>IFERROR(__xludf.DUMMYFUNCTION("""COMPUTED_VALUE"""),0.0)</f>
        <v>0</v>
      </c>
      <c r="P153" s="766">
        <f>IFERROR(__xludf.DUMMYFUNCTION("""COMPUTED_VALUE"""),1.25)</f>
        <v>1.25</v>
      </c>
      <c r="Q153" s="538" t="str">
        <f>IFERROR(__xludf.DUMMYFUNCTION("""COMPUTED_VALUE"""),"EUR")</f>
        <v>EUR</v>
      </c>
      <c r="R153" s="762">
        <f>IFERROR(__xludf.DUMMYFUNCTION("""COMPUTED_VALUE"""),526.0)</f>
        <v>526</v>
      </c>
      <c r="S153" s="538" t="str">
        <f>IFERROR(__xludf.DUMMYFUNCTION("""COMPUTED_VALUE"""),"Workshop Afrofusion con Banana 2025 - Workshop Banana afrofusion")</f>
        <v>Workshop Afrofusion con Banana 2025 - Workshop Banana afrofusion</v>
      </c>
      <c r="T153" s="763"/>
      <c r="U153" s="763"/>
      <c r="V153" s="762">
        <f>IFERROR(__xludf.DUMMYFUNCTION("""COMPUTED_VALUE"""),1.0)</f>
        <v>1</v>
      </c>
      <c r="W153" s="762">
        <f>IFERROR(__xludf.DUMMYFUNCTION("""COMPUTED_VALUE"""),30.0)</f>
        <v>30</v>
      </c>
      <c r="X153" s="762">
        <f>IFERROR(__xludf.DUMMYFUNCTION("""COMPUTED_VALUE"""),30.0)</f>
        <v>30</v>
      </c>
      <c r="Y153" s="763"/>
      <c r="Z153" s="765" t="str">
        <f>IFERROR(__xludf.DUMMYFUNCTION("""COMPUTED_VALUE"""),"https://studio-gem.it/wp-admin/post.php?post=64834&amp;action=edit")</f>
        <v>https://studio-gem.it/wp-admin/post.php?post=64834&amp;action=edit</v>
      </c>
      <c r="AA153" s="763"/>
      <c r="AB153" s="763"/>
      <c r="AC153" s="763"/>
      <c r="AD153" s="763"/>
      <c r="AE153" s="763"/>
      <c r="AF153" s="763"/>
      <c r="AG153" s="763"/>
      <c r="AH153" s="763"/>
      <c r="AI153" s="763"/>
      <c r="AJ153" s="763"/>
      <c r="AK153" s="763"/>
      <c r="AL153" s="763"/>
      <c r="AM153" s="763"/>
      <c r="AN153" s="763"/>
      <c r="AO153" s="763"/>
      <c r="AP153" s="763"/>
      <c r="AQ153" s="763"/>
      <c r="AR153" s="763"/>
      <c r="AS153" s="763"/>
      <c r="AT153" s="763"/>
      <c r="AU153" s="763"/>
      <c r="AV153" s="763"/>
      <c r="AW153" s="763"/>
      <c r="AX153" s="763"/>
      <c r="AY153" s="763"/>
      <c r="AZ153" s="763"/>
      <c r="BA153" s="763"/>
      <c r="BB153" s="763"/>
      <c r="BC153" s="763"/>
      <c r="BD153" s="763"/>
      <c r="BE153" s="763"/>
      <c r="BF153" s="763"/>
      <c r="BG153" s="763" t="b">
        <f>IFERROR(__xludf.DUMMYFUNCTION("""COMPUTED_VALUE"""),TRUE)</f>
        <v>1</v>
      </c>
      <c r="BH153" s="763" t="b">
        <f>IFERROR(__xludf.DUMMYFUNCTION("""COMPUTED_VALUE"""),TRUE)</f>
        <v>1</v>
      </c>
      <c r="BI153" s="763" t="b">
        <f>IFERROR(__xludf.DUMMYFUNCTION("""COMPUTED_VALUE"""),TRUE)</f>
        <v>1</v>
      </c>
      <c r="BJ153" s="763" t="b">
        <f>IFERROR(__xludf.DUMMYFUNCTION("""COMPUTED_VALUE"""),FALSE)</f>
        <v>0</v>
      </c>
    </row>
    <row r="154">
      <c r="A154" s="762">
        <f>IFERROR(__xludf.DUMMYFUNCTION("""COMPUTED_VALUE"""),64839.0)</f>
        <v>64839</v>
      </c>
      <c r="B154" s="538">
        <f>IFERROR(__xludf.DUMMYFUNCTION("""COMPUTED_VALUE"""),64839.0)</f>
        <v>64839</v>
      </c>
      <c r="C154" s="538" t="str">
        <f>IFERROR(__xludf.DUMMYFUNCTION("""COMPUTED_VALUE"""),"2025-09-18 10:35:23")</f>
        <v>2025-09-18 10:35:23</v>
      </c>
      <c r="D154" s="538" t="str">
        <f>IFERROR(__xludf.DUMMYFUNCTION("""COMPUTED_VALUE"""),"processing")</f>
        <v>processing</v>
      </c>
      <c r="E154" s="538" t="str">
        <f>IFERROR(__xludf.DUMMYFUNCTION("""COMPUTED_VALUE"""),"Jessica")</f>
        <v>Jessica</v>
      </c>
      <c r="F154" s="538" t="str">
        <f>IFERROR(__xludf.DUMMYFUNCTION("""COMPUTED_VALUE"""),"Agosto")</f>
        <v>Agosto</v>
      </c>
      <c r="G154" s="538" t="str">
        <f>IFERROR(__xludf.DUMMYFUNCTION("""COMPUTED_VALUE"""),"agostojessica05@gmail.com")</f>
        <v>agostojessica05@gmail.com</v>
      </c>
      <c r="H154" s="538">
        <f>IFERROR(__xludf.DUMMYFUNCTION("""COMPUTED_VALUE"""),3.31209166E8)</f>
        <v>331209166</v>
      </c>
      <c r="I154" s="538" t="str">
        <f>IFERROR(__xludf.DUMMYFUNCTION("""COMPUTED_VALUE"""),"Civate")</f>
        <v>Civate</v>
      </c>
      <c r="J154" s="538" t="str">
        <f>IFERROR(__xludf.DUMMYFUNCTION("""COMPUTED_VALUE"""),"Via alla santa, 44")</f>
        <v>Via alla santa, 44</v>
      </c>
      <c r="K154" s="538">
        <f>IFERROR(__xludf.DUMMYFUNCTION("""COMPUTED_VALUE"""),23862.0)</f>
        <v>23862</v>
      </c>
      <c r="L154" s="538" t="str">
        <f>IFERROR(__xludf.DUMMYFUNCTION("""COMPUTED_VALUE"""),"Carte di pagamento")</f>
        <v>Carte di pagamento</v>
      </c>
      <c r="M154" s="763"/>
      <c r="N154" s="763" t="str">
        <f>IFERROR(__xludf.DUMMYFUNCTION("""COMPUTED_VALUE"""),"64839-1758191725")</f>
        <v>64839-1758191725</v>
      </c>
      <c r="O154" s="762">
        <f>IFERROR(__xludf.DUMMYFUNCTION("""COMPUTED_VALUE"""),0.0)</f>
        <v>0</v>
      </c>
      <c r="P154" s="766">
        <f>IFERROR(__xludf.DUMMYFUNCTION("""COMPUTED_VALUE"""),1.3333333333333333)</f>
        <v>1.333333333</v>
      </c>
      <c r="Q154" s="538" t="str">
        <f>IFERROR(__xludf.DUMMYFUNCTION("""COMPUTED_VALUE"""),"EUR")</f>
        <v>EUR</v>
      </c>
      <c r="R154" s="762">
        <f>IFERROR(__xludf.DUMMYFUNCTION("""COMPUTED_VALUE"""),528.0)</f>
        <v>528</v>
      </c>
      <c r="S154" s="538" t="str">
        <f>IFERROR(__xludf.DUMMYFUNCTION("""COMPUTED_VALUE"""),"Workshop Urban con Kumo - Workshop Kumo Urban")</f>
        <v>Workshop Urban con Kumo - Workshop Kumo Urban</v>
      </c>
      <c r="T154" s="763"/>
      <c r="U154" s="763"/>
      <c r="V154" s="762">
        <f>IFERROR(__xludf.DUMMYFUNCTION("""COMPUTED_VALUE"""),1.0)</f>
        <v>1</v>
      </c>
      <c r="W154" s="762">
        <f>IFERROR(__xludf.DUMMYFUNCTION("""COMPUTED_VALUE"""),32.0)</f>
        <v>32</v>
      </c>
      <c r="X154" s="762">
        <f>IFERROR(__xludf.DUMMYFUNCTION("""COMPUTED_VALUE"""),32.0)</f>
        <v>32</v>
      </c>
      <c r="Y154" s="763"/>
      <c r="Z154" s="765" t="str">
        <f>IFERROR(__xludf.DUMMYFUNCTION("""COMPUTED_VALUE"""),"https://studio-gem.it/wp-admin/post.php?post=64839&amp;action=edit")</f>
        <v>https://studio-gem.it/wp-admin/post.php?post=64839&amp;action=edit</v>
      </c>
      <c r="AA154" s="763"/>
      <c r="AB154" s="763"/>
      <c r="AC154" s="763"/>
      <c r="AD154" s="763"/>
      <c r="AE154" s="763"/>
      <c r="AF154" s="763"/>
      <c r="AG154" s="763"/>
      <c r="AH154" s="763"/>
      <c r="AI154" s="763"/>
      <c r="AJ154" s="763"/>
      <c r="AK154" s="763"/>
      <c r="AL154" s="763"/>
      <c r="AM154" s="763"/>
      <c r="AN154" s="763"/>
      <c r="AO154" s="763"/>
      <c r="AP154" s="763"/>
      <c r="AQ154" s="763"/>
      <c r="AR154" s="763"/>
      <c r="AS154" s="763"/>
      <c r="AT154" s="763"/>
      <c r="AU154" s="763"/>
      <c r="AV154" s="763"/>
      <c r="AW154" s="763"/>
      <c r="AX154" s="763"/>
      <c r="AY154" s="763"/>
      <c r="AZ154" s="763"/>
      <c r="BA154" s="763"/>
      <c r="BB154" s="763"/>
      <c r="BC154" s="763"/>
      <c r="BD154" s="763"/>
      <c r="BE154" s="763"/>
      <c r="BF154" s="763"/>
      <c r="BG154" s="763" t="b">
        <f>IFERROR(__xludf.DUMMYFUNCTION("""COMPUTED_VALUE"""),TRUE)</f>
        <v>1</v>
      </c>
      <c r="BH154" s="763" t="b">
        <f>IFERROR(__xludf.DUMMYFUNCTION("""COMPUTED_VALUE"""),TRUE)</f>
        <v>1</v>
      </c>
      <c r="BI154" s="763" t="b">
        <f>IFERROR(__xludf.DUMMYFUNCTION("""COMPUTED_VALUE"""),TRUE)</f>
        <v>1</v>
      </c>
      <c r="BJ154" s="763" t="b">
        <f>IFERROR(__xludf.DUMMYFUNCTION("""COMPUTED_VALUE"""),FALSE)</f>
        <v>0</v>
      </c>
    </row>
    <row r="155">
      <c r="A155" s="762">
        <f>IFERROR(__xludf.DUMMYFUNCTION("""COMPUTED_VALUE"""),64840.0)</f>
        <v>64840</v>
      </c>
      <c r="B155" s="538">
        <f>IFERROR(__xludf.DUMMYFUNCTION("""COMPUTED_VALUE"""),64840.0)</f>
        <v>64840</v>
      </c>
      <c r="C155" s="538" t="str">
        <f>IFERROR(__xludf.DUMMYFUNCTION("""COMPUTED_VALUE"""),"2025-09-18 10:42:04")</f>
        <v>2025-09-18 10:42:04</v>
      </c>
      <c r="D155" s="538" t="str">
        <f>IFERROR(__xludf.DUMMYFUNCTION("""COMPUTED_VALUE"""),"processing")</f>
        <v>processing</v>
      </c>
      <c r="E155" s="538" t="str">
        <f>IFERROR(__xludf.DUMMYFUNCTION("""COMPUTED_VALUE"""),"Gabriele")</f>
        <v>Gabriele</v>
      </c>
      <c r="F155" s="538" t="str">
        <f>IFERROR(__xludf.DUMMYFUNCTION("""COMPUTED_VALUE"""),"Di Girolamo")</f>
        <v>Di Girolamo</v>
      </c>
      <c r="G155" s="538" t="str">
        <f>IFERROR(__xludf.DUMMYFUNCTION("""COMPUTED_VALUE"""),"digigabriele103@gmail.com")</f>
        <v>digigabriele103@gmail.com</v>
      </c>
      <c r="H155" s="538">
        <f>IFERROR(__xludf.DUMMYFUNCTION("""COMPUTED_VALUE"""),3.920703008E9)</f>
        <v>3920703008</v>
      </c>
      <c r="I155" s="538" t="str">
        <f>IFERROR(__xludf.DUMMYFUNCTION("""COMPUTED_VALUE"""),"Brugherio")</f>
        <v>Brugherio</v>
      </c>
      <c r="J155" s="538" t="str">
        <f>IFERROR(__xludf.DUMMYFUNCTION("""COMPUTED_VALUE"""),"Via paolo andreani, 5")</f>
        <v>Via paolo andreani, 5</v>
      </c>
      <c r="K155" s="538">
        <f>IFERROR(__xludf.DUMMYFUNCTION("""COMPUTED_VALUE"""),20861.0)</f>
        <v>20861</v>
      </c>
      <c r="L155" s="538" t="str">
        <f>IFERROR(__xludf.DUMMYFUNCTION("""COMPUTED_VALUE"""),"Carte di pagamento")</f>
        <v>Carte di pagamento</v>
      </c>
      <c r="M155" s="763"/>
      <c r="N155" s="763" t="str">
        <f>IFERROR(__xludf.DUMMYFUNCTION("""COMPUTED_VALUE"""),"64840-1758192126")</f>
        <v>64840-1758192126</v>
      </c>
      <c r="O155" s="762">
        <f>IFERROR(__xludf.DUMMYFUNCTION("""COMPUTED_VALUE"""),0.0)</f>
        <v>0</v>
      </c>
      <c r="P155" s="766">
        <f>IFERROR(__xludf.DUMMYFUNCTION("""COMPUTED_VALUE"""),1.3333333333333333)</f>
        <v>1.333333333</v>
      </c>
      <c r="Q155" s="538" t="str">
        <f>IFERROR(__xludf.DUMMYFUNCTION("""COMPUTED_VALUE"""),"EUR")</f>
        <v>EUR</v>
      </c>
      <c r="R155" s="762">
        <f>IFERROR(__xludf.DUMMYFUNCTION("""COMPUTED_VALUE"""),529.0)</f>
        <v>529</v>
      </c>
      <c r="S155" s="538" t="str">
        <f>IFERROR(__xludf.DUMMYFUNCTION("""COMPUTED_VALUE"""),"Workshop Urban con Kumo - Workshop Kumo Urban")</f>
        <v>Workshop Urban con Kumo - Workshop Kumo Urban</v>
      </c>
      <c r="T155" s="763"/>
      <c r="U155" s="763"/>
      <c r="V155" s="762">
        <f>IFERROR(__xludf.DUMMYFUNCTION("""COMPUTED_VALUE"""),1.0)</f>
        <v>1</v>
      </c>
      <c r="W155" s="762">
        <f>IFERROR(__xludf.DUMMYFUNCTION("""COMPUTED_VALUE"""),32.0)</f>
        <v>32</v>
      </c>
      <c r="X155" s="762">
        <f>IFERROR(__xludf.DUMMYFUNCTION("""COMPUTED_VALUE"""),32.0)</f>
        <v>32</v>
      </c>
      <c r="Y155" s="763"/>
      <c r="Z155" s="765" t="str">
        <f>IFERROR(__xludf.DUMMYFUNCTION("""COMPUTED_VALUE"""),"https://studio-gem.it/wp-admin/post.php?post=64840&amp;action=edit")</f>
        <v>https://studio-gem.it/wp-admin/post.php?post=64840&amp;action=edit</v>
      </c>
      <c r="AA155" s="763"/>
      <c r="AB155" s="763"/>
      <c r="AC155" s="763"/>
      <c r="AD155" s="763"/>
      <c r="AE155" s="763"/>
      <c r="AF155" s="763"/>
      <c r="AG155" s="763"/>
      <c r="AH155" s="763"/>
      <c r="AI155" s="763"/>
      <c r="AJ155" s="763"/>
      <c r="AK155" s="763"/>
      <c r="AL155" s="763"/>
      <c r="AM155" s="763"/>
      <c r="AN155" s="763"/>
      <c r="AO155" s="763"/>
      <c r="AP155" s="763"/>
      <c r="AQ155" s="763"/>
      <c r="AR155" s="763"/>
      <c r="AS155" s="763"/>
      <c r="AT155" s="763"/>
      <c r="AU155" s="763"/>
      <c r="AV155" s="763"/>
      <c r="AW155" s="763"/>
      <c r="AX155" s="763"/>
      <c r="AY155" s="763"/>
      <c r="AZ155" s="763"/>
      <c r="BA155" s="763"/>
      <c r="BB155" s="763"/>
      <c r="BC155" s="763"/>
      <c r="BD155" s="763"/>
      <c r="BE155" s="763"/>
      <c r="BF155" s="763"/>
      <c r="BG155" s="763" t="b">
        <f>IFERROR(__xludf.DUMMYFUNCTION("""COMPUTED_VALUE"""),TRUE)</f>
        <v>1</v>
      </c>
      <c r="BH155" s="763" t="b">
        <f>IFERROR(__xludf.DUMMYFUNCTION("""COMPUTED_VALUE"""),TRUE)</f>
        <v>1</v>
      </c>
      <c r="BI155" s="763" t="b">
        <f>IFERROR(__xludf.DUMMYFUNCTION("""COMPUTED_VALUE"""),TRUE)</f>
        <v>1</v>
      </c>
      <c r="BJ155" s="763" t="b">
        <f>IFERROR(__xludf.DUMMYFUNCTION("""COMPUTED_VALUE"""),FALSE)</f>
        <v>0</v>
      </c>
    </row>
    <row r="156">
      <c r="A156" s="762">
        <f>IFERROR(__xludf.DUMMYFUNCTION("""COMPUTED_VALUE"""),64841.0)</f>
        <v>64841</v>
      </c>
      <c r="B156" s="538">
        <f>IFERROR(__xludf.DUMMYFUNCTION("""COMPUTED_VALUE"""),64841.0)</f>
        <v>64841</v>
      </c>
      <c r="C156" s="538" t="str">
        <f>IFERROR(__xludf.DUMMYFUNCTION("""COMPUTED_VALUE"""),"2025-09-18 11:00:08")</f>
        <v>2025-09-18 11:00:08</v>
      </c>
      <c r="D156" s="538" t="str">
        <f>IFERROR(__xludf.DUMMYFUNCTION("""COMPUTED_VALUE"""),"completed")</f>
        <v>completed</v>
      </c>
      <c r="E156" s="538" t="str">
        <f>IFERROR(__xludf.DUMMYFUNCTION("""COMPUTED_VALUE"""),"Chiara")</f>
        <v>Chiara</v>
      </c>
      <c r="F156" s="538" t="str">
        <f>IFERROR(__xludf.DUMMYFUNCTION("""COMPUTED_VALUE"""),"De Nubbio")</f>
        <v>De Nubbio</v>
      </c>
      <c r="G156" s="538" t="str">
        <f>IFERROR(__xludf.DUMMYFUNCTION("""COMPUTED_VALUE"""),"chiara.denubbio@gmail.com")</f>
        <v>chiara.denubbio@gmail.com</v>
      </c>
      <c r="H156" s="538">
        <f>IFERROR(__xludf.DUMMYFUNCTION("""COMPUTED_VALUE"""),3.316718928E9)</f>
        <v>3316718928</v>
      </c>
      <c r="I156" s="538" t="str">
        <f>IFERROR(__xludf.DUMMYFUNCTION("""COMPUTED_VALUE"""),"Milano")</f>
        <v>Milano</v>
      </c>
      <c r="J156" s="538" t="str">
        <f>IFERROR(__xludf.DUMMYFUNCTION("""COMPUTED_VALUE"""),"Corso porta romana 54")</f>
        <v>Corso porta romana 54</v>
      </c>
      <c r="K156" s="538">
        <f>IFERROR(__xludf.DUMMYFUNCTION("""COMPUTED_VALUE"""),20122.0)</f>
        <v>20122</v>
      </c>
      <c r="L156" s="763"/>
      <c r="M156" s="763"/>
      <c r="N156" s="763"/>
      <c r="O156" s="762">
        <f>IFERROR(__xludf.DUMMYFUNCTION("""COMPUTED_VALUE"""),0.0)</f>
        <v>0</v>
      </c>
      <c r="P156" s="764">
        <f>IFERROR(__xludf.DUMMYFUNCTION("""COMPUTED_VALUE"""),0.0)</f>
        <v>0</v>
      </c>
      <c r="Q156" s="538" t="str">
        <f>IFERROR(__xludf.DUMMYFUNCTION("""COMPUTED_VALUE"""),"EUR")</f>
        <v>EUR</v>
      </c>
      <c r="R156" s="762">
        <f>IFERROR(__xludf.DUMMYFUNCTION("""COMPUTED_VALUE"""),530.0)</f>
        <v>530</v>
      </c>
      <c r="S156" s="538" t="str">
        <f>IFERROR(__xludf.DUMMYFUNCTION("""COMPUTED_VALUE"""),"Domeniche in movimento - Gratuito per open week e open mattino 1 lezione dalle 10 alle 10.50")</f>
        <v>Domeniche in movimento - Gratuito per open week e open mattino 1 lezione dalle 10 alle 10.50</v>
      </c>
      <c r="T156" s="763"/>
      <c r="U156" s="763"/>
      <c r="V156" s="762">
        <f>IFERROR(__xludf.DUMMYFUNCTION("""COMPUTED_VALUE"""),1.0)</f>
        <v>1</v>
      </c>
      <c r="W156" s="762">
        <f>IFERROR(__xludf.DUMMYFUNCTION("""COMPUTED_VALUE"""),0.0)</f>
        <v>0</v>
      </c>
      <c r="X156" s="762">
        <f>IFERROR(__xludf.DUMMYFUNCTION("""COMPUTED_VALUE"""),0.0)</f>
        <v>0</v>
      </c>
      <c r="Y156" s="763"/>
      <c r="Z156" s="765" t="str">
        <f>IFERROR(__xludf.DUMMYFUNCTION("""COMPUTED_VALUE"""),"https://studio-gem.it/wp-admin/post.php?post=64841&amp;action=edit")</f>
        <v>https://studio-gem.it/wp-admin/post.php?post=64841&amp;action=edit</v>
      </c>
      <c r="AA156" s="763"/>
      <c r="AB156" s="763"/>
      <c r="AC156" s="763"/>
      <c r="AD156" s="763"/>
      <c r="AE156" s="763"/>
      <c r="AF156" s="763"/>
      <c r="AG156" s="763"/>
      <c r="AH156" s="763"/>
      <c r="AI156" s="763"/>
      <c r="AJ156" s="763"/>
      <c r="AK156" s="763"/>
      <c r="AL156" s="763"/>
      <c r="AM156" s="763"/>
      <c r="AN156" s="763"/>
      <c r="AO156" s="763"/>
      <c r="AP156" s="763"/>
      <c r="AQ156" s="763"/>
      <c r="AR156" s="763"/>
      <c r="AS156" s="763"/>
      <c r="AT156" s="763"/>
      <c r="AU156" s="763"/>
      <c r="AV156" s="763"/>
      <c r="AW156" s="763"/>
      <c r="AX156" s="763"/>
      <c r="AY156" s="763"/>
      <c r="AZ156" s="763"/>
      <c r="BA156" s="763"/>
      <c r="BB156" s="763"/>
      <c r="BC156" s="763"/>
      <c r="BD156" s="763"/>
      <c r="BE156" s="763"/>
      <c r="BF156" s="763"/>
      <c r="BG156" s="763" t="b">
        <f>IFERROR(__xludf.DUMMYFUNCTION("""COMPUTED_VALUE"""),TRUE)</f>
        <v>1</v>
      </c>
      <c r="BH156" s="763" t="b">
        <f>IFERROR(__xludf.DUMMYFUNCTION("""COMPUTED_VALUE"""),FALSE)</f>
        <v>0</v>
      </c>
      <c r="BI156" s="763" t="b">
        <f>IFERROR(__xludf.DUMMYFUNCTION("""COMPUTED_VALUE"""),TRUE)</f>
        <v>1</v>
      </c>
      <c r="BJ156" s="763" t="b">
        <f>IFERROR(__xludf.DUMMYFUNCTION("""COMPUTED_VALUE"""),FALSE)</f>
        <v>0</v>
      </c>
    </row>
    <row r="157">
      <c r="A157" s="762">
        <f>IFERROR(__xludf.DUMMYFUNCTION("""COMPUTED_VALUE"""),64843.0)</f>
        <v>64843</v>
      </c>
      <c r="B157" s="538">
        <f>IFERROR(__xludf.DUMMYFUNCTION("""COMPUTED_VALUE"""),64843.0)</f>
        <v>64843</v>
      </c>
      <c r="C157" s="538" t="str">
        <f>IFERROR(__xludf.DUMMYFUNCTION("""COMPUTED_VALUE"""),"2025-09-18 13:52:20")</f>
        <v>2025-09-18 13:52:20</v>
      </c>
      <c r="D157" s="538" t="str">
        <f>IFERROR(__xludf.DUMMYFUNCTION("""COMPUTED_VALUE"""),"processing")</f>
        <v>processing</v>
      </c>
      <c r="E157" s="538" t="str">
        <f>IFERROR(__xludf.DUMMYFUNCTION("""COMPUTED_VALUE"""),"Laura")</f>
        <v>Laura</v>
      </c>
      <c r="F157" s="538" t="str">
        <f>IFERROR(__xludf.DUMMYFUNCTION("""COMPUTED_VALUE"""),"Bonetti")</f>
        <v>Bonetti</v>
      </c>
      <c r="G157" s="538" t="str">
        <f>IFERROR(__xludf.DUMMYFUNCTION("""COMPUTED_VALUE"""),"sabinalena983@gmail.com")</f>
        <v>sabinalena983@gmail.com</v>
      </c>
      <c r="H157" s="538">
        <f>IFERROR(__xludf.DUMMYFUNCTION("""COMPUTED_VALUE"""),3.487090603E9)</f>
        <v>3487090603</v>
      </c>
      <c r="I157" s="538" t="str">
        <f>IFERROR(__xludf.DUMMYFUNCTION("""COMPUTED_VALUE"""),"Malagnino")</f>
        <v>Malagnino</v>
      </c>
      <c r="J157" s="538" t="str">
        <f>IFERROR(__xludf.DUMMYFUNCTION("""COMPUTED_VALUE"""),"Via di Vittorio 22")</f>
        <v>Via di Vittorio 22</v>
      </c>
      <c r="K157" s="538">
        <f>IFERROR(__xludf.DUMMYFUNCTION("""COMPUTED_VALUE"""),26030.0)</f>
        <v>26030</v>
      </c>
      <c r="L157" s="538" t="str">
        <f>IFERROR(__xludf.DUMMYFUNCTION("""COMPUTED_VALUE"""),"Carte di pagamento")</f>
        <v>Carte di pagamento</v>
      </c>
      <c r="M157" s="763"/>
      <c r="N157" s="763" t="str">
        <f>IFERROR(__xludf.DUMMYFUNCTION("""COMPUTED_VALUE"""),"64843-1758203542")</f>
        <v>64843-1758203542</v>
      </c>
      <c r="O157" s="762">
        <f>IFERROR(__xludf.DUMMYFUNCTION("""COMPUTED_VALUE"""),0.0)</f>
        <v>0</v>
      </c>
      <c r="P157" s="766">
        <f>IFERROR(__xludf.DUMMYFUNCTION("""COMPUTED_VALUE"""),1.3333333333333333)</f>
        <v>1.333333333</v>
      </c>
      <c r="Q157" s="538" t="str">
        <f>IFERROR(__xludf.DUMMYFUNCTION("""COMPUTED_VALUE"""),"EUR")</f>
        <v>EUR</v>
      </c>
      <c r="R157" s="762">
        <f>IFERROR(__xludf.DUMMYFUNCTION("""COMPUTED_VALUE"""),531.0)</f>
        <v>531</v>
      </c>
      <c r="S157" s="538" t="str">
        <f>IFERROR(__xludf.DUMMYFUNCTION("""COMPUTED_VALUE"""),"Workshop Afrofusion con Banana 2025 - Workshop Banana afrofusion")</f>
        <v>Workshop Afrofusion con Banana 2025 - Workshop Banana afrofusion</v>
      </c>
      <c r="T157" s="763"/>
      <c r="U157" s="763"/>
      <c r="V157" s="762">
        <f>IFERROR(__xludf.DUMMYFUNCTION("""COMPUTED_VALUE"""),1.0)</f>
        <v>1</v>
      </c>
      <c r="W157" s="762">
        <f>IFERROR(__xludf.DUMMYFUNCTION("""COMPUTED_VALUE"""),32.0)</f>
        <v>32</v>
      </c>
      <c r="X157" s="762">
        <f>IFERROR(__xludf.DUMMYFUNCTION("""COMPUTED_VALUE"""),32.0)</f>
        <v>32</v>
      </c>
      <c r="Y157" s="763"/>
      <c r="Z157" s="765" t="str">
        <f>IFERROR(__xludf.DUMMYFUNCTION("""COMPUTED_VALUE"""),"https://studio-gem.it/wp-admin/post.php?post=64843&amp;action=edit")</f>
        <v>https://studio-gem.it/wp-admin/post.php?post=64843&amp;action=edit</v>
      </c>
      <c r="AA157" s="763"/>
      <c r="AB157" s="763"/>
      <c r="AC157" s="763"/>
      <c r="AD157" s="763"/>
      <c r="AE157" s="763"/>
      <c r="AF157" s="763"/>
      <c r="AG157" s="763"/>
      <c r="AH157" s="763"/>
      <c r="AI157" s="763"/>
      <c r="AJ157" s="763"/>
      <c r="AK157" s="763"/>
      <c r="AL157" s="763"/>
      <c r="AM157" s="763"/>
      <c r="AN157" s="763"/>
      <c r="AO157" s="763"/>
      <c r="AP157" s="763"/>
      <c r="AQ157" s="763"/>
      <c r="AR157" s="763"/>
      <c r="AS157" s="763"/>
      <c r="AT157" s="763"/>
      <c r="AU157" s="763"/>
      <c r="AV157" s="763"/>
      <c r="AW157" s="763"/>
      <c r="AX157" s="763"/>
      <c r="AY157" s="763"/>
      <c r="AZ157" s="763"/>
      <c r="BA157" s="763"/>
      <c r="BB157" s="763"/>
      <c r="BC157" s="763"/>
      <c r="BD157" s="763"/>
      <c r="BE157" s="763"/>
      <c r="BF157" s="763"/>
      <c r="BG157" s="763" t="b">
        <f>IFERROR(__xludf.DUMMYFUNCTION("""COMPUTED_VALUE"""),TRUE)</f>
        <v>1</v>
      </c>
      <c r="BH157" s="763" t="b">
        <f>IFERROR(__xludf.DUMMYFUNCTION("""COMPUTED_VALUE"""),TRUE)</f>
        <v>1</v>
      </c>
      <c r="BI157" s="763" t="b">
        <f>IFERROR(__xludf.DUMMYFUNCTION("""COMPUTED_VALUE"""),TRUE)</f>
        <v>1</v>
      </c>
      <c r="BJ157" s="763" t="b">
        <f>IFERROR(__xludf.DUMMYFUNCTION("""COMPUTED_VALUE"""),FALSE)</f>
        <v>0</v>
      </c>
    </row>
    <row r="158">
      <c r="A158" s="762">
        <f>IFERROR(__xludf.DUMMYFUNCTION("""COMPUTED_VALUE"""),64844.0)</f>
        <v>64844</v>
      </c>
      <c r="B158" s="538">
        <f>IFERROR(__xludf.DUMMYFUNCTION("""COMPUTED_VALUE"""),64844.0)</f>
        <v>64844</v>
      </c>
      <c r="C158" s="538" t="str">
        <f>IFERROR(__xludf.DUMMYFUNCTION("""COMPUTED_VALUE"""),"2025-09-18 13:56:35")</f>
        <v>2025-09-18 13:56:35</v>
      </c>
      <c r="D158" s="538" t="str">
        <f>IFERROR(__xludf.DUMMYFUNCTION("""COMPUTED_VALUE"""),"pending")</f>
        <v>pending</v>
      </c>
      <c r="E158" s="538" t="str">
        <f>IFERROR(__xludf.DUMMYFUNCTION("""COMPUTED_VALUE"""),"greis")</f>
        <v>greis</v>
      </c>
      <c r="F158" s="538" t="str">
        <f>IFERROR(__xludf.DUMMYFUNCTION("""COMPUTED_VALUE"""),"rakipi")</f>
        <v>rakipi</v>
      </c>
      <c r="G158" s="538" t="str">
        <f>IFERROR(__xludf.DUMMYFUNCTION("""COMPUTED_VALUE"""),"rakipigreiss@gmail.com")</f>
        <v>rakipigreiss@gmail.com</v>
      </c>
      <c r="H158" s="538">
        <f>IFERROR(__xludf.DUMMYFUNCTION("""COMPUTED_VALUE"""),3.487001835E9)</f>
        <v>3487001835</v>
      </c>
      <c r="I158" s="538" t="str">
        <f>IFERROR(__xludf.DUMMYFUNCTION("""COMPUTED_VALUE"""),"canegrate")</f>
        <v>canegrate</v>
      </c>
      <c r="J158" s="538" t="str">
        <f>IFERROR(__xludf.DUMMYFUNCTION("""COMPUTED_VALUE"""),"garibaldi 73")</f>
        <v>garibaldi 73</v>
      </c>
      <c r="K158" s="538">
        <f>IFERROR(__xludf.DUMMYFUNCTION("""COMPUTED_VALUE"""),20039.0)</f>
        <v>20039</v>
      </c>
      <c r="L158" s="538" t="str">
        <f>IFERROR(__xludf.DUMMYFUNCTION("""COMPUTED_VALUE"""),"Carte di pagamento")</f>
        <v>Carte di pagamento</v>
      </c>
      <c r="M158" s="763"/>
      <c r="N158" s="763" t="str">
        <f>IFERROR(__xludf.DUMMYFUNCTION("""COMPUTED_VALUE"""),"64844-1758203796")</f>
        <v>64844-1758203796</v>
      </c>
      <c r="O158" s="762">
        <f>IFERROR(__xludf.DUMMYFUNCTION("""COMPUTED_VALUE"""),0.0)</f>
        <v>0</v>
      </c>
      <c r="P158" s="766">
        <f>IFERROR(__xludf.DUMMYFUNCTION("""COMPUTED_VALUE"""),1.3333333333333333)</f>
        <v>1.333333333</v>
      </c>
      <c r="Q158" s="538" t="str">
        <f>IFERROR(__xludf.DUMMYFUNCTION("""COMPUTED_VALUE"""),"EUR")</f>
        <v>EUR</v>
      </c>
      <c r="R158" s="762">
        <f>IFERROR(__xludf.DUMMYFUNCTION("""COMPUTED_VALUE"""),532.0)</f>
        <v>532</v>
      </c>
      <c r="S158" s="538" t="str">
        <f>IFERROR(__xludf.DUMMYFUNCTION("""COMPUTED_VALUE"""),"Workshop Afrofusion con Banana 2025 - Workshop Banana afrofusion")</f>
        <v>Workshop Afrofusion con Banana 2025 - Workshop Banana afrofusion</v>
      </c>
      <c r="T158" s="763"/>
      <c r="U158" s="763"/>
      <c r="V158" s="762">
        <f>IFERROR(__xludf.DUMMYFUNCTION("""COMPUTED_VALUE"""),1.0)</f>
        <v>1</v>
      </c>
      <c r="W158" s="762">
        <f>IFERROR(__xludf.DUMMYFUNCTION("""COMPUTED_VALUE"""),32.0)</f>
        <v>32</v>
      </c>
      <c r="X158" s="762">
        <f>IFERROR(__xludf.DUMMYFUNCTION("""COMPUTED_VALUE"""),32.0)</f>
        <v>32</v>
      </c>
      <c r="Y158" s="763"/>
      <c r="Z158" s="765" t="str">
        <f>IFERROR(__xludf.DUMMYFUNCTION("""COMPUTED_VALUE"""),"https://studio-gem.it/wp-admin/post.php?post=64844&amp;action=edit")</f>
        <v>https://studio-gem.it/wp-admin/post.php?post=64844&amp;action=edit</v>
      </c>
      <c r="AA158" s="763"/>
      <c r="AB158" s="763"/>
      <c r="AC158" s="763"/>
      <c r="AD158" s="763"/>
      <c r="AE158" s="763"/>
      <c r="AF158" s="763"/>
      <c r="AG158" s="763"/>
      <c r="AH158" s="763"/>
      <c r="AI158" s="763"/>
      <c r="AJ158" s="763"/>
      <c r="AK158" s="763"/>
      <c r="AL158" s="763"/>
      <c r="AM158" s="763"/>
      <c r="AN158" s="763"/>
      <c r="AO158" s="763"/>
      <c r="AP158" s="763"/>
      <c r="AQ158" s="763"/>
      <c r="AR158" s="763"/>
      <c r="AS158" s="763"/>
      <c r="AT158" s="763"/>
      <c r="AU158" s="763"/>
      <c r="AV158" s="763"/>
      <c r="AW158" s="763"/>
      <c r="AX158" s="763"/>
      <c r="AY158" s="763"/>
      <c r="AZ158" s="763"/>
      <c r="BA158" s="763"/>
      <c r="BB158" s="763"/>
      <c r="BC158" s="763"/>
      <c r="BD158" s="763"/>
      <c r="BE158" s="763"/>
      <c r="BF158" s="763"/>
      <c r="BG158" s="763" t="b">
        <f>IFERROR(__xludf.DUMMYFUNCTION("""COMPUTED_VALUE"""),TRUE)</f>
        <v>1</v>
      </c>
      <c r="BH158" s="763" t="b">
        <f>IFERROR(__xludf.DUMMYFUNCTION("""COMPUTED_VALUE"""),TRUE)</f>
        <v>1</v>
      </c>
      <c r="BI158" s="763" t="b">
        <f>IFERROR(__xludf.DUMMYFUNCTION("""COMPUTED_VALUE"""),TRUE)</f>
        <v>1</v>
      </c>
      <c r="BJ158" s="763" t="b">
        <f>IFERROR(__xludf.DUMMYFUNCTION("""COMPUTED_VALUE"""),FALSE)</f>
        <v>0</v>
      </c>
    </row>
    <row r="159">
      <c r="A159" s="762">
        <f>IFERROR(__xludf.DUMMYFUNCTION("""COMPUTED_VALUE"""),64845.0)</f>
        <v>64845</v>
      </c>
      <c r="B159" s="538">
        <f>IFERROR(__xludf.DUMMYFUNCTION("""COMPUTED_VALUE"""),64845.0)</f>
        <v>64845</v>
      </c>
      <c r="C159" s="538" t="str">
        <f>IFERROR(__xludf.DUMMYFUNCTION("""COMPUTED_VALUE"""),"2025-09-18 14:03:50")</f>
        <v>2025-09-18 14:03:50</v>
      </c>
      <c r="D159" s="538" t="str">
        <f>IFERROR(__xludf.DUMMYFUNCTION("""COMPUTED_VALUE"""),"completed")</f>
        <v>completed</v>
      </c>
      <c r="E159" s="538" t="str">
        <f>IFERROR(__xludf.DUMMYFUNCTION("""COMPUTED_VALUE"""),"Sara")</f>
        <v>Sara</v>
      </c>
      <c r="F159" s="538" t="str">
        <f>IFERROR(__xludf.DUMMYFUNCTION("""COMPUTED_VALUE"""),"Ardigó")</f>
        <v>Ardigó</v>
      </c>
      <c r="G159" s="538" t="str">
        <f>IFERROR(__xludf.DUMMYFUNCTION("""COMPUTED_VALUE"""),"ardigosara@yahoo.it")</f>
        <v>ardigosara@yahoo.it</v>
      </c>
      <c r="H159" s="538">
        <f>IFERROR(__xludf.DUMMYFUNCTION("""COMPUTED_VALUE"""),3.338296855E9)</f>
        <v>3338296855</v>
      </c>
      <c r="I159" s="538" t="str">
        <f>IFERROR(__xludf.DUMMYFUNCTION("""COMPUTED_VALUE"""),"Persico Dosimo")</f>
        <v>Persico Dosimo</v>
      </c>
      <c r="J159" s="538" t="str">
        <f>IFERROR(__xludf.DUMMYFUNCTION("""COMPUTED_VALUE"""),"Via Falcone e Borsellino 12")</f>
        <v>Via Falcone e Borsellino 12</v>
      </c>
      <c r="K159" s="538">
        <f>IFERROR(__xludf.DUMMYFUNCTION("""COMPUTED_VALUE"""),26043.0)</f>
        <v>26043</v>
      </c>
      <c r="L159" s="538" t="str">
        <f>IFERROR(__xludf.DUMMYFUNCTION("""COMPUTED_VALUE"""),"Apple Pay")</f>
        <v>Apple Pay</v>
      </c>
      <c r="M159" s="763"/>
      <c r="N159" s="763" t="str">
        <f>IFERROR(__xludf.DUMMYFUNCTION("""COMPUTED_VALUE"""),"64845-1758204231")</f>
        <v>64845-1758204231</v>
      </c>
      <c r="O159" s="762">
        <f>IFERROR(__xludf.DUMMYFUNCTION("""COMPUTED_VALUE"""),0.0)</f>
        <v>0</v>
      </c>
      <c r="P159" s="766">
        <f>IFERROR(__xludf.DUMMYFUNCTION("""COMPUTED_VALUE"""),1.3333333333333333)</f>
        <v>1.333333333</v>
      </c>
      <c r="Q159" s="538" t="str">
        <f>IFERROR(__xludf.DUMMYFUNCTION("""COMPUTED_VALUE"""),"EUR")</f>
        <v>EUR</v>
      </c>
      <c r="R159" s="762">
        <f>IFERROR(__xludf.DUMMYFUNCTION("""COMPUTED_VALUE"""),533.0)</f>
        <v>533</v>
      </c>
      <c r="S159" s="538" t="str">
        <f>IFERROR(__xludf.DUMMYFUNCTION("""COMPUTED_VALUE"""),"Workshop Afrofusion con Banana 2025 - Workshop Banana afrofusion")</f>
        <v>Workshop Afrofusion con Banana 2025 - Workshop Banana afrofusion</v>
      </c>
      <c r="T159" s="763"/>
      <c r="U159" s="763"/>
      <c r="V159" s="762">
        <f>IFERROR(__xludf.DUMMYFUNCTION("""COMPUTED_VALUE"""),1.0)</f>
        <v>1</v>
      </c>
      <c r="W159" s="762">
        <f>IFERROR(__xludf.DUMMYFUNCTION("""COMPUTED_VALUE"""),32.0)</f>
        <v>32</v>
      </c>
      <c r="X159" s="762">
        <f>IFERROR(__xludf.DUMMYFUNCTION("""COMPUTED_VALUE"""),32.0)</f>
        <v>32</v>
      </c>
      <c r="Y159" s="763"/>
      <c r="Z159" s="765" t="str">
        <f>IFERROR(__xludf.DUMMYFUNCTION("""COMPUTED_VALUE"""),"https://studio-gem.it/wp-admin/post.php?post=64845&amp;action=edit")</f>
        <v>https://studio-gem.it/wp-admin/post.php?post=64845&amp;action=edit</v>
      </c>
      <c r="AA159" s="763"/>
      <c r="AB159" s="763"/>
      <c r="AC159" s="763"/>
      <c r="AD159" s="763"/>
      <c r="AE159" s="763"/>
      <c r="AF159" s="763"/>
      <c r="AG159" s="763"/>
      <c r="AH159" s="763"/>
      <c r="AI159" s="763"/>
      <c r="AJ159" s="763"/>
      <c r="AK159" s="763"/>
      <c r="AL159" s="763"/>
      <c r="AM159" s="763"/>
      <c r="AN159" s="763"/>
      <c r="AO159" s="763"/>
      <c r="AP159" s="763"/>
      <c r="AQ159" s="763"/>
      <c r="AR159" s="763"/>
      <c r="AS159" s="763"/>
      <c r="AT159" s="763"/>
      <c r="AU159" s="763"/>
      <c r="AV159" s="763"/>
      <c r="AW159" s="763"/>
      <c r="AX159" s="763"/>
      <c r="AY159" s="763"/>
      <c r="AZ159" s="763"/>
      <c r="BA159" s="763"/>
      <c r="BB159" s="763"/>
      <c r="BC159" s="763"/>
      <c r="BD159" s="763"/>
      <c r="BE159" s="763"/>
      <c r="BF159" s="763"/>
      <c r="BG159" s="763" t="b">
        <f>IFERROR(__xludf.DUMMYFUNCTION("""COMPUTED_VALUE"""),TRUE)</f>
        <v>1</v>
      </c>
      <c r="BH159" s="763" t="b">
        <f>IFERROR(__xludf.DUMMYFUNCTION("""COMPUTED_VALUE"""),TRUE)</f>
        <v>1</v>
      </c>
      <c r="BI159" s="763" t="b">
        <f>IFERROR(__xludf.DUMMYFUNCTION("""COMPUTED_VALUE"""),TRUE)</f>
        <v>1</v>
      </c>
      <c r="BJ159" s="763" t="b">
        <f>IFERROR(__xludf.DUMMYFUNCTION("""COMPUTED_VALUE"""),FALSE)</f>
        <v>0</v>
      </c>
    </row>
    <row r="160">
      <c r="A160" s="763">
        <f>IFERROR(__xludf.DUMMYFUNCTION("""COMPUTED_VALUE"""),64847.0)</f>
        <v>64847</v>
      </c>
      <c r="B160" s="763">
        <f>IFERROR(__xludf.DUMMYFUNCTION("""COMPUTED_VALUE"""),64847.0)</f>
        <v>64847</v>
      </c>
      <c r="C160" s="763" t="str">
        <f>IFERROR(__xludf.DUMMYFUNCTION("""COMPUTED_VALUE"""),"2025-09-18 16:38:25")</f>
        <v>2025-09-18 16:38:25</v>
      </c>
      <c r="D160" s="763" t="str">
        <f>IFERROR(__xludf.DUMMYFUNCTION("""COMPUTED_VALUE"""),"completed")</f>
        <v>completed</v>
      </c>
      <c r="E160" s="763" t="str">
        <f>IFERROR(__xludf.DUMMYFUNCTION("""COMPUTED_VALUE"""),"Anna Paola")</f>
        <v>Anna Paola</v>
      </c>
      <c r="F160" s="763" t="str">
        <f>IFERROR(__xludf.DUMMYFUNCTION("""COMPUTED_VALUE"""),"Bernardi")</f>
        <v>Bernardi</v>
      </c>
      <c r="G160" s="763" t="str">
        <f>IFERROR(__xludf.DUMMYFUNCTION("""COMPUTED_VALUE"""),"apibernardi@gmail.com")</f>
        <v>apibernardi@gmail.com</v>
      </c>
      <c r="H160" s="763">
        <f>IFERROR(__xludf.DUMMYFUNCTION("""COMPUTED_VALUE"""),3.476675046E9)</f>
        <v>3476675046</v>
      </c>
      <c r="I160" s="763" t="str">
        <f>IFERROR(__xludf.DUMMYFUNCTION("""COMPUTED_VALUE"""),"Milano")</f>
        <v>Milano</v>
      </c>
      <c r="J160" s="763" t="str">
        <f>IFERROR(__xludf.DUMMYFUNCTION("""COMPUTED_VALUE"""),"Banfi 6")</f>
        <v>Banfi 6</v>
      </c>
      <c r="K160" s="763">
        <f>IFERROR(__xludf.DUMMYFUNCTION("""COMPUTED_VALUE"""),20122.0)</f>
        <v>20122</v>
      </c>
      <c r="L160" s="763" t="str">
        <f>IFERROR(__xludf.DUMMYFUNCTION("""COMPUTED_VALUE"""),"Carte di pagamento")</f>
        <v>Carte di pagamento</v>
      </c>
      <c r="M160" s="763"/>
      <c r="N160" s="763" t="str">
        <f>IFERROR(__xludf.DUMMYFUNCTION("""COMPUTED_VALUE"""),"64847-1758213507")</f>
        <v>64847-1758213507</v>
      </c>
      <c r="O160" s="763">
        <f>IFERROR(__xludf.DUMMYFUNCTION("""COMPUTED_VALUE"""),0.0)</f>
        <v>0</v>
      </c>
      <c r="P160" s="767">
        <f>IFERROR(__xludf.DUMMYFUNCTION("""COMPUTED_VALUE"""),2.0833333333333335)</f>
        <v>2.083333333</v>
      </c>
      <c r="Q160" s="763" t="str">
        <f>IFERROR(__xludf.DUMMYFUNCTION("""COMPUTED_VALUE"""),"EUR")</f>
        <v>EUR</v>
      </c>
      <c r="R160" s="763">
        <f>IFERROR(__xludf.DUMMYFUNCTION("""COMPUTED_VALUE"""),534.0)</f>
        <v>534</v>
      </c>
      <c r="S160" s="763" t="str">
        <f>IFERROR(__xludf.DUMMYFUNCTION("""COMPUTED_VALUE"""),"Gift card - Gift card 50€")</f>
        <v>Gift card - Gift card 50€</v>
      </c>
      <c r="T160" s="763"/>
      <c r="U160" s="763"/>
      <c r="V160" s="763">
        <f>IFERROR(__xludf.DUMMYFUNCTION("""COMPUTED_VALUE"""),1.0)</f>
        <v>1</v>
      </c>
      <c r="W160" s="763">
        <f>IFERROR(__xludf.DUMMYFUNCTION("""COMPUTED_VALUE"""),50.0)</f>
        <v>50</v>
      </c>
      <c r="X160" s="763">
        <f>IFERROR(__xludf.DUMMYFUNCTION("""COMPUTED_VALUE"""),50.0)</f>
        <v>50</v>
      </c>
      <c r="Y160" s="763"/>
      <c r="Z160" s="768" t="str">
        <f>IFERROR(__xludf.DUMMYFUNCTION("""COMPUTED_VALUE"""),"https://studio-gem.it/wp-admin/post.php?post=64847&amp;action=edit")</f>
        <v>https://studio-gem.it/wp-admin/post.php?post=64847&amp;action=edit</v>
      </c>
      <c r="AA160" s="763"/>
      <c r="AB160" s="763"/>
      <c r="AC160" s="763"/>
      <c r="AD160" s="763"/>
      <c r="AE160" s="763"/>
      <c r="AF160" s="763"/>
      <c r="AG160" s="763"/>
      <c r="AH160" s="763"/>
      <c r="AI160" s="763"/>
      <c r="AJ160" s="763"/>
      <c r="AK160" s="763"/>
      <c r="AL160" s="763"/>
      <c r="AM160" s="763"/>
      <c r="AN160" s="763"/>
      <c r="AO160" s="763"/>
      <c r="AP160" s="763"/>
      <c r="AQ160" s="763"/>
      <c r="AR160" s="763"/>
      <c r="AS160" s="763"/>
      <c r="AT160" s="763"/>
      <c r="AU160" s="763"/>
      <c r="AV160" s="763"/>
      <c r="AW160" s="763"/>
      <c r="AX160" s="763"/>
      <c r="AY160" s="763"/>
      <c r="AZ160" s="763"/>
      <c r="BA160" s="763"/>
      <c r="BB160" s="763"/>
      <c r="BC160" s="763"/>
      <c r="BD160" s="763"/>
      <c r="BE160" s="763"/>
      <c r="BF160" s="763"/>
      <c r="BG160" s="763" t="b">
        <f>IFERROR(__xludf.DUMMYFUNCTION("""COMPUTED_VALUE"""),FALSE)</f>
        <v>0</v>
      </c>
      <c r="BH160" s="763" t="b">
        <f>IFERROR(__xludf.DUMMYFUNCTION("""COMPUTED_VALUE"""),TRUE)</f>
        <v>1</v>
      </c>
      <c r="BI160" s="763" t="b">
        <f>IFERROR(__xludf.DUMMYFUNCTION("""COMPUTED_VALUE"""),FALSE)</f>
        <v>0</v>
      </c>
      <c r="BJ160" s="763" t="b">
        <f>IFERROR(__xludf.DUMMYFUNCTION("""COMPUTED_VALUE"""),FALSE)</f>
        <v>0</v>
      </c>
    </row>
    <row r="161">
      <c r="A161" s="763">
        <f>IFERROR(__xludf.DUMMYFUNCTION("""COMPUTED_VALUE"""),64849.0)</f>
        <v>64849</v>
      </c>
      <c r="B161" s="763">
        <f>IFERROR(__xludf.DUMMYFUNCTION("""COMPUTED_VALUE"""),64849.0)</f>
        <v>64849</v>
      </c>
      <c r="C161" s="763" t="str">
        <f>IFERROR(__xludf.DUMMYFUNCTION("""COMPUTED_VALUE"""),"2025-09-18 17:57:00")</f>
        <v>2025-09-18 17:57:00</v>
      </c>
      <c r="D161" s="763" t="str">
        <f>IFERROR(__xludf.DUMMYFUNCTION("""COMPUTED_VALUE"""),"completed")</f>
        <v>completed</v>
      </c>
      <c r="E161" s="763" t="str">
        <f>IFERROR(__xludf.DUMMYFUNCTION("""COMPUTED_VALUE"""),"Viktoria")</f>
        <v>Viktoria</v>
      </c>
      <c r="F161" s="763" t="str">
        <f>IFERROR(__xludf.DUMMYFUNCTION("""COMPUTED_VALUE"""),"Kucher")</f>
        <v>Kucher</v>
      </c>
      <c r="G161" s="763" t="str">
        <f>IFERROR(__xludf.DUMMYFUNCTION("""COMPUTED_VALUE"""),"Vikki9k@gmail.com")</f>
        <v>Vikki9k@gmail.com</v>
      </c>
      <c r="H161" s="763">
        <f>IFERROR(__xludf.DUMMYFUNCTION("""COMPUTED_VALUE"""),3.517400089E9)</f>
        <v>3517400089</v>
      </c>
      <c r="I161" s="763" t="str">
        <f>IFERROR(__xludf.DUMMYFUNCTION("""COMPUTED_VALUE"""),"Milano")</f>
        <v>Milano</v>
      </c>
      <c r="J161" s="763" t="str">
        <f>IFERROR(__xludf.DUMMYFUNCTION("""COMPUTED_VALUE"""),"viale Monza 114")</f>
        <v>viale Monza 114</v>
      </c>
      <c r="K161" s="763">
        <f>IFERROR(__xludf.DUMMYFUNCTION("""COMPUTED_VALUE"""),20128.0)</f>
        <v>20128</v>
      </c>
      <c r="L161" s="763" t="str">
        <f>IFERROR(__xludf.DUMMYFUNCTION("""COMPUTED_VALUE"""),"Apple Pay")</f>
        <v>Apple Pay</v>
      </c>
      <c r="M161" s="763"/>
      <c r="N161" s="763" t="str">
        <f>IFERROR(__xludf.DUMMYFUNCTION("""COMPUTED_VALUE"""),"64849-1758218221")</f>
        <v>64849-1758218221</v>
      </c>
      <c r="O161" s="763">
        <f>IFERROR(__xludf.DUMMYFUNCTION("""COMPUTED_VALUE"""),0.0)</f>
        <v>0</v>
      </c>
      <c r="P161" s="767">
        <f>IFERROR(__xludf.DUMMYFUNCTION("""COMPUTED_VALUE"""),1.3333333333333333)</f>
        <v>1.333333333</v>
      </c>
      <c r="Q161" s="763" t="str">
        <f>IFERROR(__xludf.DUMMYFUNCTION("""COMPUTED_VALUE"""),"EUR")</f>
        <v>EUR</v>
      </c>
      <c r="R161" s="763">
        <f>IFERROR(__xludf.DUMMYFUNCTION("""COMPUTED_VALUE"""),535.0)</f>
        <v>535</v>
      </c>
      <c r="S161" s="763" t="str">
        <f>IFERROR(__xludf.DUMMYFUNCTION("""COMPUTED_VALUE"""),"Workshop Heels con Lulu Kulova - Workshop Lulu Heels")</f>
        <v>Workshop Heels con Lulu Kulova - Workshop Lulu Heels</v>
      </c>
      <c r="T161" s="763"/>
      <c r="U161" s="763"/>
      <c r="V161" s="763">
        <f>IFERROR(__xludf.DUMMYFUNCTION("""COMPUTED_VALUE"""),1.0)</f>
        <v>1</v>
      </c>
      <c r="W161" s="763">
        <f>IFERROR(__xludf.DUMMYFUNCTION("""COMPUTED_VALUE"""),32.0)</f>
        <v>32</v>
      </c>
      <c r="X161" s="763">
        <f>IFERROR(__xludf.DUMMYFUNCTION("""COMPUTED_VALUE"""),32.0)</f>
        <v>32</v>
      </c>
      <c r="Y161" s="763"/>
      <c r="Z161" s="768" t="str">
        <f>IFERROR(__xludf.DUMMYFUNCTION("""COMPUTED_VALUE"""),"https://studio-gem.it/wp-admin/post.php?post=64849&amp;action=edit")</f>
        <v>https://studio-gem.it/wp-admin/post.php?post=64849&amp;action=edit</v>
      </c>
      <c r="AA161" s="763"/>
      <c r="AB161" s="763"/>
      <c r="AC161" s="763"/>
      <c r="AD161" s="763"/>
      <c r="AE161" s="763"/>
      <c r="AF161" s="763"/>
      <c r="AG161" s="763"/>
      <c r="AH161" s="763"/>
      <c r="AI161" s="763"/>
      <c r="AJ161" s="763"/>
      <c r="AK161" s="763"/>
      <c r="AL161" s="763"/>
      <c r="AM161" s="763"/>
      <c r="AN161" s="763"/>
      <c r="AO161" s="763"/>
      <c r="AP161" s="763"/>
      <c r="AQ161" s="763"/>
      <c r="AR161" s="763"/>
      <c r="AS161" s="763"/>
      <c r="AT161" s="763"/>
      <c r="AU161" s="763"/>
      <c r="AV161" s="763"/>
      <c r="AW161" s="763"/>
      <c r="AX161" s="763"/>
      <c r="AY161" s="763"/>
      <c r="AZ161" s="763"/>
      <c r="BA161" s="763"/>
      <c r="BB161" s="763"/>
      <c r="BC161" s="763"/>
      <c r="BD161" s="763"/>
      <c r="BE161" s="763"/>
      <c r="BF161" s="763"/>
      <c r="BG161" s="763" t="b">
        <f>IFERROR(__xludf.DUMMYFUNCTION("""COMPUTED_VALUE"""),TRUE)</f>
        <v>1</v>
      </c>
      <c r="BH161" s="763" t="b">
        <f>IFERROR(__xludf.DUMMYFUNCTION("""COMPUTED_VALUE"""),TRUE)</f>
        <v>1</v>
      </c>
      <c r="BI161" s="763" t="b">
        <f>IFERROR(__xludf.DUMMYFUNCTION("""COMPUTED_VALUE"""),TRUE)</f>
        <v>1</v>
      </c>
      <c r="BJ161" s="763" t="b">
        <f>IFERROR(__xludf.DUMMYFUNCTION("""COMPUTED_VALUE"""),FALSE)</f>
        <v>0</v>
      </c>
    </row>
    <row r="162">
      <c r="A162" s="763">
        <f>IFERROR(__xludf.DUMMYFUNCTION("""COMPUTED_VALUE"""),64852.0)</f>
        <v>64852</v>
      </c>
      <c r="B162" s="763">
        <f>IFERROR(__xludf.DUMMYFUNCTION("""COMPUTED_VALUE"""),64852.0)</f>
        <v>64852</v>
      </c>
      <c r="C162" s="763" t="str">
        <f>IFERROR(__xludf.DUMMYFUNCTION("""COMPUTED_VALUE"""),"2025-09-18 20:28:38")</f>
        <v>2025-09-18 20:28:38</v>
      </c>
      <c r="D162" s="763" t="str">
        <f>IFERROR(__xludf.DUMMYFUNCTION("""COMPUTED_VALUE"""),"completed")</f>
        <v>completed</v>
      </c>
      <c r="E162" s="763" t="str">
        <f>IFERROR(__xludf.DUMMYFUNCTION("""COMPUTED_VALUE"""),"Nicole")</f>
        <v>Nicole</v>
      </c>
      <c r="F162" s="763" t="str">
        <f>IFERROR(__xludf.DUMMYFUNCTION("""COMPUTED_VALUE"""),"De Mari")</f>
        <v>De Mari</v>
      </c>
      <c r="G162" s="763" t="str">
        <f>IFERROR(__xludf.DUMMYFUNCTION("""COMPUTED_VALUE"""),"demnicole22@gmail.com")</f>
        <v>demnicole22@gmail.com</v>
      </c>
      <c r="H162" s="763">
        <f>IFERROR(__xludf.DUMMYFUNCTION("""COMPUTED_VALUE"""),3.51953106E9)</f>
        <v>3519531060</v>
      </c>
      <c r="I162" s="763" t="str">
        <f>IFERROR(__xludf.DUMMYFUNCTION("""COMPUTED_VALUE"""),"Sesto San Giovanni")</f>
        <v>Sesto San Giovanni</v>
      </c>
      <c r="J162" s="763" t="str">
        <f>IFERROR(__xludf.DUMMYFUNCTION("""COMPUTED_VALUE"""),"Via Maffi 112")</f>
        <v>Via Maffi 112</v>
      </c>
      <c r="K162" s="763">
        <f>IFERROR(__xludf.DUMMYFUNCTION("""COMPUTED_VALUE"""),20099.0)</f>
        <v>20099</v>
      </c>
      <c r="L162" s="763" t="str">
        <f>IFERROR(__xludf.DUMMYFUNCTION("""COMPUTED_VALUE"""),"Carte di pagamento")</f>
        <v>Carte di pagamento</v>
      </c>
      <c r="M162" s="763"/>
      <c r="N162" s="763" t="str">
        <f>IFERROR(__xludf.DUMMYFUNCTION("""COMPUTED_VALUE"""),"64852-1758227319")</f>
        <v>64852-1758227319</v>
      </c>
      <c r="O162" s="763">
        <f>IFERROR(__xludf.DUMMYFUNCTION("""COMPUTED_VALUE"""),0.0)</f>
        <v>0</v>
      </c>
      <c r="P162" s="767">
        <f>IFERROR(__xludf.DUMMYFUNCTION("""COMPUTED_VALUE"""),1.3333333333333333)</f>
        <v>1.333333333</v>
      </c>
      <c r="Q162" s="763" t="str">
        <f>IFERROR(__xludf.DUMMYFUNCTION("""COMPUTED_VALUE"""),"EUR")</f>
        <v>EUR</v>
      </c>
      <c r="R162" s="763">
        <f>IFERROR(__xludf.DUMMYFUNCTION("""COMPUTED_VALUE"""),536.0)</f>
        <v>536</v>
      </c>
      <c r="S162" s="763" t="str">
        <f>IFERROR(__xludf.DUMMYFUNCTION("""COMPUTED_VALUE"""),"Workshop Afrofusion con Banana 2025 - Workshop Banana afrofusion")</f>
        <v>Workshop Afrofusion con Banana 2025 - Workshop Banana afrofusion</v>
      </c>
      <c r="T162" s="763"/>
      <c r="U162" s="763"/>
      <c r="V162" s="763">
        <f>IFERROR(__xludf.DUMMYFUNCTION("""COMPUTED_VALUE"""),1.0)</f>
        <v>1</v>
      </c>
      <c r="W162" s="763">
        <f>IFERROR(__xludf.DUMMYFUNCTION("""COMPUTED_VALUE"""),32.0)</f>
        <v>32</v>
      </c>
      <c r="X162" s="763">
        <f>IFERROR(__xludf.DUMMYFUNCTION("""COMPUTED_VALUE"""),32.0)</f>
        <v>32</v>
      </c>
      <c r="Y162" s="763"/>
      <c r="Z162" s="768" t="str">
        <f>IFERROR(__xludf.DUMMYFUNCTION("""COMPUTED_VALUE"""),"https://studio-gem.it/wp-admin/post.php?post=64852&amp;action=edit")</f>
        <v>https://studio-gem.it/wp-admin/post.php?post=64852&amp;action=edit</v>
      </c>
      <c r="AA162" s="763"/>
      <c r="AB162" s="763"/>
      <c r="AC162" s="763"/>
      <c r="AD162" s="763"/>
      <c r="AE162" s="763"/>
      <c r="AF162" s="763"/>
      <c r="AG162" s="763"/>
      <c r="AH162" s="763"/>
      <c r="AI162" s="763"/>
      <c r="AJ162" s="763"/>
      <c r="AK162" s="763"/>
      <c r="AL162" s="763"/>
      <c r="AM162" s="763"/>
      <c r="AN162" s="763"/>
      <c r="AO162" s="763"/>
      <c r="AP162" s="763"/>
      <c r="AQ162" s="763"/>
      <c r="AR162" s="763"/>
      <c r="AS162" s="763"/>
      <c r="AT162" s="763"/>
      <c r="AU162" s="763"/>
      <c r="AV162" s="763"/>
      <c r="AW162" s="763"/>
      <c r="AX162" s="763"/>
      <c r="AY162" s="763"/>
      <c r="AZ162" s="763"/>
      <c r="BA162" s="763"/>
      <c r="BB162" s="763"/>
      <c r="BC162" s="763"/>
      <c r="BD162" s="763"/>
      <c r="BE162" s="763"/>
      <c r="BF162" s="763"/>
      <c r="BG162" s="763" t="b">
        <f>IFERROR(__xludf.DUMMYFUNCTION("""COMPUTED_VALUE"""),TRUE)</f>
        <v>1</v>
      </c>
      <c r="BH162" s="763" t="b">
        <f>IFERROR(__xludf.DUMMYFUNCTION("""COMPUTED_VALUE"""),TRUE)</f>
        <v>1</v>
      </c>
      <c r="BI162" s="763" t="b">
        <f>IFERROR(__xludf.DUMMYFUNCTION("""COMPUTED_VALUE"""),TRUE)</f>
        <v>1</v>
      </c>
      <c r="BJ162" s="763" t="b">
        <f>IFERROR(__xludf.DUMMYFUNCTION("""COMPUTED_VALUE"""),FALSE)</f>
        <v>0</v>
      </c>
    </row>
    <row r="163">
      <c r="A163" s="763">
        <f>IFERROR(__xludf.DUMMYFUNCTION("""COMPUTED_VALUE"""),64854.0)</f>
        <v>64854</v>
      </c>
      <c r="B163" s="763">
        <f>IFERROR(__xludf.DUMMYFUNCTION("""COMPUTED_VALUE"""),64854.0)</f>
        <v>64854</v>
      </c>
      <c r="C163" s="763" t="str">
        <f>IFERROR(__xludf.DUMMYFUNCTION("""COMPUTED_VALUE"""),"2025-09-19 08:14:29")</f>
        <v>2025-09-19 08:14:29</v>
      </c>
      <c r="D163" s="763" t="str">
        <f>IFERROR(__xludf.DUMMYFUNCTION("""COMPUTED_VALUE"""),"pending")</f>
        <v>pending</v>
      </c>
      <c r="E163" s="763" t="str">
        <f>IFERROR(__xludf.DUMMYFUNCTION("""COMPUTED_VALUE"""),"Sarah")</f>
        <v>Sarah</v>
      </c>
      <c r="F163" s="763" t="str">
        <f>IFERROR(__xludf.DUMMYFUNCTION("""COMPUTED_VALUE"""),"El hilali")</f>
        <v>El hilali</v>
      </c>
      <c r="G163" s="763" t="str">
        <f>IFERROR(__xludf.DUMMYFUNCTION("""COMPUTED_VALUE"""),"Sarahhilali1@outlook.com")</f>
        <v>Sarahhilali1@outlook.com</v>
      </c>
      <c r="H163" s="763">
        <f>IFERROR(__xludf.DUMMYFUNCTION("""COMPUTED_VALUE"""),3.1628955998E10)</f>
        <v>31628955998</v>
      </c>
      <c r="I163" s="763" t="str">
        <f>IFERROR(__xludf.DUMMYFUNCTION("""COMPUTED_VALUE"""),"Milano")</f>
        <v>Milano</v>
      </c>
      <c r="J163" s="763">
        <f>IFERROR(__xludf.DUMMYFUNCTION("""COMPUTED_VALUE"""),3.1628955998E10)</f>
        <v>31628955998</v>
      </c>
      <c r="K163" s="763">
        <f>IFERROR(__xludf.DUMMYFUNCTION("""COMPUTED_VALUE"""),20122.0)</f>
        <v>20122</v>
      </c>
      <c r="L163" s="763" t="str">
        <f>IFERROR(__xludf.DUMMYFUNCTION("""COMPUTED_VALUE"""),"Carte di pagamento")</f>
        <v>Carte di pagamento</v>
      </c>
      <c r="M163" s="763"/>
      <c r="N163" s="763" t="str">
        <f>IFERROR(__xludf.DUMMYFUNCTION("""COMPUTED_VALUE"""),"64854-1758269724")</f>
        <v>64854-1758269724</v>
      </c>
      <c r="O163" s="763">
        <f>IFERROR(__xludf.DUMMYFUNCTION("""COMPUTED_VALUE"""),0.0)</f>
        <v>0</v>
      </c>
      <c r="P163" s="767">
        <f>IFERROR(__xludf.DUMMYFUNCTION("""COMPUTED_VALUE"""),1.3333333333333333)</f>
        <v>1.333333333</v>
      </c>
      <c r="Q163" s="763" t="str">
        <f>IFERROR(__xludf.DUMMYFUNCTION("""COMPUTED_VALUE"""),"EUR")</f>
        <v>EUR</v>
      </c>
      <c r="R163" s="763">
        <f>IFERROR(__xludf.DUMMYFUNCTION("""COMPUTED_VALUE"""),538.0)</f>
        <v>538</v>
      </c>
      <c r="S163" s="763" t="str">
        <f>IFERROR(__xludf.DUMMYFUNCTION("""COMPUTED_VALUE"""),"Workshop Heels con Lulu Kulova - Workshop Lulu Heels")</f>
        <v>Workshop Heels con Lulu Kulova - Workshop Lulu Heels</v>
      </c>
      <c r="T163" s="763"/>
      <c r="U163" s="763"/>
      <c r="V163" s="763">
        <f>IFERROR(__xludf.DUMMYFUNCTION("""COMPUTED_VALUE"""),1.0)</f>
        <v>1</v>
      </c>
      <c r="W163" s="763">
        <f>IFERROR(__xludf.DUMMYFUNCTION("""COMPUTED_VALUE"""),32.0)</f>
        <v>32</v>
      </c>
      <c r="X163" s="763">
        <f>IFERROR(__xludf.DUMMYFUNCTION("""COMPUTED_VALUE"""),32.0)</f>
        <v>32</v>
      </c>
      <c r="Y163" s="763"/>
      <c r="Z163" s="768" t="str">
        <f>IFERROR(__xludf.DUMMYFUNCTION("""COMPUTED_VALUE"""),"https://studio-gem.it/wp-admin/post.php?post=64854&amp;action=edit")</f>
        <v>https://studio-gem.it/wp-admin/post.php?post=64854&amp;action=edit</v>
      </c>
      <c r="AA163" s="763"/>
      <c r="AB163" s="763"/>
      <c r="AC163" s="763"/>
      <c r="AD163" s="763"/>
      <c r="AE163" s="763"/>
      <c r="AF163" s="763"/>
      <c r="AG163" s="763"/>
      <c r="AH163" s="763"/>
      <c r="AI163" s="763"/>
      <c r="AJ163" s="763"/>
      <c r="AK163" s="763"/>
      <c r="AL163" s="763"/>
      <c r="AM163" s="763"/>
      <c r="AN163" s="763"/>
      <c r="AO163" s="763"/>
      <c r="AP163" s="763"/>
      <c r="AQ163" s="763"/>
      <c r="AR163" s="763"/>
      <c r="AS163" s="763"/>
      <c r="AT163" s="763"/>
      <c r="AU163" s="763"/>
      <c r="AV163" s="763"/>
      <c r="AW163" s="763"/>
      <c r="AX163" s="763"/>
      <c r="AY163" s="763"/>
      <c r="AZ163" s="763"/>
      <c r="BA163" s="763"/>
      <c r="BB163" s="763"/>
      <c r="BC163" s="763"/>
      <c r="BD163" s="763"/>
      <c r="BE163" s="763"/>
      <c r="BF163" s="763"/>
      <c r="BG163" s="763" t="b">
        <f>IFERROR(__xludf.DUMMYFUNCTION("""COMPUTED_VALUE"""),TRUE)</f>
        <v>1</v>
      </c>
      <c r="BH163" s="763" t="b">
        <f>IFERROR(__xludf.DUMMYFUNCTION("""COMPUTED_VALUE"""),TRUE)</f>
        <v>1</v>
      </c>
      <c r="BI163" s="763" t="b">
        <f>IFERROR(__xludf.DUMMYFUNCTION("""COMPUTED_VALUE"""),TRUE)</f>
        <v>1</v>
      </c>
      <c r="BJ163" s="763" t="b">
        <f>IFERROR(__xludf.DUMMYFUNCTION("""COMPUTED_VALUE"""),FALSE)</f>
        <v>0</v>
      </c>
    </row>
    <row r="164">
      <c r="A164" s="763">
        <f>IFERROR(__xludf.DUMMYFUNCTION("""COMPUTED_VALUE"""),64861.0)</f>
        <v>64861</v>
      </c>
      <c r="B164" s="763">
        <f>IFERROR(__xludf.DUMMYFUNCTION("""COMPUTED_VALUE"""),64861.0)</f>
        <v>64861</v>
      </c>
      <c r="C164" s="763" t="str">
        <f>IFERROR(__xludf.DUMMYFUNCTION("""COMPUTED_VALUE"""),"2025-09-20 16:12:52")</f>
        <v>2025-09-20 16:12:52</v>
      </c>
      <c r="D164" s="763" t="str">
        <f>IFERROR(__xludf.DUMMYFUNCTION("""COMPUTED_VALUE"""),"completed")</f>
        <v>completed</v>
      </c>
      <c r="E164" s="763" t="str">
        <f>IFERROR(__xludf.DUMMYFUNCTION("""COMPUTED_VALUE"""),"Valentina")</f>
        <v>Valentina</v>
      </c>
      <c r="F164" s="763" t="str">
        <f>IFERROR(__xludf.DUMMYFUNCTION("""COMPUTED_VALUE"""),"Mancini")</f>
        <v>Mancini</v>
      </c>
      <c r="G164" s="763" t="str">
        <f>IFERROR(__xludf.DUMMYFUNCTION("""COMPUTED_VALUE"""),"vavamancia@gmail.com")</f>
        <v>vavamancia@gmail.com</v>
      </c>
      <c r="H164" s="763">
        <f>IFERROR(__xludf.DUMMYFUNCTION("""COMPUTED_VALUE"""),3.396673032E9)</f>
        <v>3396673032</v>
      </c>
      <c r="I164" s="763" t="str">
        <f>IFERROR(__xludf.DUMMYFUNCTION("""COMPUTED_VALUE"""),"Milano")</f>
        <v>Milano</v>
      </c>
      <c r="J164" s="763" t="str">
        <f>IFERROR(__xludf.DUMMYFUNCTION("""COMPUTED_VALUE"""),"Via Zurigo 20")</f>
        <v>Via Zurigo 20</v>
      </c>
      <c r="K164" s="763">
        <f>IFERROR(__xludf.DUMMYFUNCTION("""COMPUTED_VALUE"""),20147.0)</f>
        <v>20147</v>
      </c>
      <c r="L164" s="763" t="str">
        <f>IFERROR(__xludf.DUMMYFUNCTION("""COMPUTED_VALUE"""),"Carte di pagamento")</f>
        <v>Carte di pagamento</v>
      </c>
      <c r="M164" s="763"/>
      <c r="N164" s="763" t="str">
        <f>IFERROR(__xludf.DUMMYFUNCTION("""COMPUTED_VALUE"""),"64861-1758384773")</f>
        <v>64861-1758384773</v>
      </c>
      <c r="O164" s="763">
        <f>IFERROR(__xludf.DUMMYFUNCTION("""COMPUTED_VALUE"""),0.0)</f>
        <v>0</v>
      </c>
      <c r="P164" s="767">
        <f>IFERROR(__xludf.DUMMYFUNCTION("""COMPUTED_VALUE"""),1.3333333333333333)</f>
        <v>1.333333333</v>
      </c>
      <c r="Q164" s="763" t="str">
        <f>IFERROR(__xludf.DUMMYFUNCTION("""COMPUTED_VALUE"""),"EUR")</f>
        <v>EUR</v>
      </c>
      <c r="R164" s="763">
        <f>IFERROR(__xludf.DUMMYFUNCTION("""COMPUTED_VALUE"""),539.0)</f>
        <v>539</v>
      </c>
      <c r="S164" s="763" t="str">
        <f>IFERROR(__xludf.DUMMYFUNCTION("""COMPUTED_VALUE"""),"Workshop Heels con Lulu Kulova - Workshop Lulu Heels")</f>
        <v>Workshop Heels con Lulu Kulova - Workshop Lulu Heels</v>
      </c>
      <c r="T164" s="763"/>
      <c r="U164" s="763"/>
      <c r="V164" s="763">
        <f>IFERROR(__xludf.DUMMYFUNCTION("""COMPUTED_VALUE"""),1.0)</f>
        <v>1</v>
      </c>
      <c r="W164" s="763">
        <f>IFERROR(__xludf.DUMMYFUNCTION("""COMPUTED_VALUE"""),32.0)</f>
        <v>32</v>
      </c>
      <c r="X164" s="763">
        <f>IFERROR(__xludf.DUMMYFUNCTION("""COMPUTED_VALUE"""),32.0)</f>
        <v>32</v>
      </c>
      <c r="Y164" s="763"/>
      <c r="Z164" s="768" t="str">
        <f>IFERROR(__xludf.DUMMYFUNCTION("""COMPUTED_VALUE"""),"https://studio-gem.it/wp-admin/post.php?post=64861&amp;action=edit")</f>
        <v>https://studio-gem.it/wp-admin/post.php?post=64861&amp;action=edit</v>
      </c>
      <c r="AA164" s="763"/>
      <c r="AB164" s="763"/>
      <c r="AC164" s="763"/>
      <c r="AD164" s="763"/>
      <c r="AE164" s="763"/>
      <c r="AF164" s="763"/>
      <c r="AG164" s="763"/>
      <c r="AH164" s="763"/>
      <c r="AI164" s="763"/>
      <c r="AJ164" s="763"/>
      <c r="AK164" s="763"/>
      <c r="AL164" s="763"/>
      <c r="AM164" s="763"/>
      <c r="AN164" s="763"/>
      <c r="AO164" s="763"/>
      <c r="AP164" s="763"/>
      <c r="AQ164" s="763"/>
      <c r="AR164" s="763"/>
      <c r="AS164" s="763"/>
      <c r="AT164" s="763"/>
      <c r="AU164" s="763"/>
      <c r="AV164" s="763"/>
      <c r="AW164" s="763"/>
      <c r="AX164" s="763"/>
      <c r="AY164" s="763"/>
      <c r="AZ164" s="763"/>
      <c r="BA164" s="763"/>
      <c r="BB164" s="763"/>
      <c r="BC164" s="763"/>
      <c r="BD164" s="763"/>
      <c r="BE164" s="763"/>
      <c r="BF164" s="763"/>
      <c r="BG164" s="763" t="b">
        <f>IFERROR(__xludf.DUMMYFUNCTION("""COMPUTED_VALUE"""),TRUE)</f>
        <v>1</v>
      </c>
      <c r="BH164" s="763" t="b">
        <f>IFERROR(__xludf.DUMMYFUNCTION("""COMPUTED_VALUE"""),TRUE)</f>
        <v>1</v>
      </c>
      <c r="BI164" s="763" t="b">
        <f>IFERROR(__xludf.DUMMYFUNCTION("""COMPUTED_VALUE"""),TRUE)</f>
        <v>1</v>
      </c>
      <c r="BJ164" s="763" t="b">
        <f>IFERROR(__xludf.DUMMYFUNCTION("""COMPUTED_VALUE"""),FALSE)</f>
        <v>0</v>
      </c>
    </row>
    <row r="165">
      <c r="A165" s="763">
        <f>IFERROR(__xludf.DUMMYFUNCTION("""COMPUTED_VALUE"""),64864.0)</f>
        <v>64864</v>
      </c>
      <c r="B165" s="763">
        <f>IFERROR(__xludf.DUMMYFUNCTION("""COMPUTED_VALUE"""),64864.0)</f>
        <v>64864</v>
      </c>
      <c r="C165" s="763" t="str">
        <f>IFERROR(__xludf.DUMMYFUNCTION("""COMPUTED_VALUE"""),"2025-09-21 09:42:41")</f>
        <v>2025-09-21 09:42:41</v>
      </c>
      <c r="D165" s="763" t="str">
        <f>IFERROR(__xludf.DUMMYFUNCTION("""COMPUTED_VALUE"""),"processing")</f>
        <v>processing</v>
      </c>
      <c r="E165" s="763" t="str">
        <f>IFERROR(__xludf.DUMMYFUNCTION("""COMPUTED_VALUE"""),"Francesca")</f>
        <v>Francesca</v>
      </c>
      <c r="F165" s="763" t="str">
        <f>IFERROR(__xludf.DUMMYFUNCTION("""COMPUTED_VALUE"""),"Parodi")</f>
        <v>Parodi</v>
      </c>
      <c r="G165" s="763" t="str">
        <f>IFERROR(__xludf.DUMMYFUNCTION("""COMPUTED_VALUE"""),"franca.prd@gmail.com")</f>
        <v>franca.prd@gmail.com</v>
      </c>
      <c r="H165" s="763">
        <f>IFERROR(__xludf.DUMMYFUNCTION("""COMPUTED_VALUE"""),3.359981386E9)</f>
        <v>3359981386</v>
      </c>
      <c r="I165" s="763" t="str">
        <f>IFERROR(__xludf.DUMMYFUNCTION("""COMPUTED_VALUE"""),"Milano")</f>
        <v>Milano</v>
      </c>
      <c r="J165" s="763" t="str">
        <f>IFERROR(__xludf.DUMMYFUNCTION("""COMPUTED_VALUE"""),"Via Cusani 10")</f>
        <v>Via Cusani 10</v>
      </c>
      <c r="K165" s="763">
        <f>IFERROR(__xludf.DUMMYFUNCTION("""COMPUTED_VALUE"""),20121.0)</f>
        <v>20121</v>
      </c>
      <c r="L165" s="763" t="str">
        <f>IFERROR(__xludf.DUMMYFUNCTION("""COMPUTED_VALUE"""),"Carte di pagamento")</f>
        <v>Carte di pagamento</v>
      </c>
      <c r="M165" s="763"/>
      <c r="N165" s="763" t="str">
        <f>IFERROR(__xludf.DUMMYFUNCTION("""COMPUTED_VALUE"""),"64864-1758447762")</f>
        <v>64864-1758447762</v>
      </c>
      <c r="O165" s="763">
        <f>IFERROR(__xludf.DUMMYFUNCTION("""COMPUTED_VALUE"""),0.0)</f>
        <v>0</v>
      </c>
      <c r="P165" s="767">
        <f>IFERROR(__xludf.DUMMYFUNCTION("""COMPUTED_VALUE"""),1.3333333333333333)</f>
        <v>1.333333333</v>
      </c>
      <c r="Q165" s="763" t="str">
        <f>IFERROR(__xludf.DUMMYFUNCTION("""COMPUTED_VALUE"""),"EUR")</f>
        <v>EUR</v>
      </c>
      <c r="R165" s="763">
        <f>IFERROR(__xludf.DUMMYFUNCTION("""COMPUTED_VALUE"""),540.0)</f>
        <v>540</v>
      </c>
      <c r="S165" s="763" t="str">
        <f>IFERROR(__xludf.DUMMYFUNCTION("""COMPUTED_VALUE"""),"Workshop Afrofusion con Banana 2025 - Workshop Banana afrofusion")</f>
        <v>Workshop Afrofusion con Banana 2025 - Workshop Banana afrofusion</v>
      </c>
      <c r="T165" s="763"/>
      <c r="U165" s="763"/>
      <c r="V165" s="763">
        <f>IFERROR(__xludf.DUMMYFUNCTION("""COMPUTED_VALUE"""),1.0)</f>
        <v>1</v>
      </c>
      <c r="W165" s="763">
        <f>IFERROR(__xludf.DUMMYFUNCTION("""COMPUTED_VALUE"""),32.0)</f>
        <v>32</v>
      </c>
      <c r="X165" s="763">
        <f>IFERROR(__xludf.DUMMYFUNCTION("""COMPUTED_VALUE"""),32.0)</f>
        <v>32</v>
      </c>
      <c r="Y165" s="763"/>
      <c r="Z165" s="768" t="str">
        <f>IFERROR(__xludf.DUMMYFUNCTION("""COMPUTED_VALUE"""),"https://studio-gem.it/wp-admin/post.php?post=64864&amp;action=edit")</f>
        <v>https://studio-gem.it/wp-admin/post.php?post=64864&amp;action=edit</v>
      </c>
      <c r="AA165" s="763"/>
      <c r="AB165" s="763"/>
      <c r="AC165" s="763"/>
      <c r="AD165" s="763"/>
      <c r="AE165" s="763"/>
      <c r="AF165" s="763"/>
      <c r="AG165" s="763"/>
      <c r="AH165" s="763"/>
      <c r="AI165" s="763"/>
      <c r="AJ165" s="763"/>
      <c r="AK165" s="763"/>
      <c r="AL165" s="763"/>
      <c r="AM165" s="763"/>
      <c r="AN165" s="763"/>
      <c r="AO165" s="763"/>
      <c r="AP165" s="763"/>
      <c r="AQ165" s="763"/>
      <c r="AR165" s="763"/>
      <c r="AS165" s="763"/>
      <c r="AT165" s="763"/>
      <c r="AU165" s="763"/>
      <c r="AV165" s="763"/>
      <c r="AW165" s="763"/>
      <c r="AX165" s="763"/>
      <c r="AY165" s="763"/>
      <c r="AZ165" s="763"/>
      <c r="BA165" s="763"/>
      <c r="BB165" s="763"/>
      <c r="BC165" s="763"/>
      <c r="BD165" s="763"/>
      <c r="BE165" s="763"/>
      <c r="BF165" s="763"/>
      <c r="BG165" s="763" t="b">
        <f>IFERROR(__xludf.DUMMYFUNCTION("""COMPUTED_VALUE"""),TRUE)</f>
        <v>1</v>
      </c>
      <c r="BH165" s="763" t="b">
        <f>IFERROR(__xludf.DUMMYFUNCTION("""COMPUTED_VALUE"""),TRUE)</f>
        <v>1</v>
      </c>
      <c r="BI165" s="763" t="b">
        <f>IFERROR(__xludf.DUMMYFUNCTION("""COMPUTED_VALUE"""),TRUE)</f>
        <v>1</v>
      </c>
      <c r="BJ165" s="763" t="b">
        <f>IFERROR(__xludf.DUMMYFUNCTION("""COMPUTED_VALUE"""),FALSE)</f>
        <v>0</v>
      </c>
    </row>
    <row r="166">
      <c r="A166" s="763">
        <f>IFERROR(__xludf.DUMMYFUNCTION("""COMPUTED_VALUE"""),64865.0)</f>
        <v>64865</v>
      </c>
      <c r="B166" s="763">
        <f>IFERROR(__xludf.DUMMYFUNCTION("""COMPUTED_VALUE"""),64865.0)</f>
        <v>64865</v>
      </c>
      <c r="C166" s="763" t="str">
        <f>IFERROR(__xludf.DUMMYFUNCTION("""COMPUTED_VALUE"""),"2025-09-21 15:57:17")</f>
        <v>2025-09-21 15:57:17</v>
      </c>
      <c r="D166" s="763" t="str">
        <f>IFERROR(__xludf.DUMMYFUNCTION("""COMPUTED_VALUE"""),"completed")</f>
        <v>completed</v>
      </c>
      <c r="E166" s="763" t="str">
        <f>IFERROR(__xludf.DUMMYFUNCTION("""COMPUTED_VALUE"""),"Maria")</f>
        <v>Maria</v>
      </c>
      <c r="F166" s="763" t="str">
        <f>IFERROR(__xludf.DUMMYFUNCTION("""COMPUTED_VALUE"""),"Barros paredes")</f>
        <v>Barros paredes</v>
      </c>
      <c r="G166" s="763" t="str">
        <f>IFERROR(__xludf.DUMMYFUNCTION("""COMPUTED_VALUE"""),"maria.barros@hotmail.it")</f>
        <v>maria.barros@hotmail.it</v>
      </c>
      <c r="H166" s="763">
        <f>IFERROR(__xludf.DUMMYFUNCTION("""COMPUTED_VALUE"""),3.483241417E9)</f>
        <v>3483241417</v>
      </c>
      <c r="I166" s="763" t="str">
        <f>IFERROR(__xludf.DUMMYFUNCTION("""COMPUTED_VALUE"""),"Milano")</f>
        <v>Milano</v>
      </c>
      <c r="J166" s="763" t="str">
        <f>IFERROR(__xludf.DUMMYFUNCTION("""COMPUTED_VALUE"""),"Sant’eufemia 19")</f>
        <v>Sant’eufemia 19</v>
      </c>
      <c r="K166" s="763">
        <f>IFERROR(__xludf.DUMMYFUNCTION("""COMPUTED_VALUE"""),20122.0)</f>
        <v>20122</v>
      </c>
      <c r="L166" s="763" t="str">
        <f>IFERROR(__xludf.DUMMYFUNCTION("""COMPUTED_VALUE"""),"Apple Pay")</f>
        <v>Apple Pay</v>
      </c>
      <c r="M166" s="763"/>
      <c r="N166" s="763" t="str">
        <f>IFERROR(__xludf.DUMMYFUNCTION("""COMPUTED_VALUE"""),"64865-1758470239")</f>
        <v>64865-1758470239</v>
      </c>
      <c r="O166" s="763">
        <f>IFERROR(__xludf.DUMMYFUNCTION("""COMPUTED_VALUE"""),0.0)</f>
        <v>0</v>
      </c>
      <c r="P166" s="767">
        <f>IFERROR(__xludf.DUMMYFUNCTION("""COMPUTED_VALUE"""),1.3333333333333333)</f>
        <v>1.333333333</v>
      </c>
      <c r="Q166" s="763" t="str">
        <f>IFERROR(__xludf.DUMMYFUNCTION("""COMPUTED_VALUE"""),"EUR")</f>
        <v>EUR</v>
      </c>
      <c r="R166" s="763">
        <f>IFERROR(__xludf.DUMMYFUNCTION("""COMPUTED_VALUE"""),541.0)</f>
        <v>541</v>
      </c>
      <c r="S166" s="763" t="str">
        <f>IFERROR(__xludf.DUMMYFUNCTION("""COMPUTED_VALUE"""),"Workshop Heels con Lulu Kulova - Workshop Lulu Heels")</f>
        <v>Workshop Heels con Lulu Kulova - Workshop Lulu Heels</v>
      </c>
      <c r="T166" s="763"/>
      <c r="U166" s="763"/>
      <c r="V166" s="763">
        <f>IFERROR(__xludf.DUMMYFUNCTION("""COMPUTED_VALUE"""),1.0)</f>
        <v>1</v>
      </c>
      <c r="W166" s="763">
        <f>IFERROR(__xludf.DUMMYFUNCTION("""COMPUTED_VALUE"""),32.0)</f>
        <v>32</v>
      </c>
      <c r="X166" s="763">
        <f>IFERROR(__xludf.DUMMYFUNCTION("""COMPUTED_VALUE"""),32.0)</f>
        <v>32</v>
      </c>
      <c r="Y166" s="763"/>
      <c r="Z166" s="768" t="str">
        <f>IFERROR(__xludf.DUMMYFUNCTION("""COMPUTED_VALUE"""),"https://studio-gem.it/wp-admin/post.php?post=64865&amp;action=edit")</f>
        <v>https://studio-gem.it/wp-admin/post.php?post=64865&amp;action=edit</v>
      </c>
      <c r="AA166" s="763"/>
      <c r="AB166" s="763"/>
      <c r="AC166" s="763"/>
      <c r="AD166" s="763"/>
      <c r="AE166" s="763"/>
      <c r="AF166" s="763"/>
      <c r="AG166" s="763"/>
      <c r="AH166" s="763"/>
      <c r="AI166" s="763"/>
      <c r="AJ166" s="763"/>
      <c r="AK166" s="763"/>
      <c r="AL166" s="763"/>
      <c r="AM166" s="763"/>
      <c r="AN166" s="763"/>
      <c r="AO166" s="763"/>
      <c r="AP166" s="763"/>
      <c r="AQ166" s="763"/>
      <c r="AR166" s="763"/>
      <c r="AS166" s="763"/>
      <c r="AT166" s="763"/>
      <c r="AU166" s="763"/>
      <c r="AV166" s="763"/>
      <c r="AW166" s="763"/>
      <c r="AX166" s="763"/>
      <c r="AY166" s="763"/>
      <c r="AZ166" s="763"/>
      <c r="BA166" s="763"/>
      <c r="BB166" s="763"/>
      <c r="BC166" s="763"/>
      <c r="BD166" s="763"/>
      <c r="BE166" s="763"/>
      <c r="BF166" s="763"/>
      <c r="BG166" s="763" t="b">
        <f>IFERROR(__xludf.DUMMYFUNCTION("""COMPUTED_VALUE"""),TRUE)</f>
        <v>1</v>
      </c>
      <c r="BH166" s="763" t="b">
        <f>IFERROR(__xludf.DUMMYFUNCTION("""COMPUTED_VALUE"""),TRUE)</f>
        <v>1</v>
      </c>
      <c r="BI166" s="763" t="b">
        <f>IFERROR(__xludf.DUMMYFUNCTION("""COMPUTED_VALUE"""),TRUE)</f>
        <v>1</v>
      </c>
      <c r="BJ166" s="763" t="b">
        <f>IFERROR(__xludf.DUMMYFUNCTION("""COMPUTED_VALUE"""),FALSE)</f>
        <v>0</v>
      </c>
    </row>
    <row r="167">
      <c r="A167" s="763">
        <f>IFERROR(__xludf.DUMMYFUNCTION("""COMPUTED_VALUE"""),64867.0)</f>
        <v>64867</v>
      </c>
      <c r="B167" s="763">
        <f>IFERROR(__xludf.DUMMYFUNCTION("""COMPUTED_VALUE"""),64867.0)</f>
        <v>64867</v>
      </c>
      <c r="C167" s="763" t="str">
        <f>IFERROR(__xludf.DUMMYFUNCTION("""COMPUTED_VALUE"""),"2025-09-21 17:16:32")</f>
        <v>2025-09-21 17:16:32</v>
      </c>
      <c r="D167" s="763" t="str">
        <f>IFERROR(__xludf.DUMMYFUNCTION("""COMPUTED_VALUE"""),"completed")</f>
        <v>completed</v>
      </c>
      <c r="E167" s="763" t="str">
        <f>IFERROR(__xludf.DUMMYFUNCTION("""COMPUTED_VALUE"""),"Ja")</f>
        <v>Ja</v>
      </c>
      <c r="F167" s="763" t="str">
        <f>IFERROR(__xludf.DUMMYFUNCTION("""COMPUTED_VALUE"""),"Broniš")</f>
        <v>Broniš</v>
      </c>
      <c r="G167" s="763" t="str">
        <f>IFERROR(__xludf.DUMMYFUNCTION("""COMPUTED_VALUE"""),"bronisjakub23@gmail.com")</f>
        <v>bronisjakub23@gmail.com</v>
      </c>
      <c r="H167" s="763" t="str">
        <f>IFERROR(__xludf.DUMMYFUNCTION("""COMPUTED_VALUE"""),"+421911204453")</f>
        <v>+421911204453</v>
      </c>
      <c r="I167" s="763" t="str">
        <f>IFERROR(__xludf.DUMMYFUNCTION("""COMPUTED_VALUE"""),"Garbagnate Milanesse")</f>
        <v>Garbagnate Milanesse</v>
      </c>
      <c r="J167" s="763" t="str">
        <f>IFERROR(__xludf.DUMMYFUNCTION("""COMPUTED_VALUE"""),"V. Leopardi 8")</f>
        <v>V. Leopardi 8</v>
      </c>
      <c r="K167" s="763">
        <f>IFERROR(__xludf.DUMMYFUNCTION("""COMPUTED_VALUE"""),20024.0)</f>
        <v>20024</v>
      </c>
      <c r="L167" s="763" t="str">
        <f>IFERROR(__xludf.DUMMYFUNCTION("""COMPUTED_VALUE"""),"Carte di pagamento")</f>
        <v>Carte di pagamento</v>
      </c>
      <c r="M167" s="763"/>
      <c r="N167" s="763" t="str">
        <f>IFERROR(__xludf.DUMMYFUNCTION("""COMPUTED_VALUE"""),"64867-1758474993")</f>
        <v>64867-1758474993</v>
      </c>
      <c r="O167" s="763">
        <f>IFERROR(__xludf.DUMMYFUNCTION("""COMPUTED_VALUE"""),0.0)</f>
        <v>0</v>
      </c>
      <c r="P167" s="767">
        <f>IFERROR(__xludf.DUMMYFUNCTION("""COMPUTED_VALUE"""),1.3333333333333333)</f>
        <v>1.333333333</v>
      </c>
      <c r="Q167" s="763" t="str">
        <f>IFERROR(__xludf.DUMMYFUNCTION("""COMPUTED_VALUE"""),"EUR")</f>
        <v>EUR</v>
      </c>
      <c r="R167" s="763">
        <f>IFERROR(__xludf.DUMMYFUNCTION("""COMPUTED_VALUE"""),542.0)</f>
        <v>542</v>
      </c>
      <c r="S167" s="763" t="str">
        <f>IFERROR(__xludf.DUMMYFUNCTION("""COMPUTED_VALUE"""),"Workshop Afrofusion con Banana 2025 - Workshop Banana afrofusion")</f>
        <v>Workshop Afrofusion con Banana 2025 - Workshop Banana afrofusion</v>
      </c>
      <c r="T167" s="763"/>
      <c r="U167" s="763"/>
      <c r="V167" s="763">
        <f>IFERROR(__xludf.DUMMYFUNCTION("""COMPUTED_VALUE"""),1.0)</f>
        <v>1</v>
      </c>
      <c r="W167" s="763">
        <f>IFERROR(__xludf.DUMMYFUNCTION("""COMPUTED_VALUE"""),32.0)</f>
        <v>32</v>
      </c>
      <c r="X167" s="763">
        <f>IFERROR(__xludf.DUMMYFUNCTION("""COMPUTED_VALUE"""),32.0)</f>
        <v>32</v>
      </c>
      <c r="Y167" s="763"/>
      <c r="Z167" s="768" t="str">
        <f>IFERROR(__xludf.DUMMYFUNCTION("""COMPUTED_VALUE"""),"https://studio-gem.it/wp-admin/post.php?post=64867&amp;action=edit")</f>
        <v>https://studio-gem.it/wp-admin/post.php?post=64867&amp;action=edit</v>
      </c>
      <c r="AA167" s="763"/>
      <c r="AB167" s="763"/>
      <c r="AC167" s="763"/>
      <c r="AD167" s="763"/>
      <c r="AE167" s="763"/>
      <c r="AF167" s="763"/>
      <c r="AG167" s="763"/>
      <c r="AH167" s="763"/>
      <c r="AI167" s="763"/>
      <c r="AJ167" s="763"/>
      <c r="AK167" s="763"/>
      <c r="AL167" s="763"/>
      <c r="AM167" s="763"/>
      <c r="AN167" s="763"/>
      <c r="AO167" s="763"/>
      <c r="AP167" s="763"/>
      <c r="AQ167" s="763"/>
      <c r="AR167" s="763"/>
      <c r="AS167" s="763"/>
      <c r="AT167" s="763"/>
      <c r="AU167" s="763"/>
      <c r="AV167" s="763"/>
      <c r="AW167" s="763"/>
      <c r="AX167" s="763"/>
      <c r="AY167" s="763"/>
      <c r="AZ167" s="763"/>
      <c r="BA167" s="763"/>
      <c r="BB167" s="763"/>
      <c r="BC167" s="763"/>
      <c r="BD167" s="763"/>
      <c r="BE167" s="763"/>
      <c r="BF167" s="763"/>
      <c r="BG167" s="763" t="b">
        <f>IFERROR(__xludf.DUMMYFUNCTION("""COMPUTED_VALUE"""),TRUE)</f>
        <v>1</v>
      </c>
      <c r="BH167" s="763" t="b">
        <f>IFERROR(__xludf.DUMMYFUNCTION("""COMPUTED_VALUE"""),TRUE)</f>
        <v>1</v>
      </c>
      <c r="BI167" s="763" t="b">
        <f>IFERROR(__xludf.DUMMYFUNCTION("""COMPUTED_VALUE"""),TRUE)</f>
        <v>1</v>
      </c>
      <c r="BJ167" s="763" t="b">
        <f>IFERROR(__xludf.DUMMYFUNCTION("""COMPUTED_VALUE"""),FALSE)</f>
        <v>0</v>
      </c>
    </row>
    <row r="168">
      <c r="A168" s="763">
        <f>IFERROR(__xludf.DUMMYFUNCTION("""COMPUTED_VALUE"""),64869.0)</f>
        <v>64869</v>
      </c>
      <c r="B168" s="763">
        <f>IFERROR(__xludf.DUMMYFUNCTION("""COMPUTED_VALUE"""),64869.0)</f>
        <v>64869</v>
      </c>
      <c r="C168" s="763" t="str">
        <f>IFERROR(__xludf.DUMMYFUNCTION("""COMPUTED_VALUE"""),"2025-09-22 06:16:12")</f>
        <v>2025-09-22 06:16:12</v>
      </c>
      <c r="D168" s="763" t="str">
        <f>IFERROR(__xludf.DUMMYFUNCTION("""COMPUTED_VALUE"""),"completed")</f>
        <v>completed</v>
      </c>
      <c r="E168" s="763" t="str">
        <f>IFERROR(__xludf.DUMMYFUNCTION("""COMPUTED_VALUE"""),"Stela")</f>
        <v>Stela</v>
      </c>
      <c r="F168" s="763" t="str">
        <f>IFERROR(__xludf.DUMMYFUNCTION("""COMPUTED_VALUE"""),"Golovco")</f>
        <v>Golovco</v>
      </c>
      <c r="G168" s="763" t="str">
        <f>IFERROR(__xludf.DUMMYFUNCTION("""COMPUTED_VALUE"""),"stelutik@gmail.com")</f>
        <v>stelutik@gmail.com</v>
      </c>
      <c r="H168" s="763">
        <f>IFERROR(__xludf.DUMMYFUNCTION("""COMPUTED_VALUE"""),3.456945763E9)</f>
        <v>3456945763</v>
      </c>
      <c r="I168" s="763" t="str">
        <f>IFERROR(__xludf.DUMMYFUNCTION("""COMPUTED_VALUE"""),"San Giovanni Lupatoto")</f>
        <v>San Giovanni Lupatoto</v>
      </c>
      <c r="J168" s="763" t="str">
        <f>IFERROR(__xludf.DUMMYFUNCTION("""COMPUTED_VALUE"""),"Via Camacici 61")</f>
        <v>Via Camacici 61</v>
      </c>
      <c r="K168" s="763">
        <f>IFERROR(__xludf.DUMMYFUNCTION("""COMPUTED_VALUE"""),37057.0)</f>
        <v>37057</v>
      </c>
      <c r="L168" s="763" t="str">
        <f>IFERROR(__xludf.DUMMYFUNCTION("""COMPUTED_VALUE"""),"Apple Pay")</f>
        <v>Apple Pay</v>
      </c>
      <c r="M168" s="763"/>
      <c r="N168" s="763" t="str">
        <f>IFERROR(__xludf.DUMMYFUNCTION("""COMPUTED_VALUE"""),"64869-1758521943")</f>
        <v>64869-1758521943</v>
      </c>
      <c r="O168" s="763">
        <f>IFERROR(__xludf.DUMMYFUNCTION("""COMPUTED_VALUE"""),0.0)</f>
        <v>0</v>
      </c>
      <c r="P168" s="767">
        <f>IFERROR(__xludf.DUMMYFUNCTION("""COMPUTED_VALUE"""),1.3333333333333333)</f>
        <v>1.333333333</v>
      </c>
      <c r="Q168" s="763" t="str">
        <f>IFERROR(__xludf.DUMMYFUNCTION("""COMPUTED_VALUE"""),"EUR")</f>
        <v>EUR</v>
      </c>
      <c r="R168" s="763">
        <f>IFERROR(__xludf.DUMMYFUNCTION("""COMPUTED_VALUE"""),544.0)</f>
        <v>544</v>
      </c>
      <c r="S168" s="763" t="str">
        <f>IFERROR(__xludf.DUMMYFUNCTION("""COMPUTED_VALUE"""),"Workshop Heels con Lulu Kulova - Workshop Lulu Heels")</f>
        <v>Workshop Heels con Lulu Kulova - Workshop Lulu Heels</v>
      </c>
      <c r="T168" s="763"/>
      <c r="U168" s="763"/>
      <c r="V168" s="763">
        <f>IFERROR(__xludf.DUMMYFUNCTION("""COMPUTED_VALUE"""),1.0)</f>
        <v>1</v>
      </c>
      <c r="W168" s="763">
        <f>IFERROR(__xludf.DUMMYFUNCTION("""COMPUTED_VALUE"""),32.0)</f>
        <v>32</v>
      </c>
      <c r="X168" s="763">
        <f>IFERROR(__xludf.DUMMYFUNCTION("""COMPUTED_VALUE"""),32.0)</f>
        <v>32</v>
      </c>
      <c r="Y168" s="763"/>
      <c r="Z168" s="768" t="str">
        <f>IFERROR(__xludf.DUMMYFUNCTION("""COMPUTED_VALUE"""),"https://studio-gem.it/wp-admin/post.php?post=64869&amp;action=edit")</f>
        <v>https://studio-gem.it/wp-admin/post.php?post=64869&amp;action=edit</v>
      </c>
      <c r="AA168" s="763"/>
      <c r="AB168" s="763"/>
      <c r="AC168" s="763"/>
      <c r="AD168" s="763"/>
      <c r="AE168" s="763"/>
      <c r="AF168" s="763"/>
      <c r="AG168" s="763"/>
      <c r="AH168" s="763"/>
      <c r="AI168" s="763"/>
      <c r="AJ168" s="763"/>
      <c r="AK168" s="763"/>
      <c r="AL168" s="763"/>
      <c r="AM168" s="763"/>
      <c r="AN168" s="763"/>
      <c r="AO168" s="763"/>
      <c r="AP168" s="763"/>
      <c r="AQ168" s="763"/>
      <c r="AR168" s="763"/>
      <c r="AS168" s="763"/>
      <c r="AT168" s="763"/>
      <c r="AU168" s="763"/>
      <c r="AV168" s="763"/>
      <c r="AW168" s="763"/>
      <c r="AX168" s="763"/>
      <c r="AY168" s="763"/>
      <c r="AZ168" s="763"/>
      <c r="BA168" s="763"/>
      <c r="BB168" s="763"/>
      <c r="BC168" s="763"/>
      <c r="BD168" s="763"/>
      <c r="BE168" s="763"/>
      <c r="BF168" s="763"/>
      <c r="BG168" s="763" t="b">
        <f>IFERROR(__xludf.DUMMYFUNCTION("""COMPUTED_VALUE"""),TRUE)</f>
        <v>1</v>
      </c>
      <c r="BH168" s="763" t="b">
        <f>IFERROR(__xludf.DUMMYFUNCTION("""COMPUTED_VALUE"""),TRUE)</f>
        <v>1</v>
      </c>
      <c r="BI168" s="763" t="b">
        <f>IFERROR(__xludf.DUMMYFUNCTION("""COMPUTED_VALUE"""),TRUE)</f>
        <v>1</v>
      </c>
      <c r="BJ168" s="763" t="b">
        <f>IFERROR(__xludf.DUMMYFUNCTION("""COMPUTED_VALUE"""),FALSE)</f>
        <v>0</v>
      </c>
    </row>
    <row r="169">
      <c r="A169" s="763">
        <f>IFERROR(__xludf.DUMMYFUNCTION("""COMPUTED_VALUE"""),64871.0)</f>
        <v>64871</v>
      </c>
      <c r="B169" s="763">
        <f>IFERROR(__xludf.DUMMYFUNCTION("""COMPUTED_VALUE"""),64871.0)</f>
        <v>64871</v>
      </c>
      <c r="C169" s="763" t="str">
        <f>IFERROR(__xludf.DUMMYFUNCTION("""COMPUTED_VALUE"""),"2025-09-22 07:43:35")</f>
        <v>2025-09-22 07:43:35</v>
      </c>
      <c r="D169" s="763" t="str">
        <f>IFERROR(__xludf.DUMMYFUNCTION("""COMPUTED_VALUE"""),"completed")</f>
        <v>completed</v>
      </c>
      <c r="E169" s="763" t="str">
        <f>IFERROR(__xludf.DUMMYFUNCTION("""COMPUTED_VALUE"""),"Padmini")</f>
        <v>Padmini</v>
      </c>
      <c r="F169" s="763" t="str">
        <f>IFERROR(__xludf.DUMMYFUNCTION("""COMPUTED_VALUE"""),"Maraschi")</f>
        <v>Maraschi</v>
      </c>
      <c r="G169" s="763" t="str">
        <f>IFERROR(__xludf.DUMMYFUNCTION("""COMPUTED_VALUE"""),"paddy.mx9@gmail.com")</f>
        <v>paddy.mx9@gmail.com</v>
      </c>
      <c r="H169" s="763">
        <f>IFERROR(__xludf.DUMMYFUNCTION("""COMPUTED_VALUE"""),3.807877823E9)</f>
        <v>3807877823</v>
      </c>
      <c r="I169" s="763" t="str">
        <f>IFERROR(__xludf.DUMMYFUNCTION("""COMPUTED_VALUE"""),"San Giuliano Milanese")</f>
        <v>San Giuliano Milanese</v>
      </c>
      <c r="J169" s="763" t="str">
        <f>IFERROR(__xludf.DUMMYFUNCTION("""COMPUTED_VALUE"""),"Via Fratelli Ruffini 14")</f>
        <v>Via Fratelli Ruffini 14</v>
      </c>
      <c r="K169" s="763">
        <f>IFERROR(__xludf.DUMMYFUNCTION("""COMPUTED_VALUE"""),20098.0)</f>
        <v>20098</v>
      </c>
      <c r="L169" s="763" t="str">
        <f>IFERROR(__xludf.DUMMYFUNCTION("""COMPUTED_VALUE"""),"Apple Pay")</f>
        <v>Apple Pay</v>
      </c>
      <c r="M169" s="763" t="str">
        <f>IFERROR(__xludf.DUMMYFUNCTION("""COMPUTED_VALUE"""),"alexandra02ws")</f>
        <v>alexandra02ws</v>
      </c>
      <c r="N169" s="763" t="str">
        <f>IFERROR(__xludf.DUMMYFUNCTION("""COMPUTED_VALUE"""),"64871-1758527017")</f>
        <v>64871-1758527017</v>
      </c>
      <c r="O169" s="763">
        <f>IFERROR(__xludf.DUMMYFUNCTION("""COMPUTED_VALUE"""),0.0)</f>
        <v>0</v>
      </c>
      <c r="P169" s="767">
        <f>IFERROR(__xludf.DUMMYFUNCTION("""COMPUTED_VALUE"""),1.0416666666666667)</f>
        <v>1.041666667</v>
      </c>
      <c r="Q169" s="763" t="str">
        <f>IFERROR(__xludf.DUMMYFUNCTION("""COMPUTED_VALUE"""),"EUR")</f>
        <v>EUR</v>
      </c>
      <c r="R169" s="763">
        <f>IFERROR(__xludf.DUMMYFUNCTION("""COMPUTED_VALUE"""),545.0)</f>
        <v>545</v>
      </c>
      <c r="S169" s="763" t="str">
        <f>IFERROR(__xludf.DUMMYFUNCTION("""COMPUTED_VALUE"""),"Workshop Indian Fusion con Leli - Workshop Leli Indian Fusion")</f>
        <v>Workshop Indian Fusion con Leli - Workshop Leli Indian Fusion</v>
      </c>
      <c r="T169" s="763"/>
      <c r="U169" s="763"/>
      <c r="V169" s="763">
        <f>IFERROR(__xludf.DUMMYFUNCTION("""COMPUTED_VALUE"""),1.0)</f>
        <v>1</v>
      </c>
      <c r="W169" s="763">
        <f>IFERROR(__xludf.DUMMYFUNCTION("""COMPUTED_VALUE"""),25.0)</f>
        <v>25</v>
      </c>
      <c r="X169" s="763">
        <f>IFERROR(__xludf.DUMMYFUNCTION("""COMPUTED_VALUE"""),25.0)</f>
        <v>25</v>
      </c>
      <c r="Y169" s="763"/>
      <c r="Z169" s="768" t="str">
        <f>IFERROR(__xludf.DUMMYFUNCTION("""COMPUTED_VALUE"""),"https://studio-gem.it/wp-admin/post.php?post=64871&amp;action=edit")</f>
        <v>https://studio-gem.it/wp-admin/post.php?post=64871&amp;action=edit</v>
      </c>
      <c r="AA169" s="763"/>
      <c r="AB169" s="763"/>
      <c r="AC169" s="763"/>
      <c r="AD169" s="763"/>
      <c r="AE169" s="763"/>
      <c r="AF169" s="763"/>
      <c r="AG169" s="763"/>
      <c r="AH169" s="763"/>
      <c r="AI169" s="763"/>
      <c r="AJ169" s="763"/>
      <c r="AK169" s="763"/>
      <c r="AL169" s="763"/>
      <c r="AM169" s="763"/>
      <c r="AN169" s="763"/>
      <c r="AO169" s="763"/>
      <c r="AP169" s="763"/>
      <c r="AQ169" s="763"/>
      <c r="AR169" s="763"/>
      <c r="AS169" s="763"/>
      <c r="AT169" s="763"/>
      <c r="AU169" s="763"/>
      <c r="AV169" s="763"/>
      <c r="AW169" s="763"/>
      <c r="AX169" s="763"/>
      <c r="AY169" s="763"/>
      <c r="AZ169" s="763"/>
      <c r="BA169" s="763"/>
      <c r="BB169" s="763"/>
      <c r="BC169" s="763"/>
      <c r="BD169" s="763"/>
      <c r="BE169" s="763"/>
      <c r="BF169" s="763"/>
      <c r="BG169" s="763" t="b">
        <f>IFERROR(__xludf.DUMMYFUNCTION("""COMPUTED_VALUE"""),TRUE)</f>
        <v>1</v>
      </c>
      <c r="BH169" s="763" t="b">
        <f>IFERROR(__xludf.DUMMYFUNCTION("""COMPUTED_VALUE"""),TRUE)</f>
        <v>1</v>
      </c>
      <c r="BI169" s="763" t="b">
        <f>IFERROR(__xludf.DUMMYFUNCTION("""COMPUTED_VALUE"""),TRUE)</f>
        <v>1</v>
      </c>
      <c r="BJ169" s="763" t="b">
        <f>IFERROR(__xludf.DUMMYFUNCTION("""COMPUTED_VALUE"""),FALSE)</f>
        <v>0</v>
      </c>
    </row>
    <row r="170">
      <c r="A170" s="763">
        <f>IFERROR(__xludf.DUMMYFUNCTION("""COMPUTED_VALUE"""),64873.0)</f>
        <v>64873</v>
      </c>
      <c r="B170" s="763">
        <f>IFERROR(__xludf.DUMMYFUNCTION("""COMPUTED_VALUE"""),64873.0)</f>
        <v>64873</v>
      </c>
      <c r="C170" s="763" t="str">
        <f>IFERROR(__xludf.DUMMYFUNCTION("""COMPUTED_VALUE"""),"2025-09-22 07:46:26")</f>
        <v>2025-09-22 07:46:26</v>
      </c>
      <c r="D170" s="763" t="str">
        <f>IFERROR(__xludf.DUMMYFUNCTION("""COMPUTED_VALUE"""),"completed")</f>
        <v>completed</v>
      </c>
      <c r="E170" s="763" t="str">
        <f>IFERROR(__xludf.DUMMYFUNCTION("""COMPUTED_VALUE"""),"Padmini")</f>
        <v>Padmini</v>
      </c>
      <c r="F170" s="763" t="str">
        <f>IFERROR(__xludf.DUMMYFUNCTION("""COMPUTED_VALUE"""),"Maraschi")</f>
        <v>Maraschi</v>
      </c>
      <c r="G170" s="763" t="str">
        <f>IFERROR(__xludf.DUMMYFUNCTION("""COMPUTED_VALUE"""),"paddy.mx9@gmail.com")</f>
        <v>paddy.mx9@gmail.com</v>
      </c>
      <c r="H170" s="763">
        <f>IFERROR(__xludf.DUMMYFUNCTION("""COMPUTED_VALUE"""),3.807877823E9)</f>
        <v>3807877823</v>
      </c>
      <c r="I170" s="763" t="str">
        <f>IFERROR(__xludf.DUMMYFUNCTION("""COMPUTED_VALUE"""),"San Giuliano Milanese")</f>
        <v>San Giuliano Milanese</v>
      </c>
      <c r="J170" s="763" t="str">
        <f>IFERROR(__xludf.DUMMYFUNCTION("""COMPUTED_VALUE"""),"Via Fratelli Ruffini 14")</f>
        <v>Via Fratelli Ruffini 14</v>
      </c>
      <c r="K170" s="763">
        <f>IFERROR(__xludf.DUMMYFUNCTION("""COMPUTED_VALUE"""),20098.0)</f>
        <v>20098</v>
      </c>
      <c r="L170" s="763" t="str">
        <f>IFERROR(__xludf.DUMMYFUNCTION("""COMPUTED_VALUE"""),"Apple Pay")</f>
        <v>Apple Pay</v>
      </c>
      <c r="M170" s="763" t="str">
        <f>IFERROR(__xludf.DUMMYFUNCTION("""COMPUTED_VALUE"""),"estefany02ws")</f>
        <v>estefany02ws</v>
      </c>
      <c r="N170" s="763" t="str">
        <f>IFERROR(__xludf.DUMMYFUNCTION("""COMPUTED_VALUE"""),"64873-1758527314")</f>
        <v>64873-1758527314</v>
      </c>
      <c r="O170" s="763">
        <f>IFERROR(__xludf.DUMMYFUNCTION("""COMPUTED_VALUE"""),0.0)</f>
        <v>0</v>
      </c>
      <c r="P170" s="767">
        <f>IFERROR(__xludf.DUMMYFUNCTION("""COMPUTED_VALUE"""),1.25)</f>
        <v>1.25</v>
      </c>
      <c r="Q170" s="763" t="str">
        <f>IFERROR(__xludf.DUMMYFUNCTION("""COMPUTED_VALUE"""),"EUR")</f>
        <v>EUR</v>
      </c>
      <c r="R170" s="763">
        <f>IFERROR(__xludf.DUMMYFUNCTION("""COMPUTED_VALUE"""),549.0)</f>
        <v>549</v>
      </c>
      <c r="S170" s="763" t="str">
        <f>IFERROR(__xludf.DUMMYFUNCTION("""COMPUTED_VALUE"""),"Workshop Heels con Deborah Esposito - Workshop Heels con Deborah Esposito")</f>
        <v>Workshop Heels con Deborah Esposito - Workshop Heels con Deborah Esposito</v>
      </c>
      <c r="T170" s="763"/>
      <c r="U170" s="763"/>
      <c r="V170" s="763">
        <f>IFERROR(__xludf.DUMMYFUNCTION("""COMPUTED_VALUE"""),1.0)</f>
        <v>1</v>
      </c>
      <c r="W170" s="763">
        <f>IFERROR(__xludf.DUMMYFUNCTION("""COMPUTED_VALUE"""),30.0)</f>
        <v>30</v>
      </c>
      <c r="X170" s="763">
        <f>IFERROR(__xludf.DUMMYFUNCTION("""COMPUTED_VALUE"""),30.0)</f>
        <v>30</v>
      </c>
      <c r="Y170" s="763"/>
      <c r="Z170" s="768" t="str">
        <f>IFERROR(__xludf.DUMMYFUNCTION("""COMPUTED_VALUE"""),"https://studio-gem.it/wp-admin/post.php?post=64873&amp;action=edit")</f>
        <v>https://studio-gem.it/wp-admin/post.php?post=64873&amp;action=edit</v>
      </c>
      <c r="AA170" s="763"/>
      <c r="AB170" s="763"/>
      <c r="AC170" s="763"/>
      <c r="AD170" s="763"/>
      <c r="AE170" s="763"/>
      <c r="AF170" s="763"/>
      <c r="AG170" s="763"/>
      <c r="AH170" s="763"/>
      <c r="AI170" s="763"/>
      <c r="AJ170" s="763"/>
      <c r="AK170" s="763"/>
      <c r="AL170" s="763"/>
      <c r="AM170" s="763"/>
      <c r="AN170" s="763"/>
      <c r="AO170" s="763"/>
      <c r="AP170" s="763"/>
      <c r="AQ170" s="763"/>
      <c r="AR170" s="763"/>
      <c r="AS170" s="763"/>
      <c r="AT170" s="763"/>
      <c r="AU170" s="763"/>
      <c r="AV170" s="763"/>
      <c r="AW170" s="763"/>
      <c r="AX170" s="763"/>
      <c r="AY170" s="763"/>
      <c r="AZ170" s="763"/>
      <c r="BA170" s="763"/>
      <c r="BB170" s="763"/>
      <c r="BC170" s="763"/>
      <c r="BD170" s="763"/>
      <c r="BE170" s="763"/>
      <c r="BF170" s="763"/>
      <c r="BG170" s="763" t="b">
        <f>IFERROR(__xludf.DUMMYFUNCTION("""COMPUTED_VALUE"""),TRUE)</f>
        <v>1</v>
      </c>
      <c r="BH170" s="763" t="b">
        <f>IFERROR(__xludf.DUMMYFUNCTION("""COMPUTED_VALUE"""),TRUE)</f>
        <v>1</v>
      </c>
      <c r="BI170" s="763" t="b">
        <f>IFERROR(__xludf.DUMMYFUNCTION("""COMPUTED_VALUE"""),TRUE)</f>
        <v>1</v>
      </c>
      <c r="BJ170" s="763" t="b">
        <f>IFERROR(__xludf.DUMMYFUNCTION("""COMPUTED_VALUE"""),FALSE)</f>
        <v>0</v>
      </c>
    </row>
    <row r="171">
      <c r="A171" s="763">
        <f>IFERROR(__xludf.DUMMYFUNCTION("""COMPUTED_VALUE"""),64877.0)</f>
        <v>64877</v>
      </c>
      <c r="B171" s="763">
        <f>IFERROR(__xludf.DUMMYFUNCTION("""COMPUTED_VALUE"""),64877.0)</f>
        <v>64877</v>
      </c>
      <c r="C171" s="763" t="str">
        <f>IFERROR(__xludf.DUMMYFUNCTION("""COMPUTED_VALUE"""),"2025-09-22 11:15:46")</f>
        <v>2025-09-22 11:15:46</v>
      </c>
      <c r="D171" s="763" t="str">
        <f>IFERROR(__xludf.DUMMYFUNCTION("""COMPUTED_VALUE"""),"completed")</f>
        <v>completed</v>
      </c>
      <c r="E171" s="763" t="str">
        <f>IFERROR(__xludf.DUMMYFUNCTION("""COMPUTED_VALUE"""),"Cecilia")</f>
        <v>Cecilia</v>
      </c>
      <c r="F171" s="763" t="str">
        <f>IFERROR(__xludf.DUMMYFUNCTION("""COMPUTED_VALUE"""),"Mantovani")</f>
        <v>Mantovani</v>
      </c>
      <c r="G171" s="763" t="str">
        <f>IFERROR(__xludf.DUMMYFUNCTION("""COMPUTED_VALUE"""),"ceciolia1302@gmail.com")</f>
        <v>ceciolia1302@gmail.com</v>
      </c>
      <c r="H171" s="763">
        <f>IFERROR(__xludf.DUMMYFUNCTION("""COMPUTED_VALUE"""),3.283191398E9)</f>
        <v>3283191398</v>
      </c>
      <c r="I171" s="763" t="str">
        <f>IFERROR(__xludf.DUMMYFUNCTION("""COMPUTED_VALUE"""),"Verona")</f>
        <v>Verona</v>
      </c>
      <c r="J171" s="763" t="str">
        <f>IFERROR(__xludf.DUMMYFUNCTION("""COMPUTED_VALUE"""),"Via Giorgio Vasari 12")</f>
        <v>Via Giorgio Vasari 12</v>
      </c>
      <c r="K171" s="763">
        <f>IFERROR(__xludf.DUMMYFUNCTION("""COMPUTED_VALUE"""),37138.0)</f>
        <v>37138</v>
      </c>
      <c r="L171" s="763" t="str">
        <f>IFERROR(__xludf.DUMMYFUNCTION("""COMPUTED_VALUE"""),"Apple Pay")</f>
        <v>Apple Pay</v>
      </c>
      <c r="M171" s="763"/>
      <c r="N171" s="763" t="str">
        <f>IFERROR(__xludf.DUMMYFUNCTION("""COMPUTED_VALUE"""),"64877-1758539747")</f>
        <v>64877-1758539747</v>
      </c>
      <c r="O171" s="763">
        <f>IFERROR(__xludf.DUMMYFUNCTION("""COMPUTED_VALUE"""),0.0)</f>
        <v>0</v>
      </c>
      <c r="P171" s="767">
        <f>IFERROR(__xludf.DUMMYFUNCTION("""COMPUTED_VALUE"""),1.875)</f>
        <v>1.875</v>
      </c>
      <c r="Q171" s="763" t="str">
        <f>IFERROR(__xludf.DUMMYFUNCTION("""COMPUTED_VALUE"""),"EUR")</f>
        <v>EUR</v>
      </c>
      <c r="R171" s="763">
        <f>IFERROR(__xludf.DUMMYFUNCTION("""COMPUTED_VALUE"""),551.0)</f>
        <v>551</v>
      </c>
      <c r="S171" s="763" t="str">
        <f>IFERROR(__xludf.DUMMYFUNCTION("""COMPUTED_VALUE"""),"Workshop Commercial con Timor Steffens - Workshop Commercial con Timor Steffens")</f>
        <v>Workshop Commercial con Timor Steffens - Workshop Commercial con Timor Steffens</v>
      </c>
      <c r="T171" s="763"/>
      <c r="U171" s="763"/>
      <c r="V171" s="763">
        <f>IFERROR(__xludf.DUMMYFUNCTION("""COMPUTED_VALUE"""),1.0)</f>
        <v>1</v>
      </c>
      <c r="W171" s="763">
        <f>IFERROR(__xludf.DUMMYFUNCTION("""COMPUTED_VALUE"""),45.0)</f>
        <v>45</v>
      </c>
      <c r="X171" s="763">
        <f>IFERROR(__xludf.DUMMYFUNCTION("""COMPUTED_VALUE"""),45.0)</f>
        <v>45</v>
      </c>
      <c r="Y171" s="763"/>
      <c r="Z171" s="768" t="str">
        <f>IFERROR(__xludf.DUMMYFUNCTION("""COMPUTED_VALUE"""),"https://studio-gem.it/wp-admin/post.php?post=64877&amp;action=edit")</f>
        <v>https://studio-gem.it/wp-admin/post.php?post=64877&amp;action=edit</v>
      </c>
      <c r="AA171" s="763"/>
      <c r="AB171" s="763"/>
      <c r="AC171" s="763"/>
      <c r="AD171" s="763"/>
      <c r="AE171" s="763"/>
      <c r="AF171" s="763"/>
      <c r="AG171" s="763"/>
      <c r="AH171" s="763"/>
      <c r="AI171" s="763"/>
      <c r="AJ171" s="763"/>
      <c r="AK171" s="763"/>
      <c r="AL171" s="763"/>
      <c r="AM171" s="763"/>
      <c r="AN171" s="763"/>
      <c r="AO171" s="763"/>
      <c r="AP171" s="763"/>
      <c r="AQ171" s="763"/>
      <c r="AR171" s="763"/>
      <c r="AS171" s="763"/>
      <c r="AT171" s="763"/>
      <c r="AU171" s="763"/>
      <c r="AV171" s="763"/>
      <c r="AW171" s="763"/>
      <c r="AX171" s="763"/>
      <c r="AY171" s="763"/>
      <c r="AZ171" s="763"/>
      <c r="BA171" s="763"/>
      <c r="BB171" s="763"/>
      <c r="BC171" s="763"/>
      <c r="BD171" s="763"/>
      <c r="BE171" s="763"/>
      <c r="BF171" s="763"/>
      <c r="BG171" s="763" t="b">
        <f>IFERROR(__xludf.DUMMYFUNCTION("""COMPUTED_VALUE"""),TRUE)</f>
        <v>1</v>
      </c>
      <c r="BH171" s="763" t="b">
        <f>IFERROR(__xludf.DUMMYFUNCTION("""COMPUTED_VALUE"""),TRUE)</f>
        <v>1</v>
      </c>
      <c r="BI171" s="763" t="b">
        <f>IFERROR(__xludf.DUMMYFUNCTION("""COMPUTED_VALUE"""),TRUE)</f>
        <v>1</v>
      </c>
      <c r="BJ171" s="763" t="b">
        <f>IFERROR(__xludf.DUMMYFUNCTION("""COMPUTED_VALUE"""),FALSE)</f>
        <v>0</v>
      </c>
    </row>
    <row r="172">
      <c r="A172" s="763">
        <f>IFERROR(__xludf.DUMMYFUNCTION("""COMPUTED_VALUE"""),64886.0)</f>
        <v>64886</v>
      </c>
      <c r="B172" s="763">
        <f>IFERROR(__xludf.DUMMYFUNCTION("""COMPUTED_VALUE"""),64886.0)</f>
        <v>64886</v>
      </c>
      <c r="C172" s="763" t="str">
        <f>IFERROR(__xludf.DUMMYFUNCTION("""COMPUTED_VALUE"""),"2025-09-23 09:47:54")</f>
        <v>2025-09-23 09:47:54</v>
      </c>
      <c r="D172" s="763" t="str">
        <f>IFERROR(__xludf.DUMMYFUNCTION("""COMPUTED_VALUE"""),"completed")</f>
        <v>completed</v>
      </c>
      <c r="E172" s="763" t="str">
        <f>IFERROR(__xludf.DUMMYFUNCTION("""COMPUTED_VALUE"""),"Alessandro")</f>
        <v>Alessandro</v>
      </c>
      <c r="F172" s="763" t="str">
        <f>IFERROR(__xludf.DUMMYFUNCTION("""COMPUTED_VALUE"""),"Trocino Mascarello")</f>
        <v>Trocino Mascarello</v>
      </c>
      <c r="G172" s="763" t="str">
        <f>IFERROR(__xludf.DUMMYFUNCTION("""COMPUTED_VALUE"""),"trocino.a@copernicosim.com")</f>
        <v>trocino.a@copernicosim.com</v>
      </c>
      <c r="H172" s="763">
        <f>IFERROR(__xludf.DUMMYFUNCTION("""COMPUTED_VALUE"""),3.472417585E9)</f>
        <v>3472417585</v>
      </c>
      <c r="I172" s="763" t="str">
        <f>IFERROR(__xludf.DUMMYFUNCTION("""COMPUTED_VALUE"""),"VERRES")</f>
        <v>VERRES</v>
      </c>
      <c r="J172" s="763" t="str">
        <f>IFERROR(__xludf.DUMMYFUNCTION("""COMPUTED_VALUE"""),"via stazione 2")</f>
        <v>via stazione 2</v>
      </c>
      <c r="K172" s="763">
        <f>IFERROR(__xludf.DUMMYFUNCTION("""COMPUTED_VALUE"""),11029.0)</f>
        <v>11029</v>
      </c>
      <c r="L172" s="763" t="str">
        <f>IFERROR(__xludf.DUMMYFUNCTION("""COMPUTED_VALUE"""),"Satispay")</f>
        <v>Satispay</v>
      </c>
      <c r="M172" s="763"/>
      <c r="N172" s="763" t="str">
        <f>IFERROR(__xludf.DUMMYFUNCTION("""COMPUTED_VALUE"""),"019975f8-fa0d-7747-a597-6b2d8ddb5fd5")</f>
        <v>019975f8-fa0d-7747-a597-6b2d8ddb5fd5</v>
      </c>
      <c r="O172" s="763">
        <f>IFERROR(__xludf.DUMMYFUNCTION("""COMPUTED_VALUE"""),0.0)</f>
        <v>0</v>
      </c>
      <c r="P172" s="767">
        <f>IFERROR(__xludf.DUMMYFUNCTION("""COMPUTED_VALUE"""),1.125)</f>
        <v>1.125</v>
      </c>
      <c r="Q172" s="763" t="str">
        <f>IFERROR(__xludf.DUMMYFUNCTION("""COMPUTED_VALUE"""),"EUR")</f>
        <v>EUR</v>
      </c>
      <c r="R172" s="763">
        <f>IFERROR(__xludf.DUMMYFUNCTION("""COMPUTED_VALUE"""),552.0)</f>
        <v>552</v>
      </c>
      <c r="S172" s="763" t="str">
        <f>IFERROR(__xludf.DUMMYFUNCTION("""COMPUTED_VALUE"""),"Workshop Salsa Musicality con Nicolò De Angelis - Workshop Nicolò Salsa Musicality")</f>
        <v>Workshop Salsa Musicality con Nicolò De Angelis - Workshop Nicolò Salsa Musicality</v>
      </c>
      <c r="T172" s="763"/>
      <c r="U172" s="763"/>
      <c r="V172" s="763">
        <f>IFERROR(__xludf.DUMMYFUNCTION("""COMPUTED_VALUE"""),1.0)</f>
        <v>1</v>
      </c>
      <c r="W172" s="763">
        <f>IFERROR(__xludf.DUMMYFUNCTION("""COMPUTED_VALUE"""),27.0)</f>
        <v>27</v>
      </c>
      <c r="X172" s="763">
        <f>IFERROR(__xludf.DUMMYFUNCTION("""COMPUTED_VALUE"""),27.0)</f>
        <v>27</v>
      </c>
      <c r="Y172" s="763"/>
      <c r="Z172" s="768" t="str">
        <f>IFERROR(__xludf.DUMMYFUNCTION("""COMPUTED_VALUE"""),"https://studio-gem.it/wp-admin/post.php?post=64886&amp;action=edit")</f>
        <v>https://studio-gem.it/wp-admin/post.php?post=64886&amp;action=edit</v>
      </c>
      <c r="AA172" s="763"/>
      <c r="AB172" s="763"/>
      <c r="AC172" s="763"/>
      <c r="AD172" s="763"/>
      <c r="AE172" s="763"/>
      <c r="AF172" s="763"/>
      <c r="AG172" s="763"/>
      <c r="AH172" s="763"/>
      <c r="AI172" s="763"/>
      <c r="AJ172" s="763"/>
      <c r="AK172" s="763"/>
      <c r="AL172" s="763"/>
      <c r="AM172" s="763"/>
      <c r="AN172" s="763"/>
      <c r="AO172" s="763"/>
      <c r="AP172" s="763"/>
      <c r="AQ172" s="763"/>
      <c r="AR172" s="763"/>
      <c r="AS172" s="763"/>
      <c r="AT172" s="763"/>
      <c r="AU172" s="763"/>
      <c r="AV172" s="763"/>
      <c r="AW172" s="763"/>
      <c r="AX172" s="763"/>
      <c r="AY172" s="763"/>
      <c r="AZ172" s="763"/>
      <c r="BA172" s="763"/>
      <c r="BB172" s="763"/>
      <c r="BC172" s="763"/>
      <c r="BD172" s="763"/>
      <c r="BE172" s="763"/>
      <c r="BF172" s="763"/>
      <c r="BG172" s="763" t="b">
        <f>IFERROR(__xludf.DUMMYFUNCTION("""COMPUTED_VALUE"""),TRUE)</f>
        <v>1</v>
      </c>
      <c r="BH172" s="763" t="b">
        <f>IFERROR(__xludf.DUMMYFUNCTION("""COMPUTED_VALUE"""),TRUE)</f>
        <v>1</v>
      </c>
      <c r="BI172" s="763" t="b">
        <f>IFERROR(__xludf.DUMMYFUNCTION("""COMPUTED_VALUE"""),TRUE)</f>
        <v>1</v>
      </c>
      <c r="BJ172" s="763" t="b">
        <f>IFERROR(__xludf.DUMMYFUNCTION("""COMPUTED_VALUE"""),FALSE)</f>
        <v>0</v>
      </c>
    </row>
    <row r="173">
      <c r="A173" s="763">
        <f>IFERROR(__xludf.DUMMYFUNCTION("""COMPUTED_VALUE"""),64888.0)</f>
        <v>64888</v>
      </c>
      <c r="B173" s="763">
        <f>IFERROR(__xludf.DUMMYFUNCTION("""COMPUTED_VALUE"""),64888.0)</f>
        <v>64888</v>
      </c>
      <c r="C173" s="763" t="str">
        <f>IFERROR(__xludf.DUMMYFUNCTION("""COMPUTED_VALUE"""),"2025-09-23 11:35:42")</f>
        <v>2025-09-23 11:35:42</v>
      </c>
      <c r="D173" s="763" t="str">
        <f>IFERROR(__xludf.DUMMYFUNCTION("""COMPUTED_VALUE"""),"completed")</f>
        <v>completed</v>
      </c>
      <c r="E173" s="763" t="str">
        <f>IFERROR(__xludf.DUMMYFUNCTION("""COMPUTED_VALUE"""),"Gabriele")</f>
        <v>Gabriele</v>
      </c>
      <c r="F173" s="763" t="str">
        <f>IFERROR(__xludf.DUMMYFUNCTION("""COMPUTED_VALUE"""),"Telesca")</f>
        <v>Telesca</v>
      </c>
      <c r="G173" s="763" t="str">
        <f>IFERROR(__xludf.DUMMYFUNCTION("""COMPUTED_VALUE"""),"gabriele.telesca@gmail.com")</f>
        <v>gabriele.telesca@gmail.com</v>
      </c>
      <c r="H173" s="763">
        <f>IFERROR(__xludf.DUMMYFUNCTION("""COMPUTED_VALUE"""),3.428030625E9)</f>
        <v>3428030625</v>
      </c>
      <c r="I173" s="763" t="str">
        <f>IFERROR(__xludf.DUMMYFUNCTION("""COMPUTED_VALUE"""),"Torino")</f>
        <v>Torino</v>
      </c>
      <c r="J173" s="763" t="str">
        <f>IFERROR(__xludf.DUMMYFUNCTION("""COMPUTED_VALUE"""),"Via Saluggia 9")</f>
        <v>Via Saluggia 9</v>
      </c>
      <c r="K173" s="763">
        <f>IFERROR(__xludf.DUMMYFUNCTION("""COMPUTED_VALUE"""),10143.0)</f>
        <v>10143</v>
      </c>
      <c r="L173" s="763" t="str">
        <f>IFERROR(__xludf.DUMMYFUNCTION("""COMPUTED_VALUE"""),"Apple Pay")</f>
        <v>Apple Pay</v>
      </c>
      <c r="M173" s="763"/>
      <c r="N173" s="763" t="str">
        <f>IFERROR(__xludf.DUMMYFUNCTION("""COMPUTED_VALUE"""),"64888-1758627343")</f>
        <v>64888-1758627343</v>
      </c>
      <c r="O173" s="763">
        <f>IFERROR(__xludf.DUMMYFUNCTION("""COMPUTED_VALUE"""),0.0)</f>
        <v>0</v>
      </c>
      <c r="P173" s="767">
        <f>IFERROR(__xludf.DUMMYFUNCTION("""COMPUTED_VALUE"""),1.125)</f>
        <v>1.125</v>
      </c>
      <c r="Q173" s="763" t="str">
        <f>IFERROR(__xludf.DUMMYFUNCTION("""COMPUTED_VALUE"""),"EUR")</f>
        <v>EUR</v>
      </c>
      <c r="R173" s="763">
        <f>IFERROR(__xludf.DUMMYFUNCTION("""COMPUTED_VALUE"""),553.0)</f>
        <v>553</v>
      </c>
      <c r="S173" s="763" t="str">
        <f>IFERROR(__xludf.DUMMYFUNCTION("""COMPUTED_VALUE"""),"Workshop Salsa Musicality con Nicolò De Angelis - Workshop Nicolò Salsa Musicality")</f>
        <v>Workshop Salsa Musicality con Nicolò De Angelis - Workshop Nicolò Salsa Musicality</v>
      </c>
      <c r="T173" s="763"/>
      <c r="U173" s="763"/>
      <c r="V173" s="763">
        <f>IFERROR(__xludf.DUMMYFUNCTION("""COMPUTED_VALUE"""),1.0)</f>
        <v>1</v>
      </c>
      <c r="W173" s="763">
        <f>IFERROR(__xludf.DUMMYFUNCTION("""COMPUTED_VALUE"""),27.0)</f>
        <v>27</v>
      </c>
      <c r="X173" s="763">
        <f>IFERROR(__xludf.DUMMYFUNCTION("""COMPUTED_VALUE"""),27.0)</f>
        <v>27</v>
      </c>
      <c r="Y173" s="763"/>
      <c r="Z173" s="768" t="str">
        <f>IFERROR(__xludf.DUMMYFUNCTION("""COMPUTED_VALUE"""),"https://studio-gem.it/wp-admin/post.php?post=64888&amp;action=edit")</f>
        <v>https://studio-gem.it/wp-admin/post.php?post=64888&amp;action=edit</v>
      </c>
      <c r="AA173" s="763"/>
      <c r="AB173" s="763"/>
      <c r="AC173" s="763"/>
      <c r="AD173" s="763"/>
      <c r="AE173" s="763"/>
      <c r="AF173" s="763"/>
      <c r="AG173" s="763"/>
      <c r="AH173" s="763"/>
      <c r="AI173" s="763"/>
      <c r="AJ173" s="763"/>
      <c r="AK173" s="763"/>
      <c r="AL173" s="763"/>
      <c r="AM173" s="763"/>
      <c r="AN173" s="763"/>
      <c r="AO173" s="763"/>
      <c r="AP173" s="763"/>
      <c r="AQ173" s="763"/>
      <c r="AR173" s="763"/>
      <c r="AS173" s="763"/>
      <c r="AT173" s="763"/>
      <c r="AU173" s="763"/>
      <c r="AV173" s="763"/>
      <c r="AW173" s="763"/>
      <c r="AX173" s="763"/>
      <c r="AY173" s="763"/>
      <c r="AZ173" s="763"/>
      <c r="BA173" s="763"/>
      <c r="BB173" s="763"/>
      <c r="BC173" s="763"/>
      <c r="BD173" s="763"/>
      <c r="BE173" s="763"/>
      <c r="BF173" s="763"/>
      <c r="BG173" s="763" t="b">
        <f>IFERROR(__xludf.DUMMYFUNCTION("""COMPUTED_VALUE"""),TRUE)</f>
        <v>1</v>
      </c>
      <c r="BH173" s="763" t="b">
        <f>IFERROR(__xludf.DUMMYFUNCTION("""COMPUTED_VALUE"""),TRUE)</f>
        <v>1</v>
      </c>
      <c r="BI173" s="763" t="b">
        <f>IFERROR(__xludf.DUMMYFUNCTION("""COMPUTED_VALUE"""),TRUE)</f>
        <v>1</v>
      </c>
      <c r="BJ173" s="763" t="b">
        <f>IFERROR(__xludf.DUMMYFUNCTION("""COMPUTED_VALUE"""),FALSE)</f>
        <v>0</v>
      </c>
    </row>
    <row r="174">
      <c r="A174" s="763">
        <f>IFERROR(__xludf.DUMMYFUNCTION("""COMPUTED_VALUE"""),64894.0)</f>
        <v>64894</v>
      </c>
      <c r="B174" s="763">
        <f>IFERROR(__xludf.DUMMYFUNCTION("""COMPUTED_VALUE"""),64894.0)</f>
        <v>64894</v>
      </c>
      <c r="C174" s="763" t="str">
        <f>IFERROR(__xludf.DUMMYFUNCTION("""COMPUTED_VALUE"""),"2025-09-23 18:35:19")</f>
        <v>2025-09-23 18:35:19</v>
      </c>
      <c r="D174" s="763" t="str">
        <f>IFERROR(__xludf.DUMMYFUNCTION("""COMPUTED_VALUE"""),"completed")</f>
        <v>completed</v>
      </c>
      <c r="E174" s="763" t="str">
        <f>IFERROR(__xludf.DUMMYFUNCTION("""COMPUTED_VALUE"""),"Sofia")</f>
        <v>Sofia</v>
      </c>
      <c r="F174" s="763" t="str">
        <f>IFERROR(__xludf.DUMMYFUNCTION("""COMPUTED_VALUE"""),"Rocca")</f>
        <v>Rocca</v>
      </c>
      <c r="G174" s="763" t="str">
        <f>IFERROR(__xludf.DUMMYFUNCTION("""COMPUTED_VALUE"""),"sofiarocca00@gmail.com")</f>
        <v>sofiarocca00@gmail.com</v>
      </c>
      <c r="H174" s="763">
        <f>IFERROR(__xludf.DUMMYFUNCTION("""COMPUTED_VALUE"""),3.487641018E9)</f>
        <v>3487641018</v>
      </c>
      <c r="I174" s="763" t="str">
        <f>IFERROR(__xludf.DUMMYFUNCTION("""COMPUTED_VALUE"""),"Piacenza")</f>
        <v>Piacenza</v>
      </c>
      <c r="J174" s="763" t="str">
        <f>IFERROR(__xludf.DUMMYFUNCTION("""COMPUTED_VALUE"""),"Via San Giuseppe 17")</f>
        <v>Via San Giuseppe 17</v>
      </c>
      <c r="K174" s="763">
        <f>IFERROR(__xludf.DUMMYFUNCTION("""COMPUTED_VALUE"""),29122.0)</f>
        <v>29122</v>
      </c>
      <c r="L174" s="763" t="str">
        <f>IFERROR(__xludf.DUMMYFUNCTION("""COMPUTED_VALUE"""),"Apple Pay")</f>
        <v>Apple Pay</v>
      </c>
      <c r="M174" s="763"/>
      <c r="N174" s="763" t="str">
        <f>IFERROR(__xludf.DUMMYFUNCTION("""COMPUTED_VALUE"""),"64894-1758652522")</f>
        <v>64894-1758652522</v>
      </c>
      <c r="O174" s="763">
        <f>IFERROR(__xludf.DUMMYFUNCTION("""COMPUTED_VALUE"""),0.0)</f>
        <v>0</v>
      </c>
      <c r="P174" s="767">
        <f>IFERROR(__xludf.DUMMYFUNCTION("""COMPUTED_VALUE"""),4.0)</f>
        <v>4</v>
      </c>
      <c r="Q174" s="763" t="str">
        <f>IFERROR(__xludf.DUMMYFUNCTION("""COMPUTED_VALUE"""),"EUR")</f>
        <v>EUR</v>
      </c>
      <c r="R174" s="763">
        <f>IFERROR(__xludf.DUMMYFUNCTION("""COMPUTED_VALUE"""),554.0)</f>
        <v>554</v>
      </c>
      <c r="S174" s="763" t="str">
        <f>IFERROR(__xludf.DUMMYFUNCTION("""COMPUTED_VALUE"""),"Workshop Afrofusion con Banana 2025 - Workshop Banana afrofusion")</f>
        <v>Workshop Afrofusion con Banana 2025 - Workshop Banana afrofusion</v>
      </c>
      <c r="T174" s="763"/>
      <c r="U174" s="763"/>
      <c r="V174" s="763">
        <f>IFERROR(__xludf.DUMMYFUNCTION("""COMPUTED_VALUE"""),3.0)</f>
        <v>3</v>
      </c>
      <c r="W174" s="763">
        <f>IFERROR(__xludf.DUMMYFUNCTION("""COMPUTED_VALUE"""),32.0)</f>
        <v>32</v>
      </c>
      <c r="X174" s="763">
        <f>IFERROR(__xludf.DUMMYFUNCTION("""COMPUTED_VALUE"""),96.0)</f>
        <v>96</v>
      </c>
      <c r="Y174" s="763"/>
      <c r="Z174" s="768" t="str">
        <f>IFERROR(__xludf.DUMMYFUNCTION("""COMPUTED_VALUE"""),"https://studio-gem.it/wp-admin/post.php?post=64894&amp;action=edit")</f>
        <v>https://studio-gem.it/wp-admin/post.php?post=64894&amp;action=edit</v>
      </c>
      <c r="AA174" s="763"/>
      <c r="AB174" s="763"/>
      <c r="AC174" s="763"/>
      <c r="AD174" s="763"/>
      <c r="AE174" s="763"/>
      <c r="AF174" s="763"/>
      <c r="AG174" s="763"/>
      <c r="AH174" s="763"/>
      <c r="AI174" s="763"/>
      <c r="AJ174" s="763"/>
      <c r="AK174" s="763"/>
      <c r="AL174" s="763"/>
      <c r="AM174" s="763"/>
      <c r="AN174" s="763"/>
      <c r="AO174" s="763"/>
      <c r="AP174" s="763"/>
      <c r="AQ174" s="763"/>
      <c r="AR174" s="763"/>
      <c r="AS174" s="763"/>
      <c r="AT174" s="763"/>
      <c r="AU174" s="763"/>
      <c r="AV174" s="763"/>
      <c r="AW174" s="763"/>
      <c r="AX174" s="763"/>
      <c r="AY174" s="763"/>
      <c r="AZ174" s="763"/>
      <c r="BA174" s="763"/>
      <c r="BB174" s="763"/>
      <c r="BC174" s="763"/>
      <c r="BD174" s="763"/>
      <c r="BE174" s="763"/>
      <c r="BF174" s="763"/>
      <c r="BG174" s="763" t="b">
        <f>IFERROR(__xludf.DUMMYFUNCTION("""COMPUTED_VALUE"""),TRUE)</f>
        <v>1</v>
      </c>
      <c r="BH174" s="763" t="b">
        <f>IFERROR(__xludf.DUMMYFUNCTION("""COMPUTED_VALUE"""),TRUE)</f>
        <v>1</v>
      </c>
      <c r="BI174" s="763" t="b">
        <f>IFERROR(__xludf.DUMMYFUNCTION("""COMPUTED_VALUE"""),TRUE)</f>
        <v>1</v>
      </c>
      <c r="BJ174" s="763" t="b">
        <f>IFERROR(__xludf.DUMMYFUNCTION("""COMPUTED_VALUE"""),FALSE)</f>
        <v>0</v>
      </c>
    </row>
    <row r="175">
      <c r="A175" s="763">
        <f>IFERROR(__xludf.DUMMYFUNCTION("""COMPUTED_VALUE"""),64896.0)</f>
        <v>64896</v>
      </c>
      <c r="B175" s="763">
        <f>IFERROR(__xludf.DUMMYFUNCTION("""COMPUTED_VALUE"""),64896.0)</f>
        <v>64896</v>
      </c>
      <c r="C175" s="763" t="str">
        <f>IFERROR(__xludf.DUMMYFUNCTION("""COMPUTED_VALUE"""),"2025-09-23 20:02:16")</f>
        <v>2025-09-23 20:02:16</v>
      </c>
      <c r="D175" s="763" t="str">
        <f>IFERROR(__xludf.DUMMYFUNCTION("""COMPUTED_VALUE"""),"completed")</f>
        <v>completed</v>
      </c>
      <c r="E175" s="763" t="str">
        <f>IFERROR(__xludf.DUMMYFUNCTION("""COMPUTED_VALUE"""),"Ksenia")</f>
        <v>Ksenia</v>
      </c>
      <c r="F175" s="763" t="str">
        <f>IFERROR(__xludf.DUMMYFUNCTION("""COMPUTED_VALUE"""),"Batrakova")</f>
        <v>Batrakova</v>
      </c>
      <c r="G175" s="763" t="str">
        <f>IFERROR(__xludf.DUMMYFUNCTION("""COMPUTED_VALUE"""),"ksy1999tash@gmail.com")</f>
        <v>ksy1999tash@gmail.com</v>
      </c>
      <c r="H175" s="763" t="str">
        <f>IFERROR(__xludf.DUMMYFUNCTION("""COMPUTED_VALUE"""),"+34634735648")</f>
        <v>+34634735648</v>
      </c>
      <c r="I175" s="763" t="str">
        <f>IFERROR(__xludf.DUMMYFUNCTION("""COMPUTED_VALUE"""),"Barcelona")</f>
        <v>Barcelona</v>
      </c>
      <c r="J175" s="763" t="str">
        <f>IFERROR(__xludf.DUMMYFUNCTION("""COMPUTED_VALUE"""),"Carrer del Bruc 34")</f>
        <v>Carrer del Bruc 34</v>
      </c>
      <c r="K175" s="763">
        <f>IFERROR(__xludf.DUMMYFUNCTION("""COMPUTED_VALUE"""),810.0)</f>
        <v>810</v>
      </c>
      <c r="L175" s="763" t="str">
        <f>IFERROR(__xludf.DUMMYFUNCTION("""COMPUTED_VALUE"""),"Apple Pay")</f>
        <v>Apple Pay</v>
      </c>
      <c r="M175" s="763"/>
      <c r="N175" s="763" t="str">
        <f>IFERROR(__xludf.DUMMYFUNCTION("""COMPUTED_VALUE"""),"64896-1758658403")</f>
        <v>64896-1758658403</v>
      </c>
      <c r="O175" s="763">
        <f>IFERROR(__xludf.DUMMYFUNCTION("""COMPUTED_VALUE"""),0.0)</f>
        <v>0</v>
      </c>
      <c r="P175" s="767">
        <f>IFERROR(__xludf.DUMMYFUNCTION("""COMPUTED_VALUE"""),1.3333333333333333)</f>
        <v>1.333333333</v>
      </c>
      <c r="Q175" s="763" t="str">
        <f>IFERROR(__xludf.DUMMYFUNCTION("""COMPUTED_VALUE"""),"EUR")</f>
        <v>EUR</v>
      </c>
      <c r="R175" s="763">
        <f>IFERROR(__xludf.DUMMYFUNCTION("""COMPUTED_VALUE"""),557.0)</f>
        <v>557</v>
      </c>
      <c r="S175" s="763" t="str">
        <f>IFERROR(__xludf.DUMMYFUNCTION("""COMPUTED_VALUE"""),"Workshop Heels con Lulu Kulova - Workshop Lulu Heels")</f>
        <v>Workshop Heels con Lulu Kulova - Workshop Lulu Heels</v>
      </c>
      <c r="T175" s="763"/>
      <c r="U175" s="763"/>
      <c r="V175" s="763">
        <f>IFERROR(__xludf.DUMMYFUNCTION("""COMPUTED_VALUE"""),1.0)</f>
        <v>1</v>
      </c>
      <c r="W175" s="763">
        <f>IFERROR(__xludf.DUMMYFUNCTION("""COMPUTED_VALUE"""),32.0)</f>
        <v>32</v>
      </c>
      <c r="X175" s="763">
        <f>IFERROR(__xludf.DUMMYFUNCTION("""COMPUTED_VALUE"""),32.0)</f>
        <v>32</v>
      </c>
      <c r="Y175" s="763"/>
      <c r="Z175" s="768" t="str">
        <f>IFERROR(__xludf.DUMMYFUNCTION("""COMPUTED_VALUE"""),"https://studio-gem.it/wp-admin/post.php?post=64896&amp;action=edit")</f>
        <v>https://studio-gem.it/wp-admin/post.php?post=64896&amp;action=edit</v>
      </c>
      <c r="AA175" s="763"/>
      <c r="AB175" s="763"/>
      <c r="AC175" s="763"/>
      <c r="AD175" s="763"/>
      <c r="AE175" s="763"/>
      <c r="AF175" s="763"/>
      <c r="AG175" s="763"/>
      <c r="AH175" s="763"/>
      <c r="AI175" s="763"/>
      <c r="AJ175" s="763"/>
      <c r="AK175" s="763"/>
      <c r="AL175" s="763"/>
      <c r="AM175" s="763"/>
      <c r="AN175" s="763"/>
      <c r="AO175" s="763"/>
      <c r="AP175" s="763"/>
      <c r="AQ175" s="763"/>
      <c r="AR175" s="763"/>
      <c r="AS175" s="763"/>
      <c r="AT175" s="763"/>
      <c r="AU175" s="763"/>
      <c r="AV175" s="763"/>
      <c r="AW175" s="763"/>
      <c r="AX175" s="763"/>
      <c r="AY175" s="763"/>
      <c r="AZ175" s="763"/>
      <c r="BA175" s="763"/>
      <c r="BB175" s="763"/>
      <c r="BC175" s="763"/>
      <c r="BD175" s="763"/>
      <c r="BE175" s="763"/>
      <c r="BF175" s="763"/>
      <c r="BG175" s="763" t="b">
        <f>IFERROR(__xludf.DUMMYFUNCTION("""COMPUTED_VALUE"""),TRUE)</f>
        <v>1</v>
      </c>
      <c r="BH175" s="763" t="b">
        <f>IFERROR(__xludf.DUMMYFUNCTION("""COMPUTED_VALUE"""),TRUE)</f>
        <v>1</v>
      </c>
      <c r="BI175" s="763" t="b">
        <f>IFERROR(__xludf.DUMMYFUNCTION("""COMPUTED_VALUE"""),TRUE)</f>
        <v>1</v>
      </c>
      <c r="BJ175" s="763" t="b">
        <f>IFERROR(__xludf.DUMMYFUNCTION("""COMPUTED_VALUE"""),FALSE)</f>
        <v>0</v>
      </c>
    </row>
    <row r="176">
      <c r="A176" s="763">
        <f>IFERROR(__xludf.DUMMYFUNCTION("""COMPUTED_VALUE"""),64898.0)</f>
        <v>64898</v>
      </c>
      <c r="B176" s="763">
        <f>IFERROR(__xludf.DUMMYFUNCTION("""COMPUTED_VALUE"""),64898.0)</f>
        <v>64898</v>
      </c>
      <c r="C176" s="763" t="str">
        <f>IFERROR(__xludf.DUMMYFUNCTION("""COMPUTED_VALUE"""),"2025-09-23 21:39:32")</f>
        <v>2025-09-23 21:39:32</v>
      </c>
      <c r="D176" s="763" t="str">
        <f>IFERROR(__xludf.DUMMYFUNCTION("""COMPUTED_VALUE"""),"processing")</f>
        <v>processing</v>
      </c>
      <c r="E176" s="763" t="str">
        <f>IFERROR(__xludf.DUMMYFUNCTION("""COMPUTED_VALUE"""),"Ziad")</f>
        <v>Ziad</v>
      </c>
      <c r="F176" s="763" t="str">
        <f>IFERROR(__xludf.DUMMYFUNCTION("""COMPUTED_VALUE"""),"Fanine El Idrissi")</f>
        <v>Fanine El Idrissi</v>
      </c>
      <c r="G176" s="763" t="str">
        <f>IFERROR(__xludf.DUMMYFUNCTION("""COMPUTED_VALUE"""),"ziadfaninelavoro@gmail.com")</f>
        <v>ziadfaninelavoro@gmail.com</v>
      </c>
      <c r="H176" s="763">
        <f>IFERROR(__xludf.DUMMYFUNCTION("""COMPUTED_VALUE"""),3.420746973E9)</f>
        <v>3420746973</v>
      </c>
      <c r="I176" s="763" t="str">
        <f>IFERROR(__xludf.DUMMYFUNCTION("""COMPUTED_VALUE"""),"Ledro")</f>
        <v>Ledro</v>
      </c>
      <c r="J176" s="763" t="str">
        <f>IFERROR(__xludf.DUMMYFUNCTION("""COMPUTED_VALUE"""),"Via alla sega 4")</f>
        <v>Via alla sega 4</v>
      </c>
      <c r="K176" s="763">
        <f>IFERROR(__xludf.DUMMYFUNCTION("""COMPUTED_VALUE"""),38067.0)</f>
        <v>38067</v>
      </c>
      <c r="L176" s="763" t="str">
        <f>IFERROR(__xludf.DUMMYFUNCTION("""COMPUTED_VALUE"""),"Carte di pagamento")</f>
        <v>Carte di pagamento</v>
      </c>
      <c r="M176" s="763"/>
      <c r="N176" s="763" t="str">
        <f>IFERROR(__xludf.DUMMYFUNCTION("""COMPUTED_VALUE"""),"64898-1758663592")</f>
        <v>64898-1758663592</v>
      </c>
      <c r="O176" s="763">
        <f>IFERROR(__xludf.DUMMYFUNCTION("""COMPUTED_VALUE"""),0.0)</f>
        <v>0</v>
      </c>
      <c r="P176" s="767">
        <f>IFERROR(__xludf.DUMMYFUNCTION("""COMPUTED_VALUE"""),1.3333333333333333)</f>
        <v>1.333333333</v>
      </c>
      <c r="Q176" s="763" t="str">
        <f>IFERROR(__xludf.DUMMYFUNCTION("""COMPUTED_VALUE"""),"EUR")</f>
        <v>EUR</v>
      </c>
      <c r="R176" s="763">
        <f>IFERROR(__xludf.DUMMYFUNCTION("""COMPUTED_VALUE"""),559.0)</f>
        <v>559</v>
      </c>
      <c r="S176" s="763" t="str">
        <f>IFERROR(__xludf.DUMMYFUNCTION("""COMPUTED_VALUE"""),"Workshop Urban con Kumo - Workshop Kumo Urban")</f>
        <v>Workshop Urban con Kumo - Workshop Kumo Urban</v>
      </c>
      <c r="T176" s="763"/>
      <c r="U176" s="763"/>
      <c r="V176" s="763">
        <f>IFERROR(__xludf.DUMMYFUNCTION("""COMPUTED_VALUE"""),1.0)</f>
        <v>1</v>
      </c>
      <c r="W176" s="763">
        <f>IFERROR(__xludf.DUMMYFUNCTION("""COMPUTED_VALUE"""),32.0)</f>
        <v>32</v>
      </c>
      <c r="X176" s="763">
        <f>IFERROR(__xludf.DUMMYFUNCTION("""COMPUTED_VALUE"""),32.0)</f>
        <v>32</v>
      </c>
      <c r="Y176" s="763"/>
      <c r="Z176" s="768" t="str">
        <f>IFERROR(__xludf.DUMMYFUNCTION("""COMPUTED_VALUE"""),"https://studio-gem.it/wp-admin/post.php?post=64898&amp;action=edit")</f>
        <v>https://studio-gem.it/wp-admin/post.php?post=64898&amp;action=edit</v>
      </c>
      <c r="AA176" s="763"/>
      <c r="AB176" s="763"/>
      <c r="AC176" s="763"/>
      <c r="AD176" s="763"/>
      <c r="AE176" s="763"/>
      <c r="AF176" s="763"/>
      <c r="AG176" s="763"/>
      <c r="AH176" s="763"/>
      <c r="AI176" s="763"/>
      <c r="AJ176" s="763"/>
      <c r="AK176" s="763"/>
      <c r="AL176" s="763"/>
      <c r="AM176" s="763"/>
      <c r="AN176" s="763"/>
      <c r="AO176" s="763"/>
      <c r="AP176" s="763"/>
      <c r="AQ176" s="763"/>
      <c r="AR176" s="763"/>
      <c r="AS176" s="763"/>
      <c r="AT176" s="763"/>
      <c r="AU176" s="763"/>
      <c r="AV176" s="763"/>
      <c r="AW176" s="763"/>
      <c r="AX176" s="763"/>
      <c r="AY176" s="763"/>
      <c r="AZ176" s="763"/>
      <c r="BA176" s="763"/>
      <c r="BB176" s="763"/>
      <c r="BC176" s="763"/>
      <c r="BD176" s="763"/>
      <c r="BE176" s="763"/>
      <c r="BF176" s="763"/>
      <c r="BG176" s="763" t="b">
        <f>IFERROR(__xludf.DUMMYFUNCTION("""COMPUTED_VALUE"""),TRUE)</f>
        <v>1</v>
      </c>
      <c r="BH176" s="763" t="b">
        <f>IFERROR(__xludf.DUMMYFUNCTION("""COMPUTED_VALUE"""),TRUE)</f>
        <v>1</v>
      </c>
      <c r="BI176" s="763" t="b">
        <f>IFERROR(__xludf.DUMMYFUNCTION("""COMPUTED_VALUE"""),TRUE)</f>
        <v>1</v>
      </c>
      <c r="BJ176" s="763" t="b">
        <f>IFERROR(__xludf.DUMMYFUNCTION("""COMPUTED_VALUE"""),FALSE)</f>
        <v>0</v>
      </c>
    </row>
    <row r="177">
      <c r="A177" s="763">
        <f>IFERROR(__xludf.DUMMYFUNCTION("""COMPUTED_VALUE"""),64899.0)</f>
        <v>64899</v>
      </c>
      <c r="B177" s="763">
        <f>IFERROR(__xludf.DUMMYFUNCTION("""COMPUTED_VALUE"""),64899.0)</f>
        <v>64899</v>
      </c>
      <c r="C177" s="763" t="str">
        <f>IFERROR(__xludf.DUMMYFUNCTION("""COMPUTED_VALUE"""),"2025-09-23 22:56:20")</f>
        <v>2025-09-23 22:56:20</v>
      </c>
      <c r="D177" s="763" t="str">
        <f>IFERROR(__xludf.DUMMYFUNCTION("""COMPUTED_VALUE"""),"completed")</f>
        <v>completed</v>
      </c>
      <c r="E177" s="763" t="str">
        <f>IFERROR(__xludf.DUMMYFUNCTION("""COMPUTED_VALUE"""),"Euginie")</f>
        <v>Euginie</v>
      </c>
      <c r="F177" s="763" t="str">
        <f>IFERROR(__xludf.DUMMYFUNCTION("""COMPUTED_VALUE"""),"Magina")</f>
        <v>Magina</v>
      </c>
      <c r="G177" s="763" t="str">
        <f>IFERROR(__xludf.DUMMYFUNCTION("""COMPUTED_VALUE"""),"emagina76@gmail.com")</f>
        <v>emagina76@gmail.com</v>
      </c>
      <c r="H177" s="763">
        <f>IFERROR(__xludf.DUMMYFUNCTION("""COMPUTED_VALUE"""),3.792033045E9)</f>
        <v>3792033045</v>
      </c>
      <c r="I177" s="763" t="str">
        <f>IFERROR(__xludf.DUMMYFUNCTION("""COMPUTED_VALUE"""),"Udine")</f>
        <v>Udine</v>
      </c>
      <c r="J177" s="763" t="str">
        <f>IFERROR(__xludf.DUMMYFUNCTION("""COMPUTED_VALUE"""),"Via molino 40")</f>
        <v>Via molino 40</v>
      </c>
      <c r="K177" s="763">
        <f>IFERROR(__xludf.DUMMYFUNCTION("""COMPUTED_VALUE"""),33100.0)</f>
        <v>33100</v>
      </c>
      <c r="L177" s="763" t="str">
        <f>IFERROR(__xludf.DUMMYFUNCTION("""COMPUTED_VALUE"""),"Carte di pagamento")</f>
        <v>Carte di pagamento</v>
      </c>
      <c r="M177" s="763"/>
      <c r="N177" s="763" t="str">
        <f>IFERROR(__xludf.DUMMYFUNCTION("""COMPUTED_VALUE"""),"64899-1758668182")</f>
        <v>64899-1758668182</v>
      </c>
      <c r="O177" s="763">
        <f>IFERROR(__xludf.DUMMYFUNCTION("""COMPUTED_VALUE"""),0.0)</f>
        <v>0</v>
      </c>
      <c r="P177" s="767">
        <f>IFERROR(__xludf.DUMMYFUNCTION("""COMPUTED_VALUE"""),1.3333333333333333)</f>
        <v>1.333333333</v>
      </c>
      <c r="Q177" s="763" t="str">
        <f>IFERROR(__xludf.DUMMYFUNCTION("""COMPUTED_VALUE"""),"EUR")</f>
        <v>EUR</v>
      </c>
      <c r="R177" s="763">
        <f>IFERROR(__xludf.DUMMYFUNCTION("""COMPUTED_VALUE"""),560.0)</f>
        <v>560</v>
      </c>
      <c r="S177" s="763" t="str">
        <f>IFERROR(__xludf.DUMMYFUNCTION("""COMPUTED_VALUE"""),"Workshop Afrofusion con Banana 2025 - Workshop Banana afrofusion")</f>
        <v>Workshop Afrofusion con Banana 2025 - Workshop Banana afrofusion</v>
      </c>
      <c r="T177" s="763"/>
      <c r="U177" s="763"/>
      <c r="V177" s="763">
        <f>IFERROR(__xludf.DUMMYFUNCTION("""COMPUTED_VALUE"""),1.0)</f>
        <v>1</v>
      </c>
      <c r="W177" s="763">
        <f>IFERROR(__xludf.DUMMYFUNCTION("""COMPUTED_VALUE"""),32.0)</f>
        <v>32</v>
      </c>
      <c r="X177" s="763">
        <f>IFERROR(__xludf.DUMMYFUNCTION("""COMPUTED_VALUE"""),32.0)</f>
        <v>32</v>
      </c>
      <c r="Y177" s="763"/>
      <c r="Z177" s="768" t="str">
        <f>IFERROR(__xludf.DUMMYFUNCTION("""COMPUTED_VALUE"""),"https://studio-gem.it/wp-admin/post.php?post=64899&amp;action=edit")</f>
        <v>https://studio-gem.it/wp-admin/post.php?post=64899&amp;action=edit</v>
      </c>
      <c r="AA177" s="763"/>
      <c r="AB177" s="763"/>
      <c r="AC177" s="763"/>
      <c r="AD177" s="763"/>
      <c r="AE177" s="763"/>
      <c r="AF177" s="763"/>
      <c r="AG177" s="763"/>
      <c r="AH177" s="763"/>
      <c r="AI177" s="763"/>
      <c r="AJ177" s="763"/>
      <c r="AK177" s="763"/>
      <c r="AL177" s="763"/>
      <c r="AM177" s="763"/>
      <c r="AN177" s="763"/>
      <c r="AO177" s="763"/>
      <c r="AP177" s="763"/>
      <c r="AQ177" s="763"/>
      <c r="AR177" s="763"/>
      <c r="AS177" s="763"/>
      <c r="AT177" s="763"/>
      <c r="AU177" s="763"/>
      <c r="AV177" s="763"/>
      <c r="AW177" s="763"/>
      <c r="AX177" s="763"/>
      <c r="AY177" s="763"/>
      <c r="AZ177" s="763"/>
      <c r="BA177" s="763"/>
      <c r="BB177" s="763"/>
      <c r="BC177" s="763"/>
      <c r="BD177" s="763"/>
      <c r="BE177" s="763"/>
      <c r="BF177" s="763"/>
      <c r="BG177" s="763" t="b">
        <f>IFERROR(__xludf.DUMMYFUNCTION("""COMPUTED_VALUE"""),TRUE)</f>
        <v>1</v>
      </c>
      <c r="BH177" s="763" t="b">
        <f>IFERROR(__xludf.DUMMYFUNCTION("""COMPUTED_VALUE"""),TRUE)</f>
        <v>1</v>
      </c>
      <c r="BI177" s="763" t="b">
        <f>IFERROR(__xludf.DUMMYFUNCTION("""COMPUTED_VALUE"""),TRUE)</f>
        <v>1</v>
      </c>
      <c r="BJ177" s="763" t="b">
        <f>IFERROR(__xludf.DUMMYFUNCTION("""COMPUTED_VALUE"""),FALSE)</f>
        <v>0</v>
      </c>
    </row>
    <row r="178">
      <c r="A178" s="763">
        <f>IFERROR(__xludf.DUMMYFUNCTION("""COMPUTED_VALUE"""),64901.0)</f>
        <v>64901</v>
      </c>
      <c r="B178" s="763">
        <f>IFERROR(__xludf.DUMMYFUNCTION("""COMPUTED_VALUE"""),64901.0)</f>
        <v>64901</v>
      </c>
      <c r="C178" s="763" t="str">
        <f>IFERROR(__xludf.DUMMYFUNCTION("""COMPUTED_VALUE"""),"2025-09-24 06:03:10")</f>
        <v>2025-09-24 06:03:10</v>
      </c>
      <c r="D178" s="763" t="str">
        <f>IFERROR(__xludf.DUMMYFUNCTION("""COMPUTED_VALUE"""),"processing")</f>
        <v>processing</v>
      </c>
      <c r="E178" s="763" t="str">
        <f>IFERROR(__xludf.DUMMYFUNCTION("""COMPUTED_VALUE"""),"Francesca")</f>
        <v>Francesca</v>
      </c>
      <c r="F178" s="763" t="str">
        <f>IFERROR(__xludf.DUMMYFUNCTION("""COMPUTED_VALUE"""),"Parodi")</f>
        <v>Parodi</v>
      </c>
      <c r="G178" s="763" t="str">
        <f>IFERROR(__xludf.DUMMYFUNCTION("""COMPUTED_VALUE"""),"franca.prd@gmail.com")</f>
        <v>franca.prd@gmail.com</v>
      </c>
      <c r="H178" s="763">
        <f>IFERROR(__xludf.DUMMYFUNCTION("""COMPUTED_VALUE"""),3.359981386E9)</f>
        <v>3359981386</v>
      </c>
      <c r="I178" s="763" t="str">
        <f>IFERROR(__xludf.DUMMYFUNCTION("""COMPUTED_VALUE"""),"Milano")</f>
        <v>Milano</v>
      </c>
      <c r="J178" s="763" t="str">
        <f>IFERROR(__xludf.DUMMYFUNCTION("""COMPUTED_VALUE"""),"Via Cusani 10")</f>
        <v>Via Cusani 10</v>
      </c>
      <c r="K178" s="763">
        <f>IFERROR(__xludf.DUMMYFUNCTION("""COMPUTED_VALUE"""),20121.0)</f>
        <v>20121</v>
      </c>
      <c r="L178" s="763" t="str">
        <f>IFERROR(__xludf.DUMMYFUNCTION("""COMPUTED_VALUE"""),"Carte di pagamento")</f>
        <v>Carte di pagamento</v>
      </c>
      <c r="M178" s="763"/>
      <c r="N178" s="763" t="str">
        <f>IFERROR(__xludf.DUMMYFUNCTION("""COMPUTED_VALUE"""),"64901-1758693791")</f>
        <v>64901-1758693791</v>
      </c>
      <c r="O178" s="763">
        <f>IFERROR(__xludf.DUMMYFUNCTION("""COMPUTED_VALUE"""),0.0)</f>
        <v>0</v>
      </c>
      <c r="P178" s="767">
        <f>IFERROR(__xludf.DUMMYFUNCTION("""COMPUTED_VALUE"""),1.3333333333333333)</f>
        <v>1.333333333</v>
      </c>
      <c r="Q178" s="763" t="str">
        <f>IFERROR(__xludf.DUMMYFUNCTION("""COMPUTED_VALUE"""),"EUR")</f>
        <v>EUR</v>
      </c>
      <c r="R178" s="763">
        <f>IFERROR(__xludf.DUMMYFUNCTION("""COMPUTED_VALUE"""),561.0)</f>
        <v>561</v>
      </c>
      <c r="S178" s="763" t="str">
        <f>IFERROR(__xludf.DUMMYFUNCTION("""COMPUTED_VALUE"""),"Workshop Heels con Lulu Kulova - Workshop Lulu Heels")</f>
        <v>Workshop Heels con Lulu Kulova - Workshop Lulu Heels</v>
      </c>
      <c r="T178" s="763"/>
      <c r="U178" s="763"/>
      <c r="V178" s="763">
        <f>IFERROR(__xludf.DUMMYFUNCTION("""COMPUTED_VALUE"""),1.0)</f>
        <v>1</v>
      </c>
      <c r="W178" s="763">
        <f>IFERROR(__xludf.DUMMYFUNCTION("""COMPUTED_VALUE"""),32.0)</f>
        <v>32</v>
      </c>
      <c r="X178" s="763">
        <f>IFERROR(__xludf.DUMMYFUNCTION("""COMPUTED_VALUE"""),32.0)</f>
        <v>32</v>
      </c>
      <c r="Y178" s="763"/>
      <c r="Z178" s="768" t="str">
        <f>IFERROR(__xludf.DUMMYFUNCTION("""COMPUTED_VALUE"""),"https://studio-gem.it/wp-admin/post.php?post=64901&amp;action=edit")</f>
        <v>https://studio-gem.it/wp-admin/post.php?post=64901&amp;action=edit</v>
      </c>
      <c r="AA178" s="763"/>
      <c r="AB178" s="763"/>
      <c r="AC178" s="763"/>
      <c r="AD178" s="763"/>
      <c r="AE178" s="763"/>
      <c r="AF178" s="763"/>
      <c r="AG178" s="763"/>
      <c r="AH178" s="763"/>
      <c r="AI178" s="763"/>
      <c r="AJ178" s="763"/>
      <c r="AK178" s="763"/>
      <c r="AL178" s="763"/>
      <c r="AM178" s="763"/>
      <c r="AN178" s="763"/>
      <c r="AO178" s="763"/>
      <c r="AP178" s="763"/>
      <c r="AQ178" s="763"/>
      <c r="AR178" s="763"/>
      <c r="AS178" s="763"/>
      <c r="AT178" s="763"/>
      <c r="AU178" s="763"/>
      <c r="AV178" s="763"/>
      <c r="AW178" s="763"/>
      <c r="AX178" s="763"/>
      <c r="AY178" s="763"/>
      <c r="AZ178" s="763"/>
      <c r="BA178" s="763"/>
      <c r="BB178" s="763"/>
      <c r="BC178" s="763"/>
      <c r="BD178" s="763"/>
      <c r="BE178" s="763"/>
      <c r="BF178" s="763"/>
      <c r="BG178" s="763" t="b">
        <f>IFERROR(__xludf.DUMMYFUNCTION("""COMPUTED_VALUE"""),TRUE)</f>
        <v>1</v>
      </c>
      <c r="BH178" s="763" t="b">
        <f>IFERROR(__xludf.DUMMYFUNCTION("""COMPUTED_VALUE"""),TRUE)</f>
        <v>1</v>
      </c>
      <c r="BI178" s="763" t="b">
        <f>IFERROR(__xludf.DUMMYFUNCTION("""COMPUTED_VALUE"""),TRUE)</f>
        <v>1</v>
      </c>
      <c r="BJ178" s="763" t="b">
        <f>IFERROR(__xludf.DUMMYFUNCTION("""COMPUTED_VALUE"""),FALSE)</f>
        <v>0</v>
      </c>
    </row>
    <row r="179">
      <c r="A179" s="763">
        <f>IFERROR(__xludf.DUMMYFUNCTION("""COMPUTED_VALUE"""),64902.0)</f>
        <v>64902</v>
      </c>
      <c r="B179" s="763">
        <f>IFERROR(__xludf.DUMMYFUNCTION("""COMPUTED_VALUE"""),64902.0)</f>
        <v>64902</v>
      </c>
      <c r="C179" s="763" t="str">
        <f>IFERROR(__xludf.DUMMYFUNCTION("""COMPUTED_VALUE"""),"2025-09-24 07:14:58")</f>
        <v>2025-09-24 07:14:58</v>
      </c>
      <c r="D179" s="763" t="str">
        <f>IFERROR(__xludf.DUMMYFUNCTION("""COMPUTED_VALUE"""),"completed")</f>
        <v>completed</v>
      </c>
      <c r="E179" s="763" t="str">
        <f>IFERROR(__xludf.DUMMYFUNCTION("""COMPUTED_VALUE"""),"Corinne")</f>
        <v>Corinne</v>
      </c>
      <c r="F179" s="763" t="str">
        <f>IFERROR(__xludf.DUMMYFUNCTION("""COMPUTED_VALUE"""),"Tshilombo")</f>
        <v>Tshilombo</v>
      </c>
      <c r="G179" s="763" t="str">
        <f>IFERROR(__xludf.DUMMYFUNCTION("""COMPUTED_VALUE"""),"corinne.tshilombo@gmail.com")</f>
        <v>corinne.tshilombo@gmail.com</v>
      </c>
      <c r="H179" s="763">
        <f>IFERROR(__xludf.DUMMYFUNCTION("""COMPUTED_VALUE"""),3.425868942E9)</f>
        <v>3425868942</v>
      </c>
      <c r="I179" s="763" t="str">
        <f>IFERROR(__xludf.DUMMYFUNCTION("""COMPUTED_VALUE"""),"Basiano")</f>
        <v>Basiano</v>
      </c>
      <c r="J179" s="763" t="str">
        <f>IFERROR(__xludf.DUMMYFUNCTION("""COMPUTED_VALUE"""),"Via Nardi 4")</f>
        <v>Via Nardi 4</v>
      </c>
      <c r="K179" s="763">
        <f>IFERROR(__xludf.DUMMYFUNCTION("""COMPUTED_VALUE"""),20060.0)</f>
        <v>20060</v>
      </c>
      <c r="L179" s="763" t="str">
        <f>IFERROR(__xludf.DUMMYFUNCTION("""COMPUTED_VALUE"""),"Carte di pagamento")</f>
        <v>Carte di pagamento</v>
      </c>
      <c r="M179" s="763"/>
      <c r="N179" s="763" t="str">
        <f>IFERROR(__xludf.DUMMYFUNCTION("""COMPUTED_VALUE"""),"64902-1758698099")</f>
        <v>64902-1758698099</v>
      </c>
      <c r="O179" s="763">
        <f>IFERROR(__xludf.DUMMYFUNCTION("""COMPUTED_VALUE"""),0.0)</f>
        <v>0</v>
      </c>
      <c r="P179" s="767">
        <f>IFERROR(__xludf.DUMMYFUNCTION("""COMPUTED_VALUE"""),1.3333333333333333)</f>
        <v>1.333333333</v>
      </c>
      <c r="Q179" s="763" t="str">
        <f>IFERROR(__xludf.DUMMYFUNCTION("""COMPUTED_VALUE"""),"EUR")</f>
        <v>EUR</v>
      </c>
      <c r="R179" s="763">
        <f>IFERROR(__xludf.DUMMYFUNCTION("""COMPUTED_VALUE"""),562.0)</f>
        <v>562</v>
      </c>
      <c r="S179" s="763" t="str">
        <f>IFERROR(__xludf.DUMMYFUNCTION("""COMPUTED_VALUE"""),"Workshop Afrofusion con Banana 2025 - Workshop Banana afrofusion")</f>
        <v>Workshop Afrofusion con Banana 2025 - Workshop Banana afrofusion</v>
      </c>
      <c r="T179" s="763"/>
      <c r="U179" s="763"/>
      <c r="V179" s="763">
        <f>IFERROR(__xludf.DUMMYFUNCTION("""COMPUTED_VALUE"""),1.0)</f>
        <v>1</v>
      </c>
      <c r="W179" s="763">
        <f>IFERROR(__xludf.DUMMYFUNCTION("""COMPUTED_VALUE"""),32.0)</f>
        <v>32</v>
      </c>
      <c r="X179" s="763">
        <f>IFERROR(__xludf.DUMMYFUNCTION("""COMPUTED_VALUE"""),32.0)</f>
        <v>32</v>
      </c>
      <c r="Y179" s="763"/>
      <c r="Z179" s="768" t="str">
        <f>IFERROR(__xludf.DUMMYFUNCTION("""COMPUTED_VALUE"""),"https://studio-gem.it/wp-admin/post.php?post=64902&amp;action=edit")</f>
        <v>https://studio-gem.it/wp-admin/post.php?post=64902&amp;action=edit</v>
      </c>
      <c r="AA179" s="763"/>
      <c r="AB179" s="763"/>
      <c r="AC179" s="763"/>
      <c r="AD179" s="763"/>
      <c r="AE179" s="763"/>
      <c r="AF179" s="763"/>
      <c r="AG179" s="763"/>
      <c r="AH179" s="763"/>
      <c r="AI179" s="763"/>
      <c r="AJ179" s="763"/>
      <c r="AK179" s="763"/>
      <c r="AL179" s="763"/>
      <c r="AM179" s="763"/>
      <c r="AN179" s="763"/>
      <c r="AO179" s="763"/>
      <c r="AP179" s="763"/>
      <c r="AQ179" s="763"/>
      <c r="AR179" s="763"/>
      <c r="AS179" s="763"/>
      <c r="AT179" s="763"/>
      <c r="AU179" s="763"/>
      <c r="AV179" s="763"/>
      <c r="AW179" s="763"/>
      <c r="AX179" s="763"/>
      <c r="AY179" s="763"/>
      <c r="AZ179" s="763"/>
      <c r="BA179" s="763"/>
      <c r="BB179" s="763"/>
      <c r="BC179" s="763"/>
      <c r="BD179" s="763"/>
      <c r="BE179" s="763"/>
      <c r="BF179" s="763"/>
      <c r="BG179" s="763" t="b">
        <f>IFERROR(__xludf.DUMMYFUNCTION("""COMPUTED_VALUE"""),TRUE)</f>
        <v>1</v>
      </c>
      <c r="BH179" s="763" t="b">
        <f>IFERROR(__xludf.DUMMYFUNCTION("""COMPUTED_VALUE"""),TRUE)</f>
        <v>1</v>
      </c>
      <c r="BI179" s="763" t="b">
        <f>IFERROR(__xludf.DUMMYFUNCTION("""COMPUTED_VALUE"""),TRUE)</f>
        <v>1</v>
      </c>
      <c r="BJ179" s="763" t="b">
        <f>IFERROR(__xludf.DUMMYFUNCTION("""COMPUTED_VALUE"""),FALSE)</f>
        <v>0</v>
      </c>
    </row>
    <row r="180">
      <c r="A180" s="763">
        <f>IFERROR(__xludf.DUMMYFUNCTION("""COMPUTED_VALUE"""),64907.0)</f>
        <v>64907</v>
      </c>
      <c r="B180" s="763">
        <f>IFERROR(__xludf.DUMMYFUNCTION("""COMPUTED_VALUE"""),64907.0)</f>
        <v>64907</v>
      </c>
      <c r="C180" s="763" t="str">
        <f>IFERROR(__xludf.DUMMYFUNCTION("""COMPUTED_VALUE"""),"2025-09-24 13:11:50")</f>
        <v>2025-09-24 13:11:50</v>
      </c>
      <c r="D180" s="763" t="str">
        <f>IFERROR(__xludf.DUMMYFUNCTION("""COMPUTED_VALUE"""),"completed")</f>
        <v>completed</v>
      </c>
      <c r="E180" s="763" t="str">
        <f>IFERROR(__xludf.DUMMYFUNCTION("""COMPUTED_VALUE"""),"Nicole")</f>
        <v>Nicole</v>
      </c>
      <c r="F180" s="763" t="str">
        <f>IFERROR(__xludf.DUMMYFUNCTION("""COMPUTED_VALUE"""),"Faraone")</f>
        <v>Faraone</v>
      </c>
      <c r="G180" s="763" t="str">
        <f>IFERROR(__xludf.DUMMYFUNCTION("""COMPUTED_VALUE"""),"nicolefaraone12@gmail.com")</f>
        <v>nicolefaraone12@gmail.com</v>
      </c>
      <c r="H180" s="763">
        <f>IFERROR(__xludf.DUMMYFUNCTION("""COMPUTED_VALUE"""),3.779649122E9)</f>
        <v>3779649122</v>
      </c>
      <c r="I180" s="763" t="str">
        <f>IFERROR(__xludf.DUMMYFUNCTION("""COMPUTED_VALUE"""),"Ruoti")</f>
        <v>Ruoti</v>
      </c>
      <c r="J180" s="763" t="str">
        <f>IFERROR(__xludf.DUMMYFUNCTION("""COMPUTED_VALUE"""),"Via abbasso la terra 34")</f>
        <v>Via abbasso la terra 34</v>
      </c>
      <c r="K180" s="763">
        <f>IFERROR(__xludf.DUMMYFUNCTION("""COMPUTED_VALUE"""),85056.0)</f>
        <v>85056</v>
      </c>
      <c r="L180" s="763" t="str">
        <f>IFERROR(__xludf.DUMMYFUNCTION("""COMPUTED_VALUE"""),"Google Pay")</f>
        <v>Google Pay</v>
      </c>
      <c r="M180" s="763"/>
      <c r="N180" s="763" t="str">
        <f>IFERROR(__xludf.DUMMYFUNCTION("""COMPUTED_VALUE"""),"64907-1758719511")</f>
        <v>64907-1758719511</v>
      </c>
      <c r="O180" s="763">
        <f>IFERROR(__xludf.DUMMYFUNCTION("""COMPUTED_VALUE"""),0.0)</f>
        <v>0</v>
      </c>
      <c r="P180" s="767">
        <f>IFERROR(__xludf.DUMMYFUNCTION("""COMPUTED_VALUE"""),4.541666666666667)</f>
        <v>4.541666667</v>
      </c>
      <c r="Q180" s="763" t="str">
        <f>IFERROR(__xludf.DUMMYFUNCTION("""COMPUTED_VALUE"""),"EUR")</f>
        <v>EUR</v>
      </c>
      <c r="R180" s="763">
        <f>IFERROR(__xludf.DUMMYFUNCTION("""COMPUTED_VALUE"""),563.0)</f>
        <v>563</v>
      </c>
      <c r="S180" s="763" t="str">
        <f>IFERROR(__xludf.DUMMYFUNCTION("""COMPUTED_VALUE"""),"Workshop Afrofusion con Banana 2025 - Workshop Banana afrofusion")</f>
        <v>Workshop Afrofusion con Banana 2025 - Workshop Banana afrofusion</v>
      </c>
      <c r="T180" s="763"/>
      <c r="U180" s="763"/>
      <c r="V180" s="763">
        <f>IFERROR(__xludf.DUMMYFUNCTION("""COMPUTED_VALUE"""),1.0)</f>
        <v>1</v>
      </c>
      <c r="W180" s="763">
        <f>IFERROR(__xludf.DUMMYFUNCTION("""COMPUTED_VALUE"""),32.0)</f>
        <v>32</v>
      </c>
      <c r="X180" s="763">
        <f>IFERROR(__xludf.DUMMYFUNCTION("""COMPUTED_VALUE"""),32.0)</f>
        <v>32</v>
      </c>
      <c r="Y180" s="763"/>
      <c r="Z180" s="768" t="str">
        <f>IFERROR(__xludf.DUMMYFUNCTION("""COMPUTED_VALUE"""),"https://studio-gem.it/wp-admin/post.php?post=64907&amp;action=edit")</f>
        <v>https://studio-gem.it/wp-admin/post.php?post=64907&amp;action=edit</v>
      </c>
      <c r="AA180" s="763"/>
      <c r="AB180" s="763"/>
      <c r="AC180" s="763"/>
      <c r="AD180" s="763"/>
      <c r="AE180" s="763"/>
      <c r="AF180" s="763"/>
      <c r="AG180" s="763"/>
      <c r="AH180" s="763"/>
      <c r="AI180" s="763"/>
      <c r="AJ180" s="763"/>
      <c r="AK180" s="763"/>
      <c r="AL180" s="763"/>
      <c r="AM180" s="763"/>
      <c r="AN180" s="763"/>
      <c r="AO180" s="763"/>
      <c r="AP180" s="763"/>
      <c r="AQ180" s="763"/>
      <c r="AR180" s="763"/>
      <c r="AS180" s="763"/>
      <c r="AT180" s="763"/>
      <c r="AU180" s="763"/>
      <c r="AV180" s="763"/>
      <c r="AW180" s="763"/>
      <c r="AX180" s="763"/>
      <c r="AY180" s="763"/>
      <c r="AZ180" s="763"/>
      <c r="BA180" s="763"/>
      <c r="BB180" s="763"/>
      <c r="BC180" s="763"/>
      <c r="BD180" s="763"/>
      <c r="BE180" s="763"/>
      <c r="BF180" s="763"/>
      <c r="BG180" s="763" t="b">
        <f>IFERROR(__xludf.DUMMYFUNCTION("""COMPUTED_VALUE"""),TRUE)</f>
        <v>1</v>
      </c>
      <c r="BH180" s="763" t="b">
        <f>IFERROR(__xludf.DUMMYFUNCTION("""COMPUTED_VALUE"""),TRUE)</f>
        <v>1</v>
      </c>
      <c r="BI180" s="763" t="b">
        <f>IFERROR(__xludf.DUMMYFUNCTION("""COMPUTED_VALUE"""),TRUE)</f>
        <v>1</v>
      </c>
      <c r="BJ180" s="763" t="b">
        <f>IFERROR(__xludf.DUMMYFUNCTION("""COMPUTED_VALUE"""),FALSE)</f>
        <v>0</v>
      </c>
    </row>
    <row r="181">
      <c r="A181" s="763">
        <f>IFERROR(__xludf.DUMMYFUNCTION("""COMPUTED_VALUE"""),64907.0)</f>
        <v>64907</v>
      </c>
      <c r="B181" s="763">
        <f>IFERROR(__xludf.DUMMYFUNCTION("""COMPUTED_VALUE"""),64907.0)</f>
        <v>64907</v>
      </c>
      <c r="C181" s="763" t="str">
        <f>IFERROR(__xludf.DUMMYFUNCTION("""COMPUTED_VALUE"""),"2025-09-24 13:11:50")</f>
        <v>2025-09-24 13:11:50</v>
      </c>
      <c r="D181" s="763" t="str">
        <f>IFERROR(__xludf.DUMMYFUNCTION("""COMPUTED_VALUE"""),"completed")</f>
        <v>completed</v>
      </c>
      <c r="E181" s="763" t="str">
        <f>IFERROR(__xludf.DUMMYFUNCTION("""COMPUTED_VALUE"""),"Nicole")</f>
        <v>Nicole</v>
      </c>
      <c r="F181" s="763" t="str">
        <f>IFERROR(__xludf.DUMMYFUNCTION("""COMPUTED_VALUE"""),"Faraone")</f>
        <v>Faraone</v>
      </c>
      <c r="G181" s="763" t="str">
        <f>IFERROR(__xludf.DUMMYFUNCTION("""COMPUTED_VALUE"""),"nicolefaraone12@gmail.com")</f>
        <v>nicolefaraone12@gmail.com</v>
      </c>
      <c r="H181" s="763">
        <f>IFERROR(__xludf.DUMMYFUNCTION("""COMPUTED_VALUE"""),3.779649122E9)</f>
        <v>3779649122</v>
      </c>
      <c r="I181" s="763" t="str">
        <f>IFERROR(__xludf.DUMMYFUNCTION("""COMPUTED_VALUE"""),"Ruoti")</f>
        <v>Ruoti</v>
      </c>
      <c r="J181" s="763" t="str">
        <f>IFERROR(__xludf.DUMMYFUNCTION("""COMPUTED_VALUE"""),"Via abbasso la terra 34")</f>
        <v>Via abbasso la terra 34</v>
      </c>
      <c r="K181" s="763">
        <f>IFERROR(__xludf.DUMMYFUNCTION("""COMPUTED_VALUE"""),85056.0)</f>
        <v>85056</v>
      </c>
      <c r="L181" s="763" t="str">
        <f>IFERROR(__xludf.DUMMYFUNCTION("""COMPUTED_VALUE"""),"Google Pay")</f>
        <v>Google Pay</v>
      </c>
      <c r="M181" s="763"/>
      <c r="N181" s="763" t="str">
        <f>IFERROR(__xludf.DUMMYFUNCTION("""COMPUTED_VALUE"""),"64907-1758719511")</f>
        <v>64907-1758719511</v>
      </c>
      <c r="O181" s="763">
        <f>IFERROR(__xludf.DUMMYFUNCTION("""COMPUTED_VALUE"""),0.0)</f>
        <v>0</v>
      </c>
      <c r="P181" s="767">
        <f>IFERROR(__xludf.DUMMYFUNCTION("""COMPUTED_VALUE"""),4.541666666666667)</f>
        <v>4.541666667</v>
      </c>
      <c r="Q181" s="763" t="str">
        <f>IFERROR(__xludf.DUMMYFUNCTION("""COMPUTED_VALUE"""),"EUR")</f>
        <v>EUR</v>
      </c>
      <c r="R181" s="763">
        <f>IFERROR(__xludf.DUMMYFUNCTION("""COMPUTED_VALUE"""),564.0)</f>
        <v>564</v>
      </c>
      <c r="S181" s="763" t="str">
        <f>IFERROR(__xludf.DUMMYFUNCTION("""COMPUTED_VALUE"""),"Workshop Commercial con Timor Steffens - Workshop Commercial con Timor Steffens")</f>
        <v>Workshop Commercial con Timor Steffens - Workshop Commercial con Timor Steffens</v>
      </c>
      <c r="T181" s="763"/>
      <c r="U181" s="763"/>
      <c r="V181" s="763">
        <f>IFERROR(__xludf.DUMMYFUNCTION("""COMPUTED_VALUE"""),1.0)</f>
        <v>1</v>
      </c>
      <c r="W181" s="763">
        <f>IFERROR(__xludf.DUMMYFUNCTION("""COMPUTED_VALUE"""),45.0)</f>
        <v>45</v>
      </c>
      <c r="X181" s="763">
        <f>IFERROR(__xludf.DUMMYFUNCTION("""COMPUTED_VALUE"""),45.0)</f>
        <v>45</v>
      </c>
      <c r="Y181" s="763"/>
      <c r="Z181" s="768" t="str">
        <f>IFERROR(__xludf.DUMMYFUNCTION("""COMPUTED_VALUE"""),"https://studio-gem.it/wp-admin/post.php?post=64907&amp;action=edit")</f>
        <v>https://studio-gem.it/wp-admin/post.php?post=64907&amp;action=edit</v>
      </c>
      <c r="AA181" s="763"/>
      <c r="AB181" s="763"/>
      <c r="AC181" s="763"/>
      <c r="AD181" s="763"/>
      <c r="AE181" s="763"/>
      <c r="AF181" s="763"/>
      <c r="AG181" s="763"/>
      <c r="AH181" s="763"/>
      <c r="AI181" s="763"/>
      <c r="AJ181" s="763"/>
      <c r="AK181" s="763"/>
      <c r="AL181" s="763"/>
      <c r="AM181" s="763"/>
      <c r="AN181" s="763"/>
      <c r="AO181" s="763"/>
      <c r="AP181" s="763"/>
      <c r="AQ181" s="763"/>
      <c r="AR181" s="763"/>
      <c r="AS181" s="763"/>
      <c r="AT181" s="763"/>
      <c r="AU181" s="763"/>
      <c r="AV181" s="763"/>
      <c r="AW181" s="763"/>
      <c r="AX181" s="763"/>
      <c r="AY181" s="763"/>
      <c r="AZ181" s="763"/>
      <c r="BA181" s="763"/>
      <c r="BB181" s="763"/>
      <c r="BC181" s="763"/>
      <c r="BD181" s="763"/>
      <c r="BE181" s="763"/>
      <c r="BF181" s="763"/>
      <c r="BG181" s="763" t="b">
        <f>IFERROR(__xludf.DUMMYFUNCTION("""COMPUTED_VALUE"""),TRUE)</f>
        <v>1</v>
      </c>
      <c r="BH181" s="763" t="b">
        <f>IFERROR(__xludf.DUMMYFUNCTION("""COMPUTED_VALUE"""),TRUE)</f>
        <v>1</v>
      </c>
      <c r="BI181" s="763" t="b">
        <f>IFERROR(__xludf.DUMMYFUNCTION("""COMPUTED_VALUE"""),TRUE)</f>
        <v>1</v>
      </c>
      <c r="BJ181" s="763" t="b">
        <f>IFERROR(__xludf.DUMMYFUNCTION("""COMPUTED_VALUE"""),FALSE)</f>
        <v>0</v>
      </c>
    </row>
    <row r="182">
      <c r="A182" s="763">
        <f>IFERROR(__xludf.DUMMYFUNCTION("""COMPUTED_VALUE"""),64907.0)</f>
        <v>64907</v>
      </c>
      <c r="B182" s="763">
        <f>IFERROR(__xludf.DUMMYFUNCTION("""COMPUTED_VALUE"""),64907.0)</f>
        <v>64907</v>
      </c>
      <c r="C182" s="763" t="str">
        <f>IFERROR(__xludf.DUMMYFUNCTION("""COMPUTED_VALUE"""),"2025-09-24 13:11:50")</f>
        <v>2025-09-24 13:11:50</v>
      </c>
      <c r="D182" s="763" t="str">
        <f>IFERROR(__xludf.DUMMYFUNCTION("""COMPUTED_VALUE"""),"completed")</f>
        <v>completed</v>
      </c>
      <c r="E182" s="763" t="str">
        <f>IFERROR(__xludf.DUMMYFUNCTION("""COMPUTED_VALUE"""),"Nicole")</f>
        <v>Nicole</v>
      </c>
      <c r="F182" s="763" t="str">
        <f>IFERROR(__xludf.DUMMYFUNCTION("""COMPUTED_VALUE"""),"Faraone")</f>
        <v>Faraone</v>
      </c>
      <c r="G182" s="763" t="str">
        <f>IFERROR(__xludf.DUMMYFUNCTION("""COMPUTED_VALUE"""),"nicolefaraone12@gmail.com")</f>
        <v>nicolefaraone12@gmail.com</v>
      </c>
      <c r="H182" s="763">
        <f>IFERROR(__xludf.DUMMYFUNCTION("""COMPUTED_VALUE"""),3.779649122E9)</f>
        <v>3779649122</v>
      </c>
      <c r="I182" s="763" t="str">
        <f>IFERROR(__xludf.DUMMYFUNCTION("""COMPUTED_VALUE"""),"Ruoti")</f>
        <v>Ruoti</v>
      </c>
      <c r="J182" s="763" t="str">
        <f>IFERROR(__xludf.DUMMYFUNCTION("""COMPUTED_VALUE"""),"Via abbasso la terra 34")</f>
        <v>Via abbasso la terra 34</v>
      </c>
      <c r="K182" s="763">
        <f>IFERROR(__xludf.DUMMYFUNCTION("""COMPUTED_VALUE"""),85056.0)</f>
        <v>85056</v>
      </c>
      <c r="L182" s="763" t="str">
        <f>IFERROR(__xludf.DUMMYFUNCTION("""COMPUTED_VALUE"""),"Google Pay")</f>
        <v>Google Pay</v>
      </c>
      <c r="M182" s="763"/>
      <c r="N182" s="763" t="str">
        <f>IFERROR(__xludf.DUMMYFUNCTION("""COMPUTED_VALUE"""),"64907-1758719511")</f>
        <v>64907-1758719511</v>
      </c>
      <c r="O182" s="763">
        <f>IFERROR(__xludf.DUMMYFUNCTION("""COMPUTED_VALUE"""),0.0)</f>
        <v>0</v>
      </c>
      <c r="P182" s="767">
        <f>IFERROR(__xludf.DUMMYFUNCTION("""COMPUTED_VALUE"""),4.541666666666667)</f>
        <v>4.541666667</v>
      </c>
      <c r="Q182" s="763" t="str">
        <f>IFERROR(__xludf.DUMMYFUNCTION("""COMPUTED_VALUE"""),"EUR")</f>
        <v>EUR</v>
      </c>
      <c r="R182" s="763">
        <f>IFERROR(__xludf.DUMMYFUNCTION("""COMPUTED_VALUE"""),565.0)</f>
        <v>565</v>
      </c>
      <c r="S182" s="763" t="str">
        <f>IFERROR(__xludf.DUMMYFUNCTION("""COMPUTED_VALUE"""),"Workshop Urban con Kumo - Workshop Kumo Urban")</f>
        <v>Workshop Urban con Kumo - Workshop Kumo Urban</v>
      </c>
      <c r="T182" s="763"/>
      <c r="U182" s="763"/>
      <c r="V182" s="763">
        <f>IFERROR(__xludf.DUMMYFUNCTION("""COMPUTED_VALUE"""),1.0)</f>
        <v>1</v>
      </c>
      <c r="W182" s="763">
        <f>IFERROR(__xludf.DUMMYFUNCTION("""COMPUTED_VALUE"""),32.0)</f>
        <v>32</v>
      </c>
      <c r="X182" s="763">
        <f>IFERROR(__xludf.DUMMYFUNCTION("""COMPUTED_VALUE"""),32.0)</f>
        <v>32</v>
      </c>
      <c r="Y182" s="763"/>
      <c r="Z182" s="768" t="str">
        <f>IFERROR(__xludf.DUMMYFUNCTION("""COMPUTED_VALUE"""),"https://studio-gem.it/wp-admin/post.php?post=64907&amp;action=edit")</f>
        <v>https://studio-gem.it/wp-admin/post.php?post=64907&amp;action=edit</v>
      </c>
      <c r="AA182" s="763"/>
      <c r="AB182" s="763"/>
      <c r="AC182" s="763"/>
      <c r="AD182" s="763"/>
      <c r="AE182" s="763"/>
      <c r="AF182" s="763"/>
      <c r="AG182" s="763"/>
      <c r="AH182" s="763"/>
      <c r="AI182" s="763"/>
      <c r="AJ182" s="763"/>
      <c r="AK182" s="763"/>
      <c r="AL182" s="763"/>
      <c r="AM182" s="763"/>
      <c r="AN182" s="763"/>
      <c r="AO182" s="763"/>
      <c r="AP182" s="763"/>
      <c r="AQ182" s="763"/>
      <c r="AR182" s="763"/>
      <c r="AS182" s="763"/>
      <c r="AT182" s="763"/>
      <c r="AU182" s="763"/>
      <c r="AV182" s="763"/>
      <c r="AW182" s="763"/>
      <c r="AX182" s="763"/>
      <c r="AY182" s="763"/>
      <c r="AZ182" s="763"/>
      <c r="BA182" s="763"/>
      <c r="BB182" s="763"/>
      <c r="BC182" s="763"/>
      <c r="BD182" s="763"/>
      <c r="BE182" s="763"/>
      <c r="BF182" s="763"/>
      <c r="BG182" s="763" t="b">
        <f>IFERROR(__xludf.DUMMYFUNCTION("""COMPUTED_VALUE"""),TRUE)</f>
        <v>1</v>
      </c>
      <c r="BH182" s="763" t="b">
        <f>IFERROR(__xludf.DUMMYFUNCTION("""COMPUTED_VALUE"""),TRUE)</f>
        <v>1</v>
      </c>
      <c r="BI182" s="763" t="b">
        <f>IFERROR(__xludf.DUMMYFUNCTION("""COMPUTED_VALUE"""),TRUE)</f>
        <v>1</v>
      </c>
      <c r="BJ182" s="763" t="b">
        <f>IFERROR(__xludf.DUMMYFUNCTION("""COMPUTED_VALUE"""),FALSE)</f>
        <v>0</v>
      </c>
    </row>
    <row r="183">
      <c r="A183" s="763">
        <f>IFERROR(__xludf.DUMMYFUNCTION("""COMPUTED_VALUE"""),64911.0)</f>
        <v>64911</v>
      </c>
      <c r="B183" s="763">
        <f>IFERROR(__xludf.DUMMYFUNCTION("""COMPUTED_VALUE"""),64911.0)</f>
        <v>64911</v>
      </c>
      <c r="C183" s="763" t="str">
        <f>IFERROR(__xludf.DUMMYFUNCTION("""COMPUTED_VALUE"""),"2025-09-24 14:04:31")</f>
        <v>2025-09-24 14:04:31</v>
      </c>
      <c r="D183" s="763" t="str">
        <f>IFERROR(__xludf.DUMMYFUNCTION("""COMPUTED_VALUE"""),"completed")</f>
        <v>completed</v>
      </c>
      <c r="E183" s="763" t="str">
        <f>IFERROR(__xludf.DUMMYFUNCTION("""COMPUTED_VALUE"""),"Alessandra")</f>
        <v>Alessandra</v>
      </c>
      <c r="F183" s="763" t="str">
        <f>IFERROR(__xludf.DUMMYFUNCTION("""COMPUTED_VALUE"""),"Grimaldi")</f>
        <v>Grimaldi</v>
      </c>
      <c r="G183" s="763" t="str">
        <f>IFERROR(__xludf.DUMMYFUNCTION("""COMPUTED_VALUE"""),"allegrimaldi2212@gmail.com")</f>
        <v>allegrimaldi2212@gmail.com</v>
      </c>
      <c r="H183" s="763" t="str">
        <f>IFERROR(__xludf.DUMMYFUNCTION("""COMPUTED_VALUE"""),"338 109 7865")</f>
        <v>338 109 7865</v>
      </c>
      <c r="I183" s="763" t="str">
        <f>IFERROR(__xludf.DUMMYFUNCTION("""COMPUTED_VALUE"""),"Masate")</f>
        <v>Masate</v>
      </c>
      <c r="J183" s="763" t="str">
        <f>IFERROR(__xludf.DUMMYFUNCTION("""COMPUTED_VALUE"""),"Piano Terra")</f>
        <v>Piano Terra</v>
      </c>
      <c r="K183" s="763">
        <f>IFERROR(__xludf.DUMMYFUNCTION("""COMPUTED_VALUE"""),20060.0)</f>
        <v>20060</v>
      </c>
      <c r="L183" s="763" t="str">
        <f>IFERROR(__xludf.DUMMYFUNCTION("""COMPUTED_VALUE"""),"Google Pay")</f>
        <v>Google Pay</v>
      </c>
      <c r="M183" s="763"/>
      <c r="N183" s="763" t="str">
        <f>IFERROR(__xludf.DUMMYFUNCTION("""COMPUTED_VALUE"""),"64911-1758722672")</f>
        <v>64911-1758722672</v>
      </c>
      <c r="O183" s="763">
        <f>IFERROR(__xludf.DUMMYFUNCTION("""COMPUTED_VALUE"""),0.0)</f>
        <v>0</v>
      </c>
      <c r="P183" s="767">
        <f>IFERROR(__xludf.DUMMYFUNCTION("""COMPUTED_VALUE"""),1.3333333333333333)</f>
        <v>1.333333333</v>
      </c>
      <c r="Q183" s="763" t="str">
        <f>IFERROR(__xludf.DUMMYFUNCTION("""COMPUTED_VALUE"""),"EUR")</f>
        <v>EUR</v>
      </c>
      <c r="R183" s="763">
        <f>IFERROR(__xludf.DUMMYFUNCTION("""COMPUTED_VALUE"""),566.0)</f>
        <v>566</v>
      </c>
      <c r="S183" s="763" t="str">
        <f>IFERROR(__xludf.DUMMYFUNCTION("""COMPUTED_VALUE"""),"Workshop Afrofusion con Banana 2025 - Workshop Banana afrofusion")</f>
        <v>Workshop Afrofusion con Banana 2025 - Workshop Banana afrofusion</v>
      </c>
      <c r="T183" s="763"/>
      <c r="U183" s="763"/>
      <c r="V183" s="763">
        <f>IFERROR(__xludf.DUMMYFUNCTION("""COMPUTED_VALUE"""),1.0)</f>
        <v>1</v>
      </c>
      <c r="W183" s="763">
        <f>IFERROR(__xludf.DUMMYFUNCTION("""COMPUTED_VALUE"""),32.0)</f>
        <v>32</v>
      </c>
      <c r="X183" s="763">
        <f>IFERROR(__xludf.DUMMYFUNCTION("""COMPUTED_VALUE"""),32.0)</f>
        <v>32</v>
      </c>
      <c r="Y183" s="763"/>
      <c r="Z183" s="768" t="str">
        <f>IFERROR(__xludf.DUMMYFUNCTION("""COMPUTED_VALUE"""),"https://studio-gem.it/wp-admin/post.php?post=64911&amp;action=edit")</f>
        <v>https://studio-gem.it/wp-admin/post.php?post=64911&amp;action=edit</v>
      </c>
      <c r="AA183" s="763"/>
      <c r="AB183" s="763"/>
      <c r="AC183" s="763"/>
      <c r="AD183" s="763"/>
      <c r="AE183" s="763"/>
      <c r="AF183" s="763"/>
      <c r="AG183" s="763"/>
      <c r="AH183" s="763"/>
      <c r="AI183" s="763"/>
      <c r="AJ183" s="763"/>
      <c r="AK183" s="763"/>
      <c r="AL183" s="763"/>
      <c r="AM183" s="763"/>
      <c r="AN183" s="763"/>
      <c r="AO183" s="763"/>
      <c r="AP183" s="763"/>
      <c r="AQ183" s="763"/>
      <c r="AR183" s="763"/>
      <c r="AS183" s="763"/>
      <c r="AT183" s="763"/>
      <c r="AU183" s="763"/>
      <c r="AV183" s="763"/>
      <c r="AW183" s="763"/>
      <c r="AX183" s="763"/>
      <c r="AY183" s="763"/>
      <c r="AZ183" s="763"/>
      <c r="BA183" s="763"/>
      <c r="BB183" s="763"/>
      <c r="BC183" s="763"/>
      <c r="BD183" s="763"/>
      <c r="BE183" s="763"/>
      <c r="BF183" s="763"/>
      <c r="BG183" s="763" t="b">
        <f>IFERROR(__xludf.DUMMYFUNCTION("""COMPUTED_VALUE"""),TRUE)</f>
        <v>1</v>
      </c>
      <c r="BH183" s="763" t="b">
        <f>IFERROR(__xludf.DUMMYFUNCTION("""COMPUTED_VALUE"""),TRUE)</f>
        <v>1</v>
      </c>
      <c r="BI183" s="763" t="b">
        <f>IFERROR(__xludf.DUMMYFUNCTION("""COMPUTED_VALUE"""),TRUE)</f>
        <v>1</v>
      </c>
      <c r="BJ183" s="763" t="b">
        <f>IFERROR(__xludf.DUMMYFUNCTION("""COMPUTED_VALUE"""),FALSE)</f>
        <v>0</v>
      </c>
    </row>
    <row r="184">
      <c r="A184" s="763">
        <f>IFERROR(__xludf.DUMMYFUNCTION("""COMPUTED_VALUE"""),64913.0)</f>
        <v>64913</v>
      </c>
      <c r="B184" s="763">
        <f>IFERROR(__xludf.DUMMYFUNCTION("""COMPUTED_VALUE"""),64913.0)</f>
        <v>64913</v>
      </c>
      <c r="C184" s="763" t="str">
        <f>IFERROR(__xludf.DUMMYFUNCTION("""COMPUTED_VALUE"""),"2025-09-24 15:20:08")</f>
        <v>2025-09-24 15:20:08</v>
      </c>
      <c r="D184" s="763" t="str">
        <f>IFERROR(__xludf.DUMMYFUNCTION("""COMPUTED_VALUE"""),"processing")</f>
        <v>processing</v>
      </c>
      <c r="E184" s="763" t="str">
        <f>IFERROR(__xludf.DUMMYFUNCTION("""COMPUTED_VALUE"""),"Asimina")</f>
        <v>Asimina</v>
      </c>
      <c r="F184" s="763" t="str">
        <f>IFERROR(__xludf.DUMMYFUNCTION("""COMPUTED_VALUE"""),"Nikolian")</f>
        <v>Nikolian</v>
      </c>
      <c r="G184" s="763" t="str">
        <f>IFERROR(__xludf.DUMMYFUNCTION("""COMPUTED_VALUE"""),"semi.naki@hotmail.com")</f>
        <v>semi.naki@hotmail.com</v>
      </c>
      <c r="H184" s="763">
        <f>IFERROR(__xludf.DUMMYFUNCTION("""COMPUTED_VALUE"""),3.466361027E9)</f>
        <v>3466361027</v>
      </c>
      <c r="I184" s="763" t="str">
        <f>IFERROR(__xludf.DUMMYFUNCTION("""COMPUTED_VALUE"""),"Verona")</f>
        <v>Verona</v>
      </c>
      <c r="J184" s="763" t="str">
        <f>IFERROR(__xludf.DUMMYFUNCTION("""COMPUTED_VALUE"""),"Corso Milano 19")</f>
        <v>Corso Milano 19</v>
      </c>
      <c r="K184" s="763">
        <f>IFERROR(__xludf.DUMMYFUNCTION("""COMPUTED_VALUE"""),37138.0)</f>
        <v>37138</v>
      </c>
      <c r="L184" s="763" t="str">
        <f>IFERROR(__xludf.DUMMYFUNCTION("""COMPUTED_VALUE"""),"Carte di pagamento")</f>
        <v>Carte di pagamento</v>
      </c>
      <c r="M184" s="763"/>
      <c r="N184" s="763" t="str">
        <f>IFERROR(__xludf.DUMMYFUNCTION("""COMPUTED_VALUE"""),"64913-1758727210")</f>
        <v>64913-1758727210</v>
      </c>
      <c r="O184" s="763">
        <f>IFERROR(__xludf.DUMMYFUNCTION("""COMPUTED_VALUE"""),0.0)</f>
        <v>0</v>
      </c>
      <c r="P184" s="767">
        <f>IFERROR(__xludf.DUMMYFUNCTION("""COMPUTED_VALUE"""),2.6666666666666665)</f>
        <v>2.666666667</v>
      </c>
      <c r="Q184" s="763" t="str">
        <f>IFERROR(__xludf.DUMMYFUNCTION("""COMPUTED_VALUE"""),"EUR")</f>
        <v>EUR</v>
      </c>
      <c r="R184" s="763">
        <f>IFERROR(__xludf.DUMMYFUNCTION("""COMPUTED_VALUE"""),567.0)</f>
        <v>567</v>
      </c>
      <c r="S184" s="763" t="str">
        <f>IFERROR(__xludf.DUMMYFUNCTION("""COMPUTED_VALUE"""),"Workshop Heels con Lulu Kulova - Workshop Lulu Heels")</f>
        <v>Workshop Heels con Lulu Kulova - Workshop Lulu Heels</v>
      </c>
      <c r="T184" s="763"/>
      <c r="U184" s="763"/>
      <c r="V184" s="763">
        <f>IFERROR(__xludf.DUMMYFUNCTION("""COMPUTED_VALUE"""),2.0)</f>
        <v>2</v>
      </c>
      <c r="W184" s="763">
        <f>IFERROR(__xludf.DUMMYFUNCTION("""COMPUTED_VALUE"""),32.0)</f>
        <v>32</v>
      </c>
      <c r="X184" s="763">
        <f>IFERROR(__xludf.DUMMYFUNCTION("""COMPUTED_VALUE"""),64.0)</f>
        <v>64</v>
      </c>
      <c r="Y184" s="763"/>
      <c r="Z184" s="768" t="str">
        <f>IFERROR(__xludf.DUMMYFUNCTION("""COMPUTED_VALUE"""),"https://studio-gem.it/wp-admin/post.php?post=64913&amp;action=edit")</f>
        <v>https://studio-gem.it/wp-admin/post.php?post=64913&amp;action=edit</v>
      </c>
      <c r="AA184" s="763"/>
      <c r="AB184" s="763"/>
      <c r="AC184" s="763"/>
      <c r="AD184" s="763"/>
      <c r="AE184" s="763"/>
      <c r="AF184" s="763"/>
      <c r="AG184" s="763"/>
      <c r="AH184" s="763"/>
      <c r="AI184" s="763"/>
      <c r="AJ184" s="763"/>
      <c r="AK184" s="763"/>
      <c r="AL184" s="763"/>
      <c r="AM184" s="763"/>
      <c r="AN184" s="763"/>
      <c r="AO184" s="763"/>
      <c r="AP184" s="763"/>
      <c r="AQ184" s="763"/>
      <c r="AR184" s="763"/>
      <c r="AS184" s="763"/>
      <c r="AT184" s="763"/>
      <c r="AU184" s="763"/>
      <c r="AV184" s="763"/>
      <c r="AW184" s="763"/>
      <c r="AX184" s="763"/>
      <c r="AY184" s="763"/>
      <c r="AZ184" s="763"/>
      <c r="BA184" s="763"/>
      <c r="BB184" s="763"/>
      <c r="BC184" s="763"/>
      <c r="BD184" s="763"/>
      <c r="BE184" s="763"/>
      <c r="BF184" s="763"/>
      <c r="BG184" s="763" t="b">
        <f>IFERROR(__xludf.DUMMYFUNCTION("""COMPUTED_VALUE"""),TRUE)</f>
        <v>1</v>
      </c>
      <c r="BH184" s="763" t="b">
        <f>IFERROR(__xludf.DUMMYFUNCTION("""COMPUTED_VALUE"""),TRUE)</f>
        <v>1</v>
      </c>
      <c r="BI184" s="763" t="b">
        <f>IFERROR(__xludf.DUMMYFUNCTION("""COMPUTED_VALUE"""),TRUE)</f>
        <v>1</v>
      </c>
      <c r="BJ184" s="763" t="b">
        <f>IFERROR(__xludf.DUMMYFUNCTION("""COMPUTED_VALUE"""),FALSE)</f>
        <v>0</v>
      </c>
    </row>
    <row r="185">
      <c r="A185" s="763">
        <f>IFERROR(__xludf.DUMMYFUNCTION("""COMPUTED_VALUE"""),64914.0)</f>
        <v>64914</v>
      </c>
      <c r="B185" s="763">
        <f>IFERROR(__xludf.DUMMYFUNCTION("""COMPUTED_VALUE"""),64914.0)</f>
        <v>64914</v>
      </c>
      <c r="C185" s="763" t="str">
        <f>IFERROR(__xludf.DUMMYFUNCTION("""COMPUTED_VALUE"""),"2025-09-24 15:56:12")</f>
        <v>2025-09-24 15:56:12</v>
      </c>
      <c r="D185" s="763" t="str">
        <f>IFERROR(__xludf.DUMMYFUNCTION("""COMPUTED_VALUE"""),"failed")</f>
        <v>failed</v>
      </c>
      <c r="E185" s="763" t="str">
        <f>IFERROR(__xludf.DUMMYFUNCTION("""COMPUTED_VALUE"""),"Camilla")</f>
        <v>Camilla</v>
      </c>
      <c r="F185" s="763" t="str">
        <f>IFERROR(__xludf.DUMMYFUNCTION("""COMPUTED_VALUE"""),"De Carlucci")</f>
        <v>De Carlucci</v>
      </c>
      <c r="G185" s="763" t="str">
        <f>IFERROR(__xludf.DUMMYFUNCTION("""COMPUTED_VALUE"""),"andrea.decarlucci@fintyre.it")</f>
        <v>andrea.decarlucci@fintyre.it</v>
      </c>
      <c r="H185" s="763">
        <f>IFERROR(__xludf.DUMMYFUNCTION("""COMPUTED_VALUE"""),3.357243289E9)</f>
        <v>3357243289</v>
      </c>
      <c r="I185" s="763" t="str">
        <f>IFERROR(__xludf.DUMMYFUNCTION("""COMPUTED_VALUE"""),"arese")</f>
        <v>arese</v>
      </c>
      <c r="J185" s="763" t="str">
        <f>IFERROR(__xludf.DUMMYFUNCTION("""COMPUTED_VALUE"""),"via Leopardi 39")</f>
        <v>via Leopardi 39</v>
      </c>
      <c r="K185" s="763">
        <f>IFERROR(__xludf.DUMMYFUNCTION("""COMPUTED_VALUE"""),20044.0)</f>
        <v>20044</v>
      </c>
      <c r="L185" s="763" t="str">
        <f>IFERROR(__xludf.DUMMYFUNCTION("""COMPUTED_VALUE"""),"Carte di pagamento")</f>
        <v>Carte di pagamento</v>
      </c>
      <c r="M185" s="763"/>
      <c r="N185" s="763"/>
      <c r="O185" s="763">
        <f>IFERROR(__xludf.DUMMYFUNCTION("""COMPUTED_VALUE"""),0.0)</f>
        <v>0</v>
      </c>
      <c r="P185" s="767">
        <f>IFERROR(__xludf.DUMMYFUNCTION("""COMPUTED_VALUE"""),1.3333333333333333)</f>
        <v>1.333333333</v>
      </c>
      <c r="Q185" s="763" t="str">
        <f>IFERROR(__xludf.DUMMYFUNCTION("""COMPUTED_VALUE"""),"EUR")</f>
        <v>EUR</v>
      </c>
      <c r="R185" s="763">
        <f>IFERROR(__xludf.DUMMYFUNCTION("""COMPUTED_VALUE"""),568.0)</f>
        <v>568</v>
      </c>
      <c r="S185" s="763" t="str">
        <f>IFERROR(__xludf.DUMMYFUNCTION("""COMPUTED_VALUE"""),"Workshop Afrofusion con Banana 2025 - Workshop Banana afrofusion")</f>
        <v>Workshop Afrofusion con Banana 2025 - Workshop Banana afrofusion</v>
      </c>
      <c r="T185" s="763"/>
      <c r="U185" s="763"/>
      <c r="V185" s="763">
        <f>IFERROR(__xludf.DUMMYFUNCTION("""COMPUTED_VALUE"""),1.0)</f>
        <v>1</v>
      </c>
      <c r="W185" s="763">
        <f>IFERROR(__xludf.DUMMYFUNCTION("""COMPUTED_VALUE"""),32.0)</f>
        <v>32</v>
      </c>
      <c r="X185" s="763">
        <f>IFERROR(__xludf.DUMMYFUNCTION("""COMPUTED_VALUE"""),32.0)</f>
        <v>32</v>
      </c>
      <c r="Y185" s="763"/>
      <c r="Z185" s="768" t="str">
        <f>IFERROR(__xludf.DUMMYFUNCTION("""COMPUTED_VALUE"""),"https://studio-gem.it/wp-admin/post.php?post=64914&amp;action=edit")</f>
        <v>https://studio-gem.it/wp-admin/post.php?post=64914&amp;action=edit</v>
      </c>
      <c r="AA185" s="763"/>
      <c r="AB185" s="763"/>
      <c r="AC185" s="763"/>
      <c r="AD185" s="763"/>
      <c r="AE185" s="763"/>
      <c r="AF185" s="763"/>
      <c r="AG185" s="763"/>
      <c r="AH185" s="763"/>
      <c r="AI185" s="763"/>
      <c r="AJ185" s="763"/>
      <c r="AK185" s="763"/>
      <c r="AL185" s="763"/>
      <c r="AM185" s="763"/>
      <c r="AN185" s="763"/>
      <c r="AO185" s="763"/>
      <c r="AP185" s="763"/>
      <c r="AQ185" s="763"/>
      <c r="AR185" s="763"/>
      <c r="AS185" s="763"/>
      <c r="AT185" s="763"/>
      <c r="AU185" s="763"/>
      <c r="AV185" s="763"/>
      <c r="AW185" s="763"/>
      <c r="AX185" s="763"/>
      <c r="AY185" s="763"/>
      <c r="AZ185" s="763"/>
      <c r="BA185" s="763"/>
      <c r="BB185" s="763"/>
      <c r="BC185" s="763"/>
      <c r="BD185" s="763"/>
      <c r="BE185" s="763"/>
      <c r="BF185" s="763"/>
      <c r="BG185" s="763" t="b">
        <f>IFERROR(__xludf.DUMMYFUNCTION("""COMPUTED_VALUE"""),FALSE)</f>
        <v>0</v>
      </c>
      <c r="BH185" s="763" t="b">
        <f>IFERROR(__xludf.DUMMYFUNCTION("""COMPUTED_VALUE"""),FALSE)</f>
        <v>0</v>
      </c>
      <c r="BI185" s="763" t="b">
        <f>IFERROR(__xludf.DUMMYFUNCTION("""COMPUTED_VALUE"""),FALSE)</f>
        <v>0</v>
      </c>
      <c r="BJ185" s="763" t="b">
        <f>IFERROR(__xludf.DUMMYFUNCTION("""COMPUTED_VALUE"""),FALSE)</f>
        <v>0</v>
      </c>
    </row>
    <row r="186">
      <c r="A186" s="763">
        <f>IFERROR(__xludf.DUMMYFUNCTION("""COMPUTED_VALUE"""),64914.0)</f>
        <v>64914</v>
      </c>
      <c r="B186" s="763">
        <f>IFERROR(__xludf.DUMMYFUNCTION("""COMPUTED_VALUE"""),64914.0)</f>
        <v>64914</v>
      </c>
      <c r="C186" s="763" t="str">
        <f>IFERROR(__xludf.DUMMYFUNCTION("""COMPUTED_VALUE"""),"2025-09-24 15:56:12")</f>
        <v>2025-09-24 15:56:12</v>
      </c>
      <c r="D186" s="763" t="str">
        <f>IFERROR(__xludf.DUMMYFUNCTION("""COMPUTED_VALUE"""),"failed")</f>
        <v>failed</v>
      </c>
      <c r="E186" s="763" t="str">
        <f>IFERROR(__xludf.DUMMYFUNCTION("""COMPUTED_VALUE"""),"Camilla")</f>
        <v>Camilla</v>
      </c>
      <c r="F186" s="763" t="str">
        <f>IFERROR(__xludf.DUMMYFUNCTION("""COMPUTED_VALUE"""),"De Carlucci")</f>
        <v>De Carlucci</v>
      </c>
      <c r="G186" s="763" t="str">
        <f>IFERROR(__xludf.DUMMYFUNCTION("""COMPUTED_VALUE"""),"andrea.decarlucci@fintyre.it")</f>
        <v>andrea.decarlucci@fintyre.it</v>
      </c>
      <c r="H186" s="763">
        <f>IFERROR(__xludf.DUMMYFUNCTION("""COMPUTED_VALUE"""),3.357243289E9)</f>
        <v>3357243289</v>
      </c>
      <c r="I186" s="763" t="str">
        <f>IFERROR(__xludf.DUMMYFUNCTION("""COMPUTED_VALUE"""),"arese")</f>
        <v>arese</v>
      </c>
      <c r="J186" s="763" t="str">
        <f>IFERROR(__xludf.DUMMYFUNCTION("""COMPUTED_VALUE"""),"via Leopardi 39")</f>
        <v>via Leopardi 39</v>
      </c>
      <c r="K186" s="763">
        <f>IFERROR(__xludf.DUMMYFUNCTION("""COMPUTED_VALUE"""),20020.0)</f>
        <v>20020</v>
      </c>
      <c r="L186" s="763" t="str">
        <f>IFERROR(__xludf.DUMMYFUNCTION("""COMPUTED_VALUE"""),"Carte di pagamento")</f>
        <v>Carte di pagamento</v>
      </c>
      <c r="M186" s="763"/>
      <c r="N186" s="763"/>
      <c r="O186" s="763">
        <f>IFERROR(__xludf.DUMMYFUNCTION("""COMPUTED_VALUE"""),0.0)</f>
        <v>0</v>
      </c>
      <c r="P186" s="767">
        <f>IFERROR(__xludf.DUMMYFUNCTION("""COMPUTED_VALUE"""),1.3333333333333333)</f>
        <v>1.333333333</v>
      </c>
      <c r="Q186" s="763" t="str">
        <f>IFERROR(__xludf.DUMMYFUNCTION("""COMPUTED_VALUE"""),"EUR")</f>
        <v>EUR</v>
      </c>
      <c r="R186" s="763">
        <f>IFERROR(__xludf.DUMMYFUNCTION("""COMPUTED_VALUE"""),571.0)</f>
        <v>571</v>
      </c>
      <c r="S186" s="763" t="str">
        <f>IFERROR(__xludf.DUMMYFUNCTION("""COMPUTED_VALUE"""),"Workshop Afrofusion con Banana 2025 - Workshop Banana afrofusion")</f>
        <v>Workshop Afrofusion con Banana 2025 - Workshop Banana afrofusion</v>
      </c>
      <c r="T186" s="763"/>
      <c r="U186" s="763"/>
      <c r="V186" s="763">
        <f>IFERROR(__xludf.DUMMYFUNCTION("""COMPUTED_VALUE"""),1.0)</f>
        <v>1</v>
      </c>
      <c r="W186" s="763">
        <f>IFERROR(__xludf.DUMMYFUNCTION("""COMPUTED_VALUE"""),32.0)</f>
        <v>32</v>
      </c>
      <c r="X186" s="763">
        <f>IFERROR(__xludf.DUMMYFUNCTION("""COMPUTED_VALUE"""),32.0)</f>
        <v>32</v>
      </c>
      <c r="Y186" s="763"/>
      <c r="Z186" s="768" t="str">
        <f>IFERROR(__xludf.DUMMYFUNCTION("""COMPUTED_VALUE"""),"https://studio-gem.it/wp-admin/post.php?post=64914&amp;action=edit")</f>
        <v>https://studio-gem.it/wp-admin/post.php?post=64914&amp;action=edit</v>
      </c>
      <c r="AA186" s="763"/>
      <c r="AB186" s="763"/>
      <c r="AC186" s="763"/>
      <c r="AD186" s="763"/>
      <c r="AE186" s="763"/>
      <c r="AF186" s="763"/>
      <c r="AG186" s="763"/>
      <c r="AH186" s="763"/>
      <c r="AI186" s="763"/>
      <c r="AJ186" s="763"/>
      <c r="AK186" s="763"/>
      <c r="AL186" s="763"/>
      <c r="AM186" s="763"/>
      <c r="AN186" s="763"/>
      <c r="AO186" s="763"/>
      <c r="AP186" s="763"/>
      <c r="AQ186" s="763"/>
      <c r="AR186" s="763"/>
      <c r="AS186" s="763"/>
      <c r="AT186" s="763"/>
      <c r="AU186" s="763"/>
      <c r="AV186" s="763"/>
      <c r="AW186" s="763"/>
      <c r="AX186" s="763"/>
      <c r="AY186" s="763"/>
      <c r="AZ186" s="763"/>
      <c r="BA186" s="763"/>
      <c r="BB186" s="763"/>
      <c r="BC186" s="763"/>
      <c r="BD186" s="763"/>
      <c r="BE186" s="763"/>
      <c r="BF186" s="763"/>
      <c r="BG186" s="763" t="b">
        <f>IFERROR(__xludf.DUMMYFUNCTION("""COMPUTED_VALUE"""),FALSE)</f>
        <v>0</v>
      </c>
      <c r="BH186" s="763" t="b">
        <f>IFERROR(__xludf.DUMMYFUNCTION("""COMPUTED_VALUE"""),FALSE)</f>
        <v>0</v>
      </c>
      <c r="BI186" s="763" t="b">
        <f>IFERROR(__xludf.DUMMYFUNCTION("""COMPUTED_VALUE"""),FALSE)</f>
        <v>0</v>
      </c>
      <c r="BJ186" s="763" t="b">
        <f>IFERROR(__xludf.DUMMYFUNCTION("""COMPUTED_VALUE"""),FALSE)</f>
        <v>0</v>
      </c>
    </row>
    <row r="187">
      <c r="A187" s="763">
        <f>IFERROR(__xludf.DUMMYFUNCTION("""COMPUTED_VALUE"""),64916.0)</f>
        <v>64916</v>
      </c>
      <c r="B187" s="763">
        <f>IFERROR(__xludf.DUMMYFUNCTION("""COMPUTED_VALUE"""),64916.0)</f>
        <v>64916</v>
      </c>
      <c r="C187" s="763" t="str">
        <f>IFERROR(__xludf.DUMMYFUNCTION("""COMPUTED_VALUE"""),"2025-09-24 17:48:05")</f>
        <v>2025-09-24 17:48:05</v>
      </c>
      <c r="D187" s="763" t="str">
        <f>IFERROR(__xludf.DUMMYFUNCTION("""COMPUTED_VALUE"""),"completed")</f>
        <v>completed</v>
      </c>
      <c r="E187" s="763" t="str">
        <f>IFERROR(__xludf.DUMMYFUNCTION("""COMPUTED_VALUE"""),"Camilla")</f>
        <v>Camilla</v>
      </c>
      <c r="F187" s="763" t="str">
        <f>IFERROR(__xludf.DUMMYFUNCTION("""COMPUTED_VALUE"""),"Goyt")</f>
        <v>Goyt</v>
      </c>
      <c r="G187" s="763" t="str">
        <f>IFERROR(__xludf.DUMMYFUNCTION("""COMPUTED_VALUE"""),"camigoyt@gmail.com")</f>
        <v>camigoyt@gmail.com</v>
      </c>
      <c r="H187" s="763" t="str">
        <f>IFERROR(__xludf.DUMMYFUNCTION("""COMPUTED_VALUE"""),"+33767892142")</f>
        <v>+33767892142</v>
      </c>
      <c r="I187" s="763" t="str">
        <f>IFERROR(__xludf.DUMMYFUNCTION("""COMPUTED_VALUE"""),"Cernusco Sul Naviglio")</f>
        <v>Cernusco Sul Naviglio</v>
      </c>
      <c r="J187" s="763" t="str">
        <f>IFERROR(__xludf.DUMMYFUNCTION("""COMPUTED_VALUE"""),"Via don Luigi sturzo 3")</f>
        <v>Via don Luigi sturzo 3</v>
      </c>
      <c r="K187" s="763">
        <f>IFERROR(__xludf.DUMMYFUNCTION("""COMPUTED_VALUE"""),20063.0)</f>
        <v>20063</v>
      </c>
      <c r="L187" s="763" t="str">
        <f>IFERROR(__xludf.DUMMYFUNCTION("""COMPUTED_VALUE"""),"Apple Pay")</f>
        <v>Apple Pay</v>
      </c>
      <c r="M187" s="763" t="str">
        <f>IFERROR(__xludf.DUMMYFUNCTION("""COMPUTED_VALUE"""),"nura02ws")</f>
        <v>nura02ws</v>
      </c>
      <c r="N187" s="763" t="str">
        <f>IFERROR(__xludf.DUMMYFUNCTION("""COMPUTED_VALUE"""),"64916-1758736086")</f>
        <v>64916-1758736086</v>
      </c>
      <c r="O187" s="763">
        <f>IFERROR(__xludf.DUMMYFUNCTION("""COMPUTED_VALUE"""),0.0)</f>
        <v>0</v>
      </c>
      <c r="P187" s="767">
        <f>IFERROR(__xludf.DUMMYFUNCTION("""COMPUTED_VALUE"""),1.25)</f>
        <v>1.25</v>
      </c>
      <c r="Q187" s="763" t="str">
        <f>IFERROR(__xludf.DUMMYFUNCTION("""COMPUTED_VALUE"""),"EUR")</f>
        <v>EUR</v>
      </c>
      <c r="R187" s="763">
        <f>IFERROR(__xludf.DUMMYFUNCTION("""COMPUTED_VALUE"""),572.0)</f>
        <v>572</v>
      </c>
      <c r="S187" s="763" t="str">
        <f>IFERROR(__xludf.DUMMYFUNCTION("""COMPUTED_VALUE"""),"Workshop Urban con Kumo - Workshop Kumo Urban")</f>
        <v>Workshop Urban con Kumo - Workshop Kumo Urban</v>
      </c>
      <c r="T187" s="763"/>
      <c r="U187" s="763"/>
      <c r="V187" s="763">
        <f>IFERROR(__xludf.DUMMYFUNCTION("""COMPUTED_VALUE"""),1.0)</f>
        <v>1</v>
      </c>
      <c r="W187" s="763">
        <f>IFERROR(__xludf.DUMMYFUNCTION("""COMPUTED_VALUE"""),30.0)</f>
        <v>30</v>
      </c>
      <c r="X187" s="763">
        <f>IFERROR(__xludf.DUMMYFUNCTION("""COMPUTED_VALUE"""),30.0)</f>
        <v>30</v>
      </c>
      <c r="Y187" s="763"/>
      <c r="Z187" s="768" t="str">
        <f>IFERROR(__xludf.DUMMYFUNCTION("""COMPUTED_VALUE"""),"https://studio-gem.it/wp-admin/post.php?post=64916&amp;action=edit")</f>
        <v>https://studio-gem.it/wp-admin/post.php?post=64916&amp;action=edit</v>
      </c>
      <c r="AA187" s="763"/>
      <c r="AB187" s="763"/>
      <c r="AC187" s="763"/>
      <c r="AD187" s="763"/>
      <c r="AE187" s="763"/>
      <c r="AF187" s="763"/>
      <c r="AG187" s="763"/>
      <c r="AH187" s="763"/>
      <c r="AI187" s="763"/>
      <c r="AJ187" s="763"/>
      <c r="AK187" s="763"/>
      <c r="AL187" s="763"/>
      <c r="AM187" s="763"/>
      <c r="AN187" s="763"/>
      <c r="AO187" s="763"/>
      <c r="AP187" s="763"/>
      <c r="AQ187" s="763"/>
      <c r="AR187" s="763"/>
      <c r="AS187" s="763"/>
      <c r="AT187" s="763"/>
      <c r="AU187" s="763"/>
      <c r="AV187" s="763"/>
      <c r="AW187" s="763"/>
      <c r="AX187" s="763"/>
      <c r="AY187" s="763"/>
      <c r="AZ187" s="763"/>
      <c r="BA187" s="763"/>
      <c r="BB187" s="763"/>
      <c r="BC187" s="763"/>
      <c r="BD187" s="763"/>
      <c r="BE187" s="763"/>
      <c r="BF187" s="763"/>
      <c r="BG187" s="763" t="b">
        <f>IFERROR(__xludf.DUMMYFUNCTION("""COMPUTED_VALUE"""),TRUE)</f>
        <v>1</v>
      </c>
      <c r="BH187" s="763" t="b">
        <f>IFERROR(__xludf.DUMMYFUNCTION("""COMPUTED_VALUE"""),TRUE)</f>
        <v>1</v>
      </c>
      <c r="BI187" s="763" t="b">
        <f>IFERROR(__xludf.DUMMYFUNCTION("""COMPUTED_VALUE"""),TRUE)</f>
        <v>1</v>
      </c>
      <c r="BJ187" s="763" t="b">
        <f>IFERROR(__xludf.DUMMYFUNCTION("""COMPUTED_VALUE"""),FALSE)</f>
        <v>0</v>
      </c>
    </row>
    <row r="188">
      <c r="A188" s="763">
        <f>IFERROR(__xludf.DUMMYFUNCTION("""COMPUTED_VALUE"""),64918.0)</f>
        <v>64918</v>
      </c>
      <c r="B188" s="763">
        <f>IFERROR(__xludf.DUMMYFUNCTION("""COMPUTED_VALUE"""),64918.0)</f>
        <v>64918</v>
      </c>
      <c r="C188" s="763" t="str">
        <f>IFERROR(__xludf.DUMMYFUNCTION("""COMPUTED_VALUE"""),"2025-09-24 21:20:50")</f>
        <v>2025-09-24 21:20:50</v>
      </c>
      <c r="D188" s="763" t="str">
        <f>IFERROR(__xludf.DUMMYFUNCTION("""COMPUTED_VALUE"""),"processing")</f>
        <v>processing</v>
      </c>
      <c r="E188" s="763" t="str">
        <f>IFERROR(__xludf.DUMMYFUNCTION("""COMPUTED_VALUE"""),"Daria")</f>
        <v>Daria</v>
      </c>
      <c r="F188" s="763" t="str">
        <f>IFERROR(__xludf.DUMMYFUNCTION("""COMPUTED_VALUE"""),"Shaikhmiden")</f>
        <v>Shaikhmiden</v>
      </c>
      <c r="G188" s="763" t="str">
        <f>IFERROR(__xludf.DUMMYFUNCTION("""COMPUTED_VALUE"""),"dariash29@gmail.com")</f>
        <v>dariash29@gmail.com</v>
      </c>
      <c r="H188" s="763">
        <f>IFERROR(__xludf.DUMMYFUNCTION("""COMPUTED_VALUE"""),3.519764843E9)</f>
        <v>3519764843</v>
      </c>
      <c r="I188" s="763" t="str">
        <f>IFERROR(__xludf.DUMMYFUNCTION("""COMPUTED_VALUE"""),"Roma")</f>
        <v>Roma</v>
      </c>
      <c r="J188" s="763" t="str">
        <f>IFERROR(__xludf.DUMMYFUNCTION("""COMPUTED_VALUE"""),"Via Cristoforo Colombo 436")</f>
        <v>Via Cristoforo Colombo 436</v>
      </c>
      <c r="K188" s="763">
        <f>IFERROR(__xludf.DUMMYFUNCTION("""COMPUTED_VALUE"""),145.0)</f>
        <v>145</v>
      </c>
      <c r="L188" s="763" t="str">
        <f>IFERROR(__xludf.DUMMYFUNCTION("""COMPUTED_VALUE"""),"Carte di pagamento")</f>
        <v>Carte di pagamento</v>
      </c>
      <c r="M188" s="763"/>
      <c r="N188" s="763" t="str">
        <f>IFERROR(__xludf.DUMMYFUNCTION("""COMPUTED_VALUE"""),"64918-1758748851")</f>
        <v>64918-1758748851</v>
      </c>
      <c r="O188" s="763">
        <f>IFERROR(__xludf.DUMMYFUNCTION("""COMPUTED_VALUE"""),0.0)</f>
        <v>0</v>
      </c>
      <c r="P188" s="767">
        <f>IFERROR(__xludf.DUMMYFUNCTION("""COMPUTED_VALUE"""),1.3333333333333333)</f>
        <v>1.333333333</v>
      </c>
      <c r="Q188" s="763" t="str">
        <f>IFERROR(__xludf.DUMMYFUNCTION("""COMPUTED_VALUE"""),"EUR")</f>
        <v>EUR</v>
      </c>
      <c r="R188" s="763">
        <f>IFERROR(__xludf.DUMMYFUNCTION("""COMPUTED_VALUE"""),574.0)</f>
        <v>574</v>
      </c>
      <c r="S188" s="763" t="str">
        <f>IFERROR(__xludf.DUMMYFUNCTION("""COMPUTED_VALUE"""),"Workshop Heels con Lulu Kulova - Workshop Lulu Heels")</f>
        <v>Workshop Heels con Lulu Kulova - Workshop Lulu Heels</v>
      </c>
      <c r="T188" s="763"/>
      <c r="U188" s="763"/>
      <c r="V188" s="763">
        <f>IFERROR(__xludf.DUMMYFUNCTION("""COMPUTED_VALUE"""),1.0)</f>
        <v>1</v>
      </c>
      <c r="W188" s="763">
        <f>IFERROR(__xludf.DUMMYFUNCTION("""COMPUTED_VALUE"""),32.0)</f>
        <v>32</v>
      </c>
      <c r="X188" s="763">
        <f>IFERROR(__xludf.DUMMYFUNCTION("""COMPUTED_VALUE"""),32.0)</f>
        <v>32</v>
      </c>
      <c r="Y188" s="763"/>
      <c r="Z188" s="768" t="str">
        <f>IFERROR(__xludf.DUMMYFUNCTION("""COMPUTED_VALUE"""),"https://studio-gem.it/wp-admin/post.php?post=64918&amp;action=edit")</f>
        <v>https://studio-gem.it/wp-admin/post.php?post=64918&amp;action=edit</v>
      </c>
      <c r="AA188" s="763"/>
      <c r="AB188" s="763"/>
      <c r="AC188" s="763"/>
      <c r="AD188" s="763"/>
      <c r="AE188" s="763"/>
      <c r="AF188" s="763"/>
      <c r="AG188" s="763"/>
      <c r="AH188" s="763"/>
      <c r="AI188" s="763"/>
      <c r="AJ188" s="763"/>
      <c r="AK188" s="763"/>
      <c r="AL188" s="763"/>
      <c r="AM188" s="763"/>
      <c r="AN188" s="763"/>
      <c r="AO188" s="763"/>
      <c r="AP188" s="763"/>
      <c r="AQ188" s="763"/>
      <c r="AR188" s="763"/>
      <c r="AS188" s="763"/>
      <c r="AT188" s="763"/>
      <c r="AU188" s="763"/>
      <c r="AV188" s="763"/>
      <c r="AW188" s="763"/>
      <c r="AX188" s="763"/>
      <c r="AY188" s="763"/>
      <c r="AZ188" s="763"/>
      <c r="BA188" s="763"/>
      <c r="BB188" s="763"/>
      <c r="BC188" s="763"/>
      <c r="BD188" s="763"/>
      <c r="BE188" s="763"/>
      <c r="BF188" s="763"/>
      <c r="BG188" s="763" t="b">
        <f>IFERROR(__xludf.DUMMYFUNCTION("""COMPUTED_VALUE"""),TRUE)</f>
        <v>1</v>
      </c>
      <c r="BH188" s="763" t="b">
        <f>IFERROR(__xludf.DUMMYFUNCTION("""COMPUTED_VALUE"""),TRUE)</f>
        <v>1</v>
      </c>
      <c r="BI188" s="763" t="b">
        <f>IFERROR(__xludf.DUMMYFUNCTION("""COMPUTED_VALUE"""),TRUE)</f>
        <v>1</v>
      </c>
      <c r="BJ188" s="763" t="b">
        <f>IFERROR(__xludf.DUMMYFUNCTION("""COMPUTED_VALUE"""),FALSE)</f>
        <v>0</v>
      </c>
    </row>
    <row r="189">
      <c r="A189" s="763">
        <f>IFERROR(__xludf.DUMMYFUNCTION("""COMPUTED_VALUE"""),64921.0)</f>
        <v>64921</v>
      </c>
      <c r="B189" s="763">
        <f>IFERROR(__xludf.DUMMYFUNCTION("""COMPUTED_VALUE"""),64921.0)</f>
        <v>64921</v>
      </c>
      <c r="C189" s="763" t="str">
        <f>IFERROR(__xludf.DUMMYFUNCTION("""COMPUTED_VALUE"""),"2025-09-25 08:01:07")</f>
        <v>2025-09-25 08:01:07</v>
      </c>
      <c r="D189" s="763" t="str">
        <f>IFERROR(__xludf.DUMMYFUNCTION("""COMPUTED_VALUE"""),"completed")</f>
        <v>completed</v>
      </c>
      <c r="E189" s="763" t="str">
        <f>IFERROR(__xludf.DUMMYFUNCTION("""COMPUTED_VALUE"""),"Giorgia")</f>
        <v>Giorgia</v>
      </c>
      <c r="F189" s="763" t="str">
        <f>IFERROR(__xludf.DUMMYFUNCTION("""COMPUTED_VALUE"""),"Massa")</f>
        <v>Massa</v>
      </c>
      <c r="G189" s="763" t="str">
        <f>IFERROR(__xludf.DUMMYFUNCTION("""COMPUTED_VALUE"""),"giorgia.massa@hotmail.it")</f>
        <v>giorgia.massa@hotmail.it</v>
      </c>
      <c r="H189" s="763">
        <f>IFERROR(__xludf.DUMMYFUNCTION("""COMPUTED_VALUE"""),3.3376137E9)</f>
        <v>3337613700</v>
      </c>
      <c r="I189" s="763" t="str">
        <f>IFERROR(__xludf.DUMMYFUNCTION("""COMPUTED_VALUE"""),"Tetti Francesi di Rivalta di Torino")</f>
        <v>Tetti Francesi di Rivalta di Torino</v>
      </c>
      <c r="J189" s="763" t="str">
        <f>IFERROR(__xludf.DUMMYFUNCTION("""COMPUTED_VALUE"""),"Via Boves 28")</f>
        <v>Via Boves 28</v>
      </c>
      <c r="K189" s="763">
        <f>IFERROR(__xludf.DUMMYFUNCTION("""COMPUTED_VALUE"""),10040.0)</f>
        <v>10040</v>
      </c>
      <c r="L189" s="763" t="str">
        <f>IFERROR(__xludf.DUMMYFUNCTION("""COMPUTED_VALUE"""),"Carte di pagamento")</f>
        <v>Carte di pagamento</v>
      </c>
      <c r="M189" s="763"/>
      <c r="N189" s="763" t="str">
        <f>IFERROR(__xludf.DUMMYFUNCTION("""COMPUTED_VALUE"""),"64921-1758787268")</f>
        <v>64921-1758787268</v>
      </c>
      <c r="O189" s="763">
        <f>IFERROR(__xludf.DUMMYFUNCTION("""COMPUTED_VALUE"""),0.0)</f>
        <v>0</v>
      </c>
      <c r="P189" s="767">
        <f>IFERROR(__xludf.DUMMYFUNCTION("""COMPUTED_VALUE"""),2.25)</f>
        <v>2.25</v>
      </c>
      <c r="Q189" s="763" t="str">
        <f>IFERROR(__xludf.DUMMYFUNCTION("""COMPUTED_VALUE"""),"EUR")</f>
        <v>EUR</v>
      </c>
      <c r="R189" s="763">
        <f>IFERROR(__xludf.DUMMYFUNCTION("""COMPUTED_VALUE"""),575.0)</f>
        <v>575</v>
      </c>
      <c r="S189" s="763" t="str">
        <f>IFERROR(__xludf.DUMMYFUNCTION("""COMPUTED_VALUE"""),"Workshop Indian Fusion con Leli - Workshop Leli Indian Fusion")</f>
        <v>Workshop Indian Fusion con Leli - Workshop Leli Indian Fusion</v>
      </c>
      <c r="T189" s="763"/>
      <c r="U189" s="763"/>
      <c r="V189" s="763">
        <f>IFERROR(__xludf.DUMMYFUNCTION("""COMPUTED_VALUE"""),2.0)</f>
        <v>2</v>
      </c>
      <c r="W189" s="763">
        <f>IFERROR(__xludf.DUMMYFUNCTION("""COMPUTED_VALUE"""),27.0)</f>
        <v>27</v>
      </c>
      <c r="X189" s="763">
        <f>IFERROR(__xludf.DUMMYFUNCTION("""COMPUTED_VALUE"""),54.0)</f>
        <v>54</v>
      </c>
      <c r="Y189" s="763"/>
      <c r="Z189" s="768" t="str">
        <f>IFERROR(__xludf.DUMMYFUNCTION("""COMPUTED_VALUE"""),"https://studio-gem.it/wp-admin/post.php?post=64921&amp;action=edit")</f>
        <v>https://studio-gem.it/wp-admin/post.php?post=64921&amp;action=edit</v>
      </c>
      <c r="AA189" s="763"/>
      <c r="AB189" s="763"/>
      <c r="AC189" s="763"/>
      <c r="AD189" s="763"/>
      <c r="AE189" s="763"/>
      <c r="AF189" s="763"/>
      <c r="AG189" s="763"/>
      <c r="AH189" s="763"/>
      <c r="AI189" s="763"/>
      <c r="AJ189" s="763"/>
      <c r="AK189" s="763"/>
      <c r="AL189" s="763"/>
      <c r="AM189" s="763"/>
      <c r="AN189" s="763"/>
      <c r="AO189" s="763"/>
      <c r="AP189" s="763"/>
      <c r="AQ189" s="763"/>
      <c r="AR189" s="763"/>
      <c r="AS189" s="763"/>
      <c r="AT189" s="763"/>
      <c r="AU189" s="763"/>
      <c r="AV189" s="763"/>
      <c r="AW189" s="763"/>
      <c r="AX189" s="763"/>
      <c r="AY189" s="763"/>
      <c r="AZ189" s="763"/>
      <c r="BA189" s="763"/>
      <c r="BB189" s="763"/>
      <c r="BC189" s="763"/>
      <c r="BD189" s="763"/>
      <c r="BE189" s="763"/>
      <c r="BF189" s="763"/>
      <c r="BG189" s="763" t="b">
        <f>IFERROR(__xludf.DUMMYFUNCTION("""COMPUTED_VALUE"""),TRUE)</f>
        <v>1</v>
      </c>
      <c r="BH189" s="763" t="b">
        <f>IFERROR(__xludf.DUMMYFUNCTION("""COMPUTED_VALUE"""),TRUE)</f>
        <v>1</v>
      </c>
      <c r="BI189" s="763" t="b">
        <f>IFERROR(__xludf.DUMMYFUNCTION("""COMPUTED_VALUE"""),TRUE)</f>
        <v>1</v>
      </c>
      <c r="BJ189" s="763" t="b">
        <f>IFERROR(__xludf.DUMMYFUNCTION("""COMPUTED_VALUE"""),TRUE)</f>
        <v>1</v>
      </c>
    </row>
    <row r="190">
      <c r="A190" s="763">
        <f>IFERROR(__xludf.DUMMYFUNCTION("""COMPUTED_VALUE"""),64929.0)</f>
        <v>64929</v>
      </c>
      <c r="B190" s="763">
        <f>IFERROR(__xludf.DUMMYFUNCTION("""COMPUTED_VALUE"""),64929.0)</f>
        <v>64929</v>
      </c>
      <c r="C190" s="763" t="str">
        <f>IFERROR(__xludf.DUMMYFUNCTION("""COMPUTED_VALUE"""),"2025-09-25 11:10:19")</f>
        <v>2025-09-25 11:10:19</v>
      </c>
      <c r="D190" s="763" t="str">
        <f>IFERROR(__xludf.DUMMYFUNCTION("""COMPUTED_VALUE"""),"completed")</f>
        <v>completed</v>
      </c>
      <c r="E190" s="763" t="str">
        <f>IFERROR(__xludf.DUMMYFUNCTION("""COMPUTED_VALUE"""),"MICAELA")</f>
        <v>MICAELA</v>
      </c>
      <c r="F190" s="763" t="str">
        <f>IFERROR(__xludf.DUMMYFUNCTION("""COMPUTED_VALUE"""),"TURCONI")</f>
        <v>TURCONI</v>
      </c>
      <c r="G190" s="763" t="str">
        <f>IFERROR(__xludf.DUMMYFUNCTION("""COMPUTED_VALUE"""),"micaelaturconi@gmail.com")</f>
        <v>micaelaturconi@gmail.com</v>
      </c>
      <c r="H190" s="763">
        <f>IFERROR(__xludf.DUMMYFUNCTION("""COMPUTED_VALUE"""),3.351288137E9)</f>
        <v>3351288137</v>
      </c>
      <c r="I190" s="763" t="str">
        <f>IFERROR(__xludf.DUMMYFUNCTION("""COMPUTED_VALUE"""),"Arese")</f>
        <v>Arese</v>
      </c>
      <c r="J190" s="763" t="str">
        <f>IFERROR(__xludf.DUMMYFUNCTION("""COMPUTED_VALUE"""),"Giacomo Leopardi 39")</f>
        <v>Giacomo Leopardi 39</v>
      </c>
      <c r="K190" s="763">
        <f>IFERROR(__xludf.DUMMYFUNCTION("""COMPUTED_VALUE"""),20044.0)</f>
        <v>20044</v>
      </c>
      <c r="L190" s="763" t="str">
        <f>IFERROR(__xludf.DUMMYFUNCTION("""COMPUTED_VALUE"""),"Carte di pagamento")</f>
        <v>Carte di pagamento</v>
      </c>
      <c r="M190" s="763"/>
      <c r="N190" s="763" t="str">
        <f>IFERROR(__xludf.DUMMYFUNCTION("""COMPUTED_VALUE"""),"64929-1758798621")</f>
        <v>64929-1758798621</v>
      </c>
      <c r="O190" s="763">
        <f>IFERROR(__xludf.DUMMYFUNCTION("""COMPUTED_VALUE"""),0.0)</f>
        <v>0</v>
      </c>
      <c r="P190" s="767">
        <f>IFERROR(__xludf.DUMMYFUNCTION("""COMPUTED_VALUE"""),1.3333333333333333)</f>
        <v>1.333333333</v>
      </c>
      <c r="Q190" s="763" t="str">
        <f>IFERROR(__xludf.DUMMYFUNCTION("""COMPUTED_VALUE"""),"EUR")</f>
        <v>EUR</v>
      </c>
      <c r="R190" s="763">
        <f>IFERROR(__xludf.DUMMYFUNCTION("""COMPUTED_VALUE"""),576.0)</f>
        <v>576</v>
      </c>
      <c r="S190" s="763" t="str">
        <f>IFERROR(__xludf.DUMMYFUNCTION("""COMPUTED_VALUE"""),"Workshop Afrofusion con Banana 2025 - Workshop Banana afrofusion")</f>
        <v>Workshop Afrofusion con Banana 2025 - Workshop Banana afrofusion</v>
      </c>
      <c r="T190" s="763"/>
      <c r="U190" s="763"/>
      <c r="V190" s="763">
        <f>IFERROR(__xludf.DUMMYFUNCTION("""COMPUTED_VALUE"""),1.0)</f>
        <v>1</v>
      </c>
      <c r="W190" s="763">
        <f>IFERROR(__xludf.DUMMYFUNCTION("""COMPUTED_VALUE"""),32.0)</f>
        <v>32</v>
      </c>
      <c r="X190" s="763">
        <f>IFERROR(__xludf.DUMMYFUNCTION("""COMPUTED_VALUE"""),32.0)</f>
        <v>32</v>
      </c>
      <c r="Y190" s="763"/>
      <c r="Z190" s="768" t="str">
        <f>IFERROR(__xludf.DUMMYFUNCTION("""COMPUTED_VALUE"""),"https://studio-gem.it/wp-admin/post.php?post=64929&amp;action=edit")</f>
        <v>https://studio-gem.it/wp-admin/post.php?post=64929&amp;action=edit</v>
      </c>
      <c r="AA190" s="763"/>
      <c r="AB190" s="763"/>
      <c r="AC190" s="763"/>
      <c r="AD190" s="763"/>
      <c r="AE190" s="763"/>
      <c r="AF190" s="763"/>
      <c r="AG190" s="763"/>
      <c r="AH190" s="763"/>
      <c r="AI190" s="763"/>
      <c r="AJ190" s="763"/>
      <c r="AK190" s="763"/>
      <c r="AL190" s="763"/>
      <c r="AM190" s="763"/>
      <c r="AN190" s="763"/>
      <c r="AO190" s="763"/>
      <c r="AP190" s="763"/>
      <c r="AQ190" s="763"/>
      <c r="AR190" s="763"/>
      <c r="AS190" s="763"/>
      <c r="AT190" s="763"/>
      <c r="AU190" s="763"/>
      <c r="AV190" s="763"/>
      <c r="AW190" s="763"/>
      <c r="AX190" s="763"/>
      <c r="AY190" s="763"/>
      <c r="AZ190" s="763"/>
      <c r="BA190" s="763"/>
      <c r="BB190" s="763"/>
      <c r="BC190" s="763"/>
      <c r="BD190" s="763"/>
      <c r="BE190" s="763"/>
      <c r="BF190" s="763"/>
      <c r="BG190" s="763" t="b">
        <f>IFERROR(__xludf.DUMMYFUNCTION("""COMPUTED_VALUE"""),TRUE)</f>
        <v>1</v>
      </c>
      <c r="BH190" s="763" t="b">
        <f>IFERROR(__xludf.DUMMYFUNCTION("""COMPUTED_VALUE"""),TRUE)</f>
        <v>1</v>
      </c>
      <c r="BI190" s="763" t="b">
        <f>IFERROR(__xludf.DUMMYFUNCTION("""COMPUTED_VALUE"""),TRUE)</f>
        <v>1</v>
      </c>
      <c r="BJ190" s="763" t="b">
        <f>IFERROR(__xludf.DUMMYFUNCTION("""COMPUTED_VALUE"""),FALSE)</f>
        <v>0</v>
      </c>
    </row>
    <row r="191">
      <c r="A191" s="763">
        <f>IFERROR(__xludf.DUMMYFUNCTION("""COMPUTED_VALUE"""),64932.0)</f>
        <v>64932</v>
      </c>
      <c r="B191" s="763">
        <f>IFERROR(__xludf.DUMMYFUNCTION("""COMPUTED_VALUE"""),64932.0)</f>
        <v>64932</v>
      </c>
      <c r="C191" s="763" t="str">
        <f>IFERROR(__xludf.DUMMYFUNCTION("""COMPUTED_VALUE"""),"2025-09-25 20:54:19")</f>
        <v>2025-09-25 20:54:19</v>
      </c>
      <c r="D191" s="763" t="str">
        <f>IFERROR(__xludf.DUMMYFUNCTION("""COMPUTED_VALUE"""),"completed")</f>
        <v>completed</v>
      </c>
      <c r="E191" s="763" t="str">
        <f>IFERROR(__xludf.DUMMYFUNCTION("""COMPUTED_VALUE"""),"Valentina")</f>
        <v>Valentina</v>
      </c>
      <c r="F191" s="763" t="str">
        <f>IFERROR(__xludf.DUMMYFUNCTION("""COMPUTED_VALUE"""),"Coen")</f>
        <v>Coen</v>
      </c>
      <c r="G191" s="763" t="str">
        <f>IFERROR(__xludf.DUMMYFUNCTION("""COMPUTED_VALUE"""),"valentinacoen@gmail.com")</f>
        <v>valentinacoen@gmail.com</v>
      </c>
      <c r="H191" s="763">
        <f>IFERROR(__xludf.DUMMYFUNCTION("""COMPUTED_VALUE"""),3.487711779E9)</f>
        <v>3487711779</v>
      </c>
      <c r="I191" s="763" t="str">
        <f>IFERROR(__xludf.DUMMYFUNCTION("""COMPUTED_VALUE"""),"Milano")</f>
        <v>Milano</v>
      </c>
      <c r="J191" s="763" t="str">
        <f>IFERROR(__xludf.DUMMYFUNCTION("""COMPUTED_VALUE"""),"Viale bligny 54")</f>
        <v>Viale bligny 54</v>
      </c>
      <c r="K191" s="763">
        <f>IFERROR(__xludf.DUMMYFUNCTION("""COMPUTED_VALUE"""),20136.0)</f>
        <v>20136</v>
      </c>
      <c r="L191" s="763"/>
      <c r="M191" s="763"/>
      <c r="N191" s="763"/>
      <c r="O191" s="763">
        <f>IFERROR(__xludf.DUMMYFUNCTION("""COMPUTED_VALUE"""),0.0)</f>
        <v>0</v>
      </c>
      <c r="P191" s="767">
        <f>IFERROR(__xludf.DUMMYFUNCTION("""COMPUTED_VALUE"""),0.0)</f>
        <v>0</v>
      </c>
      <c r="Q191" s="763" t="str">
        <f>IFERROR(__xludf.DUMMYFUNCTION("""COMPUTED_VALUE"""),"EUR")</f>
        <v>EUR</v>
      </c>
      <c r="R191" s="763">
        <f>IFERROR(__xludf.DUMMYFUNCTION("""COMPUTED_VALUE"""),577.0)</f>
        <v>577</v>
      </c>
      <c r="S191" s="763" t="str">
        <f>IFERROR(__xludf.DUMMYFUNCTION("""COMPUTED_VALUE"""),"Domeniche in movimento - Gratuito per open ballo  Gestualità afro cubana")</f>
        <v>Domeniche in movimento - Gratuito per open ballo  Gestualità afro cubana</v>
      </c>
      <c r="T191" s="763"/>
      <c r="U191" s="763"/>
      <c r="V191" s="763">
        <f>IFERROR(__xludf.DUMMYFUNCTION("""COMPUTED_VALUE"""),1.0)</f>
        <v>1</v>
      </c>
      <c r="W191" s="763">
        <f>IFERROR(__xludf.DUMMYFUNCTION("""COMPUTED_VALUE"""),0.0)</f>
        <v>0</v>
      </c>
      <c r="X191" s="763">
        <f>IFERROR(__xludf.DUMMYFUNCTION("""COMPUTED_VALUE"""),0.0)</f>
        <v>0</v>
      </c>
      <c r="Y191" s="763"/>
      <c r="Z191" s="768" t="str">
        <f>IFERROR(__xludf.DUMMYFUNCTION("""COMPUTED_VALUE"""),"https://studio-gem.it/wp-admin/post.php?post=64932&amp;action=edit")</f>
        <v>https://studio-gem.it/wp-admin/post.php?post=64932&amp;action=edit</v>
      </c>
      <c r="AA191" s="763"/>
      <c r="AB191" s="763"/>
      <c r="AC191" s="763"/>
      <c r="AD191" s="763"/>
      <c r="AE191" s="763"/>
      <c r="AF191" s="763"/>
      <c r="AG191" s="763"/>
      <c r="AH191" s="763"/>
      <c r="AI191" s="763"/>
      <c r="AJ191" s="763"/>
      <c r="AK191" s="763"/>
      <c r="AL191" s="763"/>
      <c r="AM191" s="763"/>
      <c r="AN191" s="763"/>
      <c r="AO191" s="763"/>
      <c r="AP191" s="763"/>
      <c r="AQ191" s="763"/>
      <c r="AR191" s="763"/>
      <c r="AS191" s="763"/>
      <c r="AT191" s="763"/>
      <c r="AU191" s="763"/>
      <c r="AV191" s="763"/>
      <c r="AW191" s="763"/>
      <c r="AX191" s="763"/>
      <c r="AY191" s="763"/>
      <c r="AZ191" s="763"/>
      <c r="BA191" s="763"/>
      <c r="BB191" s="763"/>
      <c r="BC191" s="763"/>
      <c r="BD191" s="763"/>
      <c r="BE191" s="763"/>
      <c r="BF191" s="763"/>
      <c r="BG191" s="763" t="b">
        <f>IFERROR(__xludf.DUMMYFUNCTION("""COMPUTED_VALUE"""),TRUE)</f>
        <v>1</v>
      </c>
      <c r="BH191" s="763" t="b">
        <f>IFERROR(__xludf.DUMMYFUNCTION("""COMPUTED_VALUE"""),FALSE)</f>
        <v>0</v>
      </c>
      <c r="BI191" s="763" t="b">
        <f>IFERROR(__xludf.DUMMYFUNCTION("""COMPUTED_VALUE"""),TRUE)</f>
        <v>1</v>
      </c>
      <c r="BJ191" s="763" t="b">
        <f>IFERROR(__xludf.DUMMYFUNCTION("""COMPUTED_VALUE"""),FALSE)</f>
        <v>0</v>
      </c>
    </row>
    <row r="192">
      <c r="A192" s="763">
        <f>IFERROR(__xludf.DUMMYFUNCTION("""COMPUTED_VALUE"""),64934.0)</f>
        <v>64934</v>
      </c>
      <c r="B192" s="763">
        <f>IFERROR(__xludf.DUMMYFUNCTION("""COMPUTED_VALUE"""),64934.0)</f>
        <v>64934</v>
      </c>
      <c r="C192" s="763" t="str">
        <f>IFERROR(__xludf.DUMMYFUNCTION("""COMPUTED_VALUE"""),"2025-09-26 07:51:31")</f>
        <v>2025-09-26 07:51:31</v>
      </c>
      <c r="D192" s="763" t="str">
        <f>IFERROR(__xludf.DUMMYFUNCTION("""COMPUTED_VALUE"""),"completed")</f>
        <v>completed</v>
      </c>
      <c r="E192" s="763" t="str">
        <f>IFERROR(__xludf.DUMMYFUNCTION("""COMPUTED_VALUE"""),"Katia")</f>
        <v>Katia</v>
      </c>
      <c r="F192" s="763" t="str">
        <f>IFERROR(__xludf.DUMMYFUNCTION("""COMPUTED_VALUE"""),"Vossio")</f>
        <v>Vossio</v>
      </c>
      <c r="G192" s="763" t="str">
        <f>IFERROR(__xludf.DUMMYFUNCTION("""COMPUTED_VALUE"""),"katia.vossio@katamail.com")</f>
        <v>katia.vossio@katamail.com</v>
      </c>
      <c r="H192" s="763">
        <f>IFERROR(__xludf.DUMMYFUNCTION("""COMPUTED_VALUE"""),3.478540691E9)</f>
        <v>3478540691</v>
      </c>
      <c r="I192" s="763" t="str">
        <f>IFERROR(__xludf.DUMMYFUNCTION("""COMPUTED_VALUE"""),"Milano")</f>
        <v>Milano</v>
      </c>
      <c r="J192" s="763" t="str">
        <f>IFERROR(__xludf.DUMMYFUNCTION("""COMPUTED_VALUE"""),"Via santa sofia 22")</f>
        <v>Via santa sofia 22</v>
      </c>
      <c r="K192" s="763">
        <f>IFERROR(__xludf.DUMMYFUNCTION("""COMPUTED_VALUE"""),20122.0)</f>
        <v>20122</v>
      </c>
      <c r="L192" s="763"/>
      <c r="M192" s="763"/>
      <c r="N192" s="763"/>
      <c r="O192" s="763">
        <f>IFERROR(__xludf.DUMMYFUNCTION("""COMPUTED_VALUE"""),0.0)</f>
        <v>0</v>
      </c>
      <c r="P192" s="767">
        <f>IFERROR(__xludf.DUMMYFUNCTION("""COMPUTED_VALUE"""),0.0)</f>
        <v>0</v>
      </c>
      <c r="Q192" s="763" t="str">
        <f>IFERROR(__xludf.DUMMYFUNCTION("""COMPUTED_VALUE"""),"EUR")</f>
        <v>EUR</v>
      </c>
      <c r="R192" s="763">
        <f>IFERROR(__xludf.DUMMYFUNCTION("""COMPUTED_VALUE"""),578.0)</f>
        <v>578</v>
      </c>
      <c r="S192" s="763" t="str">
        <f>IFERROR(__xludf.DUMMYFUNCTION("""COMPUTED_VALUE"""),"Domeniche in movimento - Gratuito per open fitness e open mattino 1 lezione dalle 10 alle 11.50")</f>
        <v>Domeniche in movimento - Gratuito per open fitness e open mattino 1 lezione dalle 10 alle 11.50</v>
      </c>
      <c r="T192" s="763"/>
      <c r="U192" s="763"/>
      <c r="V192" s="763">
        <f>IFERROR(__xludf.DUMMYFUNCTION("""COMPUTED_VALUE"""),1.0)</f>
        <v>1</v>
      </c>
      <c r="W192" s="763">
        <f>IFERROR(__xludf.DUMMYFUNCTION("""COMPUTED_VALUE"""),0.0)</f>
        <v>0</v>
      </c>
      <c r="X192" s="763">
        <f>IFERROR(__xludf.DUMMYFUNCTION("""COMPUTED_VALUE"""),0.0)</f>
        <v>0</v>
      </c>
      <c r="Y192" s="763"/>
      <c r="Z192" s="768" t="str">
        <f>IFERROR(__xludf.DUMMYFUNCTION("""COMPUTED_VALUE"""),"https://studio-gem.it/wp-admin/post.php?post=64934&amp;action=edit")</f>
        <v>https://studio-gem.it/wp-admin/post.php?post=64934&amp;action=edit</v>
      </c>
      <c r="AA192" s="763"/>
      <c r="AB192" s="763"/>
      <c r="AC192" s="763"/>
      <c r="AD192" s="763"/>
      <c r="AE192" s="763"/>
      <c r="AF192" s="763"/>
      <c r="AG192" s="763"/>
      <c r="AH192" s="763"/>
      <c r="AI192" s="763"/>
      <c r="AJ192" s="763"/>
      <c r="AK192" s="763"/>
      <c r="AL192" s="763"/>
      <c r="AM192" s="763"/>
      <c r="AN192" s="763"/>
      <c r="AO192" s="763"/>
      <c r="AP192" s="763"/>
      <c r="AQ192" s="763"/>
      <c r="AR192" s="763"/>
      <c r="AS192" s="763"/>
      <c r="AT192" s="763"/>
      <c r="AU192" s="763"/>
      <c r="AV192" s="763"/>
      <c r="AW192" s="763"/>
      <c r="AX192" s="763"/>
      <c r="AY192" s="763"/>
      <c r="AZ192" s="763"/>
      <c r="BA192" s="763"/>
      <c r="BB192" s="763"/>
      <c r="BC192" s="763"/>
      <c r="BD192" s="763"/>
      <c r="BE192" s="763"/>
      <c r="BF192" s="763"/>
      <c r="BG192" s="763" t="b">
        <f>IFERROR(__xludf.DUMMYFUNCTION("""COMPUTED_VALUE"""),TRUE)</f>
        <v>1</v>
      </c>
      <c r="BH192" s="763" t="b">
        <f>IFERROR(__xludf.DUMMYFUNCTION("""COMPUTED_VALUE"""),FALSE)</f>
        <v>0</v>
      </c>
      <c r="BI192" s="763" t="b">
        <f>IFERROR(__xludf.DUMMYFUNCTION("""COMPUTED_VALUE"""),TRUE)</f>
        <v>1</v>
      </c>
      <c r="BJ192" s="763" t="b">
        <f>IFERROR(__xludf.DUMMYFUNCTION("""COMPUTED_VALUE"""),FALSE)</f>
        <v>0</v>
      </c>
    </row>
    <row r="193">
      <c r="A193" s="763">
        <f>IFERROR(__xludf.DUMMYFUNCTION("""COMPUTED_VALUE"""),64936.0)</f>
        <v>64936</v>
      </c>
      <c r="B193" s="763">
        <f>IFERROR(__xludf.DUMMYFUNCTION("""COMPUTED_VALUE"""),64936.0)</f>
        <v>64936</v>
      </c>
      <c r="C193" s="763" t="str">
        <f>IFERROR(__xludf.DUMMYFUNCTION("""COMPUTED_VALUE"""),"2025-09-26 08:25:29")</f>
        <v>2025-09-26 08:25:29</v>
      </c>
      <c r="D193" s="763" t="str">
        <f>IFERROR(__xludf.DUMMYFUNCTION("""COMPUTED_VALUE"""),"completed")</f>
        <v>completed</v>
      </c>
      <c r="E193" s="763" t="str">
        <f>IFERROR(__xludf.DUMMYFUNCTION("""COMPUTED_VALUE"""),"Elisa")</f>
        <v>Elisa</v>
      </c>
      <c r="F193" s="763" t="str">
        <f>IFERROR(__xludf.DUMMYFUNCTION("""COMPUTED_VALUE"""),"Cantù")</f>
        <v>Cantù</v>
      </c>
      <c r="G193" s="763" t="str">
        <f>IFERROR(__xludf.DUMMYFUNCTION("""COMPUTED_VALUE"""),"elevilla7@gmail.com")</f>
        <v>elevilla7@gmail.com</v>
      </c>
      <c r="H193" s="763">
        <f>IFERROR(__xludf.DUMMYFUNCTION("""COMPUTED_VALUE"""),3.33722666E9)</f>
        <v>3337226660</v>
      </c>
      <c r="I193" s="763" t="str">
        <f>IFERROR(__xludf.DUMMYFUNCTION("""COMPUTED_VALUE"""),"Cambiago")</f>
        <v>Cambiago</v>
      </c>
      <c r="J193" s="763" t="str">
        <f>IFERROR(__xludf.DUMMYFUNCTION("""COMPUTED_VALUE"""),"Via Monte Bianco 21")</f>
        <v>Via Monte Bianco 21</v>
      </c>
      <c r="K193" s="763">
        <f>IFERROR(__xludf.DUMMYFUNCTION("""COMPUTED_VALUE"""),20040.0)</f>
        <v>20040</v>
      </c>
      <c r="L193" s="763" t="str">
        <f>IFERROR(__xludf.DUMMYFUNCTION("""COMPUTED_VALUE"""),"Apple Pay")</f>
        <v>Apple Pay</v>
      </c>
      <c r="M193" s="763"/>
      <c r="N193" s="763" t="str">
        <f>IFERROR(__xludf.DUMMYFUNCTION("""COMPUTED_VALUE"""),"64936-1758875130")</f>
        <v>64936-1758875130</v>
      </c>
      <c r="O193" s="763">
        <f>IFERROR(__xludf.DUMMYFUNCTION("""COMPUTED_VALUE"""),0.0)</f>
        <v>0</v>
      </c>
      <c r="P193" s="767">
        <f>IFERROR(__xludf.DUMMYFUNCTION("""COMPUTED_VALUE"""),1.3333333333333333)</f>
        <v>1.333333333</v>
      </c>
      <c r="Q193" s="763" t="str">
        <f>IFERROR(__xludf.DUMMYFUNCTION("""COMPUTED_VALUE"""),"EUR")</f>
        <v>EUR</v>
      </c>
      <c r="R193" s="763">
        <f>IFERROR(__xludf.DUMMYFUNCTION("""COMPUTED_VALUE"""),579.0)</f>
        <v>579</v>
      </c>
      <c r="S193" s="763" t="str">
        <f>IFERROR(__xludf.DUMMYFUNCTION("""COMPUTED_VALUE"""),"Workshop Afrofusion con Banana 2025 - Workshop Banana afrofusion")</f>
        <v>Workshop Afrofusion con Banana 2025 - Workshop Banana afrofusion</v>
      </c>
      <c r="T193" s="763"/>
      <c r="U193" s="763"/>
      <c r="V193" s="763">
        <f>IFERROR(__xludf.DUMMYFUNCTION("""COMPUTED_VALUE"""),1.0)</f>
        <v>1</v>
      </c>
      <c r="W193" s="763">
        <f>IFERROR(__xludf.DUMMYFUNCTION("""COMPUTED_VALUE"""),32.0)</f>
        <v>32</v>
      </c>
      <c r="X193" s="763">
        <f>IFERROR(__xludf.DUMMYFUNCTION("""COMPUTED_VALUE"""),32.0)</f>
        <v>32</v>
      </c>
      <c r="Y193" s="763"/>
      <c r="Z193" s="768" t="str">
        <f>IFERROR(__xludf.DUMMYFUNCTION("""COMPUTED_VALUE"""),"https://studio-gem.it/wp-admin/post.php?post=64936&amp;action=edit")</f>
        <v>https://studio-gem.it/wp-admin/post.php?post=64936&amp;action=edit</v>
      </c>
      <c r="AA193" s="763"/>
      <c r="AB193" s="763"/>
      <c r="AC193" s="763"/>
      <c r="AD193" s="763"/>
      <c r="AE193" s="763"/>
      <c r="AF193" s="763"/>
      <c r="AG193" s="763"/>
      <c r="AH193" s="763"/>
      <c r="AI193" s="763"/>
      <c r="AJ193" s="763"/>
      <c r="AK193" s="763"/>
      <c r="AL193" s="763"/>
      <c r="AM193" s="763"/>
      <c r="AN193" s="763"/>
      <c r="AO193" s="763"/>
      <c r="AP193" s="763"/>
      <c r="AQ193" s="763"/>
      <c r="AR193" s="763"/>
      <c r="AS193" s="763"/>
      <c r="AT193" s="763"/>
      <c r="AU193" s="763"/>
      <c r="AV193" s="763"/>
      <c r="AW193" s="763"/>
      <c r="AX193" s="763"/>
      <c r="AY193" s="763"/>
      <c r="AZ193" s="763"/>
      <c r="BA193" s="763"/>
      <c r="BB193" s="763"/>
      <c r="BC193" s="763"/>
      <c r="BD193" s="763"/>
      <c r="BE193" s="763"/>
      <c r="BF193" s="763"/>
      <c r="BG193" s="763" t="b">
        <f>IFERROR(__xludf.DUMMYFUNCTION("""COMPUTED_VALUE"""),TRUE)</f>
        <v>1</v>
      </c>
      <c r="BH193" s="763" t="b">
        <f>IFERROR(__xludf.DUMMYFUNCTION("""COMPUTED_VALUE"""),TRUE)</f>
        <v>1</v>
      </c>
      <c r="BI193" s="763" t="b">
        <f>IFERROR(__xludf.DUMMYFUNCTION("""COMPUTED_VALUE"""),TRUE)</f>
        <v>1</v>
      </c>
      <c r="BJ193" s="763" t="b">
        <f>IFERROR(__xludf.DUMMYFUNCTION("""COMPUTED_VALUE"""),FALSE)</f>
        <v>0</v>
      </c>
    </row>
    <row r="194">
      <c r="A194" s="763">
        <f>IFERROR(__xludf.DUMMYFUNCTION("""COMPUTED_VALUE"""),64938.0)</f>
        <v>64938</v>
      </c>
      <c r="B194" s="763">
        <f>IFERROR(__xludf.DUMMYFUNCTION("""COMPUTED_VALUE"""),64938.0)</f>
        <v>64938</v>
      </c>
      <c r="C194" s="763" t="str">
        <f>IFERROR(__xludf.DUMMYFUNCTION("""COMPUTED_VALUE"""),"2025-09-26 08:43:28")</f>
        <v>2025-09-26 08:43:28</v>
      </c>
      <c r="D194" s="763" t="str">
        <f>IFERROR(__xludf.DUMMYFUNCTION("""COMPUTED_VALUE"""),"completed")</f>
        <v>completed</v>
      </c>
      <c r="E194" s="763" t="str">
        <f>IFERROR(__xludf.DUMMYFUNCTION("""COMPUTED_VALUE"""),"Martina")</f>
        <v>Martina</v>
      </c>
      <c r="F194" s="763" t="str">
        <f>IFERROR(__xludf.DUMMYFUNCTION("""COMPUTED_VALUE"""),"Pettenuzzo")</f>
        <v>Pettenuzzo</v>
      </c>
      <c r="G194" s="763" t="str">
        <f>IFERROR(__xludf.DUMMYFUNCTION("""COMPUTED_VALUE"""),"alessiacardella105@hotmail.it")</f>
        <v>alessiacardella105@hotmail.it</v>
      </c>
      <c r="H194" s="763">
        <f>IFERROR(__xludf.DUMMYFUNCTION("""COMPUTED_VALUE"""),3.270280414E9)</f>
        <v>3270280414</v>
      </c>
      <c r="I194" s="763" t="str">
        <f>IFERROR(__xludf.DUMMYFUNCTION("""COMPUTED_VALUE"""),"Milano")</f>
        <v>Milano</v>
      </c>
      <c r="J194" s="763" t="str">
        <f>IFERROR(__xludf.DUMMYFUNCTION("""COMPUTED_VALUE"""),"Viale coni zugna 37")</f>
        <v>Viale coni zugna 37</v>
      </c>
      <c r="K194" s="763">
        <f>IFERROR(__xludf.DUMMYFUNCTION("""COMPUTED_VALUE"""),20144.0)</f>
        <v>20144</v>
      </c>
      <c r="L194" s="763" t="str">
        <f>IFERROR(__xludf.DUMMYFUNCTION("""COMPUTED_VALUE"""),"Apple Pay")</f>
        <v>Apple Pay</v>
      </c>
      <c r="M194" s="763"/>
      <c r="N194" s="763" t="str">
        <f>IFERROR(__xludf.DUMMYFUNCTION("""COMPUTED_VALUE"""),"64938-1758876210")</f>
        <v>64938-1758876210</v>
      </c>
      <c r="O194" s="763">
        <f>IFERROR(__xludf.DUMMYFUNCTION("""COMPUTED_VALUE"""),0.0)</f>
        <v>0</v>
      </c>
      <c r="P194" s="767">
        <f>IFERROR(__xludf.DUMMYFUNCTION("""COMPUTED_VALUE"""),1.3333333333333333)</f>
        <v>1.333333333</v>
      </c>
      <c r="Q194" s="763" t="str">
        <f>IFERROR(__xludf.DUMMYFUNCTION("""COMPUTED_VALUE"""),"EUR")</f>
        <v>EUR</v>
      </c>
      <c r="R194" s="763">
        <f>IFERROR(__xludf.DUMMYFUNCTION("""COMPUTED_VALUE"""),580.0)</f>
        <v>580</v>
      </c>
      <c r="S194" s="763" t="str">
        <f>IFERROR(__xludf.DUMMYFUNCTION("""COMPUTED_VALUE"""),"Workshop Afrofusion con Banana 2025 - Workshop Banana afrofusion")</f>
        <v>Workshop Afrofusion con Banana 2025 - Workshop Banana afrofusion</v>
      </c>
      <c r="T194" s="763"/>
      <c r="U194" s="763"/>
      <c r="V194" s="763">
        <f>IFERROR(__xludf.DUMMYFUNCTION("""COMPUTED_VALUE"""),1.0)</f>
        <v>1</v>
      </c>
      <c r="W194" s="763">
        <f>IFERROR(__xludf.DUMMYFUNCTION("""COMPUTED_VALUE"""),32.0)</f>
        <v>32</v>
      </c>
      <c r="X194" s="763">
        <f>IFERROR(__xludf.DUMMYFUNCTION("""COMPUTED_VALUE"""),32.0)</f>
        <v>32</v>
      </c>
      <c r="Y194" s="763"/>
      <c r="Z194" s="768" t="str">
        <f>IFERROR(__xludf.DUMMYFUNCTION("""COMPUTED_VALUE"""),"https://studio-gem.it/wp-admin/post.php?post=64938&amp;action=edit")</f>
        <v>https://studio-gem.it/wp-admin/post.php?post=64938&amp;action=edit</v>
      </c>
      <c r="AA194" s="763"/>
      <c r="AB194" s="763"/>
      <c r="AC194" s="763"/>
      <c r="AD194" s="763"/>
      <c r="AE194" s="763"/>
      <c r="AF194" s="763"/>
      <c r="AG194" s="763"/>
      <c r="AH194" s="763"/>
      <c r="AI194" s="763"/>
      <c r="AJ194" s="763"/>
      <c r="AK194" s="763"/>
      <c r="AL194" s="763"/>
      <c r="AM194" s="763"/>
      <c r="AN194" s="763"/>
      <c r="AO194" s="763"/>
      <c r="AP194" s="763"/>
      <c r="AQ194" s="763"/>
      <c r="AR194" s="763"/>
      <c r="AS194" s="763"/>
      <c r="AT194" s="763"/>
      <c r="AU194" s="763"/>
      <c r="AV194" s="763"/>
      <c r="AW194" s="763"/>
      <c r="AX194" s="763"/>
      <c r="AY194" s="763"/>
      <c r="AZ194" s="763"/>
      <c r="BA194" s="763"/>
      <c r="BB194" s="763"/>
      <c r="BC194" s="763"/>
      <c r="BD194" s="763"/>
      <c r="BE194" s="763"/>
      <c r="BF194" s="763"/>
      <c r="BG194" s="763" t="b">
        <f>IFERROR(__xludf.DUMMYFUNCTION("""COMPUTED_VALUE"""),TRUE)</f>
        <v>1</v>
      </c>
      <c r="BH194" s="763" t="b">
        <f>IFERROR(__xludf.DUMMYFUNCTION("""COMPUTED_VALUE"""),TRUE)</f>
        <v>1</v>
      </c>
      <c r="BI194" s="763" t="b">
        <f>IFERROR(__xludf.DUMMYFUNCTION("""COMPUTED_VALUE"""),TRUE)</f>
        <v>1</v>
      </c>
      <c r="BJ194" s="763" t="b">
        <f>IFERROR(__xludf.DUMMYFUNCTION("""COMPUTED_VALUE"""),FALSE)</f>
        <v>0</v>
      </c>
    </row>
    <row r="195">
      <c r="A195" s="763">
        <f>IFERROR(__xludf.DUMMYFUNCTION("""COMPUTED_VALUE"""),64949.0)</f>
        <v>64949</v>
      </c>
      <c r="B195" s="763">
        <f>IFERROR(__xludf.DUMMYFUNCTION("""COMPUTED_VALUE"""),64949.0)</f>
        <v>64949</v>
      </c>
      <c r="C195" s="763" t="str">
        <f>IFERROR(__xludf.DUMMYFUNCTION("""COMPUTED_VALUE"""),"2025-09-26 18:04:42")</f>
        <v>2025-09-26 18:04:42</v>
      </c>
      <c r="D195" s="763" t="str">
        <f>IFERROR(__xludf.DUMMYFUNCTION("""COMPUTED_VALUE"""),"processing")</f>
        <v>processing</v>
      </c>
      <c r="E195" s="763" t="str">
        <f>IFERROR(__xludf.DUMMYFUNCTION("""COMPUTED_VALUE"""),"laria")</f>
        <v>laria</v>
      </c>
      <c r="F195" s="763" t="str">
        <f>IFERROR(__xludf.DUMMYFUNCTION("""COMPUTED_VALUE"""),"li")</f>
        <v>li</v>
      </c>
      <c r="G195" s="763" t="str">
        <f>IFERROR(__xludf.DUMMYFUNCTION("""COMPUTED_VALUE"""),"13642196573@163.com")</f>
        <v>13642196573@163.com</v>
      </c>
      <c r="H195" s="763">
        <f>IFERROR(__xludf.DUMMYFUNCTION("""COMPUTED_VALUE"""),3.47496578E9)</f>
        <v>3474965780</v>
      </c>
      <c r="I195" s="763" t="str">
        <f>IFERROR(__xludf.DUMMYFUNCTION("""COMPUTED_VALUE"""),"mliano")</f>
        <v>mliano</v>
      </c>
      <c r="J195" s="763" t="str">
        <f>IFERROR(__xludf.DUMMYFUNCTION("""COMPUTED_VALUE"""),"Via M. Saponaro, 13, 20142 Milano MI")</f>
        <v>Via M. Saponaro, 13, 20142 Milano MI</v>
      </c>
      <c r="K195" s="763">
        <f>IFERROR(__xludf.DUMMYFUNCTION("""COMPUTED_VALUE"""),20142.0)</f>
        <v>20142</v>
      </c>
      <c r="L195" s="763" t="str">
        <f>IFERROR(__xludf.DUMMYFUNCTION("""COMPUTED_VALUE"""),"Carte di pagamento")</f>
        <v>Carte di pagamento</v>
      </c>
      <c r="M195" s="763" t="str">
        <f>IFERROR(__xludf.DUMMYFUNCTION("""COMPUTED_VALUE"""),"joel02ws")</f>
        <v>joel02ws</v>
      </c>
      <c r="N195" s="763" t="str">
        <f>IFERROR(__xludf.DUMMYFUNCTION("""COMPUTED_VALUE"""),"64949-1758909951")</f>
        <v>64949-1758909951</v>
      </c>
      <c r="O195" s="763">
        <f>IFERROR(__xludf.DUMMYFUNCTION("""COMPUTED_VALUE"""),0.0)</f>
        <v>0</v>
      </c>
      <c r="P195" s="767">
        <f>IFERROR(__xludf.DUMMYFUNCTION("""COMPUTED_VALUE"""),1.25)</f>
        <v>1.25</v>
      </c>
      <c r="Q195" s="763" t="str">
        <f>IFERROR(__xludf.DUMMYFUNCTION("""COMPUTED_VALUE"""),"EUR")</f>
        <v>EUR</v>
      </c>
      <c r="R195" s="763">
        <f>IFERROR(__xludf.DUMMYFUNCTION("""COMPUTED_VALUE"""),583.0)</f>
        <v>583</v>
      </c>
      <c r="S195" s="763" t="str">
        <f>IFERROR(__xludf.DUMMYFUNCTION("""COMPUTED_VALUE"""),"Workshop Urban con Kumo - Workshop Kumo Urban")</f>
        <v>Workshop Urban con Kumo - Workshop Kumo Urban</v>
      </c>
      <c r="T195" s="763"/>
      <c r="U195" s="763"/>
      <c r="V195" s="763">
        <f>IFERROR(__xludf.DUMMYFUNCTION("""COMPUTED_VALUE"""),1.0)</f>
        <v>1</v>
      </c>
      <c r="W195" s="763">
        <f>IFERROR(__xludf.DUMMYFUNCTION("""COMPUTED_VALUE"""),30.0)</f>
        <v>30</v>
      </c>
      <c r="X195" s="763">
        <f>IFERROR(__xludf.DUMMYFUNCTION("""COMPUTED_VALUE"""),30.0)</f>
        <v>30</v>
      </c>
      <c r="Y195" s="763"/>
      <c r="Z195" s="768" t="str">
        <f>IFERROR(__xludf.DUMMYFUNCTION("""COMPUTED_VALUE"""),"https://studio-gem.it/wp-admin/post.php?post=64949&amp;action=edit")</f>
        <v>https://studio-gem.it/wp-admin/post.php?post=64949&amp;action=edit</v>
      </c>
      <c r="AA195" s="763"/>
      <c r="AB195" s="763"/>
      <c r="AC195" s="763"/>
      <c r="AD195" s="763"/>
      <c r="AE195" s="763"/>
      <c r="AF195" s="763"/>
      <c r="AG195" s="763"/>
      <c r="AH195" s="763"/>
      <c r="AI195" s="763"/>
      <c r="AJ195" s="763"/>
      <c r="AK195" s="763"/>
      <c r="AL195" s="763"/>
      <c r="AM195" s="763"/>
      <c r="AN195" s="763"/>
      <c r="AO195" s="763"/>
      <c r="AP195" s="763"/>
      <c r="AQ195" s="763"/>
      <c r="AR195" s="763"/>
      <c r="AS195" s="763"/>
      <c r="AT195" s="763"/>
      <c r="AU195" s="763"/>
      <c r="AV195" s="763"/>
      <c r="AW195" s="763"/>
      <c r="AX195" s="763"/>
      <c r="AY195" s="763"/>
      <c r="AZ195" s="763"/>
      <c r="BA195" s="763"/>
      <c r="BB195" s="763"/>
      <c r="BC195" s="763"/>
      <c r="BD195" s="763"/>
      <c r="BE195" s="763"/>
      <c r="BF195" s="763"/>
      <c r="BG195" s="763" t="b">
        <f>IFERROR(__xludf.DUMMYFUNCTION("""COMPUTED_VALUE"""),TRUE)</f>
        <v>1</v>
      </c>
      <c r="BH195" s="763" t="b">
        <f>IFERROR(__xludf.DUMMYFUNCTION("""COMPUTED_VALUE"""),TRUE)</f>
        <v>1</v>
      </c>
      <c r="BI195" s="763" t="b">
        <f>IFERROR(__xludf.DUMMYFUNCTION("""COMPUTED_VALUE"""),TRUE)</f>
        <v>1</v>
      </c>
      <c r="BJ195" s="763" t="b">
        <f>IFERROR(__xludf.DUMMYFUNCTION("""COMPUTED_VALUE"""),FALSE)</f>
        <v>0</v>
      </c>
    </row>
    <row r="196">
      <c r="A196" s="763">
        <f>IFERROR(__xludf.DUMMYFUNCTION("""COMPUTED_VALUE"""),64950.0)</f>
        <v>64950</v>
      </c>
      <c r="B196" s="763">
        <f>IFERROR(__xludf.DUMMYFUNCTION("""COMPUTED_VALUE"""),64950.0)</f>
        <v>64950</v>
      </c>
      <c r="C196" s="763" t="str">
        <f>IFERROR(__xludf.DUMMYFUNCTION("""COMPUTED_VALUE"""),"2025-09-26 20:19:33")</f>
        <v>2025-09-26 20:19:33</v>
      </c>
      <c r="D196" s="763" t="str">
        <f>IFERROR(__xludf.DUMMYFUNCTION("""COMPUTED_VALUE"""),"failed")</f>
        <v>failed</v>
      </c>
      <c r="E196" s="763" t="str">
        <f>IFERROR(__xludf.DUMMYFUNCTION("""COMPUTED_VALUE"""),"Tania")</f>
        <v>Tania</v>
      </c>
      <c r="F196" s="763" t="str">
        <f>IFERROR(__xludf.DUMMYFUNCTION("""COMPUTED_VALUE"""),"Rubino")</f>
        <v>Rubino</v>
      </c>
      <c r="G196" s="763" t="str">
        <f>IFERROR(__xludf.DUMMYFUNCTION("""COMPUTED_VALUE"""),"rubinotania1993@gmail.com")</f>
        <v>rubinotania1993@gmail.com</v>
      </c>
      <c r="H196" s="763">
        <f>IFERROR(__xludf.DUMMYFUNCTION("""COMPUTED_VALUE"""),3.457502208E9)</f>
        <v>3457502208</v>
      </c>
      <c r="I196" s="763" t="str">
        <f>IFERROR(__xludf.DUMMYFUNCTION("""COMPUTED_VALUE"""),"Milano")</f>
        <v>Milano</v>
      </c>
      <c r="J196" s="763" t="str">
        <f>IFERROR(__xludf.DUMMYFUNCTION("""COMPUTED_VALUE"""),"Via Muzio Attendolo Detto Sforza")</f>
        <v>Via Muzio Attendolo Detto Sforza</v>
      </c>
      <c r="K196" s="763">
        <f>IFERROR(__xludf.DUMMYFUNCTION("""COMPUTED_VALUE"""),20141.0)</f>
        <v>20141</v>
      </c>
      <c r="L196" s="763" t="str">
        <f>IFERROR(__xludf.DUMMYFUNCTION("""COMPUTED_VALUE"""),"Carte di pagamento")</f>
        <v>Carte di pagamento</v>
      </c>
      <c r="M196" s="763"/>
      <c r="N196" s="763"/>
      <c r="O196" s="763">
        <f>IFERROR(__xludf.DUMMYFUNCTION("""COMPUTED_VALUE"""),0.0)</f>
        <v>0</v>
      </c>
      <c r="P196" s="767">
        <f>IFERROR(__xludf.DUMMYFUNCTION("""COMPUTED_VALUE"""),1.3333333333333333)</f>
        <v>1.333333333</v>
      </c>
      <c r="Q196" s="763" t="str">
        <f>IFERROR(__xludf.DUMMYFUNCTION("""COMPUTED_VALUE"""),"EUR")</f>
        <v>EUR</v>
      </c>
      <c r="R196" s="763">
        <f>IFERROR(__xludf.DUMMYFUNCTION("""COMPUTED_VALUE"""),585.0)</f>
        <v>585</v>
      </c>
      <c r="S196" s="763" t="str">
        <f>IFERROR(__xludf.DUMMYFUNCTION("""COMPUTED_VALUE"""),"Workshop Afrofusion con Banana 2025 - Workshop Banana afrofusion")</f>
        <v>Workshop Afrofusion con Banana 2025 - Workshop Banana afrofusion</v>
      </c>
      <c r="T196" s="763"/>
      <c r="U196" s="763"/>
      <c r="V196" s="763">
        <f>IFERROR(__xludf.DUMMYFUNCTION("""COMPUTED_VALUE"""),1.0)</f>
        <v>1</v>
      </c>
      <c r="W196" s="763">
        <f>IFERROR(__xludf.DUMMYFUNCTION("""COMPUTED_VALUE"""),32.0)</f>
        <v>32</v>
      </c>
      <c r="X196" s="763">
        <f>IFERROR(__xludf.DUMMYFUNCTION("""COMPUTED_VALUE"""),32.0)</f>
        <v>32</v>
      </c>
      <c r="Y196" s="763"/>
      <c r="Z196" s="768" t="str">
        <f>IFERROR(__xludf.DUMMYFUNCTION("""COMPUTED_VALUE"""),"https://studio-gem.it/wp-admin/post.php?post=64950&amp;action=edit")</f>
        <v>https://studio-gem.it/wp-admin/post.php?post=64950&amp;action=edit</v>
      </c>
      <c r="AA196" s="763"/>
      <c r="AB196" s="763"/>
      <c r="AC196" s="763"/>
      <c r="AD196" s="763"/>
      <c r="AE196" s="763"/>
      <c r="AF196" s="763"/>
      <c r="AG196" s="763"/>
      <c r="AH196" s="763"/>
      <c r="AI196" s="763"/>
      <c r="AJ196" s="763"/>
      <c r="AK196" s="763"/>
      <c r="AL196" s="763"/>
      <c r="AM196" s="763"/>
      <c r="AN196" s="763"/>
      <c r="AO196" s="763"/>
      <c r="AP196" s="763"/>
      <c r="AQ196" s="763"/>
      <c r="AR196" s="763"/>
      <c r="AS196" s="763"/>
      <c r="AT196" s="763"/>
      <c r="AU196" s="763"/>
      <c r="AV196" s="763"/>
      <c r="AW196" s="763"/>
      <c r="AX196" s="763"/>
      <c r="AY196" s="763"/>
      <c r="AZ196" s="763"/>
      <c r="BA196" s="763"/>
      <c r="BB196" s="763"/>
      <c r="BC196" s="763"/>
      <c r="BD196" s="763"/>
      <c r="BE196" s="763"/>
      <c r="BF196" s="763"/>
      <c r="BG196" s="763" t="b">
        <f>IFERROR(__xludf.DUMMYFUNCTION("""COMPUTED_VALUE"""),FALSE)</f>
        <v>0</v>
      </c>
      <c r="BH196" s="763" t="b">
        <f>IFERROR(__xludf.DUMMYFUNCTION("""COMPUTED_VALUE"""),FALSE)</f>
        <v>0</v>
      </c>
      <c r="BI196" s="763" t="b">
        <f>IFERROR(__xludf.DUMMYFUNCTION("""COMPUTED_VALUE"""),FALSE)</f>
        <v>0</v>
      </c>
      <c r="BJ196" s="763" t="b">
        <f>IFERROR(__xludf.DUMMYFUNCTION("""COMPUTED_VALUE"""),FALSE)</f>
        <v>0</v>
      </c>
    </row>
    <row r="197">
      <c r="A197" s="763">
        <f>IFERROR(__xludf.DUMMYFUNCTION("""COMPUTED_VALUE"""),64952.0)</f>
        <v>64952</v>
      </c>
      <c r="B197" s="763">
        <f>IFERROR(__xludf.DUMMYFUNCTION("""COMPUTED_VALUE"""),64952.0)</f>
        <v>64952</v>
      </c>
      <c r="C197" s="763" t="str">
        <f>IFERROR(__xludf.DUMMYFUNCTION("""COMPUTED_VALUE"""),"2025-09-27 09:22:08")</f>
        <v>2025-09-27 09:22:08</v>
      </c>
      <c r="D197" s="763" t="str">
        <f>IFERROR(__xludf.DUMMYFUNCTION("""COMPUTED_VALUE"""),"processing")</f>
        <v>processing</v>
      </c>
      <c r="E197" s="763" t="str">
        <f>IFERROR(__xludf.DUMMYFUNCTION("""COMPUTED_VALUE"""),"Valentino")</f>
        <v>Valentino</v>
      </c>
      <c r="F197" s="763" t="str">
        <f>IFERROR(__xludf.DUMMYFUNCTION("""COMPUTED_VALUE"""),"De Leeuw")</f>
        <v>De Leeuw</v>
      </c>
      <c r="G197" s="763" t="str">
        <f>IFERROR(__xludf.DUMMYFUNCTION("""COMPUTED_VALUE"""),"valentino.deleeuw@gmail.com")</f>
        <v>valentino.deleeuw@gmail.com</v>
      </c>
      <c r="H197" s="763">
        <f>IFERROR(__xludf.DUMMYFUNCTION("""COMPUTED_VALUE"""),3.791828311E9)</f>
        <v>3791828311</v>
      </c>
      <c r="I197" s="763" t="str">
        <f>IFERROR(__xludf.DUMMYFUNCTION("""COMPUTED_VALUE"""),"Manerbio")</f>
        <v>Manerbio</v>
      </c>
      <c r="J197" s="763" t="str">
        <f>IFERROR(__xludf.DUMMYFUNCTION("""COMPUTED_VALUE"""),"Via Giuseppe Mazzini 32")</f>
        <v>Via Giuseppe Mazzini 32</v>
      </c>
      <c r="K197" s="763">
        <f>IFERROR(__xludf.DUMMYFUNCTION("""COMPUTED_VALUE"""),25025.0)</f>
        <v>25025</v>
      </c>
      <c r="L197" s="763" t="str">
        <f>IFERROR(__xludf.DUMMYFUNCTION("""COMPUTED_VALUE"""),"Carte di pagamento")</f>
        <v>Carte di pagamento</v>
      </c>
      <c r="M197" s="763"/>
      <c r="N197" s="763" t="str">
        <f>IFERROR(__xludf.DUMMYFUNCTION("""COMPUTED_VALUE"""),"64952-1758964929")</f>
        <v>64952-1758964929</v>
      </c>
      <c r="O197" s="763">
        <f>IFERROR(__xludf.DUMMYFUNCTION("""COMPUTED_VALUE"""),0.0)</f>
        <v>0</v>
      </c>
      <c r="P197" s="767">
        <f>IFERROR(__xludf.DUMMYFUNCTION("""COMPUTED_VALUE"""),1.3333333333333333)</f>
        <v>1.333333333</v>
      </c>
      <c r="Q197" s="763" t="str">
        <f>IFERROR(__xludf.DUMMYFUNCTION("""COMPUTED_VALUE"""),"EUR")</f>
        <v>EUR</v>
      </c>
      <c r="R197" s="763">
        <f>IFERROR(__xludf.DUMMYFUNCTION("""COMPUTED_VALUE"""),586.0)</f>
        <v>586</v>
      </c>
      <c r="S197" s="763" t="str">
        <f>IFERROR(__xludf.DUMMYFUNCTION("""COMPUTED_VALUE"""),"Workshop Afrofusion con Banana 2025 - Workshop Banana afrofusion")</f>
        <v>Workshop Afrofusion con Banana 2025 - Workshop Banana afrofusion</v>
      </c>
      <c r="T197" s="763"/>
      <c r="U197" s="763"/>
      <c r="V197" s="763">
        <f>IFERROR(__xludf.DUMMYFUNCTION("""COMPUTED_VALUE"""),1.0)</f>
        <v>1</v>
      </c>
      <c r="W197" s="763">
        <f>IFERROR(__xludf.DUMMYFUNCTION("""COMPUTED_VALUE"""),32.0)</f>
        <v>32</v>
      </c>
      <c r="X197" s="763">
        <f>IFERROR(__xludf.DUMMYFUNCTION("""COMPUTED_VALUE"""),32.0)</f>
        <v>32</v>
      </c>
      <c r="Y197" s="763"/>
      <c r="Z197" s="768" t="str">
        <f>IFERROR(__xludf.DUMMYFUNCTION("""COMPUTED_VALUE"""),"https://studio-gem.it/wp-admin/post.php?post=64952&amp;action=edit")</f>
        <v>https://studio-gem.it/wp-admin/post.php?post=64952&amp;action=edit</v>
      </c>
      <c r="AA197" s="763"/>
      <c r="AB197" s="763"/>
      <c r="AC197" s="763"/>
      <c r="AD197" s="763"/>
      <c r="AE197" s="763"/>
      <c r="AF197" s="763"/>
      <c r="AG197" s="763"/>
      <c r="AH197" s="763"/>
      <c r="AI197" s="763"/>
      <c r="AJ197" s="763"/>
      <c r="AK197" s="763"/>
      <c r="AL197" s="763"/>
      <c r="AM197" s="763"/>
      <c r="AN197" s="763"/>
      <c r="AO197" s="763"/>
      <c r="AP197" s="763"/>
      <c r="AQ197" s="763"/>
      <c r="AR197" s="763"/>
      <c r="AS197" s="763"/>
      <c r="AT197" s="763"/>
      <c r="AU197" s="763"/>
      <c r="AV197" s="763"/>
      <c r="AW197" s="763"/>
      <c r="AX197" s="763"/>
      <c r="AY197" s="763"/>
      <c r="AZ197" s="763"/>
      <c r="BA197" s="763"/>
      <c r="BB197" s="763"/>
      <c r="BC197" s="763"/>
      <c r="BD197" s="763"/>
      <c r="BE197" s="763"/>
      <c r="BF197" s="763"/>
      <c r="BG197" s="763" t="b">
        <f>IFERROR(__xludf.DUMMYFUNCTION("""COMPUTED_VALUE"""),TRUE)</f>
        <v>1</v>
      </c>
      <c r="BH197" s="763" t="b">
        <f>IFERROR(__xludf.DUMMYFUNCTION("""COMPUTED_VALUE"""),TRUE)</f>
        <v>1</v>
      </c>
      <c r="BI197" s="763" t="b">
        <f>IFERROR(__xludf.DUMMYFUNCTION("""COMPUTED_VALUE"""),TRUE)</f>
        <v>1</v>
      </c>
      <c r="BJ197" s="763" t="b">
        <f>IFERROR(__xludf.DUMMYFUNCTION("""COMPUTED_VALUE"""),FALSE)</f>
        <v>0</v>
      </c>
    </row>
    <row r="198">
      <c r="A198" s="763">
        <f>IFERROR(__xludf.DUMMYFUNCTION("""COMPUTED_VALUE"""),64954.0)</f>
        <v>64954</v>
      </c>
      <c r="B198" s="763">
        <f>IFERROR(__xludf.DUMMYFUNCTION("""COMPUTED_VALUE"""),64954.0)</f>
        <v>64954</v>
      </c>
      <c r="C198" s="763" t="str">
        <f>IFERROR(__xludf.DUMMYFUNCTION("""COMPUTED_VALUE"""),"2025-09-27 10:13:09")</f>
        <v>2025-09-27 10:13:09</v>
      </c>
      <c r="D198" s="763" t="str">
        <f>IFERROR(__xludf.DUMMYFUNCTION("""COMPUTED_VALUE"""),"completed")</f>
        <v>completed</v>
      </c>
      <c r="E198" s="763" t="str">
        <f>IFERROR(__xludf.DUMMYFUNCTION("""COMPUTED_VALUE"""),"giorgia")</f>
        <v>giorgia</v>
      </c>
      <c r="F198" s="763" t="str">
        <f>IFERROR(__xludf.DUMMYFUNCTION("""COMPUTED_VALUE"""),"giletto lazzaro")</f>
        <v>giletto lazzaro</v>
      </c>
      <c r="G198" s="763" t="str">
        <f>IFERROR(__xludf.DUMMYFUNCTION("""COMPUTED_VALUE"""),"giorgiagiletto@gmail.com")</f>
        <v>giorgiagiletto@gmail.com</v>
      </c>
      <c r="H198" s="763">
        <f>IFERROR(__xludf.DUMMYFUNCTION("""COMPUTED_VALUE"""),3.926586594E9)</f>
        <v>3926586594</v>
      </c>
      <c r="I198" s="763" t="str">
        <f>IFERROR(__xludf.DUMMYFUNCTION("""COMPUTED_VALUE"""),"cesena")</f>
        <v>cesena</v>
      </c>
      <c r="J198" s="763">
        <f>IFERROR(__xludf.DUMMYFUNCTION("""COMPUTED_VALUE"""),3.926586594E9)</f>
        <v>3926586594</v>
      </c>
      <c r="K198" s="763">
        <f>IFERROR(__xludf.DUMMYFUNCTION("""COMPUTED_VALUE"""),47521.0)</f>
        <v>47521</v>
      </c>
      <c r="L198" s="763" t="str">
        <f>IFERROR(__xludf.DUMMYFUNCTION("""COMPUTED_VALUE"""),"Carte di pagamento")</f>
        <v>Carte di pagamento</v>
      </c>
      <c r="M198" s="763"/>
      <c r="N198" s="763" t="str">
        <f>IFERROR(__xludf.DUMMYFUNCTION("""COMPUTED_VALUE"""),"64954-1758967990")</f>
        <v>64954-1758967990</v>
      </c>
      <c r="O198" s="763">
        <f>IFERROR(__xludf.DUMMYFUNCTION("""COMPUTED_VALUE"""),0.0)</f>
        <v>0</v>
      </c>
      <c r="P198" s="767">
        <f>IFERROR(__xludf.DUMMYFUNCTION("""COMPUTED_VALUE"""),1.3333333333333333)</f>
        <v>1.333333333</v>
      </c>
      <c r="Q198" s="763" t="str">
        <f>IFERROR(__xludf.DUMMYFUNCTION("""COMPUTED_VALUE"""),"EUR")</f>
        <v>EUR</v>
      </c>
      <c r="R198" s="763">
        <f>IFERROR(__xludf.DUMMYFUNCTION("""COMPUTED_VALUE"""),587.0)</f>
        <v>587</v>
      </c>
      <c r="S198" s="763" t="str">
        <f>IFERROR(__xludf.DUMMYFUNCTION("""COMPUTED_VALUE"""),"Workshop Afrofusion con Banana 2025 - Workshop Banana afrofusion")</f>
        <v>Workshop Afrofusion con Banana 2025 - Workshop Banana afrofusion</v>
      </c>
      <c r="T198" s="763"/>
      <c r="U198" s="763"/>
      <c r="V198" s="763">
        <f>IFERROR(__xludf.DUMMYFUNCTION("""COMPUTED_VALUE"""),1.0)</f>
        <v>1</v>
      </c>
      <c r="W198" s="763">
        <f>IFERROR(__xludf.DUMMYFUNCTION("""COMPUTED_VALUE"""),32.0)</f>
        <v>32</v>
      </c>
      <c r="X198" s="763">
        <f>IFERROR(__xludf.DUMMYFUNCTION("""COMPUTED_VALUE"""),32.0)</f>
        <v>32</v>
      </c>
      <c r="Y198" s="763"/>
      <c r="Z198" s="768" t="str">
        <f>IFERROR(__xludf.DUMMYFUNCTION("""COMPUTED_VALUE"""),"https://studio-gem.it/wp-admin/post.php?post=64954&amp;action=edit")</f>
        <v>https://studio-gem.it/wp-admin/post.php?post=64954&amp;action=edit</v>
      </c>
      <c r="AA198" s="763"/>
      <c r="AB198" s="763"/>
      <c r="AC198" s="763"/>
      <c r="AD198" s="763"/>
      <c r="AE198" s="763"/>
      <c r="AF198" s="763"/>
      <c r="AG198" s="763"/>
      <c r="AH198" s="763"/>
      <c r="AI198" s="763"/>
      <c r="AJ198" s="763"/>
      <c r="AK198" s="763"/>
      <c r="AL198" s="763"/>
      <c r="AM198" s="763"/>
      <c r="AN198" s="763"/>
      <c r="AO198" s="763"/>
      <c r="AP198" s="763"/>
      <c r="AQ198" s="763"/>
      <c r="AR198" s="763"/>
      <c r="AS198" s="763"/>
      <c r="AT198" s="763"/>
      <c r="AU198" s="763"/>
      <c r="AV198" s="763"/>
      <c r="AW198" s="763"/>
      <c r="AX198" s="763"/>
      <c r="AY198" s="763"/>
      <c r="AZ198" s="763"/>
      <c r="BA198" s="763"/>
      <c r="BB198" s="763"/>
      <c r="BC198" s="763"/>
      <c r="BD198" s="763"/>
      <c r="BE198" s="763"/>
      <c r="BF198" s="763"/>
      <c r="BG198" s="763" t="b">
        <f>IFERROR(__xludf.DUMMYFUNCTION("""COMPUTED_VALUE"""),TRUE)</f>
        <v>1</v>
      </c>
      <c r="BH198" s="763" t="b">
        <f>IFERROR(__xludf.DUMMYFUNCTION("""COMPUTED_VALUE"""),TRUE)</f>
        <v>1</v>
      </c>
      <c r="BI198" s="763" t="b">
        <f>IFERROR(__xludf.DUMMYFUNCTION("""COMPUTED_VALUE"""),TRUE)</f>
        <v>1</v>
      </c>
      <c r="BJ198" s="763" t="b">
        <f>IFERROR(__xludf.DUMMYFUNCTION("""COMPUTED_VALUE"""),FALSE)</f>
        <v>0</v>
      </c>
    </row>
    <row r="199">
      <c r="A199" s="763">
        <f>IFERROR(__xludf.DUMMYFUNCTION("""COMPUTED_VALUE"""),64956.0)</f>
        <v>64956</v>
      </c>
      <c r="B199" s="763">
        <f>IFERROR(__xludf.DUMMYFUNCTION("""COMPUTED_VALUE"""),64956.0)</f>
        <v>64956</v>
      </c>
      <c r="C199" s="763" t="str">
        <f>IFERROR(__xludf.DUMMYFUNCTION("""COMPUTED_VALUE"""),"2025-09-27 11:02:40")</f>
        <v>2025-09-27 11:02:40</v>
      </c>
      <c r="D199" s="763" t="str">
        <f>IFERROR(__xludf.DUMMYFUNCTION("""COMPUTED_VALUE"""),"completed")</f>
        <v>completed</v>
      </c>
      <c r="E199" s="763" t="str">
        <f>IFERROR(__xludf.DUMMYFUNCTION("""COMPUTED_VALUE"""),"Chiara")</f>
        <v>Chiara</v>
      </c>
      <c r="F199" s="763" t="str">
        <f>IFERROR(__xludf.DUMMYFUNCTION("""COMPUTED_VALUE"""),"Pavan")</f>
        <v>Pavan</v>
      </c>
      <c r="G199" s="763" t="str">
        <f>IFERROR(__xludf.DUMMYFUNCTION("""COMPUTED_VALUE"""),"chiarapavan91@gmail.com")</f>
        <v>chiarapavan91@gmail.com</v>
      </c>
      <c r="H199" s="763">
        <f>IFERROR(__xludf.DUMMYFUNCTION("""COMPUTED_VALUE"""),3.495563824E9)</f>
        <v>3495563824</v>
      </c>
      <c r="I199" s="763" t="str">
        <f>IFERROR(__xludf.DUMMYFUNCTION("""COMPUTED_VALUE"""),"Monza")</f>
        <v>Monza</v>
      </c>
      <c r="J199" s="763" t="str">
        <f>IFERROR(__xludf.DUMMYFUNCTION("""COMPUTED_VALUE"""),"Via marsala 64")</f>
        <v>Via marsala 64</v>
      </c>
      <c r="K199" s="763">
        <f>IFERROR(__xludf.DUMMYFUNCTION("""COMPUTED_VALUE"""),20900.0)</f>
        <v>20900</v>
      </c>
      <c r="L199" s="763" t="str">
        <f>IFERROR(__xludf.DUMMYFUNCTION("""COMPUTED_VALUE"""),"Google Pay")</f>
        <v>Google Pay</v>
      </c>
      <c r="M199" s="763"/>
      <c r="N199" s="763" t="str">
        <f>IFERROR(__xludf.DUMMYFUNCTION("""COMPUTED_VALUE"""),"64956-1758970961")</f>
        <v>64956-1758970961</v>
      </c>
      <c r="O199" s="763">
        <f>IFERROR(__xludf.DUMMYFUNCTION("""COMPUTED_VALUE"""),0.0)</f>
        <v>0</v>
      </c>
      <c r="P199" s="767">
        <f>IFERROR(__xludf.DUMMYFUNCTION("""COMPUTED_VALUE"""),1.3333333333333333)</f>
        <v>1.333333333</v>
      </c>
      <c r="Q199" s="763" t="str">
        <f>IFERROR(__xludf.DUMMYFUNCTION("""COMPUTED_VALUE"""),"EUR")</f>
        <v>EUR</v>
      </c>
      <c r="R199" s="763">
        <f>IFERROR(__xludf.DUMMYFUNCTION("""COMPUTED_VALUE"""),588.0)</f>
        <v>588</v>
      </c>
      <c r="S199" s="763" t="str">
        <f>IFERROR(__xludf.DUMMYFUNCTION("""COMPUTED_VALUE"""),"Workshop Afrofusion con Banana 2025 - Workshop Banana afrofusion")</f>
        <v>Workshop Afrofusion con Banana 2025 - Workshop Banana afrofusion</v>
      </c>
      <c r="T199" s="763"/>
      <c r="U199" s="763"/>
      <c r="V199" s="763">
        <f>IFERROR(__xludf.DUMMYFUNCTION("""COMPUTED_VALUE"""),1.0)</f>
        <v>1</v>
      </c>
      <c r="W199" s="763">
        <f>IFERROR(__xludf.DUMMYFUNCTION("""COMPUTED_VALUE"""),32.0)</f>
        <v>32</v>
      </c>
      <c r="X199" s="763">
        <f>IFERROR(__xludf.DUMMYFUNCTION("""COMPUTED_VALUE"""),32.0)</f>
        <v>32</v>
      </c>
      <c r="Y199" s="763"/>
      <c r="Z199" s="768" t="str">
        <f>IFERROR(__xludf.DUMMYFUNCTION("""COMPUTED_VALUE"""),"https://studio-gem.it/wp-admin/post.php?post=64956&amp;action=edit")</f>
        <v>https://studio-gem.it/wp-admin/post.php?post=64956&amp;action=edit</v>
      </c>
      <c r="AA199" s="763"/>
      <c r="AB199" s="763"/>
      <c r="AC199" s="763"/>
      <c r="AD199" s="763"/>
      <c r="AE199" s="763"/>
      <c r="AF199" s="763"/>
      <c r="AG199" s="763"/>
      <c r="AH199" s="763"/>
      <c r="AI199" s="763"/>
      <c r="AJ199" s="763"/>
      <c r="AK199" s="763"/>
      <c r="AL199" s="763"/>
      <c r="AM199" s="763"/>
      <c r="AN199" s="763"/>
      <c r="AO199" s="763"/>
      <c r="AP199" s="763"/>
      <c r="AQ199" s="763"/>
      <c r="AR199" s="763"/>
      <c r="AS199" s="763"/>
      <c r="AT199" s="763"/>
      <c r="AU199" s="763"/>
      <c r="AV199" s="763"/>
      <c r="AW199" s="763"/>
      <c r="AX199" s="763"/>
      <c r="AY199" s="763"/>
      <c r="AZ199" s="763"/>
      <c r="BA199" s="763"/>
      <c r="BB199" s="763"/>
      <c r="BC199" s="763"/>
      <c r="BD199" s="763"/>
      <c r="BE199" s="763"/>
      <c r="BF199" s="763"/>
      <c r="BG199" s="763" t="b">
        <f>IFERROR(__xludf.DUMMYFUNCTION("""COMPUTED_VALUE"""),TRUE)</f>
        <v>1</v>
      </c>
      <c r="BH199" s="763" t="b">
        <f>IFERROR(__xludf.DUMMYFUNCTION("""COMPUTED_VALUE"""),TRUE)</f>
        <v>1</v>
      </c>
      <c r="BI199" s="763" t="b">
        <f>IFERROR(__xludf.DUMMYFUNCTION("""COMPUTED_VALUE"""),TRUE)</f>
        <v>1</v>
      </c>
      <c r="BJ199" s="763" t="b">
        <f>IFERROR(__xludf.DUMMYFUNCTION("""COMPUTED_VALUE"""),FALSE)</f>
        <v>0</v>
      </c>
    </row>
    <row r="200">
      <c r="A200" s="763">
        <f>IFERROR(__xludf.DUMMYFUNCTION("""COMPUTED_VALUE"""),64958.0)</f>
        <v>64958</v>
      </c>
      <c r="B200" s="763">
        <f>IFERROR(__xludf.DUMMYFUNCTION("""COMPUTED_VALUE"""),64958.0)</f>
        <v>64958</v>
      </c>
      <c r="C200" s="763" t="str">
        <f>IFERROR(__xludf.DUMMYFUNCTION("""COMPUTED_VALUE"""),"2025-09-27 12:39:46")</f>
        <v>2025-09-27 12:39:46</v>
      </c>
      <c r="D200" s="763" t="str">
        <f>IFERROR(__xludf.DUMMYFUNCTION("""COMPUTED_VALUE"""),"completed")</f>
        <v>completed</v>
      </c>
      <c r="E200" s="763" t="str">
        <f>IFERROR(__xludf.DUMMYFUNCTION("""COMPUTED_VALUE"""),"Belinda")</f>
        <v>Belinda</v>
      </c>
      <c r="F200" s="763" t="str">
        <f>IFERROR(__xludf.DUMMYFUNCTION("""COMPUTED_VALUE"""),"Kaburi")</f>
        <v>Kaburi</v>
      </c>
      <c r="G200" s="763" t="str">
        <f>IFERROR(__xludf.DUMMYFUNCTION("""COMPUTED_VALUE"""),"belinda.kaburi@gmail.com")</f>
        <v>belinda.kaburi@gmail.com</v>
      </c>
      <c r="H200" s="763">
        <f>IFERROR(__xludf.DUMMYFUNCTION("""COMPUTED_VALUE"""),3.348154969E9)</f>
        <v>3348154969</v>
      </c>
      <c r="I200" s="763" t="str">
        <f>IFERROR(__xludf.DUMMYFUNCTION("""COMPUTED_VALUE"""),"Monza")</f>
        <v>Monza</v>
      </c>
      <c r="J200" s="763" t="str">
        <f>IFERROR(__xludf.DUMMYFUNCTION("""COMPUTED_VALUE"""),"Via Luca della Robbia 9")</f>
        <v>Via Luca della Robbia 9</v>
      </c>
      <c r="K200" s="763">
        <f>IFERROR(__xludf.DUMMYFUNCTION("""COMPUTED_VALUE"""),20909.0)</f>
        <v>20909</v>
      </c>
      <c r="L200" s="763" t="str">
        <f>IFERROR(__xludf.DUMMYFUNCTION("""COMPUTED_VALUE"""),"Carte di pagamento")</f>
        <v>Carte di pagamento</v>
      </c>
      <c r="M200" s="763"/>
      <c r="N200" s="763" t="str">
        <f>IFERROR(__xludf.DUMMYFUNCTION("""COMPUTED_VALUE"""),"64958-1758976787")</f>
        <v>64958-1758976787</v>
      </c>
      <c r="O200" s="763">
        <f>IFERROR(__xludf.DUMMYFUNCTION("""COMPUTED_VALUE"""),0.0)</f>
        <v>0</v>
      </c>
      <c r="P200" s="767">
        <f>IFERROR(__xludf.DUMMYFUNCTION("""COMPUTED_VALUE"""),1.3333333333333333)</f>
        <v>1.333333333</v>
      </c>
      <c r="Q200" s="763" t="str">
        <f>IFERROR(__xludf.DUMMYFUNCTION("""COMPUTED_VALUE"""),"EUR")</f>
        <v>EUR</v>
      </c>
      <c r="R200" s="763">
        <f>IFERROR(__xludf.DUMMYFUNCTION("""COMPUTED_VALUE"""),589.0)</f>
        <v>589</v>
      </c>
      <c r="S200" s="763" t="str">
        <f>IFERROR(__xludf.DUMMYFUNCTION("""COMPUTED_VALUE"""),"Workshop Afrofusion con Banana 2025 - Workshop Banana afrofusion")</f>
        <v>Workshop Afrofusion con Banana 2025 - Workshop Banana afrofusion</v>
      </c>
      <c r="T200" s="763"/>
      <c r="U200" s="763"/>
      <c r="V200" s="763">
        <f>IFERROR(__xludf.DUMMYFUNCTION("""COMPUTED_VALUE"""),1.0)</f>
        <v>1</v>
      </c>
      <c r="W200" s="763">
        <f>IFERROR(__xludf.DUMMYFUNCTION("""COMPUTED_VALUE"""),32.0)</f>
        <v>32</v>
      </c>
      <c r="X200" s="763">
        <f>IFERROR(__xludf.DUMMYFUNCTION("""COMPUTED_VALUE"""),32.0)</f>
        <v>32</v>
      </c>
      <c r="Y200" s="763"/>
      <c r="Z200" s="768" t="str">
        <f>IFERROR(__xludf.DUMMYFUNCTION("""COMPUTED_VALUE"""),"https://studio-gem.it/wp-admin/post.php?post=64958&amp;action=edit")</f>
        <v>https://studio-gem.it/wp-admin/post.php?post=64958&amp;action=edit</v>
      </c>
      <c r="AA200" s="763"/>
      <c r="AB200" s="763"/>
      <c r="AC200" s="763"/>
      <c r="AD200" s="763"/>
      <c r="AE200" s="763"/>
      <c r="AF200" s="763"/>
      <c r="AG200" s="763"/>
      <c r="AH200" s="763"/>
      <c r="AI200" s="763"/>
      <c r="AJ200" s="763"/>
      <c r="AK200" s="763"/>
      <c r="AL200" s="763"/>
      <c r="AM200" s="763"/>
      <c r="AN200" s="763"/>
      <c r="AO200" s="763"/>
      <c r="AP200" s="763"/>
      <c r="AQ200" s="763"/>
      <c r="AR200" s="763"/>
      <c r="AS200" s="763"/>
      <c r="AT200" s="763"/>
      <c r="AU200" s="763"/>
      <c r="AV200" s="763"/>
      <c r="AW200" s="763"/>
      <c r="AX200" s="763"/>
      <c r="AY200" s="763"/>
      <c r="AZ200" s="763"/>
      <c r="BA200" s="763"/>
      <c r="BB200" s="763"/>
      <c r="BC200" s="763"/>
      <c r="BD200" s="763"/>
      <c r="BE200" s="763"/>
      <c r="BF200" s="763"/>
      <c r="BG200" s="763" t="b">
        <f>IFERROR(__xludf.DUMMYFUNCTION("""COMPUTED_VALUE"""),TRUE)</f>
        <v>1</v>
      </c>
      <c r="BH200" s="763" t="b">
        <f>IFERROR(__xludf.DUMMYFUNCTION("""COMPUTED_VALUE"""),TRUE)</f>
        <v>1</v>
      </c>
      <c r="BI200" s="763" t="b">
        <f>IFERROR(__xludf.DUMMYFUNCTION("""COMPUTED_VALUE"""),TRUE)</f>
        <v>1</v>
      </c>
      <c r="BJ200" s="763" t="b">
        <f>IFERROR(__xludf.DUMMYFUNCTION("""COMPUTED_VALUE"""),FALSE)</f>
        <v>0</v>
      </c>
    </row>
    <row r="201">
      <c r="A201" s="763">
        <f>IFERROR(__xludf.DUMMYFUNCTION("""COMPUTED_VALUE"""),64960.0)</f>
        <v>64960</v>
      </c>
      <c r="B201" s="763">
        <f>IFERROR(__xludf.DUMMYFUNCTION("""COMPUTED_VALUE"""),64960.0)</f>
        <v>64960</v>
      </c>
      <c r="C201" s="763" t="str">
        <f>IFERROR(__xludf.DUMMYFUNCTION("""COMPUTED_VALUE"""),"2025-09-27 14:32:31")</f>
        <v>2025-09-27 14:32:31</v>
      </c>
      <c r="D201" s="763" t="str">
        <f>IFERROR(__xludf.DUMMYFUNCTION("""COMPUTED_VALUE"""),"processing")</f>
        <v>processing</v>
      </c>
      <c r="E201" s="763" t="str">
        <f>IFERROR(__xludf.DUMMYFUNCTION("""COMPUTED_VALUE"""),"Chiara")</f>
        <v>Chiara</v>
      </c>
      <c r="F201" s="763" t="str">
        <f>IFERROR(__xludf.DUMMYFUNCTION("""COMPUTED_VALUE"""),"Adducci")</f>
        <v>Adducci</v>
      </c>
      <c r="G201" s="763" t="str">
        <f>IFERROR(__xludf.DUMMYFUNCTION("""COMPUTED_VALUE"""),"chiaraadducci97@gmail.com")</f>
        <v>chiaraadducci97@gmail.com</v>
      </c>
      <c r="H201" s="763">
        <f>IFERROR(__xludf.DUMMYFUNCTION("""COMPUTED_VALUE"""),3.245853237E9)</f>
        <v>3245853237</v>
      </c>
      <c r="I201" s="763" t="str">
        <f>IFERROR(__xludf.DUMMYFUNCTION("""COMPUTED_VALUE"""),"Arconate")</f>
        <v>Arconate</v>
      </c>
      <c r="J201" s="763" t="str">
        <f>IFERROR(__xludf.DUMMYFUNCTION("""COMPUTED_VALUE"""),"Corso America,10")</f>
        <v>Corso America,10</v>
      </c>
      <c r="K201" s="763">
        <f>IFERROR(__xludf.DUMMYFUNCTION("""COMPUTED_VALUE"""),20020.0)</f>
        <v>20020</v>
      </c>
      <c r="L201" s="763" t="str">
        <f>IFERROR(__xludf.DUMMYFUNCTION("""COMPUTED_VALUE"""),"Carte di pagamento")</f>
        <v>Carte di pagamento</v>
      </c>
      <c r="M201" s="763"/>
      <c r="N201" s="763" t="str">
        <f>IFERROR(__xludf.DUMMYFUNCTION("""COMPUTED_VALUE"""),"64960-1758983553")</f>
        <v>64960-1758983553</v>
      </c>
      <c r="O201" s="763">
        <f>IFERROR(__xludf.DUMMYFUNCTION("""COMPUTED_VALUE"""),0.0)</f>
        <v>0</v>
      </c>
      <c r="P201" s="767">
        <f>IFERROR(__xludf.DUMMYFUNCTION("""COMPUTED_VALUE"""),1.3333333333333333)</f>
        <v>1.333333333</v>
      </c>
      <c r="Q201" s="763" t="str">
        <f>IFERROR(__xludf.DUMMYFUNCTION("""COMPUTED_VALUE"""),"EUR")</f>
        <v>EUR</v>
      </c>
      <c r="R201" s="763">
        <f>IFERROR(__xludf.DUMMYFUNCTION("""COMPUTED_VALUE"""),590.0)</f>
        <v>590</v>
      </c>
      <c r="S201" s="763" t="str">
        <f>IFERROR(__xludf.DUMMYFUNCTION("""COMPUTED_VALUE"""),"Workshop Afrofusion con Banana 2025 - Workshop Banana afrofusion")</f>
        <v>Workshop Afrofusion con Banana 2025 - Workshop Banana afrofusion</v>
      </c>
      <c r="T201" s="763"/>
      <c r="U201" s="763"/>
      <c r="V201" s="763">
        <f>IFERROR(__xludf.DUMMYFUNCTION("""COMPUTED_VALUE"""),1.0)</f>
        <v>1</v>
      </c>
      <c r="W201" s="763">
        <f>IFERROR(__xludf.DUMMYFUNCTION("""COMPUTED_VALUE"""),32.0)</f>
        <v>32</v>
      </c>
      <c r="X201" s="763">
        <f>IFERROR(__xludf.DUMMYFUNCTION("""COMPUTED_VALUE"""),32.0)</f>
        <v>32</v>
      </c>
      <c r="Y201" s="763"/>
      <c r="Z201" s="768" t="str">
        <f>IFERROR(__xludf.DUMMYFUNCTION("""COMPUTED_VALUE"""),"https://studio-gem.it/wp-admin/post.php?post=64960&amp;action=edit")</f>
        <v>https://studio-gem.it/wp-admin/post.php?post=64960&amp;action=edit</v>
      </c>
      <c r="AA201" s="763"/>
      <c r="AB201" s="763"/>
      <c r="AC201" s="763"/>
      <c r="AD201" s="763"/>
      <c r="AE201" s="763"/>
      <c r="AF201" s="763"/>
      <c r="AG201" s="763"/>
      <c r="AH201" s="763"/>
      <c r="AI201" s="763"/>
      <c r="AJ201" s="763"/>
      <c r="AK201" s="763"/>
      <c r="AL201" s="763"/>
      <c r="AM201" s="763"/>
      <c r="AN201" s="763"/>
      <c r="AO201" s="763"/>
      <c r="AP201" s="763"/>
      <c r="AQ201" s="763"/>
      <c r="AR201" s="763"/>
      <c r="AS201" s="763"/>
      <c r="AT201" s="763"/>
      <c r="AU201" s="763"/>
      <c r="AV201" s="763"/>
      <c r="AW201" s="763"/>
      <c r="AX201" s="763"/>
      <c r="AY201" s="763"/>
      <c r="AZ201" s="763"/>
      <c r="BA201" s="763"/>
      <c r="BB201" s="763"/>
      <c r="BC201" s="763"/>
      <c r="BD201" s="763"/>
      <c r="BE201" s="763"/>
      <c r="BF201" s="763"/>
      <c r="BG201" s="763" t="b">
        <f>IFERROR(__xludf.DUMMYFUNCTION("""COMPUTED_VALUE"""),TRUE)</f>
        <v>1</v>
      </c>
      <c r="BH201" s="763" t="b">
        <f>IFERROR(__xludf.DUMMYFUNCTION("""COMPUTED_VALUE"""),TRUE)</f>
        <v>1</v>
      </c>
      <c r="BI201" s="763" t="b">
        <f>IFERROR(__xludf.DUMMYFUNCTION("""COMPUTED_VALUE"""),TRUE)</f>
        <v>1</v>
      </c>
      <c r="BJ201" s="763" t="b">
        <f>IFERROR(__xludf.DUMMYFUNCTION("""COMPUTED_VALUE"""),FALSE)</f>
        <v>0</v>
      </c>
    </row>
    <row r="202">
      <c r="A202" s="763">
        <f>IFERROR(__xludf.DUMMYFUNCTION("""COMPUTED_VALUE"""),64961.0)</f>
        <v>64961</v>
      </c>
      <c r="B202" s="763">
        <f>IFERROR(__xludf.DUMMYFUNCTION("""COMPUTED_VALUE"""),64961.0)</f>
        <v>64961</v>
      </c>
      <c r="C202" s="763" t="str">
        <f>IFERROR(__xludf.DUMMYFUNCTION("""COMPUTED_VALUE"""),"2025-09-27 15:48:39")</f>
        <v>2025-09-27 15:48:39</v>
      </c>
      <c r="D202" s="763" t="str">
        <f>IFERROR(__xludf.DUMMYFUNCTION("""COMPUTED_VALUE"""),"processing")</f>
        <v>processing</v>
      </c>
      <c r="E202" s="763" t="str">
        <f>IFERROR(__xludf.DUMMYFUNCTION("""COMPUTED_VALUE"""),"Hasna")</f>
        <v>Hasna</v>
      </c>
      <c r="F202" s="763" t="str">
        <f>IFERROR(__xludf.DUMMYFUNCTION("""COMPUTED_VALUE"""),"Nouzi")</f>
        <v>Nouzi</v>
      </c>
      <c r="G202" s="763" t="str">
        <f>IFERROR(__xludf.DUMMYFUNCTION("""COMPUTED_VALUE"""),"giorgiagiletto@gmail.com")</f>
        <v>giorgiagiletto@gmail.com</v>
      </c>
      <c r="H202" s="763">
        <f>IFERROR(__xludf.DUMMYFUNCTION("""COMPUTED_VALUE"""),3.459382832E9)</f>
        <v>3459382832</v>
      </c>
      <c r="I202" s="763" t="str">
        <f>IFERROR(__xludf.DUMMYFUNCTION("""COMPUTED_VALUE"""),"cesena")</f>
        <v>cesena</v>
      </c>
      <c r="J202" s="763" t="str">
        <f>IFERROR(__xludf.DUMMYFUNCTION("""COMPUTED_VALUE"""),"‪+39 345 938 2832‬")</f>
        <v>‪+39 345 938 2832‬</v>
      </c>
      <c r="K202" s="763">
        <f>IFERROR(__xludf.DUMMYFUNCTION("""COMPUTED_VALUE"""),47521.0)</f>
        <v>47521</v>
      </c>
      <c r="L202" s="763" t="str">
        <f>IFERROR(__xludf.DUMMYFUNCTION("""COMPUTED_VALUE"""),"Carte di pagamento")</f>
        <v>Carte di pagamento</v>
      </c>
      <c r="M202" s="763"/>
      <c r="N202" s="763" t="str">
        <f>IFERROR(__xludf.DUMMYFUNCTION("""COMPUTED_VALUE"""),"64961-1758988298")</f>
        <v>64961-1758988298</v>
      </c>
      <c r="O202" s="763">
        <f>IFERROR(__xludf.DUMMYFUNCTION("""COMPUTED_VALUE"""),0.0)</f>
        <v>0</v>
      </c>
      <c r="P202" s="767">
        <f>IFERROR(__xludf.DUMMYFUNCTION("""COMPUTED_VALUE"""),1.3333333333333333)</f>
        <v>1.333333333</v>
      </c>
      <c r="Q202" s="763" t="str">
        <f>IFERROR(__xludf.DUMMYFUNCTION("""COMPUTED_VALUE"""),"EUR")</f>
        <v>EUR</v>
      </c>
      <c r="R202" s="763">
        <f>IFERROR(__xludf.DUMMYFUNCTION("""COMPUTED_VALUE"""),592.0)</f>
        <v>592</v>
      </c>
      <c r="S202" s="763" t="str">
        <f>IFERROR(__xludf.DUMMYFUNCTION("""COMPUTED_VALUE"""),"Workshop Afrofusion con Banana 2025 - Workshop Banana afrofusion")</f>
        <v>Workshop Afrofusion con Banana 2025 - Workshop Banana afrofusion</v>
      </c>
      <c r="T202" s="763"/>
      <c r="U202" s="763"/>
      <c r="V202" s="763">
        <f>IFERROR(__xludf.DUMMYFUNCTION("""COMPUTED_VALUE"""),1.0)</f>
        <v>1</v>
      </c>
      <c r="W202" s="763">
        <f>IFERROR(__xludf.DUMMYFUNCTION("""COMPUTED_VALUE"""),32.0)</f>
        <v>32</v>
      </c>
      <c r="X202" s="763">
        <f>IFERROR(__xludf.DUMMYFUNCTION("""COMPUTED_VALUE"""),32.0)</f>
        <v>32</v>
      </c>
      <c r="Y202" s="763"/>
      <c r="Z202" s="768" t="str">
        <f>IFERROR(__xludf.DUMMYFUNCTION("""COMPUTED_VALUE"""),"https://studio-gem.it/wp-admin/post.php?post=64961&amp;action=edit")</f>
        <v>https://studio-gem.it/wp-admin/post.php?post=64961&amp;action=edit</v>
      </c>
      <c r="AA202" s="763"/>
      <c r="AB202" s="763"/>
      <c r="AC202" s="763"/>
      <c r="AD202" s="763"/>
      <c r="AE202" s="763"/>
      <c r="AF202" s="763"/>
      <c r="AG202" s="763"/>
      <c r="AH202" s="763"/>
      <c r="AI202" s="763"/>
      <c r="AJ202" s="763"/>
      <c r="AK202" s="763"/>
      <c r="AL202" s="763"/>
      <c r="AM202" s="763"/>
      <c r="AN202" s="763"/>
      <c r="AO202" s="763"/>
      <c r="AP202" s="763"/>
      <c r="AQ202" s="763"/>
      <c r="AR202" s="763"/>
      <c r="AS202" s="763"/>
      <c r="AT202" s="763"/>
      <c r="AU202" s="763"/>
      <c r="AV202" s="763"/>
      <c r="AW202" s="763"/>
      <c r="AX202" s="763"/>
      <c r="AY202" s="763"/>
      <c r="AZ202" s="763"/>
      <c r="BA202" s="763"/>
      <c r="BB202" s="763"/>
      <c r="BC202" s="763"/>
      <c r="BD202" s="763"/>
      <c r="BE202" s="763"/>
      <c r="BF202" s="763"/>
      <c r="BG202" s="763" t="b">
        <f>IFERROR(__xludf.DUMMYFUNCTION("""COMPUTED_VALUE"""),TRUE)</f>
        <v>1</v>
      </c>
      <c r="BH202" s="763" t="b">
        <f>IFERROR(__xludf.DUMMYFUNCTION("""COMPUTED_VALUE"""),TRUE)</f>
        <v>1</v>
      </c>
      <c r="BI202" s="763" t="b">
        <f>IFERROR(__xludf.DUMMYFUNCTION("""COMPUTED_VALUE"""),TRUE)</f>
        <v>1</v>
      </c>
      <c r="BJ202" s="763" t="b">
        <f>IFERROR(__xludf.DUMMYFUNCTION("""COMPUTED_VALUE"""),FALSE)</f>
        <v>0</v>
      </c>
    </row>
    <row r="203">
      <c r="A203" s="763">
        <f>IFERROR(__xludf.DUMMYFUNCTION("""COMPUTED_VALUE"""),64963.0)</f>
        <v>64963</v>
      </c>
      <c r="B203" s="763">
        <f>IFERROR(__xludf.DUMMYFUNCTION("""COMPUTED_VALUE"""),64963.0)</f>
        <v>64963</v>
      </c>
      <c r="C203" s="763" t="str">
        <f>IFERROR(__xludf.DUMMYFUNCTION("""COMPUTED_VALUE"""),"2025-09-28 17:25:55")</f>
        <v>2025-09-28 17:25:55</v>
      </c>
      <c r="D203" s="763" t="str">
        <f>IFERROR(__xludf.DUMMYFUNCTION("""COMPUTED_VALUE"""),"completed")</f>
        <v>completed</v>
      </c>
      <c r="E203" s="763" t="str">
        <f>IFERROR(__xludf.DUMMYFUNCTION("""COMPUTED_VALUE"""),"Federica")</f>
        <v>Federica</v>
      </c>
      <c r="F203" s="763" t="str">
        <f>IFERROR(__xludf.DUMMYFUNCTION("""COMPUTED_VALUE"""),"Aghemo")</f>
        <v>Aghemo</v>
      </c>
      <c r="G203" s="763" t="str">
        <f>IFERROR(__xludf.DUMMYFUNCTION("""COMPUTED_VALUE"""),"federica_aghemo@hotmail.it")</f>
        <v>federica_aghemo@hotmail.it</v>
      </c>
      <c r="H203" s="763">
        <f>IFERROR(__xludf.DUMMYFUNCTION("""COMPUTED_VALUE"""),3.355330089E9)</f>
        <v>3355330089</v>
      </c>
      <c r="I203" s="763" t="str">
        <f>IFERROR(__xludf.DUMMYFUNCTION("""COMPUTED_VALUE"""),"Milano")</f>
        <v>Milano</v>
      </c>
      <c r="J203" s="763" t="str">
        <f>IFERROR(__xludf.DUMMYFUNCTION("""COMPUTED_VALUE"""),"Corso Porta Romana 57")</f>
        <v>Corso Porta Romana 57</v>
      </c>
      <c r="K203" s="763">
        <f>IFERROR(__xludf.DUMMYFUNCTION("""COMPUTED_VALUE"""),20122.0)</f>
        <v>20122</v>
      </c>
      <c r="L203" s="763"/>
      <c r="M203" s="763"/>
      <c r="N203" s="763"/>
      <c r="O203" s="763">
        <f>IFERROR(__xludf.DUMMYFUNCTION("""COMPUTED_VALUE"""),0.0)</f>
        <v>0</v>
      </c>
      <c r="P203" s="767">
        <f>IFERROR(__xludf.DUMMYFUNCTION("""COMPUTED_VALUE"""),0.0)</f>
        <v>0</v>
      </c>
      <c r="Q203" s="763" t="str">
        <f>IFERROR(__xludf.DUMMYFUNCTION("""COMPUTED_VALUE"""),"EUR")</f>
        <v>EUR</v>
      </c>
      <c r="R203" s="763">
        <f>IFERROR(__xludf.DUMMYFUNCTION("""COMPUTED_VALUE"""),593.0)</f>
        <v>593</v>
      </c>
      <c r="S203" s="763" t="str">
        <f>IFERROR(__xludf.DUMMYFUNCTION("""COMPUTED_VALUE"""),"Domeniche in movimento - Gratuito per open fitness e open mattino 1 lezione dalle 10 alle 11.50")</f>
        <v>Domeniche in movimento - Gratuito per open fitness e open mattino 1 lezione dalle 10 alle 11.50</v>
      </c>
      <c r="T203" s="763"/>
      <c r="U203" s="763"/>
      <c r="V203" s="763">
        <f>IFERROR(__xludf.DUMMYFUNCTION("""COMPUTED_VALUE"""),1.0)</f>
        <v>1</v>
      </c>
      <c r="W203" s="763">
        <f>IFERROR(__xludf.DUMMYFUNCTION("""COMPUTED_VALUE"""),0.0)</f>
        <v>0</v>
      </c>
      <c r="X203" s="763">
        <f>IFERROR(__xludf.DUMMYFUNCTION("""COMPUTED_VALUE"""),0.0)</f>
        <v>0</v>
      </c>
      <c r="Y203" s="763"/>
      <c r="Z203" s="768" t="str">
        <f>IFERROR(__xludf.DUMMYFUNCTION("""COMPUTED_VALUE"""),"https://studio-gem.it/wp-admin/post.php?post=64963&amp;action=edit")</f>
        <v>https://studio-gem.it/wp-admin/post.php?post=64963&amp;action=edit</v>
      </c>
      <c r="AA203" s="763"/>
      <c r="AB203" s="763"/>
      <c r="AC203" s="763"/>
      <c r="AD203" s="763"/>
      <c r="AE203" s="763"/>
      <c r="AF203" s="763"/>
      <c r="AG203" s="763"/>
      <c r="AH203" s="763"/>
      <c r="AI203" s="763"/>
      <c r="AJ203" s="763"/>
      <c r="AK203" s="763"/>
      <c r="AL203" s="763"/>
      <c r="AM203" s="763"/>
      <c r="AN203" s="763"/>
      <c r="AO203" s="763"/>
      <c r="AP203" s="763"/>
      <c r="AQ203" s="763"/>
      <c r="AR203" s="763"/>
      <c r="AS203" s="763"/>
      <c r="AT203" s="763"/>
      <c r="AU203" s="763"/>
      <c r="AV203" s="763"/>
      <c r="AW203" s="763"/>
      <c r="AX203" s="763"/>
      <c r="AY203" s="763"/>
      <c r="AZ203" s="763"/>
      <c r="BA203" s="763"/>
      <c r="BB203" s="763"/>
      <c r="BC203" s="763"/>
      <c r="BD203" s="763"/>
      <c r="BE203" s="763"/>
      <c r="BF203" s="763"/>
      <c r="BG203" s="763" t="b">
        <f>IFERROR(__xludf.DUMMYFUNCTION("""COMPUTED_VALUE"""),TRUE)</f>
        <v>1</v>
      </c>
      <c r="BH203" s="763" t="b">
        <f>IFERROR(__xludf.DUMMYFUNCTION("""COMPUTED_VALUE"""),FALSE)</f>
        <v>0</v>
      </c>
      <c r="BI203" s="763" t="b">
        <f>IFERROR(__xludf.DUMMYFUNCTION("""COMPUTED_VALUE"""),TRUE)</f>
        <v>1</v>
      </c>
      <c r="BJ203" s="763" t="b">
        <f>IFERROR(__xludf.DUMMYFUNCTION("""COMPUTED_VALUE"""),FALSE)</f>
        <v>0</v>
      </c>
    </row>
    <row r="204">
      <c r="A204" s="763">
        <f>IFERROR(__xludf.DUMMYFUNCTION("""COMPUTED_VALUE"""),64965.0)</f>
        <v>64965</v>
      </c>
      <c r="B204" s="763">
        <f>IFERROR(__xludf.DUMMYFUNCTION("""COMPUTED_VALUE"""),64965.0)</f>
        <v>64965</v>
      </c>
      <c r="C204" s="763" t="str">
        <f>IFERROR(__xludf.DUMMYFUNCTION("""COMPUTED_VALUE"""),"2025-09-28 19:08:23")</f>
        <v>2025-09-28 19:08:23</v>
      </c>
      <c r="D204" s="763" t="str">
        <f>IFERROR(__xludf.DUMMYFUNCTION("""COMPUTED_VALUE"""),"processing")</f>
        <v>processing</v>
      </c>
      <c r="E204" s="763" t="str">
        <f>IFERROR(__xludf.DUMMYFUNCTION("""COMPUTED_VALUE"""),"Claudia")</f>
        <v>Claudia</v>
      </c>
      <c r="F204" s="763" t="str">
        <f>IFERROR(__xludf.DUMMYFUNCTION("""COMPUTED_VALUE"""),"Scipioni")</f>
        <v>Scipioni</v>
      </c>
      <c r="G204" s="763" t="str">
        <f>IFERROR(__xludf.DUMMYFUNCTION("""COMPUTED_VALUE"""),"claudia.scipioni64@gmail.com")</f>
        <v>claudia.scipioni64@gmail.com</v>
      </c>
      <c r="H204" s="763">
        <f>IFERROR(__xludf.DUMMYFUNCTION("""COMPUTED_VALUE"""),3.396859611E9)</f>
        <v>3396859611</v>
      </c>
      <c r="I204" s="763" t="str">
        <f>IFERROR(__xludf.DUMMYFUNCTION("""COMPUTED_VALUE"""),"Milano")</f>
        <v>Milano</v>
      </c>
      <c r="J204" s="763" t="str">
        <f>IFERROR(__xludf.DUMMYFUNCTION("""COMPUTED_VALUE"""),"via Calatafimi 15")</f>
        <v>via Calatafimi 15</v>
      </c>
      <c r="K204" s="763">
        <f>IFERROR(__xludf.DUMMYFUNCTION("""COMPUTED_VALUE"""),20122.0)</f>
        <v>20122</v>
      </c>
      <c r="L204" s="763" t="str">
        <f>IFERROR(__xludf.DUMMYFUNCTION("""COMPUTED_VALUE"""),"Carte di pagamento")</f>
        <v>Carte di pagamento</v>
      </c>
      <c r="M204" s="763"/>
      <c r="N204" s="763" t="str">
        <f>IFERROR(__xludf.DUMMYFUNCTION("""COMPUTED_VALUE"""),"64965-1759086505")</f>
        <v>64965-1759086505</v>
      </c>
      <c r="O204" s="763">
        <f>IFERROR(__xludf.DUMMYFUNCTION("""COMPUTED_VALUE"""),0.0)</f>
        <v>0</v>
      </c>
      <c r="P204" s="767">
        <f>IFERROR(__xludf.DUMMYFUNCTION("""COMPUTED_VALUE"""),0.8333333333333334)</f>
        <v>0.8333333333</v>
      </c>
      <c r="Q204" s="763" t="str">
        <f>IFERROR(__xludf.DUMMYFUNCTION("""COMPUTED_VALUE"""),"EUR")</f>
        <v>EUR</v>
      </c>
      <c r="R204" s="763">
        <f>IFERROR(__xludf.DUMMYFUNCTION("""COMPUTED_VALUE"""),594.0)</f>
        <v>594</v>
      </c>
      <c r="S204" s="763" t="str">
        <f>IFERROR(__xludf.DUMMYFUNCTION("""COMPUTED_VALUE"""),"Domeniche in movimento - Gestualità afro cubana Raffaella Russo €20")</f>
        <v>Domeniche in movimento - Gestualità afro cubana Raffaella Russo €20</v>
      </c>
      <c r="T204" s="763"/>
      <c r="U204" s="763"/>
      <c r="V204" s="763">
        <f>IFERROR(__xludf.DUMMYFUNCTION("""COMPUTED_VALUE"""),1.0)</f>
        <v>1</v>
      </c>
      <c r="W204" s="763">
        <f>IFERROR(__xludf.DUMMYFUNCTION("""COMPUTED_VALUE"""),20.0)</f>
        <v>20</v>
      </c>
      <c r="X204" s="763">
        <f>IFERROR(__xludf.DUMMYFUNCTION("""COMPUTED_VALUE"""),20.0)</f>
        <v>20</v>
      </c>
      <c r="Y204" s="763"/>
      <c r="Z204" s="768" t="str">
        <f>IFERROR(__xludf.DUMMYFUNCTION("""COMPUTED_VALUE"""),"https://studio-gem.it/wp-admin/post.php?post=64965&amp;action=edit")</f>
        <v>https://studio-gem.it/wp-admin/post.php?post=64965&amp;action=edit</v>
      </c>
      <c r="AA204" s="763"/>
      <c r="AB204" s="763"/>
      <c r="AC204" s="763"/>
      <c r="AD204" s="763"/>
      <c r="AE204" s="763"/>
      <c r="AF204" s="763"/>
      <c r="AG204" s="763"/>
      <c r="AH204" s="763"/>
      <c r="AI204" s="763"/>
      <c r="AJ204" s="763"/>
      <c r="AK204" s="763"/>
      <c r="AL204" s="763"/>
      <c r="AM204" s="763"/>
      <c r="AN204" s="763"/>
      <c r="AO204" s="763"/>
      <c r="AP204" s="763"/>
      <c r="AQ204" s="763"/>
      <c r="AR204" s="763"/>
      <c r="AS204" s="763"/>
      <c r="AT204" s="763"/>
      <c r="AU204" s="763"/>
      <c r="AV204" s="763"/>
      <c r="AW204" s="763"/>
      <c r="AX204" s="763"/>
      <c r="AY204" s="763"/>
      <c r="AZ204" s="763"/>
      <c r="BA204" s="763"/>
      <c r="BB204" s="763"/>
      <c r="BC204" s="763"/>
      <c r="BD204" s="763"/>
      <c r="BE204" s="763"/>
      <c r="BF204" s="763"/>
      <c r="BG204" s="763" t="b">
        <f>IFERROR(__xludf.DUMMYFUNCTION("""COMPUTED_VALUE"""),TRUE)</f>
        <v>1</v>
      </c>
      <c r="BH204" s="763" t="b">
        <f>IFERROR(__xludf.DUMMYFUNCTION("""COMPUTED_VALUE"""),TRUE)</f>
        <v>1</v>
      </c>
      <c r="BI204" s="763" t="b">
        <f>IFERROR(__xludf.DUMMYFUNCTION("""COMPUTED_VALUE"""),TRUE)</f>
        <v>1</v>
      </c>
      <c r="BJ204" s="763" t="b">
        <f>IFERROR(__xludf.DUMMYFUNCTION("""COMPUTED_VALUE"""),FALSE)</f>
        <v>0</v>
      </c>
    </row>
    <row r="205">
      <c r="A205" s="763">
        <f>IFERROR(__xludf.DUMMYFUNCTION("""COMPUTED_VALUE"""),64975.0)</f>
        <v>64975</v>
      </c>
      <c r="B205" s="763">
        <f>IFERROR(__xludf.DUMMYFUNCTION("""COMPUTED_VALUE"""),64975.0)</f>
        <v>64975</v>
      </c>
      <c r="C205" s="763" t="str">
        <f>IFERROR(__xludf.DUMMYFUNCTION("""COMPUTED_VALUE"""),"2025-09-29 17:33:16")</f>
        <v>2025-09-29 17:33:16</v>
      </c>
      <c r="D205" s="763" t="str">
        <f>IFERROR(__xludf.DUMMYFUNCTION("""COMPUTED_VALUE"""),"completed")</f>
        <v>completed</v>
      </c>
      <c r="E205" s="763" t="str">
        <f>IFERROR(__xludf.DUMMYFUNCTION("""COMPUTED_VALUE"""),"Aurora")</f>
        <v>Aurora</v>
      </c>
      <c r="F205" s="763" t="str">
        <f>IFERROR(__xludf.DUMMYFUNCTION("""COMPUTED_VALUE"""),"Cerliani")</f>
        <v>Cerliani</v>
      </c>
      <c r="G205" s="763" t="str">
        <f>IFERROR(__xludf.DUMMYFUNCTION("""COMPUTED_VALUE"""),"aurora.cerliani@hotmail.it")</f>
        <v>aurora.cerliani@hotmail.it</v>
      </c>
      <c r="H205" s="763">
        <f>IFERROR(__xludf.DUMMYFUNCTION("""COMPUTED_VALUE"""),3.388486613E9)</f>
        <v>3388486613</v>
      </c>
      <c r="I205" s="763" t="str">
        <f>IFERROR(__xludf.DUMMYFUNCTION("""COMPUTED_VALUE"""),"Bovisio Masciago")</f>
        <v>Bovisio Masciago</v>
      </c>
      <c r="J205" s="763" t="str">
        <f>IFERROR(__xludf.DUMMYFUNCTION("""COMPUTED_VALUE"""),"Via Oberdan 30")</f>
        <v>Via Oberdan 30</v>
      </c>
      <c r="K205" s="763">
        <f>IFERROR(__xludf.DUMMYFUNCTION("""COMPUTED_VALUE"""),20813.0)</f>
        <v>20813</v>
      </c>
      <c r="L205" s="763" t="str">
        <f>IFERROR(__xludf.DUMMYFUNCTION("""COMPUTED_VALUE"""),"Carte di pagamento")</f>
        <v>Carte di pagamento</v>
      </c>
      <c r="M205" s="763"/>
      <c r="N205" s="763" t="str">
        <f>IFERROR(__xludf.DUMMYFUNCTION("""COMPUTED_VALUE"""),"64975-1759167198")</f>
        <v>64975-1759167198</v>
      </c>
      <c r="O205" s="763">
        <f>IFERROR(__xludf.DUMMYFUNCTION("""COMPUTED_VALUE"""),0.0)</f>
        <v>0</v>
      </c>
      <c r="P205" s="767">
        <f>IFERROR(__xludf.DUMMYFUNCTION("""COMPUTED_VALUE"""),1.875)</f>
        <v>1.875</v>
      </c>
      <c r="Q205" s="763" t="str">
        <f>IFERROR(__xludf.DUMMYFUNCTION("""COMPUTED_VALUE"""),"EUR")</f>
        <v>EUR</v>
      </c>
      <c r="R205" s="763">
        <f>IFERROR(__xludf.DUMMYFUNCTION("""COMPUTED_VALUE"""),595.0)</f>
        <v>595</v>
      </c>
      <c r="S205" s="763" t="str">
        <f>IFERROR(__xludf.DUMMYFUNCTION("""COMPUTED_VALUE"""),"Workshop Commercial con Timor Steffens - Workshop Commercial con Timor Steffens")</f>
        <v>Workshop Commercial con Timor Steffens - Workshop Commercial con Timor Steffens</v>
      </c>
      <c r="T205" s="763"/>
      <c r="U205" s="763"/>
      <c r="V205" s="763">
        <f>IFERROR(__xludf.DUMMYFUNCTION("""COMPUTED_VALUE"""),1.0)</f>
        <v>1</v>
      </c>
      <c r="W205" s="763">
        <f>IFERROR(__xludf.DUMMYFUNCTION("""COMPUTED_VALUE"""),45.0)</f>
        <v>45</v>
      </c>
      <c r="X205" s="763">
        <f>IFERROR(__xludf.DUMMYFUNCTION("""COMPUTED_VALUE"""),45.0)</f>
        <v>45</v>
      </c>
      <c r="Y205" s="763"/>
      <c r="Z205" s="768" t="str">
        <f>IFERROR(__xludf.DUMMYFUNCTION("""COMPUTED_VALUE"""),"https://studio-gem.it/wp-admin/post.php?post=64975&amp;action=edit")</f>
        <v>https://studio-gem.it/wp-admin/post.php?post=64975&amp;action=edit</v>
      </c>
      <c r="AA205" s="763"/>
      <c r="AB205" s="763"/>
      <c r="AC205" s="763"/>
      <c r="AD205" s="763"/>
      <c r="AE205" s="763"/>
      <c r="AF205" s="763"/>
      <c r="AG205" s="763"/>
      <c r="AH205" s="763"/>
      <c r="AI205" s="763"/>
      <c r="AJ205" s="763"/>
      <c r="AK205" s="763"/>
      <c r="AL205" s="763"/>
      <c r="AM205" s="763"/>
      <c r="AN205" s="763"/>
      <c r="AO205" s="763"/>
      <c r="AP205" s="763"/>
      <c r="AQ205" s="763"/>
      <c r="AR205" s="763"/>
      <c r="AS205" s="763"/>
      <c r="AT205" s="763"/>
      <c r="AU205" s="763"/>
      <c r="AV205" s="763"/>
      <c r="AW205" s="763"/>
      <c r="AX205" s="763"/>
      <c r="AY205" s="763"/>
      <c r="AZ205" s="763"/>
      <c r="BA205" s="763"/>
      <c r="BB205" s="763"/>
      <c r="BC205" s="763"/>
      <c r="BD205" s="763"/>
      <c r="BE205" s="763"/>
      <c r="BF205" s="763"/>
      <c r="BG205" s="763" t="b">
        <f>IFERROR(__xludf.DUMMYFUNCTION("""COMPUTED_VALUE"""),TRUE)</f>
        <v>1</v>
      </c>
      <c r="BH205" s="763" t="b">
        <f>IFERROR(__xludf.DUMMYFUNCTION("""COMPUTED_VALUE"""),TRUE)</f>
        <v>1</v>
      </c>
      <c r="BI205" s="763" t="b">
        <f>IFERROR(__xludf.DUMMYFUNCTION("""COMPUTED_VALUE"""),TRUE)</f>
        <v>1</v>
      </c>
      <c r="BJ205" s="763" t="b">
        <f>IFERROR(__xludf.DUMMYFUNCTION("""COMPUTED_VALUE"""),FALSE)</f>
        <v>0</v>
      </c>
    </row>
    <row r="206">
      <c r="A206" s="763">
        <f>IFERROR(__xludf.DUMMYFUNCTION("""COMPUTED_VALUE"""),64977.0)</f>
        <v>64977</v>
      </c>
      <c r="B206" s="763">
        <f>IFERROR(__xludf.DUMMYFUNCTION("""COMPUTED_VALUE"""),64977.0)</f>
        <v>64977</v>
      </c>
      <c r="C206" s="763" t="str">
        <f>IFERROR(__xludf.DUMMYFUNCTION("""COMPUTED_VALUE"""),"2025-09-29 17:41:29")</f>
        <v>2025-09-29 17:41:29</v>
      </c>
      <c r="D206" s="763" t="str">
        <f>IFERROR(__xludf.DUMMYFUNCTION("""COMPUTED_VALUE"""),"processing")</f>
        <v>processing</v>
      </c>
      <c r="E206" s="763" t="str">
        <f>IFERROR(__xludf.DUMMYFUNCTION("""COMPUTED_VALUE"""),"Annachiara")</f>
        <v>Annachiara</v>
      </c>
      <c r="F206" s="763" t="str">
        <f>IFERROR(__xludf.DUMMYFUNCTION("""COMPUTED_VALUE"""),"Colosimo")</f>
        <v>Colosimo</v>
      </c>
      <c r="G206" s="763" t="str">
        <f>IFERROR(__xludf.DUMMYFUNCTION("""COMPUTED_VALUE"""),"colosimoannachiara@gmail.com")</f>
        <v>colosimoannachiara@gmail.com</v>
      </c>
      <c r="H206" s="763">
        <f>IFERROR(__xludf.DUMMYFUNCTION("""COMPUTED_VALUE"""),3.341848225E9)</f>
        <v>3341848225</v>
      </c>
      <c r="I206" s="763" t="str">
        <f>IFERROR(__xludf.DUMMYFUNCTION("""COMPUTED_VALUE"""),"Bovisio Masciago")</f>
        <v>Bovisio Masciago</v>
      </c>
      <c r="J206" s="763" t="str">
        <f>IFERROR(__xludf.DUMMYFUNCTION("""COMPUTED_VALUE"""),"Cadorna, 28")</f>
        <v>Cadorna, 28</v>
      </c>
      <c r="K206" s="763">
        <f>IFERROR(__xludf.DUMMYFUNCTION("""COMPUTED_VALUE"""),20813.0)</f>
        <v>20813</v>
      </c>
      <c r="L206" s="763" t="str">
        <f>IFERROR(__xludf.DUMMYFUNCTION("""COMPUTED_VALUE"""),"Satispay")</f>
        <v>Satispay</v>
      </c>
      <c r="M206" s="763"/>
      <c r="N206" s="763" t="str">
        <f>IFERROR(__xludf.DUMMYFUNCTION("""COMPUTED_VALUE"""),"01999690-b3e1-7e08-b0ff-f3347fb1a18d")</f>
        <v>01999690-b3e1-7e08-b0ff-f3347fb1a18d</v>
      </c>
      <c r="O206" s="763">
        <f>IFERROR(__xludf.DUMMYFUNCTION("""COMPUTED_VALUE"""),0.0)</f>
        <v>0</v>
      </c>
      <c r="P206" s="767">
        <f>IFERROR(__xludf.DUMMYFUNCTION("""COMPUTED_VALUE"""),1.875)</f>
        <v>1.875</v>
      </c>
      <c r="Q206" s="763" t="str">
        <f>IFERROR(__xludf.DUMMYFUNCTION("""COMPUTED_VALUE"""),"EUR")</f>
        <v>EUR</v>
      </c>
      <c r="R206" s="763">
        <f>IFERROR(__xludf.DUMMYFUNCTION("""COMPUTED_VALUE"""),596.0)</f>
        <v>596</v>
      </c>
      <c r="S206" s="763" t="str">
        <f>IFERROR(__xludf.DUMMYFUNCTION("""COMPUTED_VALUE"""),"Workshop Commercial con Timor Steffens - Workshop Commercial con Timor Steffens")</f>
        <v>Workshop Commercial con Timor Steffens - Workshop Commercial con Timor Steffens</v>
      </c>
      <c r="T206" s="763"/>
      <c r="U206" s="763"/>
      <c r="V206" s="763">
        <f>IFERROR(__xludf.DUMMYFUNCTION("""COMPUTED_VALUE"""),1.0)</f>
        <v>1</v>
      </c>
      <c r="W206" s="763">
        <f>IFERROR(__xludf.DUMMYFUNCTION("""COMPUTED_VALUE"""),45.0)</f>
        <v>45</v>
      </c>
      <c r="X206" s="763">
        <f>IFERROR(__xludf.DUMMYFUNCTION("""COMPUTED_VALUE"""),45.0)</f>
        <v>45</v>
      </c>
      <c r="Y206" s="763"/>
      <c r="Z206" s="768" t="str">
        <f>IFERROR(__xludf.DUMMYFUNCTION("""COMPUTED_VALUE"""),"https://studio-gem.it/wp-admin/post.php?post=64977&amp;action=edit")</f>
        <v>https://studio-gem.it/wp-admin/post.php?post=64977&amp;action=edit</v>
      </c>
      <c r="AA206" s="763"/>
      <c r="AB206" s="763"/>
      <c r="AC206" s="763"/>
      <c r="AD206" s="763"/>
      <c r="AE206" s="763"/>
      <c r="AF206" s="763"/>
      <c r="AG206" s="763"/>
      <c r="AH206" s="763"/>
      <c r="AI206" s="763"/>
      <c r="AJ206" s="763"/>
      <c r="AK206" s="763"/>
      <c r="AL206" s="763"/>
      <c r="AM206" s="763"/>
      <c r="AN206" s="763"/>
      <c r="AO206" s="763"/>
      <c r="AP206" s="763"/>
      <c r="AQ206" s="763"/>
      <c r="AR206" s="763"/>
      <c r="AS206" s="763"/>
      <c r="AT206" s="763"/>
      <c r="AU206" s="763"/>
      <c r="AV206" s="763"/>
      <c r="AW206" s="763"/>
      <c r="AX206" s="763"/>
      <c r="AY206" s="763"/>
      <c r="AZ206" s="763"/>
      <c r="BA206" s="763"/>
      <c r="BB206" s="763"/>
      <c r="BC206" s="763"/>
      <c r="BD206" s="763"/>
      <c r="BE206" s="763"/>
      <c r="BF206" s="763"/>
      <c r="BG206" s="763" t="b">
        <f>IFERROR(__xludf.DUMMYFUNCTION("""COMPUTED_VALUE"""),TRUE)</f>
        <v>1</v>
      </c>
      <c r="BH206" s="763" t="b">
        <f>IFERROR(__xludf.DUMMYFUNCTION("""COMPUTED_VALUE"""),TRUE)</f>
        <v>1</v>
      </c>
      <c r="BI206" s="763" t="b">
        <f>IFERROR(__xludf.DUMMYFUNCTION("""COMPUTED_VALUE"""),TRUE)</f>
        <v>1</v>
      </c>
      <c r="BJ206" s="763" t="b">
        <f>IFERROR(__xludf.DUMMYFUNCTION("""COMPUTED_VALUE"""),FALSE)</f>
        <v>0</v>
      </c>
    </row>
    <row r="207">
      <c r="A207" s="763">
        <f>IFERROR(__xludf.DUMMYFUNCTION("""COMPUTED_VALUE"""),64979.0)</f>
        <v>64979</v>
      </c>
      <c r="B207" s="763">
        <f>IFERROR(__xludf.DUMMYFUNCTION("""COMPUTED_VALUE"""),64979.0)</f>
        <v>64979</v>
      </c>
      <c r="C207" s="763" t="str">
        <f>IFERROR(__xludf.DUMMYFUNCTION("""COMPUTED_VALUE"""),"2025-09-29 22:24:22")</f>
        <v>2025-09-29 22:24:22</v>
      </c>
      <c r="D207" s="763" t="str">
        <f>IFERROR(__xludf.DUMMYFUNCTION("""COMPUTED_VALUE"""),"processing")</f>
        <v>processing</v>
      </c>
      <c r="E207" s="763" t="str">
        <f>IFERROR(__xludf.DUMMYFUNCTION("""COMPUTED_VALUE"""),"Greta")</f>
        <v>Greta</v>
      </c>
      <c r="F207" s="763" t="str">
        <f>IFERROR(__xludf.DUMMYFUNCTION("""COMPUTED_VALUE"""),"Ronchi")</f>
        <v>Ronchi</v>
      </c>
      <c r="G207" s="763" t="str">
        <f>IFERROR(__xludf.DUMMYFUNCTION("""COMPUTED_VALUE"""),"gretaronchi16@gmail.com")</f>
        <v>gretaronchi16@gmail.com</v>
      </c>
      <c r="H207" s="763">
        <f>IFERROR(__xludf.DUMMYFUNCTION("""COMPUTED_VALUE"""),3.383775144E9)</f>
        <v>3383775144</v>
      </c>
      <c r="I207" s="763" t="str">
        <f>IFERROR(__xludf.DUMMYFUNCTION("""COMPUTED_VALUE"""),"Bovisio Masciago")</f>
        <v>Bovisio Masciago</v>
      </c>
      <c r="J207" s="763" t="str">
        <f>IFERROR(__xludf.DUMMYFUNCTION("""COMPUTED_VALUE"""),"Via Desio, 50")</f>
        <v>Via Desio, 50</v>
      </c>
      <c r="K207" s="763">
        <f>IFERROR(__xludf.DUMMYFUNCTION("""COMPUTED_VALUE"""),20813.0)</f>
        <v>20813</v>
      </c>
      <c r="L207" s="763" t="str">
        <f>IFERROR(__xludf.DUMMYFUNCTION("""COMPUTED_VALUE"""),"Carte di pagamento")</f>
        <v>Carte di pagamento</v>
      </c>
      <c r="M207" s="763"/>
      <c r="N207" s="763" t="str">
        <f>IFERROR(__xludf.DUMMYFUNCTION("""COMPUTED_VALUE"""),"64979-1759184663")</f>
        <v>64979-1759184663</v>
      </c>
      <c r="O207" s="763">
        <f>IFERROR(__xludf.DUMMYFUNCTION("""COMPUTED_VALUE"""),0.0)</f>
        <v>0</v>
      </c>
      <c r="P207" s="767">
        <f>IFERROR(__xludf.DUMMYFUNCTION("""COMPUTED_VALUE"""),1.875)</f>
        <v>1.875</v>
      </c>
      <c r="Q207" s="763" t="str">
        <f>IFERROR(__xludf.DUMMYFUNCTION("""COMPUTED_VALUE"""),"EUR")</f>
        <v>EUR</v>
      </c>
      <c r="R207" s="763">
        <f>IFERROR(__xludf.DUMMYFUNCTION("""COMPUTED_VALUE"""),597.0)</f>
        <v>597</v>
      </c>
      <c r="S207" s="763" t="str">
        <f>IFERROR(__xludf.DUMMYFUNCTION("""COMPUTED_VALUE"""),"Workshop Commercial con Timor Steffens - Workshop Commercial con Timor Steffens")</f>
        <v>Workshop Commercial con Timor Steffens - Workshop Commercial con Timor Steffens</v>
      </c>
      <c r="T207" s="763"/>
      <c r="U207" s="763"/>
      <c r="V207" s="763">
        <f>IFERROR(__xludf.DUMMYFUNCTION("""COMPUTED_VALUE"""),1.0)</f>
        <v>1</v>
      </c>
      <c r="W207" s="763">
        <f>IFERROR(__xludf.DUMMYFUNCTION("""COMPUTED_VALUE"""),45.0)</f>
        <v>45</v>
      </c>
      <c r="X207" s="763">
        <f>IFERROR(__xludf.DUMMYFUNCTION("""COMPUTED_VALUE"""),45.0)</f>
        <v>45</v>
      </c>
      <c r="Y207" s="763"/>
      <c r="Z207" s="768" t="str">
        <f>IFERROR(__xludf.DUMMYFUNCTION("""COMPUTED_VALUE"""),"https://studio-gem.it/wp-admin/post.php?post=64979&amp;action=edit")</f>
        <v>https://studio-gem.it/wp-admin/post.php?post=64979&amp;action=edit</v>
      </c>
      <c r="AA207" s="763"/>
      <c r="AB207" s="763"/>
      <c r="AC207" s="763"/>
      <c r="AD207" s="763"/>
      <c r="AE207" s="763"/>
      <c r="AF207" s="763"/>
      <c r="AG207" s="763"/>
      <c r="AH207" s="763"/>
      <c r="AI207" s="763"/>
      <c r="AJ207" s="763"/>
      <c r="AK207" s="763"/>
      <c r="AL207" s="763"/>
      <c r="AM207" s="763"/>
      <c r="AN207" s="763"/>
      <c r="AO207" s="763"/>
      <c r="AP207" s="763"/>
      <c r="AQ207" s="763"/>
      <c r="AR207" s="763"/>
      <c r="AS207" s="763"/>
      <c r="AT207" s="763"/>
      <c r="AU207" s="763"/>
      <c r="AV207" s="763"/>
      <c r="AW207" s="763"/>
      <c r="AX207" s="763"/>
      <c r="AY207" s="763"/>
      <c r="AZ207" s="763"/>
      <c r="BA207" s="763"/>
      <c r="BB207" s="763"/>
      <c r="BC207" s="763"/>
      <c r="BD207" s="763"/>
      <c r="BE207" s="763"/>
      <c r="BF207" s="763"/>
      <c r="BG207" s="763" t="b">
        <f>IFERROR(__xludf.DUMMYFUNCTION("""COMPUTED_VALUE"""),TRUE)</f>
        <v>1</v>
      </c>
      <c r="BH207" s="763" t="b">
        <f>IFERROR(__xludf.DUMMYFUNCTION("""COMPUTED_VALUE"""),TRUE)</f>
        <v>1</v>
      </c>
      <c r="BI207" s="763" t="b">
        <f>IFERROR(__xludf.DUMMYFUNCTION("""COMPUTED_VALUE"""),TRUE)</f>
        <v>1</v>
      </c>
      <c r="BJ207" s="763" t="b">
        <f>IFERROR(__xludf.DUMMYFUNCTION("""COMPUTED_VALUE"""),FALSE)</f>
        <v>0</v>
      </c>
    </row>
    <row r="208">
      <c r="A208" s="763">
        <f>IFERROR(__xludf.DUMMYFUNCTION("""COMPUTED_VALUE"""),64981.0)</f>
        <v>64981</v>
      </c>
      <c r="B208" s="763">
        <f>IFERROR(__xludf.DUMMYFUNCTION("""COMPUTED_VALUE"""),64981.0)</f>
        <v>64981</v>
      </c>
      <c r="C208" s="763" t="str">
        <f>IFERROR(__xludf.DUMMYFUNCTION("""COMPUTED_VALUE"""),"2025-09-30 10:29:24")</f>
        <v>2025-09-30 10:29:24</v>
      </c>
      <c r="D208" s="763" t="str">
        <f>IFERROR(__xludf.DUMMYFUNCTION("""COMPUTED_VALUE"""),"completed")</f>
        <v>completed</v>
      </c>
      <c r="E208" s="763" t="str">
        <f>IFERROR(__xludf.DUMMYFUNCTION("""COMPUTED_VALUE"""),"Arianna")</f>
        <v>Arianna</v>
      </c>
      <c r="F208" s="763" t="str">
        <f>IFERROR(__xludf.DUMMYFUNCTION("""COMPUTED_VALUE"""),"Galli")</f>
        <v>Galli</v>
      </c>
      <c r="G208" s="763" t="str">
        <f>IFERROR(__xludf.DUMMYFUNCTION("""COMPUTED_VALUE"""),"ariannagalli05@gmail.com")</f>
        <v>ariannagalli05@gmail.com</v>
      </c>
      <c r="H208" s="763">
        <f>IFERROR(__xludf.DUMMYFUNCTION("""COMPUTED_VALUE"""),3.471335918E9)</f>
        <v>3471335918</v>
      </c>
      <c r="I208" s="763" t="str">
        <f>IFERROR(__xludf.DUMMYFUNCTION("""COMPUTED_VALUE"""),"Piacenza")</f>
        <v>Piacenza</v>
      </c>
      <c r="J208" s="763" t="str">
        <f>IFERROR(__xludf.DUMMYFUNCTION("""COMPUTED_VALUE"""),"Via Alessandria 17")</f>
        <v>Via Alessandria 17</v>
      </c>
      <c r="K208" s="763">
        <f>IFERROR(__xludf.DUMMYFUNCTION("""COMPUTED_VALUE"""),29121.0)</f>
        <v>29121</v>
      </c>
      <c r="L208" s="763" t="str">
        <f>IFERROR(__xludf.DUMMYFUNCTION("""COMPUTED_VALUE"""),"Satispay")</f>
        <v>Satispay</v>
      </c>
      <c r="M208" s="763"/>
      <c r="N208" s="763" t="str">
        <f>IFERROR(__xludf.DUMMYFUNCTION("""COMPUTED_VALUE"""),"01999a2b-79a5-7e68-8fcc-31c8faa4fba2")</f>
        <v>01999a2b-79a5-7e68-8fcc-31c8faa4fba2</v>
      </c>
      <c r="O208" s="763">
        <f>IFERROR(__xludf.DUMMYFUNCTION("""COMPUTED_VALUE"""),0.0)</f>
        <v>0</v>
      </c>
      <c r="P208" s="767">
        <f>IFERROR(__xludf.DUMMYFUNCTION("""COMPUTED_VALUE"""),3.75)</f>
        <v>3.75</v>
      </c>
      <c r="Q208" s="763" t="str">
        <f>IFERROR(__xludf.DUMMYFUNCTION("""COMPUTED_VALUE"""),"EUR")</f>
        <v>EUR</v>
      </c>
      <c r="R208" s="763">
        <f>IFERROR(__xludf.DUMMYFUNCTION("""COMPUTED_VALUE"""),598.0)</f>
        <v>598</v>
      </c>
      <c r="S208" s="763" t="str">
        <f>IFERROR(__xludf.DUMMYFUNCTION("""COMPUTED_VALUE"""),"Workshop Commercial con Timor Steffens - Workshop Commercial con Timor Steffens")</f>
        <v>Workshop Commercial con Timor Steffens - Workshop Commercial con Timor Steffens</v>
      </c>
      <c r="T208" s="763"/>
      <c r="U208" s="763"/>
      <c r="V208" s="763">
        <f>IFERROR(__xludf.DUMMYFUNCTION("""COMPUTED_VALUE"""),2.0)</f>
        <v>2</v>
      </c>
      <c r="W208" s="763">
        <f>IFERROR(__xludf.DUMMYFUNCTION("""COMPUTED_VALUE"""),45.0)</f>
        <v>45</v>
      </c>
      <c r="X208" s="763">
        <f>IFERROR(__xludf.DUMMYFUNCTION("""COMPUTED_VALUE"""),90.0)</f>
        <v>90</v>
      </c>
      <c r="Y208" s="763"/>
      <c r="Z208" s="768" t="str">
        <f>IFERROR(__xludf.DUMMYFUNCTION("""COMPUTED_VALUE"""),"https://studio-gem.it/wp-admin/post.php?post=64981&amp;action=edit")</f>
        <v>https://studio-gem.it/wp-admin/post.php?post=64981&amp;action=edit</v>
      </c>
      <c r="AA208" s="763"/>
      <c r="AB208" s="763"/>
      <c r="AC208" s="763"/>
      <c r="AD208" s="763"/>
      <c r="AE208" s="763"/>
      <c r="AF208" s="763"/>
      <c r="AG208" s="763"/>
      <c r="AH208" s="763"/>
      <c r="AI208" s="763"/>
      <c r="AJ208" s="763"/>
      <c r="AK208" s="763"/>
      <c r="AL208" s="763"/>
      <c r="AM208" s="763"/>
      <c r="AN208" s="763"/>
      <c r="AO208" s="763"/>
      <c r="AP208" s="763"/>
      <c r="AQ208" s="763"/>
      <c r="AR208" s="763"/>
      <c r="AS208" s="763"/>
      <c r="AT208" s="763"/>
      <c r="AU208" s="763"/>
      <c r="AV208" s="763"/>
      <c r="AW208" s="763"/>
      <c r="AX208" s="763"/>
      <c r="AY208" s="763"/>
      <c r="AZ208" s="763"/>
      <c r="BA208" s="763"/>
      <c r="BB208" s="763"/>
      <c r="BC208" s="763"/>
      <c r="BD208" s="763"/>
      <c r="BE208" s="763"/>
      <c r="BF208" s="763"/>
      <c r="BG208" s="763" t="b">
        <f>IFERROR(__xludf.DUMMYFUNCTION("""COMPUTED_VALUE"""),TRUE)</f>
        <v>1</v>
      </c>
      <c r="BH208" s="763" t="b">
        <f>IFERROR(__xludf.DUMMYFUNCTION("""COMPUTED_VALUE"""),TRUE)</f>
        <v>1</v>
      </c>
      <c r="BI208" s="763" t="b">
        <f>IFERROR(__xludf.DUMMYFUNCTION("""COMPUTED_VALUE"""),TRUE)</f>
        <v>1</v>
      </c>
      <c r="BJ208" s="763" t="b">
        <f>IFERROR(__xludf.DUMMYFUNCTION("""COMPUTED_VALUE"""),TRUE)</f>
        <v>1</v>
      </c>
    </row>
    <row r="209">
      <c r="A209" s="763">
        <f>IFERROR(__xludf.DUMMYFUNCTION("""COMPUTED_VALUE"""),64985.0)</f>
        <v>64985</v>
      </c>
      <c r="B209" s="763">
        <f>IFERROR(__xludf.DUMMYFUNCTION("""COMPUTED_VALUE"""),64985.0)</f>
        <v>64985</v>
      </c>
      <c r="C209" s="763" t="str">
        <f>IFERROR(__xludf.DUMMYFUNCTION("""COMPUTED_VALUE"""),"2025-09-30 16:15:57")</f>
        <v>2025-09-30 16:15:57</v>
      </c>
      <c r="D209" s="763" t="str">
        <f>IFERROR(__xludf.DUMMYFUNCTION("""COMPUTED_VALUE"""),"processing")</f>
        <v>processing</v>
      </c>
      <c r="E209" s="763" t="str">
        <f>IFERROR(__xludf.DUMMYFUNCTION("""COMPUTED_VALUE"""),"Alessandra")</f>
        <v>Alessandra</v>
      </c>
      <c r="F209" s="763" t="str">
        <f>IFERROR(__xludf.DUMMYFUNCTION("""COMPUTED_VALUE"""),"Mele")</f>
        <v>Mele</v>
      </c>
      <c r="G209" s="763" t="str">
        <f>IFERROR(__xludf.DUMMYFUNCTION("""COMPUTED_VALUE"""),"alessandramele2004@gmail.com")</f>
        <v>alessandramele2004@gmail.com</v>
      </c>
      <c r="H209" s="763">
        <f>IFERROR(__xludf.DUMMYFUNCTION("""COMPUTED_VALUE"""),3.343328185E9)</f>
        <v>3343328185</v>
      </c>
      <c r="I209" s="763" t="str">
        <f>IFERROR(__xludf.DUMMYFUNCTION("""COMPUTED_VALUE"""),"Carmagnola")</f>
        <v>Carmagnola</v>
      </c>
      <c r="J209" s="763" t="str">
        <f>IFERROR(__xludf.DUMMYFUNCTION("""COMPUTED_VALUE"""),"Via Poirino 3")</f>
        <v>Via Poirino 3</v>
      </c>
      <c r="K209" s="763">
        <f>IFERROR(__xludf.DUMMYFUNCTION("""COMPUTED_VALUE"""),10022.0)</f>
        <v>10022</v>
      </c>
      <c r="L209" s="763" t="str">
        <f>IFERROR(__xludf.DUMMYFUNCTION("""COMPUTED_VALUE"""),"Carte di pagamento")</f>
        <v>Carte di pagamento</v>
      </c>
      <c r="M209" s="763"/>
      <c r="N209" s="763" t="str">
        <f>IFERROR(__xludf.DUMMYFUNCTION("""COMPUTED_VALUE"""),"64985-1759248958")</f>
        <v>64985-1759248958</v>
      </c>
      <c r="O209" s="763">
        <f>IFERROR(__xludf.DUMMYFUNCTION("""COMPUTED_VALUE"""),0.0)</f>
        <v>0</v>
      </c>
      <c r="P209" s="767">
        <f>IFERROR(__xludf.DUMMYFUNCTION("""COMPUTED_VALUE"""),1.875)</f>
        <v>1.875</v>
      </c>
      <c r="Q209" s="763" t="str">
        <f>IFERROR(__xludf.DUMMYFUNCTION("""COMPUTED_VALUE"""),"EUR")</f>
        <v>EUR</v>
      </c>
      <c r="R209" s="763">
        <f>IFERROR(__xludf.DUMMYFUNCTION("""COMPUTED_VALUE"""),599.0)</f>
        <v>599</v>
      </c>
      <c r="S209" s="763" t="str">
        <f>IFERROR(__xludf.DUMMYFUNCTION("""COMPUTED_VALUE"""),"Workshop Commercial con Timor Steffens - Workshop Commercial con Timor Steffens")</f>
        <v>Workshop Commercial con Timor Steffens - Workshop Commercial con Timor Steffens</v>
      </c>
      <c r="T209" s="763"/>
      <c r="U209" s="763"/>
      <c r="V209" s="763">
        <f>IFERROR(__xludf.DUMMYFUNCTION("""COMPUTED_VALUE"""),1.0)</f>
        <v>1</v>
      </c>
      <c r="W209" s="763">
        <f>IFERROR(__xludf.DUMMYFUNCTION("""COMPUTED_VALUE"""),45.0)</f>
        <v>45</v>
      </c>
      <c r="X209" s="763">
        <f>IFERROR(__xludf.DUMMYFUNCTION("""COMPUTED_VALUE"""),45.0)</f>
        <v>45</v>
      </c>
      <c r="Y209" s="763"/>
      <c r="Z209" s="768" t="str">
        <f>IFERROR(__xludf.DUMMYFUNCTION("""COMPUTED_VALUE"""),"https://studio-gem.it/wp-admin/post.php?post=64985&amp;action=edit")</f>
        <v>https://studio-gem.it/wp-admin/post.php?post=64985&amp;action=edit</v>
      </c>
      <c r="AA209" s="763"/>
      <c r="AB209" s="763"/>
      <c r="AC209" s="763"/>
      <c r="AD209" s="763"/>
      <c r="AE209" s="763"/>
      <c r="AF209" s="763"/>
      <c r="AG209" s="763"/>
      <c r="AH209" s="763"/>
      <c r="AI209" s="763"/>
      <c r="AJ209" s="763"/>
      <c r="AK209" s="763"/>
      <c r="AL209" s="763"/>
      <c r="AM209" s="763"/>
      <c r="AN209" s="763"/>
      <c r="AO209" s="763"/>
      <c r="AP209" s="763"/>
      <c r="AQ209" s="763"/>
      <c r="AR209" s="763"/>
      <c r="AS209" s="763"/>
      <c r="AT209" s="763"/>
      <c r="AU209" s="763"/>
      <c r="AV209" s="763"/>
      <c r="AW209" s="763"/>
      <c r="AX209" s="763"/>
      <c r="AY209" s="763"/>
      <c r="AZ209" s="763"/>
      <c r="BA209" s="763"/>
      <c r="BB209" s="763"/>
      <c r="BC209" s="763"/>
      <c r="BD209" s="763"/>
      <c r="BE209" s="763"/>
      <c r="BF209" s="763"/>
      <c r="BG209" s="763" t="b">
        <f>IFERROR(__xludf.DUMMYFUNCTION("""COMPUTED_VALUE"""),TRUE)</f>
        <v>1</v>
      </c>
      <c r="BH209" s="763" t="b">
        <f>IFERROR(__xludf.DUMMYFUNCTION("""COMPUTED_VALUE"""),TRUE)</f>
        <v>1</v>
      </c>
      <c r="BI209" s="763" t="b">
        <f>IFERROR(__xludf.DUMMYFUNCTION("""COMPUTED_VALUE"""),TRUE)</f>
        <v>1</v>
      </c>
      <c r="BJ209" s="763" t="b">
        <f>IFERROR(__xludf.DUMMYFUNCTION("""COMPUTED_VALUE"""),FALSE)</f>
        <v>0</v>
      </c>
    </row>
    <row r="210">
      <c r="A210" s="763">
        <f>IFERROR(__xludf.DUMMYFUNCTION("""COMPUTED_VALUE"""),64987.0)</f>
        <v>64987</v>
      </c>
      <c r="B210" s="763">
        <f>IFERROR(__xludf.DUMMYFUNCTION("""COMPUTED_VALUE"""),64987.0)</f>
        <v>64987</v>
      </c>
      <c r="C210" s="763" t="str">
        <f>IFERROR(__xludf.DUMMYFUNCTION("""COMPUTED_VALUE"""),"2025-09-30 19:06:53")</f>
        <v>2025-09-30 19:06:53</v>
      </c>
      <c r="D210" s="763" t="str">
        <f>IFERROR(__xludf.DUMMYFUNCTION("""COMPUTED_VALUE"""),"completed")</f>
        <v>completed</v>
      </c>
      <c r="E210" s="763" t="str">
        <f>IFERROR(__xludf.DUMMYFUNCTION("""COMPUTED_VALUE"""),"Lucia")</f>
        <v>Lucia</v>
      </c>
      <c r="F210" s="763" t="str">
        <f>IFERROR(__xludf.DUMMYFUNCTION("""COMPUTED_VALUE"""),"Brizzolara")</f>
        <v>Brizzolara</v>
      </c>
      <c r="G210" s="763" t="str">
        <f>IFERROR(__xludf.DUMMYFUNCTION("""COMPUTED_VALUE"""),"lu.brizzolara@gmail.com")</f>
        <v>lu.brizzolara@gmail.com</v>
      </c>
      <c r="H210" s="763">
        <f>IFERROR(__xludf.DUMMYFUNCTION("""COMPUTED_VALUE"""),3.387838344E9)</f>
        <v>3387838344</v>
      </c>
      <c r="I210" s="763" t="str">
        <f>IFERROR(__xludf.DUMMYFUNCTION("""COMPUTED_VALUE"""),"Como")</f>
        <v>Como</v>
      </c>
      <c r="J210" s="763" t="str">
        <f>IFERROR(__xludf.DUMMYFUNCTION("""COMPUTED_VALUE"""),"Via Morazzone 14")</f>
        <v>Via Morazzone 14</v>
      </c>
      <c r="K210" s="763">
        <f>IFERROR(__xludf.DUMMYFUNCTION("""COMPUTED_VALUE"""),22100.0)</f>
        <v>22100</v>
      </c>
      <c r="L210" s="763" t="str">
        <f>IFERROR(__xludf.DUMMYFUNCTION("""COMPUTED_VALUE"""),"Carte di pagamento")</f>
        <v>Carte di pagamento</v>
      </c>
      <c r="M210" s="763"/>
      <c r="N210" s="763" t="str">
        <f>IFERROR(__xludf.DUMMYFUNCTION("""COMPUTED_VALUE"""),"64987-1759259214")</f>
        <v>64987-1759259214</v>
      </c>
      <c r="O210" s="763">
        <f>IFERROR(__xludf.DUMMYFUNCTION("""COMPUTED_VALUE"""),0.0)</f>
        <v>0</v>
      </c>
      <c r="P210" s="767">
        <f>IFERROR(__xludf.DUMMYFUNCTION("""COMPUTED_VALUE"""),1.3333333333333333)</f>
        <v>1.333333333</v>
      </c>
      <c r="Q210" s="763" t="str">
        <f>IFERROR(__xludf.DUMMYFUNCTION("""COMPUTED_VALUE"""),"EUR")</f>
        <v>EUR</v>
      </c>
      <c r="R210" s="763">
        <f>IFERROR(__xludf.DUMMYFUNCTION("""COMPUTED_VALUE"""),600.0)</f>
        <v>600</v>
      </c>
      <c r="S210" s="763" t="str">
        <f>IFERROR(__xludf.DUMMYFUNCTION("""COMPUTED_VALUE"""),"Workshop Heels con Lulu Kulova - Workshop Lulu Heels")</f>
        <v>Workshop Heels con Lulu Kulova - Workshop Lulu Heels</v>
      </c>
      <c r="T210" s="763"/>
      <c r="U210" s="763"/>
      <c r="V210" s="763">
        <f>IFERROR(__xludf.DUMMYFUNCTION("""COMPUTED_VALUE"""),1.0)</f>
        <v>1</v>
      </c>
      <c r="W210" s="763">
        <f>IFERROR(__xludf.DUMMYFUNCTION("""COMPUTED_VALUE"""),32.0)</f>
        <v>32</v>
      </c>
      <c r="X210" s="763">
        <f>IFERROR(__xludf.DUMMYFUNCTION("""COMPUTED_VALUE"""),32.0)</f>
        <v>32</v>
      </c>
      <c r="Y210" s="763"/>
      <c r="Z210" s="768" t="str">
        <f>IFERROR(__xludf.DUMMYFUNCTION("""COMPUTED_VALUE"""),"https://studio-gem.it/wp-admin/post.php?post=64987&amp;action=edit")</f>
        <v>https://studio-gem.it/wp-admin/post.php?post=64987&amp;action=edit</v>
      </c>
      <c r="AA210" s="763"/>
      <c r="AB210" s="763"/>
      <c r="AC210" s="763"/>
      <c r="AD210" s="763"/>
      <c r="AE210" s="763"/>
      <c r="AF210" s="763"/>
      <c r="AG210" s="763"/>
      <c r="AH210" s="763"/>
      <c r="AI210" s="763"/>
      <c r="AJ210" s="763"/>
      <c r="AK210" s="763"/>
      <c r="AL210" s="763"/>
      <c r="AM210" s="763"/>
      <c r="AN210" s="763"/>
      <c r="AO210" s="763"/>
      <c r="AP210" s="763"/>
      <c r="AQ210" s="763"/>
      <c r="AR210" s="763"/>
      <c r="AS210" s="763"/>
      <c r="AT210" s="763"/>
      <c r="AU210" s="763"/>
      <c r="AV210" s="763"/>
      <c r="AW210" s="763"/>
      <c r="AX210" s="763"/>
      <c r="AY210" s="763"/>
      <c r="AZ210" s="763"/>
      <c r="BA210" s="763"/>
      <c r="BB210" s="763"/>
      <c r="BC210" s="763"/>
      <c r="BD210" s="763"/>
      <c r="BE210" s="763"/>
      <c r="BF210" s="763"/>
      <c r="BG210" s="763" t="b">
        <f>IFERROR(__xludf.DUMMYFUNCTION("""COMPUTED_VALUE"""),TRUE)</f>
        <v>1</v>
      </c>
      <c r="BH210" s="763" t="b">
        <f>IFERROR(__xludf.DUMMYFUNCTION("""COMPUTED_VALUE"""),TRUE)</f>
        <v>1</v>
      </c>
      <c r="BI210" s="763" t="b">
        <f>IFERROR(__xludf.DUMMYFUNCTION("""COMPUTED_VALUE"""),TRUE)</f>
        <v>1</v>
      </c>
      <c r="BJ210" s="763" t="b">
        <f>IFERROR(__xludf.DUMMYFUNCTION("""COMPUTED_VALUE"""),FALSE)</f>
        <v>0</v>
      </c>
    </row>
    <row r="211">
      <c r="A211" s="763">
        <f>IFERROR(__xludf.DUMMYFUNCTION("""COMPUTED_VALUE"""),64990.0)</f>
        <v>64990</v>
      </c>
      <c r="B211" s="763">
        <f>IFERROR(__xludf.DUMMYFUNCTION("""COMPUTED_VALUE"""),64990.0)</f>
        <v>64990</v>
      </c>
      <c r="C211" s="763" t="str">
        <f>IFERROR(__xludf.DUMMYFUNCTION("""COMPUTED_VALUE"""),"2025-10-01 06:23:32")</f>
        <v>2025-10-01 06:23:32</v>
      </c>
      <c r="D211" s="763" t="str">
        <f>IFERROR(__xludf.DUMMYFUNCTION("""COMPUTED_VALUE"""),"processing")</f>
        <v>processing</v>
      </c>
      <c r="E211" s="763" t="str">
        <f>IFERROR(__xludf.DUMMYFUNCTION("""COMPUTED_VALUE"""),"Alessandra")</f>
        <v>Alessandra</v>
      </c>
      <c r="F211" s="763" t="str">
        <f>IFERROR(__xludf.DUMMYFUNCTION("""COMPUTED_VALUE"""),"Grimaldi")</f>
        <v>Grimaldi</v>
      </c>
      <c r="G211" s="763" t="str">
        <f>IFERROR(__xludf.DUMMYFUNCTION("""COMPUTED_VALUE"""),"alessandragrimaldi@hotmail.it")</f>
        <v>alessandragrimaldi@hotmail.it</v>
      </c>
      <c r="H211" s="763">
        <f>IFERROR(__xludf.DUMMYFUNCTION("""COMPUTED_VALUE"""),3.381097865E9)</f>
        <v>3381097865</v>
      </c>
      <c r="I211" s="763" t="str">
        <f>IFERROR(__xludf.DUMMYFUNCTION("""COMPUTED_VALUE"""),"Masate")</f>
        <v>Masate</v>
      </c>
      <c r="J211" s="763" t="str">
        <f>IFERROR(__xludf.DUMMYFUNCTION("""COMPUTED_VALUE"""),"Vicolo al Trobbia 19")</f>
        <v>Vicolo al Trobbia 19</v>
      </c>
      <c r="K211" s="763">
        <f>IFERROR(__xludf.DUMMYFUNCTION("""COMPUTED_VALUE"""),20060.0)</f>
        <v>20060</v>
      </c>
      <c r="L211" s="763" t="str">
        <f>IFERROR(__xludf.DUMMYFUNCTION("""COMPUTED_VALUE"""),"Carte di pagamento")</f>
        <v>Carte di pagamento</v>
      </c>
      <c r="M211" s="763"/>
      <c r="N211" s="763" t="str">
        <f>IFERROR(__xludf.DUMMYFUNCTION("""COMPUTED_VALUE"""),"64990-1759299813")</f>
        <v>64990-1759299813</v>
      </c>
      <c r="O211" s="763">
        <f>IFERROR(__xludf.DUMMYFUNCTION("""COMPUTED_VALUE"""),0.0)</f>
        <v>0</v>
      </c>
      <c r="P211" s="767">
        <f>IFERROR(__xludf.DUMMYFUNCTION("""COMPUTED_VALUE"""),1.875)</f>
        <v>1.875</v>
      </c>
      <c r="Q211" s="763" t="str">
        <f>IFERROR(__xludf.DUMMYFUNCTION("""COMPUTED_VALUE"""),"EUR")</f>
        <v>EUR</v>
      </c>
      <c r="R211" s="763">
        <f>IFERROR(__xludf.DUMMYFUNCTION("""COMPUTED_VALUE"""),601.0)</f>
        <v>601</v>
      </c>
      <c r="S211" s="763" t="str">
        <f>IFERROR(__xludf.DUMMYFUNCTION("""COMPUTED_VALUE"""),"Workshop Commercial con Timor Steffens - Workshop Commercial con Timor Steffens")</f>
        <v>Workshop Commercial con Timor Steffens - Workshop Commercial con Timor Steffens</v>
      </c>
      <c r="T211" s="763"/>
      <c r="U211" s="763"/>
      <c r="V211" s="763">
        <f>IFERROR(__xludf.DUMMYFUNCTION("""COMPUTED_VALUE"""),1.0)</f>
        <v>1</v>
      </c>
      <c r="W211" s="763">
        <f>IFERROR(__xludf.DUMMYFUNCTION("""COMPUTED_VALUE"""),45.0)</f>
        <v>45</v>
      </c>
      <c r="X211" s="763">
        <f>IFERROR(__xludf.DUMMYFUNCTION("""COMPUTED_VALUE"""),45.0)</f>
        <v>45</v>
      </c>
      <c r="Y211" s="763"/>
      <c r="Z211" s="768" t="str">
        <f>IFERROR(__xludf.DUMMYFUNCTION("""COMPUTED_VALUE"""),"https://studio-gem.it/wp-admin/post.php?post=64990&amp;action=edit")</f>
        <v>https://studio-gem.it/wp-admin/post.php?post=64990&amp;action=edit</v>
      </c>
      <c r="AA211" s="763"/>
      <c r="AB211" s="763"/>
      <c r="AC211" s="763"/>
      <c r="AD211" s="763"/>
      <c r="AE211" s="763"/>
      <c r="AF211" s="763"/>
      <c r="AG211" s="763"/>
      <c r="AH211" s="763"/>
      <c r="AI211" s="763"/>
      <c r="AJ211" s="763"/>
      <c r="AK211" s="763"/>
      <c r="AL211" s="763"/>
      <c r="AM211" s="763"/>
      <c r="AN211" s="763"/>
      <c r="AO211" s="763"/>
      <c r="AP211" s="763"/>
      <c r="AQ211" s="763"/>
      <c r="AR211" s="763"/>
      <c r="AS211" s="763"/>
      <c r="AT211" s="763"/>
      <c r="AU211" s="763"/>
      <c r="AV211" s="763"/>
      <c r="AW211" s="763"/>
      <c r="AX211" s="763"/>
      <c r="AY211" s="763"/>
      <c r="AZ211" s="763"/>
      <c r="BA211" s="763"/>
      <c r="BB211" s="763"/>
      <c r="BC211" s="763"/>
      <c r="BD211" s="763"/>
      <c r="BE211" s="763"/>
      <c r="BF211" s="763"/>
      <c r="BG211" s="763" t="b">
        <f>IFERROR(__xludf.DUMMYFUNCTION("""COMPUTED_VALUE"""),TRUE)</f>
        <v>1</v>
      </c>
      <c r="BH211" s="763" t="b">
        <f>IFERROR(__xludf.DUMMYFUNCTION("""COMPUTED_VALUE"""),TRUE)</f>
        <v>1</v>
      </c>
      <c r="BI211" s="763" t="b">
        <f>IFERROR(__xludf.DUMMYFUNCTION("""COMPUTED_VALUE"""),TRUE)</f>
        <v>1</v>
      </c>
      <c r="BJ211" s="763" t="b">
        <f>IFERROR(__xludf.DUMMYFUNCTION("""COMPUTED_VALUE"""),FALSE)</f>
        <v>0</v>
      </c>
    </row>
    <row r="212">
      <c r="A212" s="763">
        <f>IFERROR(__xludf.DUMMYFUNCTION("""COMPUTED_VALUE"""),64995.0)</f>
        <v>64995</v>
      </c>
      <c r="B212" s="763">
        <f>IFERROR(__xludf.DUMMYFUNCTION("""COMPUTED_VALUE"""),64995.0)</f>
        <v>64995</v>
      </c>
      <c r="C212" s="763" t="str">
        <f>IFERROR(__xludf.DUMMYFUNCTION("""COMPUTED_VALUE"""),"2025-10-01 09:25:59")</f>
        <v>2025-10-01 09:25:59</v>
      </c>
      <c r="D212" s="763" t="str">
        <f>IFERROR(__xludf.DUMMYFUNCTION("""COMPUTED_VALUE"""),"completed")</f>
        <v>completed</v>
      </c>
      <c r="E212" s="763" t="str">
        <f>IFERROR(__xludf.DUMMYFUNCTION("""COMPUTED_VALUE"""),"Michel")</f>
        <v>Michel</v>
      </c>
      <c r="F212" s="763" t="str">
        <f>IFERROR(__xludf.DUMMYFUNCTION("""COMPUTED_VALUE"""),"Reyes")</f>
        <v>Reyes</v>
      </c>
      <c r="G212" s="763" t="str">
        <f>IFERROR(__xludf.DUMMYFUNCTION("""COMPUTED_VALUE"""),"Michel.9017@libero.it")</f>
        <v>Michel.9017@libero.it</v>
      </c>
      <c r="H212" s="763">
        <f>IFERROR(__xludf.DUMMYFUNCTION("""COMPUTED_VALUE"""),3.481955108E9)</f>
        <v>3481955108</v>
      </c>
      <c r="I212" s="763" t="str">
        <f>IFERROR(__xludf.DUMMYFUNCTION("""COMPUTED_VALUE"""),"Castel Bolognese")</f>
        <v>Castel Bolognese</v>
      </c>
      <c r="J212" s="763" t="str">
        <f>IFERROR(__xludf.DUMMYFUNCTION("""COMPUTED_VALUE"""),"Francesco rossi 2")</f>
        <v>Francesco rossi 2</v>
      </c>
      <c r="K212" s="763">
        <f>IFERROR(__xludf.DUMMYFUNCTION("""COMPUTED_VALUE"""),48014.0)</f>
        <v>48014</v>
      </c>
      <c r="L212" s="763" t="str">
        <f>IFERROR(__xludf.DUMMYFUNCTION("""COMPUTED_VALUE"""),"Carte di pagamento")</f>
        <v>Carte di pagamento</v>
      </c>
      <c r="M212" s="763"/>
      <c r="N212" s="763" t="str">
        <f>IFERROR(__xludf.DUMMYFUNCTION("""COMPUTED_VALUE"""),"64995-1759310761")</f>
        <v>64995-1759310761</v>
      </c>
      <c r="O212" s="763">
        <f>IFERROR(__xludf.DUMMYFUNCTION("""COMPUTED_VALUE"""),0.0)</f>
        <v>0</v>
      </c>
      <c r="P212" s="767">
        <f>IFERROR(__xludf.DUMMYFUNCTION("""COMPUTED_VALUE"""),3.2083333333333335)</f>
        <v>3.208333333</v>
      </c>
      <c r="Q212" s="763" t="str">
        <f>IFERROR(__xludf.DUMMYFUNCTION("""COMPUTED_VALUE"""),"EUR")</f>
        <v>EUR</v>
      </c>
      <c r="R212" s="763">
        <f>IFERROR(__xludf.DUMMYFUNCTION("""COMPUTED_VALUE"""),602.0)</f>
        <v>602</v>
      </c>
      <c r="S212" s="763" t="str">
        <f>IFERROR(__xludf.DUMMYFUNCTION("""COMPUTED_VALUE"""),"Workshop Commercial con Timor Steffens - Workshop Commercial con Timor Steffens")</f>
        <v>Workshop Commercial con Timor Steffens - Workshop Commercial con Timor Steffens</v>
      </c>
      <c r="T212" s="763"/>
      <c r="U212" s="763"/>
      <c r="V212" s="763">
        <f>IFERROR(__xludf.DUMMYFUNCTION("""COMPUTED_VALUE"""),1.0)</f>
        <v>1</v>
      </c>
      <c r="W212" s="763">
        <f>IFERROR(__xludf.DUMMYFUNCTION("""COMPUTED_VALUE"""),45.0)</f>
        <v>45</v>
      </c>
      <c r="X212" s="763">
        <f>IFERROR(__xludf.DUMMYFUNCTION("""COMPUTED_VALUE"""),45.0)</f>
        <v>45</v>
      </c>
      <c r="Y212" s="763"/>
      <c r="Z212" s="768" t="str">
        <f>IFERROR(__xludf.DUMMYFUNCTION("""COMPUTED_VALUE"""),"https://studio-gem.it/wp-admin/post.php?post=64995&amp;action=edit")</f>
        <v>https://studio-gem.it/wp-admin/post.php?post=64995&amp;action=edit</v>
      </c>
      <c r="AA212" s="763"/>
      <c r="AB212" s="763"/>
      <c r="AC212" s="763"/>
      <c r="AD212" s="763"/>
      <c r="AE212" s="763"/>
      <c r="AF212" s="763"/>
      <c r="AG212" s="763"/>
      <c r="AH212" s="763"/>
      <c r="AI212" s="763"/>
      <c r="AJ212" s="763"/>
      <c r="AK212" s="763"/>
      <c r="AL212" s="763"/>
      <c r="AM212" s="763"/>
      <c r="AN212" s="763"/>
      <c r="AO212" s="763"/>
      <c r="AP212" s="763"/>
      <c r="AQ212" s="763"/>
      <c r="AR212" s="763"/>
      <c r="AS212" s="763"/>
      <c r="AT212" s="763"/>
      <c r="AU212" s="763"/>
      <c r="AV212" s="763"/>
      <c r="AW212" s="763"/>
      <c r="AX212" s="763"/>
      <c r="AY212" s="763"/>
      <c r="AZ212" s="763"/>
      <c r="BA212" s="763"/>
      <c r="BB212" s="763"/>
      <c r="BC212" s="763"/>
      <c r="BD212" s="763"/>
      <c r="BE212" s="763"/>
      <c r="BF212" s="763"/>
      <c r="BG212" s="763" t="b">
        <f>IFERROR(__xludf.DUMMYFUNCTION("""COMPUTED_VALUE"""),TRUE)</f>
        <v>1</v>
      </c>
      <c r="BH212" s="763" t="b">
        <f>IFERROR(__xludf.DUMMYFUNCTION("""COMPUTED_VALUE"""),TRUE)</f>
        <v>1</v>
      </c>
      <c r="BI212" s="763" t="b">
        <f>IFERROR(__xludf.DUMMYFUNCTION("""COMPUTED_VALUE"""),TRUE)</f>
        <v>1</v>
      </c>
      <c r="BJ212" s="763" t="b">
        <f>IFERROR(__xludf.DUMMYFUNCTION("""COMPUTED_VALUE"""),FALSE)</f>
        <v>0</v>
      </c>
    </row>
    <row r="213">
      <c r="A213" s="763">
        <f>IFERROR(__xludf.DUMMYFUNCTION("""COMPUTED_VALUE"""),64995.0)</f>
        <v>64995</v>
      </c>
      <c r="B213" s="763">
        <f>IFERROR(__xludf.DUMMYFUNCTION("""COMPUTED_VALUE"""),64995.0)</f>
        <v>64995</v>
      </c>
      <c r="C213" s="763" t="str">
        <f>IFERROR(__xludf.DUMMYFUNCTION("""COMPUTED_VALUE"""),"2025-10-01 09:25:59")</f>
        <v>2025-10-01 09:25:59</v>
      </c>
      <c r="D213" s="763" t="str">
        <f>IFERROR(__xludf.DUMMYFUNCTION("""COMPUTED_VALUE"""),"completed")</f>
        <v>completed</v>
      </c>
      <c r="E213" s="763" t="str">
        <f>IFERROR(__xludf.DUMMYFUNCTION("""COMPUTED_VALUE"""),"Michel")</f>
        <v>Michel</v>
      </c>
      <c r="F213" s="763" t="str">
        <f>IFERROR(__xludf.DUMMYFUNCTION("""COMPUTED_VALUE"""),"Reyes")</f>
        <v>Reyes</v>
      </c>
      <c r="G213" s="763" t="str">
        <f>IFERROR(__xludf.DUMMYFUNCTION("""COMPUTED_VALUE"""),"Michel.9017@libero.it")</f>
        <v>Michel.9017@libero.it</v>
      </c>
      <c r="H213" s="763">
        <f>IFERROR(__xludf.DUMMYFUNCTION("""COMPUTED_VALUE"""),3.481955108E9)</f>
        <v>3481955108</v>
      </c>
      <c r="I213" s="763" t="str">
        <f>IFERROR(__xludf.DUMMYFUNCTION("""COMPUTED_VALUE"""),"Castel Bolognese")</f>
        <v>Castel Bolognese</v>
      </c>
      <c r="J213" s="763" t="str">
        <f>IFERROR(__xludf.DUMMYFUNCTION("""COMPUTED_VALUE"""),"Francesco rossi 2")</f>
        <v>Francesco rossi 2</v>
      </c>
      <c r="K213" s="763">
        <f>IFERROR(__xludf.DUMMYFUNCTION("""COMPUTED_VALUE"""),48014.0)</f>
        <v>48014</v>
      </c>
      <c r="L213" s="763" t="str">
        <f>IFERROR(__xludf.DUMMYFUNCTION("""COMPUTED_VALUE"""),"Carte di pagamento")</f>
        <v>Carte di pagamento</v>
      </c>
      <c r="M213" s="763"/>
      <c r="N213" s="763" t="str">
        <f>IFERROR(__xludf.DUMMYFUNCTION("""COMPUTED_VALUE"""),"64995-1759310761")</f>
        <v>64995-1759310761</v>
      </c>
      <c r="O213" s="763">
        <f>IFERROR(__xludf.DUMMYFUNCTION("""COMPUTED_VALUE"""),0.0)</f>
        <v>0</v>
      </c>
      <c r="P213" s="767">
        <f>IFERROR(__xludf.DUMMYFUNCTION("""COMPUTED_VALUE"""),3.2083333333333335)</f>
        <v>3.208333333</v>
      </c>
      <c r="Q213" s="763" t="str">
        <f>IFERROR(__xludf.DUMMYFUNCTION("""COMPUTED_VALUE"""),"EUR")</f>
        <v>EUR</v>
      </c>
      <c r="R213" s="763">
        <f>IFERROR(__xludf.DUMMYFUNCTION("""COMPUTED_VALUE"""),603.0)</f>
        <v>603</v>
      </c>
      <c r="S213" s="763" t="str">
        <f>IFERROR(__xludf.DUMMYFUNCTION("""COMPUTED_VALUE"""),"Workshop Afrofusion con Banana 2025 - Workshop Banana afrofusion")</f>
        <v>Workshop Afrofusion con Banana 2025 - Workshop Banana afrofusion</v>
      </c>
      <c r="T213" s="763"/>
      <c r="U213" s="763"/>
      <c r="V213" s="763">
        <f>IFERROR(__xludf.DUMMYFUNCTION("""COMPUTED_VALUE"""),1.0)</f>
        <v>1</v>
      </c>
      <c r="W213" s="763">
        <f>IFERROR(__xludf.DUMMYFUNCTION("""COMPUTED_VALUE"""),32.0)</f>
        <v>32</v>
      </c>
      <c r="X213" s="763">
        <f>IFERROR(__xludf.DUMMYFUNCTION("""COMPUTED_VALUE"""),32.0)</f>
        <v>32</v>
      </c>
      <c r="Y213" s="763"/>
      <c r="Z213" s="768" t="str">
        <f>IFERROR(__xludf.DUMMYFUNCTION("""COMPUTED_VALUE"""),"https://studio-gem.it/wp-admin/post.php?post=64995&amp;action=edit")</f>
        <v>https://studio-gem.it/wp-admin/post.php?post=64995&amp;action=edit</v>
      </c>
      <c r="AA213" s="763"/>
      <c r="AB213" s="763"/>
      <c r="AC213" s="763"/>
      <c r="AD213" s="763"/>
      <c r="AE213" s="763"/>
      <c r="AF213" s="763"/>
      <c r="AG213" s="763"/>
      <c r="AH213" s="763"/>
      <c r="AI213" s="763"/>
      <c r="AJ213" s="763"/>
      <c r="AK213" s="763"/>
      <c r="AL213" s="763"/>
      <c r="AM213" s="763"/>
      <c r="AN213" s="763"/>
      <c r="AO213" s="763"/>
      <c r="AP213" s="763"/>
      <c r="AQ213" s="763"/>
      <c r="AR213" s="763"/>
      <c r="AS213" s="763"/>
      <c r="AT213" s="763"/>
      <c r="AU213" s="763"/>
      <c r="AV213" s="763"/>
      <c r="AW213" s="763"/>
      <c r="AX213" s="763"/>
      <c r="AY213" s="763"/>
      <c r="AZ213" s="763"/>
      <c r="BA213" s="763"/>
      <c r="BB213" s="763"/>
      <c r="BC213" s="763"/>
      <c r="BD213" s="763"/>
      <c r="BE213" s="763"/>
      <c r="BF213" s="763"/>
      <c r="BG213" s="763" t="b">
        <f>IFERROR(__xludf.DUMMYFUNCTION("""COMPUTED_VALUE"""),TRUE)</f>
        <v>1</v>
      </c>
      <c r="BH213" s="763" t="b">
        <f>IFERROR(__xludf.DUMMYFUNCTION("""COMPUTED_VALUE"""),TRUE)</f>
        <v>1</v>
      </c>
      <c r="BI213" s="763" t="b">
        <f>IFERROR(__xludf.DUMMYFUNCTION("""COMPUTED_VALUE"""),TRUE)</f>
        <v>1</v>
      </c>
      <c r="BJ213" s="763" t="b">
        <f>IFERROR(__xludf.DUMMYFUNCTION("""COMPUTED_VALUE"""),FALSE)</f>
        <v>0</v>
      </c>
    </row>
    <row r="214">
      <c r="A214" s="763">
        <f>IFERROR(__xludf.DUMMYFUNCTION("""COMPUTED_VALUE"""),65035.0)</f>
        <v>65035</v>
      </c>
      <c r="B214" s="763">
        <f>IFERROR(__xludf.DUMMYFUNCTION("""COMPUTED_VALUE"""),65035.0)</f>
        <v>65035</v>
      </c>
      <c r="C214" s="763" t="str">
        <f>IFERROR(__xludf.DUMMYFUNCTION("""COMPUTED_VALUE"""),"2025-10-01 16:38:19")</f>
        <v>2025-10-01 16:38:19</v>
      </c>
      <c r="D214" s="763" t="str">
        <f>IFERROR(__xludf.DUMMYFUNCTION("""COMPUTED_VALUE"""),"completed")</f>
        <v>completed</v>
      </c>
      <c r="E214" s="763" t="str">
        <f>IFERROR(__xludf.DUMMYFUNCTION("""COMPUTED_VALUE"""),"Rachelle")</f>
        <v>Rachelle</v>
      </c>
      <c r="F214" s="763" t="str">
        <f>IFERROR(__xludf.DUMMYFUNCTION("""COMPUTED_VALUE"""),"Ricciardi")</f>
        <v>Ricciardi</v>
      </c>
      <c r="G214" s="763" t="str">
        <f>IFERROR(__xludf.DUMMYFUNCTION("""COMPUTED_VALUE"""),"rachelle.ricciardi@gmail.com")</f>
        <v>rachelle.ricciardi@gmail.com</v>
      </c>
      <c r="H214" s="763">
        <f>IFERROR(__xludf.DUMMYFUNCTION("""COMPUTED_VALUE"""),3.285383874E9)</f>
        <v>3285383874</v>
      </c>
      <c r="I214" s="763" t="str">
        <f>IFERROR(__xludf.DUMMYFUNCTION("""COMPUTED_VALUE"""),"San Giuliano milanese")</f>
        <v>San Giuliano milanese</v>
      </c>
      <c r="J214" s="763" t="str">
        <f>IFERROR(__xludf.DUMMYFUNCTION("""COMPUTED_VALUE"""),"Via Giuseppe Mazzini 29")</f>
        <v>Via Giuseppe Mazzini 29</v>
      </c>
      <c r="K214" s="763">
        <f>IFERROR(__xludf.DUMMYFUNCTION("""COMPUTED_VALUE"""),20098.0)</f>
        <v>20098</v>
      </c>
      <c r="L214" s="763" t="str">
        <f>IFERROR(__xludf.DUMMYFUNCTION("""COMPUTED_VALUE"""),"Apple Pay")</f>
        <v>Apple Pay</v>
      </c>
      <c r="M214" s="763"/>
      <c r="N214" s="763" t="str">
        <f>IFERROR(__xludf.DUMMYFUNCTION("""COMPUTED_VALUE"""),"65035-1759336700")</f>
        <v>65035-1759336700</v>
      </c>
      <c r="O214" s="763">
        <f>IFERROR(__xludf.DUMMYFUNCTION("""COMPUTED_VALUE"""),0.0)</f>
        <v>0</v>
      </c>
      <c r="P214" s="767">
        <f>IFERROR(__xludf.DUMMYFUNCTION("""COMPUTED_VALUE"""),1.3333333333333333)</f>
        <v>1.333333333</v>
      </c>
      <c r="Q214" s="763" t="str">
        <f>IFERROR(__xludf.DUMMYFUNCTION("""COMPUTED_VALUE"""),"EUR")</f>
        <v>EUR</v>
      </c>
      <c r="R214" s="763">
        <f>IFERROR(__xludf.DUMMYFUNCTION("""COMPUTED_VALUE"""),604.0)</f>
        <v>604</v>
      </c>
      <c r="S214" s="763" t="str">
        <f>IFERROR(__xludf.DUMMYFUNCTION("""COMPUTED_VALUE"""),"Workshop Afrofusion con Banana 2025 - Workshop Banana afrofusion")</f>
        <v>Workshop Afrofusion con Banana 2025 - Workshop Banana afrofusion</v>
      </c>
      <c r="T214" s="763"/>
      <c r="U214" s="763"/>
      <c r="V214" s="763">
        <f>IFERROR(__xludf.DUMMYFUNCTION("""COMPUTED_VALUE"""),1.0)</f>
        <v>1</v>
      </c>
      <c r="W214" s="763">
        <f>IFERROR(__xludf.DUMMYFUNCTION("""COMPUTED_VALUE"""),32.0)</f>
        <v>32</v>
      </c>
      <c r="X214" s="763">
        <f>IFERROR(__xludf.DUMMYFUNCTION("""COMPUTED_VALUE"""),32.0)</f>
        <v>32</v>
      </c>
      <c r="Y214" s="763"/>
      <c r="Z214" s="768" t="str">
        <f>IFERROR(__xludf.DUMMYFUNCTION("""COMPUTED_VALUE"""),"https://studio-gem.it/wp-admin/post.php?post=65035&amp;action=edit")</f>
        <v>https://studio-gem.it/wp-admin/post.php?post=65035&amp;action=edit</v>
      </c>
      <c r="AA214" s="763"/>
      <c r="AB214" s="763"/>
      <c r="AC214" s="763"/>
      <c r="AD214" s="763"/>
      <c r="AE214" s="763"/>
      <c r="AF214" s="763"/>
      <c r="AG214" s="763"/>
      <c r="AH214" s="763"/>
      <c r="AI214" s="763"/>
      <c r="AJ214" s="763"/>
      <c r="AK214" s="763"/>
      <c r="AL214" s="763"/>
      <c r="AM214" s="763"/>
      <c r="AN214" s="763"/>
      <c r="AO214" s="763"/>
      <c r="AP214" s="763"/>
      <c r="AQ214" s="763"/>
      <c r="AR214" s="763"/>
      <c r="AS214" s="763"/>
      <c r="AT214" s="763"/>
      <c r="AU214" s="763"/>
      <c r="AV214" s="763"/>
      <c r="AW214" s="763"/>
      <c r="AX214" s="763"/>
      <c r="AY214" s="763"/>
      <c r="AZ214" s="763"/>
      <c r="BA214" s="763"/>
      <c r="BB214" s="763"/>
      <c r="BC214" s="763"/>
      <c r="BD214" s="763"/>
      <c r="BE214" s="763"/>
      <c r="BF214" s="763"/>
      <c r="BG214" s="763" t="b">
        <f>IFERROR(__xludf.DUMMYFUNCTION("""COMPUTED_VALUE"""),TRUE)</f>
        <v>1</v>
      </c>
      <c r="BH214" s="763" t="b">
        <f>IFERROR(__xludf.DUMMYFUNCTION("""COMPUTED_VALUE"""),TRUE)</f>
        <v>1</v>
      </c>
      <c r="BI214" s="763" t="b">
        <f>IFERROR(__xludf.DUMMYFUNCTION("""COMPUTED_VALUE"""),TRUE)</f>
        <v>1</v>
      </c>
      <c r="BJ214" s="763" t="b">
        <f>IFERROR(__xludf.DUMMYFUNCTION("""COMPUTED_VALUE"""),FALSE)</f>
        <v>0</v>
      </c>
    </row>
    <row r="215">
      <c r="A215" s="763">
        <f>IFERROR(__xludf.DUMMYFUNCTION("""COMPUTED_VALUE"""),65037.0)</f>
        <v>65037</v>
      </c>
      <c r="B215" s="763">
        <f>IFERROR(__xludf.DUMMYFUNCTION("""COMPUTED_VALUE"""),65037.0)</f>
        <v>65037</v>
      </c>
      <c r="C215" s="763" t="str">
        <f>IFERROR(__xludf.DUMMYFUNCTION("""COMPUTED_VALUE"""),"2025-10-01 17:50:49")</f>
        <v>2025-10-01 17:50:49</v>
      </c>
      <c r="D215" s="763" t="str">
        <f>IFERROR(__xludf.DUMMYFUNCTION("""COMPUTED_VALUE"""),"pending")</f>
        <v>pending</v>
      </c>
      <c r="E215" s="763" t="str">
        <f>IFERROR(__xludf.DUMMYFUNCTION("""COMPUTED_VALUE"""),"Francesco")</f>
        <v>Francesco</v>
      </c>
      <c r="F215" s="763" t="str">
        <f>IFERROR(__xludf.DUMMYFUNCTION("""COMPUTED_VALUE"""),"Balzano")</f>
        <v>Balzano</v>
      </c>
      <c r="G215" s="763" t="str">
        <f>IFERROR(__xludf.DUMMYFUNCTION("""COMPUTED_VALUE"""),"francescobalzano243@gmail.com")</f>
        <v>francescobalzano243@gmail.com</v>
      </c>
      <c r="H215" s="763">
        <f>IFERROR(__xludf.DUMMYFUNCTION("""COMPUTED_VALUE"""),3.296767125E9)</f>
        <v>3296767125</v>
      </c>
      <c r="I215" s="763" t="str">
        <f>IFERROR(__xludf.DUMMYFUNCTION("""COMPUTED_VALUE"""),"Modena")</f>
        <v>Modena</v>
      </c>
      <c r="J215" s="763" t="str">
        <f>IFERROR(__xludf.DUMMYFUNCTION("""COMPUTED_VALUE"""),"Via Niccolò del abate 24")</f>
        <v>Via Niccolò del abate 24</v>
      </c>
      <c r="K215" s="763">
        <f>IFERROR(__xludf.DUMMYFUNCTION("""COMPUTED_VALUE"""),41121.0)</f>
        <v>41121</v>
      </c>
      <c r="L215" s="763" t="str">
        <f>IFERROR(__xludf.DUMMYFUNCTION("""COMPUTED_VALUE"""),"Carte di pagamento")</f>
        <v>Carte di pagamento</v>
      </c>
      <c r="M215" s="763"/>
      <c r="N215" s="763"/>
      <c r="O215" s="763">
        <f>IFERROR(__xludf.DUMMYFUNCTION("""COMPUTED_VALUE"""),0.0)</f>
        <v>0</v>
      </c>
      <c r="P215" s="767">
        <f>IFERROR(__xludf.DUMMYFUNCTION("""COMPUTED_VALUE"""),1.3333333333333333)</f>
        <v>1.333333333</v>
      </c>
      <c r="Q215" s="763" t="str">
        <f>IFERROR(__xludf.DUMMYFUNCTION("""COMPUTED_VALUE"""),"EUR")</f>
        <v>EUR</v>
      </c>
      <c r="R215" s="763">
        <f>IFERROR(__xludf.DUMMYFUNCTION("""COMPUTED_VALUE"""),605.0)</f>
        <v>605</v>
      </c>
      <c r="S215" s="763" t="str">
        <f>IFERROR(__xludf.DUMMYFUNCTION("""COMPUTED_VALUE"""),"Workshop Afrofusion con Banana 2025 - Workshop Banana afrofusion")</f>
        <v>Workshop Afrofusion con Banana 2025 - Workshop Banana afrofusion</v>
      </c>
      <c r="T215" s="763"/>
      <c r="U215" s="763"/>
      <c r="V215" s="763">
        <f>IFERROR(__xludf.DUMMYFUNCTION("""COMPUTED_VALUE"""),1.0)</f>
        <v>1</v>
      </c>
      <c r="W215" s="763">
        <f>IFERROR(__xludf.DUMMYFUNCTION("""COMPUTED_VALUE"""),32.0)</f>
        <v>32</v>
      </c>
      <c r="X215" s="763">
        <f>IFERROR(__xludf.DUMMYFUNCTION("""COMPUTED_VALUE"""),32.0)</f>
        <v>32</v>
      </c>
      <c r="Y215" s="763"/>
      <c r="Z215" s="768" t="str">
        <f>IFERROR(__xludf.DUMMYFUNCTION("""COMPUTED_VALUE"""),"https://studio-gem.it/wp-admin/post.php?post=65037&amp;action=edit")</f>
        <v>https://studio-gem.it/wp-admin/post.php?post=65037&amp;action=edit</v>
      </c>
      <c r="AA215" s="763"/>
      <c r="AB215" s="763"/>
      <c r="AC215" s="763"/>
      <c r="AD215" s="763"/>
      <c r="AE215" s="763"/>
      <c r="AF215" s="763"/>
      <c r="AG215" s="763"/>
      <c r="AH215" s="763"/>
      <c r="AI215" s="763"/>
      <c r="AJ215" s="763"/>
      <c r="AK215" s="763"/>
      <c r="AL215" s="763"/>
      <c r="AM215" s="763"/>
      <c r="AN215" s="763"/>
      <c r="AO215" s="763"/>
      <c r="AP215" s="763"/>
      <c r="AQ215" s="763"/>
      <c r="AR215" s="763"/>
      <c r="AS215" s="763"/>
      <c r="AT215" s="763"/>
      <c r="AU215" s="763"/>
      <c r="AV215" s="763"/>
      <c r="AW215" s="763"/>
      <c r="AX215" s="763"/>
      <c r="AY215" s="763"/>
      <c r="AZ215" s="763"/>
      <c r="BA215" s="763"/>
      <c r="BB215" s="763"/>
      <c r="BC215" s="763"/>
      <c r="BD215" s="763"/>
      <c r="BE215" s="763"/>
      <c r="BF215" s="763"/>
      <c r="BG215" s="763" t="b">
        <f>IFERROR(__xludf.DUMMYFUNCTION("""COMPUTED_VALUE"""),TRUE)</f>
        <v>1</v>
      </c>
      <c r="BH215" s="763" t="b">
        <f>IFERROR(__xludf.DUMMYFUNCTION("""COMPUTED_VALUE"""),FALSE)</f>
        <v>0</v>
      </c>
      <c r="BI215" s="763" t="b">
        <f>IFERROR(__xludf.DUMMYFUNCTION("""COMPUTED_VALUE"""),FALSE)</f>
        <v>0</v>
      </c>
      <c r="BJ215" s="763" t="b">
        <f>IFERROR(__xludf.DUMMYFUNCTION("""COMPUTED_VALUE"""),FALSE)</f>
        <v>0</v>
      </c>
    </row>
    <row r="216">
      <c r="A216" s="763">
        <f>IFERROR(__xludf.DUMMYFUNCTION("""COMPUTED_VALUE"""),65038.0)</f>
        <v>65038</v>
      </c>
      <c r="B216" s="763">
        <f>IFERROR(__xludf.DUMMYFUNCTION("""COMPUTED_VALUE"""),65038.0)</f>
        <v>65038</v>
      </c>
      <c r="C216" s="763" t="str">
        <f>IFERROR(__xludf.DUMMYFUNCTION("""COMPUTED_VALUE"""),"2025-10-01 18:12:13")</f>
        <v>2025-10-01 18:12:13</v>
      </c>
      <c r="D216" s="763" t="str">
        <f>IFERROR(__xludf.DUMMYFUNCTION("""COMPUTED_VALUE"""),"processing")</f>
        <v>processing</v>
      </c>
      <c r="E216" s="763" t="str">
        <f>IFERROR(__xludf.DUMMYFUNCTION("""COMPUTED_VALUE"""),"Caterina")</f>
        <v>Caterina</v>
      </c>
      <c r="F216" s="763" t="str">
        <f>IFERROR(__xludf.DUMMYFUNCTION("""COMPUTED_VALUE"""),"Lo Bianco")</f>
        <v>Lo Bianco</v>
      </c>
      <c r="G216" s="763" t="str">
        <f>IFERROR(__xludf.DUMMYFUNCTION("""COMPUTED_VALUE"""),"caterinalobianco26@gmail.com")</f>
        <v>caterinalobianco26@gmail.com</v>
      </c>
      <c r="H216" s="763">
        <f>IFERROR(__xludf.DUMMYFUNCTION("""COMPUTED_VALUE"""),3.317876905E9)</f>
        <v>3317876905</v>
      </c>
      <c r="I216" s="763" t="str">
        <f>IFERROR(__xludf.DUMMYFUNCTION("""COMPUTED_VALUE"""),"Milano")</f>
        <v>Milano</v>
      </c>
      <c r="J216" s="763" t="str">
        <f>IFERROR(__xludf.DUMMYFUNCTION("""COMPUTED_VALUE"""),"Via Tavazzano 16")</f>
        <v>Via Tavazzano 16</v>
      </c>
      <c r="K216" s="763">
        <f>IFERROR(__xludf.DUMMYFUNCTION("""COMPUTED_VALUE"""),20155.0)</f>
        <v>20155</v>
      </c>
      <c r="L216" s="763" t="str">
        <f>IFERROR(__xludf.DUMMYFUNCTION("""COMPUTED_VALUE"""),"Carte di pagamento")</f>
        <v>Carte di pagamento</v>
      </c>
      <c r="M216" s="763"/>
      <c r="N216" s="763" t="str">
        <f>IFERROR(__xludf.DUMMYFUNCTION("""COMPUTED_VALUE"""),"65038-1759342334")</f>
        <v>65038-1759342334</v>
      </c>
      <c r="O216" s="763">
        <f>IFERROR(__xludf.DUMMYFUNCTION("""COMPUTED_VALUE"""),0.0)</f>
        <v>0</v>
      </c>
      <c r="P216" s="767">
        <f>IFERROR(__xludf.DUMMYFUNCTION("""COMPUTED_VALUE"""),1.3333333333333333)</f>
        <v>1.333333333</v>
      </c>
      <c r="Q216" s="763" t="str">
        <f>IFERROR(__xludf.DUMMYFUNCTION("""COMPUTED_VALUE"""),"EUR")</f>
        <v>EUR</v>
      </c>
      <c r="R216" s="763">
        <f>IFERROR(__xludf.DUMMYFUNCTION("""COMPUTED_VALUE"""),606.0)</f>
        <v>606</v>
      </c>
      <c r="S216" s="763" t="str">
        <f>IFERROR(__xludf.DUMMYFUNCTION("""COMPUTED_VALUE"""),"Workshop Afrofusion con Banana 2025 - Workshop Banana afrofusion")</f>
        <v>Workshop Afrofusion con Banana 2025 - Workshop Banana afrofusion</v>
      </c>
      <c r="T216" s="763"/>
      <c r="U216" s="763"/>
      <c r="V216" s="763">
        <f>IFERROR(__xludf.DUMMYFUNCTION("""COMPUTED_VALUE"""),1.0)</f>
        <v>1</v>
      </c>
      <c r="W216" s="763">
        <f>IFERROR(__xludf.DUMMYFUNCTION("""COMPUTED_VALUE"""),32.0)</f>
        <v>32</v>
      </c>
      <c r="X216" s="763">
        <f>IFERROR(__xludf.DUMMYFUNCTION("""COMPUTED_VALUE"""),32.0)</f>
        <v>32</v>
      </c>
      <c r="Y216" s="763"/>
      <c r="Z216" s="768" t="str">
        <f>IFERROR(__xludf.DUMMYFUNCTION("""COMPUTED_VALUE"""),"https://studio-gem.it/wp-admin/post.php?post=65038&amp;action=edit")</f>
        <v>https://studio-gem.it/wp-admin/post.php?post=65038&amp;action=edit</v>
      </c>
      <c r="AA216" s="763"/>
      <c r="AB216" s="763"/>
      <c r="AC216" s="763"/>
      <c r="AD216" s="763"/>
      <c r="AE216" s="763"/>
      <c r="AF216" s="763"/>
      <c r="AG216" s="763"/>
      <c r="AH216" s="763"/>
      <c r="AI216" s="763"/>
      <c r="AJ216" s="763"/>
      <c r="AK216" s="763"/>
      <c r="AL216" s="763"/>
      <c r="AM216" s="763"/>
      <c r="AN216" s="763"/>
      <c r="AO216" s="763"/>
      <c r="AP216" s="763"/>
      <c r="AQ216" s="763"/>
      <c r="AR216" s="763"/>
      <c r="AS216" s="763"/>
      <c r="AT216" s="763"/>
      <c r="AU216" s="763"/>
      <c r="AV216" s="763"/>
      <c r="AW216" s="763"/>
      <c r="AX216" s="763"/>
      <c r="AY216" s="763"/>
      <c r="AZ216" s="763"/>
      <c r="BA216" s="763"/>
      <c r="BB216" s="763"/>
      <c r="BC216" s="763"/>
      <c r="BD216" s="763"/>
      <c r="BE216" s="763"/>
      <c r="BF216" s="763"/>
      <c r="BG216" s="763" t="b">
        <f>IFERROR(__xludf.DUMMYFUNCTION("""COMPUTED_VALUE"""),TRUE)</f>
        <v>1</v>
      </c>
      <c r="BH216" s="763" t="b">
        <f>IFERROR(__xludf.DUMMYFUNCTION("""COMPUTED_VALUE"""),TRUE)</f>
        <v>1</v>
      </c>
      <c r="BI216" s="763" t="b">
        <f>IFERROR(__xludf.DUMMYFUNCTION("""COMPUTED_VALUE"""),TRUE)</f>
        <v>1</v>
      </c>
      <c r="BJ216" s="763" t="b">
        <f>IFERROR(__xludf.DUMMYFUNCTION("""COMPUTED_VALUE"""),TRUE)</f>
        <v>1</v>
      </c>
    </row>
    <row r="217">
      <c r="A217" s="763">
        <f>IFERROR(__xludf.DUMMYFUNCTION("""COMPUTED_VALUE"""),65039.0)</f>
        <v>65039</v>
      </c>
      <c r="B217" s="763">
        <f>IFERROR(__xludf.DUMMYFUNCTION("""COMPUTED_VALUE"""),65039.0)</f>
        <v>65039</v>
      </c>
      <c r="C217" s="763" t="str">
        <f>IFERROR(__xludf.DUMMYFUNCTION("""COMPUTED_VALUE"""),"2025-10-01 18:13:01")</f>
        <v>2025-10-01 18:13:01</v>
      </c>
      <c r="D217" s="763" t="str">
        <f>IFERROR(__xludf.DUMMYFUNCTION("""COMPUTED_VALUE"""),"completed")</f>
        <v>completed</v>
      </c>
      <c r="E217" s="763" t="str">
        <f>IFERROR(__xludf.DUMMYFUNCTION("""COMPUTED_VALUE"""),"Sofia")</f>
        <v>Sofia</v>
      </c>
      <c r="F217" s="763" t="str">
        <f>IFERROR(__xludf.DUMMYFUNCTION("""COMPUTED_VALUE"""),"Sciumbata")</f>
        <v>Sciumbata</v>
      </c>
      <c r="G217" s="763" t="str">
        <f>IFERROR(__xludf.DUMMYFUNCTION("""COMPUTED_VALUE"""),"Sofia.sciumbata00@gmail.com")</f>
        <v>Sofia.sciumbata00@gmail.com</v>
      </c>
      <c r="H217" s="763">
        <f>IFERROR(__xludf.DUMMYFUNCTION("""COMPUTED_VALUE"""),3.663672817E9)</f>
        <v>3663672817</v>
      </c>
      <c r="I217" s="763" t="str">
        <f>IFERROR(__xludf.DUMMYFUNCTION("""COMPUTED_VALUE"""),"Rescaldina")</f>
        <v>Rescaldina</v>
      </c>
      <c r="J217" s="763" t="str">
        <f>IFERROR(__xludf.DUMMYFUNCTION("""COMPUTED_VALUE"""),"Carlo Magno 22")</f>
        <v>Carlo Magno 22</v>
      </c>
      <c r="K217" s="763">
        <f>IFERROR(__xludf.DUMMYFUNCTION("""COMPUTED_VALUE"""),20027.0)</f>
        <v>20027</v>
      </c>
      <c r="L217" s="763" t="str">
        <f>IFERROR(__xludf.DUMMYFUNCTION("""COMPUTED_VALUE"""),"Carte di pagamento")</f>
        <v>Carte di pagamento</v>
      </c>
      <c r="M217" s="763"/>
      <c r="N217" s="763" t="str">
        <f>IFERROR(__xludf.DUMMYFUNCTION("""COMPUTED_VALUE"""),"65039-1759342382")</f>
        <v>65039-1759342382</v>
      </c>
      <c r="O217" s="763">
        <f>IFERROR(__xludf.DUMMYFUNCTION("""COMPUTED_VALUE"""),0.0)</f>
        <v>0</v>
      </c>
      <c r="P217" s="767">
        <f>IFERROR(__xludf.DUMMYFUNCTION("""COMPUTED_VALUE"""),1.3333333333333333)</f>
        <v>1.333333333</v>
      </c>
      <c r="Q217" s="763" t="str">
        <f>IFERROR(__xludf.DUMMYFUNCTION("""COMPUTED_VALUE"""),"EUR")</f>
        <v>EUR</v>
      </c>
      <c r="R217" s="763">
        <f>IFERROR(__xludf.DUMMYFUNCTION("""COMPUTED_VALUE"""),607.0)</f>
        <v>607</v>
      </c>
      <c r="S217" s="763" t="str">
        <f>IFERROR(__xludf.DUMMYFUNCTION("""COMPUTED_VALUE"""),"Workshop Afrofusion con Banana 2025 - Workshop Banana afrofusion")</f>
        <v>Workshop Afrofusion con Banana 2025 - Workshop Banana afrofusion</v>
      </c>
      <c r="T217" s="763"/>
      <c r="U217" s="763"/>
      <c r="V217" s="763">
        <f>IFERROR(__xludf.DUMMYFUNCTION("""COMPUTED_VALUE"""),1.0)</f>
        <v>1</v>
      </c>
      <c r="W217" s="763">
        <f>IFERROR(__xludf.DUMMYFUNCTION("""COMPUTED_VALUE"""),32.0)</f>
        <v>32</v>
      </c>
      <c r="X217" s="763">
        <f>IFERROR(__xludf.DUMMYFUNCTION("""COMPUTED_VALUE"""),32.0)</f>
        <v>32</v>
      </c>
      <c r="Y217" s="763"/>
      <c r="Z217" s="768" t="str">
        <f>IFERROR(__xludf.DUMMYFUNCTION("""COMPUTED_VALUE"""),"https://studio-gem.it/wp-admin/post.php?post=65039&amp;action=edit")</f>
        <v>https://studio-gem.it/wp-admin/post.php?post=65039&amp;action=edit</v>
      </c>
      <c r="AA217" s="763"/>
      <c r="AB217" s="763"/>
      <c r="AC217" s="763"/>
      <c r="AD217" s="763"/>
      <c r="AE217" s="763"/>
      <c r="AF217" s="763"/>
      <c r="AG217" s="763"/>
      <c r="AH217" s="763"/>
      <c r="AI217" s="763"/>
      <c r="AJ217" s="763"/>
      <c r="AK217" s="763"/>
      <c r="AL217" s="763"/>
      <c r="AM217" s="763"/>
      <c r="AN217" s="763"/>
      <c r="AO217" s="763"/>
      <c r="AP217" s="763"/>
      <c r="AQ217" s="763"/>
      <c r="AR217" s="763"/>
      <c r="AS217" s="763"/>
      <c r="AT217" s="763"/>
      <c r="AU217" s="763"/>
      <c r="AV217" s="763"/>
      <c r="AW217" s="763"/>
      <c r="AX217" s="763"/>
      <c r="AY217" s="763"/>
      <c r="AZ217" s="763"/>
      <c r="BA217" s="763"/>
      <c r="BB217" s="763"/>
      <c r="BC217" s="763"/>
      <c r="BD217" s="763"/>
      <c r="BE217" s="763"/>
      <c r="BF217" s="763"/>
      <c r="BG217" s="763" t="b">
        <f>IFERROR(__xludf.DUMMYFUNCTION("""COMPUTED_VALUE"""),TRUE)</f>
        <v>1</v>
      </c>
      <c r="BH217" s="763" t="b">
        <f>IFERROR(__xludf.DUMMYFUNCTION("""COMPUTED_VALUE"""),TRUE)</f>
        <v>1</v>
      </c>
      <c r="BI217" s="763" t="b">
        <f>IFERROR(__xludf.DUMMYFUNCTION("""COMPUTED_VALUE"""),TRUE)</f>
        <v>1</v>
      </c>
      <c r="BJ217" s="763" t="b">
        <f>IFERROR(__xludf.DUMMYFUNCTION("""COMPUTED_VALUE"""),FALSE)</f>
        <v>0</v>
      </c>
    </row>
    <row r="218">
      <c r="A218" s="763">
        <f>IFERROR(__xludf.DUMMYFUNCTION("""COMPUTED_VALUE"""),65042.0)</f>
        <v>65042</v>
      </c>
      <c r="B218" s="763">
        <f>IFERROR(__xludf.DUMMYFUNCTION("""COMPUTED_VALUE"""),65042.0)</f>
        <v>65042</v>
      </c>
      <c r="C218" s="763" t="str">
        <f>IFERROR(__xludf.DUMMYFUNCTION("""COMPUTED_VALUE"""),"2025-10-01 21:27:51")</f>
        <v>2025-10-01 21:27:51</v>
      </c>
      <c r="D218" s="763" t="str">
        <f>IFERROR(__xludf.DUMMYFUNCTION("""COMPUTED_VALUE"""),"pending")</f>
        <v>pending</v>
      </c>
      <c r="E218" s="763" t="str">
        <f>IFERROR(__xludf.DUMMYFUNCTION("""COMPUTED_VALUE"""),"Petra")</f>
        <v>Petra</v>
      </c>
      <c r="F218" s="763" t="str">
        <f>IFERROR(__xludf.DUMMYFUNCTION("""COMPUTED_VALUE"""),"Militello")</f>
        <v>Militello</v>
      </c>
      <c r="G218" s="763" t="str">
        <f>IFERROR(__xludf.DUMMYFUNCTION("""COMPUTED_VALUE"""),"militellopetra48@gmail.com")</f>
        <v>militellopetra48@gmail.com</v>
      </c>
      <c r="H218" s="763">
        <f>IFERROR(__xludf.DUMMYFUNCTION("""COMPUTED_VALUE"""),3.519349448E9)</f>
        <v>3519349448</v>
      </c>
      <c r="I218" s="763" t="str">
        <f>IFERROR(__xludf.DUMMYFUNCTION("""COMPUTED_VALUE"""),"Cuveglio")</f>
        <v>Cuveglio</v>
      </c>
      <c r="J218" s="763" t="str">
        <f>IFERROR(__xludf.DUMMYFUNCTION("""COMPUTED_VALUE"""),"Emilia 6")</f>
        <v>Emilia 6</v>
      </c>
      <c r="K218" s="763">
        <f>IFERROR(__xludf.DUMMYFUNCTION("""COMPUTED_VALUE"""),21030.0)</f>
        <v>21030</v>
      </c>
      <c r="L218" s="763" t="str">
        <f>IFERROR(__xludf.DUMMYFUNCTION("""COMPUTED_VALUE"""),"Carte di pagamento")</f>
        <v>Carte di pagamento</v>
      </c>
      <c r="M218" s="763"/>
      <c r="N218" s="763" t="str">
        <f>IFERROR(__xludf.DUMMYFUNCTION("""COMPUTED_VALUE"""),"65042-1759354072")</f>
        <v>65042-1759354072</v>
      </c>
      <c r="O218" s="763">
        <f>IFERROR(__xludf.DUMMYFUNCTION("""COMPUTED_VALUE"""),0.0)</f>
        <v>0</v>
      </c>
      <c r="P218" s="767">
        <f>IFERROR(__xludf.DUMMYFUNCTION("""COMPUTED_VALUE"""),1.3333333333333333)</f>
        <v>1.333333333</v>
      </c>
      <c r="Q218" s="763" t="str">
        <f>IFERROR(__xludf.DUMMYFUNCTION("""COMPUTED_VALUE"""),"EUR")</f>
        <v>EUR</v>
      </c>
      <c r="R218" s="763">
        <f>IFERROR(__xludf.DUMMYFUNCTION("""COMPUTED_VALUE"""),608.0)</f>
        <v>608</v>
      </c>
      <c r="S218" s="763" t="str">
        <f>IFERROR(__xludf.DUMMYFUNCTION("""COMPUTED_VALUE"""),"Workshop Afrofusion con Banana 2025 - Workshop Banana afrofusion")</f>
        <v>Workshop Afrofusion con Banana 2025 - Workshop Banana afrofusion</v>
      </c>
      <c r="T218" s="763"/>
      <c r="U218" s="763"/>
      <c r="V218" s="763">
        <f>IFERROR(__xludf.DUMMYFUNCTION("""COMPUTED_VALUE"""),1.0)</f>
        <v>1</v>
      </c>
      <c r="W218" s="763">
        <f>IFERROR(__xludf.DUMMYFUNCTION("""COMPUTED_VALUE"""),32.0)</f>
        <v>32</v>
      </c>
      <c r="X218" s="763">
        <f>IFERROR(__xludf.DUMMYFUNCTION("""COMPUTED_VALUE"""),32.0)</f>
        <v>32</v>
      </c>
      <c r="Y218" s="763"/>
      <c r="Z218" s="768" t="str">
        <f>IFERROR(__xludf.DUMMYFUNCTION("""COMPUTED_VALUE"""),"https://studio-gem.it/wp-admin/post.php?post=65042&amp;action=edit")</f>
        <v>https://studio-gem.it/wp-admin/post.php?post=65042&amp;action=edit</v>
      </c>
      <c r="AA218" s="763"/>
      <c r="AB218" s="763"/>
      <c r="AC218" s="763"/>
      <c r="AD218" s="763"/>
      <c r="AE218" s="763"/>
      <c r="AF218" s="763"/>
      <c r="AG218" s="763"/>
      <c r="AH218" s="763"/>
      <c r="AI218" s="763"/>
      <c r="AJ218" s="763"/>
      <c r="AK218" s="763"/>
      <c r="AL218" s="763"/>
      <c r="AM218" s="763"/>
      <c r="AN218" s="763"/>
      <c r="AO218" s="763"/>
      <c r="AP218" s="763"/>
      <c r="AQ218" s="763"/>
      <c r="AR218" s="763"/>
      <c r="AS218" s="763"/>
      <c r="AT218" s="763"/>
      <c r="AU218" s="763"/>
      <c r="AV218" s="763"/>
      <c r="AW218" s="763"/>
      <c r="AX218" s="763"/>
      <c r="AY218" s="763"/>
      <c r="AZ218" s="763"/>
      <c r="BA218" s="763"/>
      <c r="BB218" s="763"/>
      <c r="BC218" s="763"/>
      <c r="BD218" s="763"/>
      <c r="BE218" s="763"/>
      <c r="BF218" s="763"/>
      <c r="BG218" s="763" t="b">
        <f>IFERROR(__xludf.DUMMYFUNCTION("""COMPUTED_VALUE"""),TRUE)</f>
        <v>1</v>
      </c>
      <c r="BH218" s="763" t="b">
        <f>IFERROR(__xludf.DUMMYFUNCTION("""COMPUTED_VALUE"""),TRUE)</f>
        <v>1</v>
      </c>
      <c r="BI218" s="763" t="b">
        <f>IFERROR(__xludf.DUMMYFUNCTION("""COMPUTED_VALUE"""),TRUE)</f>
        <v>1</v>
      </c>
      <c r="BJ218" s="763" t="b">
        <f>IFERROR(__xludf.DUMMYFUNCTION("""COMPUTED_VALUE"""),FALSE)</f>
        <v>0</v>
      </c>
    </row>
    <row r="219">
      <c r="A219" s="763">
        <f>IFERROR(__xludf.DUMMYFUNCTION("""COMPUTED_VALUE"""),65043.0)</f>
        <v>65043</v>
      </c>
      <c r="B219" s="763">
        <f>IFERROR(__xludf.DUMMYFUNCTION("""COMPUTED_VALUE"""),65043.0)</f>
        <v>65043</v>
      </c>
      <c r="C219" s="763" t="str">
        <f>IFERROR(__xludf.DUMMYFUNCTION("""COMPUTED_VALUE"""),"2025-10-01 22:28:24")</f>
        <v>2025-10-01 22:28:24</v>
      </c>
      <c r="D219" s="763" t="str">
        <f>IFERROR(__xludf.DUMMYFUNCTION("""COMPUTED_VALUE"""),"pending")</f>
        <v>pending</v>
      </c>
      <c r="E219" s="763" t="str">
        <f>IFERROR(__xludf.DUMMYFUNCTION("""COMPUTED_VALUE"""),"V")</f>
        <v>V</v>
      </c>
      <c r="F219" s="763" t="str">
        <f>IFERROR(__xludf.DUMMYFUNCTION("""COMPUTED_VALUE"""),"Ojala")</f>
        <v>Ojala</v>
      </c>
      <c r="G219" s="763" t="str">
        <f>IFERROR(__xludf.DUMMYFUNCTION("""COMPUTED_VALUE"""),"veera.k.ojala@gmail.com")</f>
        <v>veera.k.ojala@gmail.com</v>
      </c>
      <c r="H219" s="763" t="str">
        <f>IFERROR(__xludf.DUMMYFUNCTION("""COMPUTED_VALUE"""),"+504078047")</f>
        <v>+504078047</v>
      </c>
      <c r="I219" s="763" t="str">
        <f>IFERROR(__xludf.DUMMYFUNCTION("""COMPUTED_VALUE"""),"Milano")</f>
        <v>Milano</v>
      </c>
      <c r="J219" s="763" t="str">
        <f>IFERROR(__xludf.DUMMYFUNCTION("""COMPUTED_VALUE"""),"Piazza Insubria 7")</f>
        <v>Piazza Insubria 7</v>
      </c>
      <c r="K219" s="763">
        <f>IFERROR(__xludf.DUMMYFUNCTION("""COMPUTED_VALUE"""),20137.0)</f>
        <v>20137</v>
      </c>
      <c r="L219" s="763" t="str">
        <f>IFERROR(__xludf.DUMMYFUNCTION("""COMPUTED_VALUE"""),"Apple Pay")</f>
        <v>Apple Pay</v>
      </c>
      <c r="M219" s="763"/>
      <c r="N219" s="763" t="str">
        <f>IFERROR(__xludf.DUMMYFUNCTION("""COMPUTED_VALUE"""),"65043-1759357833")</f>
        <v>65043-1759357833</v>
      </c>
      <c r="O219" s="763">
        <f>IFERROR(__xludf.DUMMYFUNCTION("""COMPUTED_VALUE"""),0.0)</f>
        <v>0</v>
      </c>
      <c r="P219" s="767">
        <f>IFERROR(__xludf.DUMMYFUNCTION("""COMPUTED_VALUE"""),1.3333333333333333)</f>
        <v>1.333333333</v>
      </c>
      <c r="Q219" s="763" t="str">
        <f>IFERROR(__xludf.DUMMYFUNCTION("""COMPUTED_VALUE"""),"EUR")</f>
        <v>EUR</v>
      </c>
      <c r="R219" s="763">
        <f>IFERROR(__xludf.DUMMYFUNCTION("""COMPUTED_VALUE"""),609.0)</f>
        <v>609</v>
      </c>
      <c r="S219" s="763" t="str">
        <f>IFERROR(__xludf.DUMMYFUNCTION("""COMPUTED_VALUE"""),"Workshop Heels con Deborah Esposito - Workshop Heels con Deborah Esposito")</f>
        <v>Workshop Heels con Deborah Esposito - Workshop Heels con Deborah Esposito</v>
      </c>
      <c r="T219" s="763"/>
      <c r="U219" s="763"/>
      <c r="V219" s="763">
        <f>IFERROR(__xludf.DUMMYFUNCTION("""COMPUTED_VALUE"""),1.0)</f>
        <v>1</v>
      </c>
      <c r="W219" s="763">
        <f>IFERROR(__xludf.DUMMYFUNCTION("""COMPUTED_VALUE"""),32.0)</f>
        <v>32</v>
      </c>
      <c r="X219" s="763">
        <f>IFERROR(__xludf.DUMMYFUNCTION("""COMPUTED_VALUE"""),32.0)</f>
        <v>32</v>
      </c>
      <c r="Y219" s="763"/>
      <c r="Z219" s="768" t="str">
        <f>IFERROR(__xludf.DUMMYFUNCTION("""COMPUTED_VALUE"""),"https://studio-gem.it/wp-admin/post.php?post=65043&amp;action=edit")</f>
        <v>https://studio-gem.it/wp-admin/post.php?post=65043&amp;action=edit</v>
      </c>
      <c r="AA219" s="763"/>
      <c r="AB219" s="763"/>
      <c r="AC219" s="763"/>
      <c r="AD219" s="763"/>
      <c r="AE219" s="763"/>
      <c r="AF219" s="763"/>
      <c r="AG219" s="763"/>
      <c r="AH219" s="763"/>
      <c r="AI219" s="763"/>
      <c r="AJ219" s="763"/>
      <c r="AK219" s="763"/>
      <c r="AL219" s="763"/>
      <c r="AM219" s="763"/>
      <c r="AN219" s="763"/>
      <c r="AO219" s="763"/>
      <c r="AP219" s="763"/>
      <c r="AQ219" s="763"/>
      <c r="AR219" s="763"/>
      <c r="AS219" s="763"/>
      <c r="AT219" s="763"/>
      <c r="AU219" s="763"/>
      <c r="AV219" s="763"/>
      <c r="AW219" s="763"/>
      <c r="AX219" s="763"/>
      <c r="AY219" s="763"/>
      <c r="AZ219" s="763"/>
      <c r="BA219" s="763"/>
      <c r="BB219" s="763"/>
      <c r="BC219" s="763"/>
      <c r="BD219" s="763"/>
      <c r="BE219" s="763"/>
      <c r="BF219" s="763"/>
      <c r="BG219" s="763" t="b">
        <f>IFERROR(__xludf.DUMMYFUNCTION("""COMPUTED_VALUE"""),FALSE)</f>
        <v>0</v>
      </c>
      <c r="BH219" s="763" t="b">
        <f>IFERROR(__xludf.DUMMYFUNCTION("""COMPUTED_VALUE"""),TRUE)</f>
        <v>1</v>
      </c>
      <c r="BI219" s="763" t="b">
        <f>IFERROR(__xludf.DUMMYFUNCTION("""COMPUTED_VALUE"""),FALSE)</f>
        <v>0</v>
      </c>
      <c r="BJ219" s="763" t="b">
        <f>IFERROR(__xludf.DUMMYFUNCTION("""COMPUTED_VALUE"""),FALSE)</f>
        <v>0</v>
      </c>
    </row>
    <row r="220">
      <c r="A220" s="763">
        <f>IFERROR(__xludf.DUMMYFUNCTION("""COMPUTED_VALUE"""),65043.0)</f>
        <v>65043</v>
      </c>
      <c r="B220" s="763">
        <f>IFERROR(__xludf.DUMMYFUNCTION("""COMPUTED_VALUE"""),65043.0)</f>
        <v>65043</v>
      </c>
      <c r="C220" s="763" t="str">
        <f>IFERROR(__xludf.DUMMYFUNCTION("""COMPUTED_VALUE"""),"2025-10-01 22:28:24")</f>
        <v>2025-10-01 22:28:24</v>
      </c>
      <c r="D220" s="763" t="str">
        <f>IFERROR(__xludf.DUMMYFUNCTION("""COMPUTED_VALUE"""),"completed")</f>
        <v>completed</v>
      </c>
      <c r="E220" s="763" t="str">
        <f>IFERROR(__xludf.DUMMYFUNCTION("""COMPUTED_VALUE"""),"Veera")</f>
        <v>Veera</v>
      </c>
      <c r="F220" s="763" t="str">
        <f>IFERROR(__xludf.DUMMYFUNCTION("""COMPUTED_VALUE"""),"Ojala")</f>
        <v>Ojala</v>
      </c>
      <c r="G220" s="763" t="str">
        <f>IFERROR(__xludf.DUMMYFUNCTION("""COMPUTED_VALUE"""),"veera.k.ojala@gmail.com")</f>
        <v>veera.k.ojala@gmail.com</v>
      </c>
      <c r="H220" s="763" t="str">
        <f>IFERROR(__xludf.DUMMYFUNCTION("""COMPUTED_VALUE"""),"+358504078047")</f>
        <v>+358504078047</v>
      </c>
      <c r="I220" s="763" t="str">
        <f>IFERROR(__xludf.DUMMYFUNCTION("""COMPUTED_VALUE"""),"Milano")</f>
        <v>Milano</v>
      </c>
      <c r="J220" s="763" t="str">
        <f>IFERROR(__xludf.DUMMYFUNCTION("""COMPUTED_VALUE"""),"Piazza Insubria 7")</f>
        <v>Piazza Insubria 7</v>
      </c>
      <c r="K220" s="763">
        <f>IFERROR(__xludf.DUMMYFUNCTION("""COMPUTED_VALUE"""),20137.0)</f>
        <v>20137</v>
      </c>
      <c r="L220" s="763" t="str">
        <f>IFERROR(__xludf.DUMMYFUNCTION("""COMPUTED_VALUE"""),"Apple Pay")</f>
        <v>Apple Pay</v>
      </c>
      <c r="M220" s="763"/>
      <c r="N220" s="763" t="str">
        <f>IFERROR(__xludf.DUMMYFUNCTION("""COMPUTED_VALUE"""),"65043-1759357833")</f>
        <v>65043-1759357833</v>
      </c>
      <c r="O220" s="763">
        <f>IFERROR(__xludf.DUMMYFUNCTION("""COMPUTED_VALUE"""),0.0)</f>
        <v>0</v>
      </c>
      <c r="P220" s="767">
        <f>IFERROR(__xludf.DUMMYFUNCTION("""COMPUTED_VALUE"""),1.3333333333333333)</f>
        <v>1.333333333</v>
      </c>
      <c r="Q220" s="763" t="str">
        <f>IFERROR(__xludf.DUMMYFUNCTION("""COMPUTED_VALUE"""),"EUR")</f>
        <v>EUR</v>
      </c>
      <c r="R220" s="763">
        <f>IFERROR(__xludf.DUMMYFUNCTION("""COMPUTED_VALUE"""),610.0)</f>
        <v>610</v>
      </c>
      <c r="S220" s="763" t="str">
        <f>IFERROR(__xludf.DUMMYFUNCTION("""COMPUTED_VALUE"""),"Workshop Heels con Deborah Esposito - Workshop Heels con Deborah Esposito")</f>
        <v>Workshop Heels con Deborah Esposito - Workshop Heels con Deborah Esposito</v>
      </c>
      <c r="T220" s="763"/>
      <c r="U220" s="763"/>
      <c r="V220" s="763">
        <f>IFERROR(__xludf.DUMMYFUNCTION("""COMPUTED_VALUE"""),1.0)</f>
        <v>1</v>
      </c>
      <c r="W220" s="763">
        <f>IFERROR(__xludf.DUMMYFUNCTION("""COMPUTED_VALUE"""),32.0)</f>
        <v>32</v>
      </c>
      <c r="X220" s="763">
        <f>IFERROR(__xludf.DUMMYFUNCTION("""COMPUTED_VALUE"""),32.0)</f>
        <v>32</v>
      </c>
      <c r="Y220" s="763"/>
      <c r="Z220" s="768" t="str">
        <f>IFERROR(__xludf.DUMMYFUNCTION("""COMPUTED_VALUE"""),"https://studio-gem.it/wp-admin/post.php?post=65043&amp;action=edit")</f>
        <v>https://studio-gem.it/wp-admin/post.php?post=65043&amp;action=edit</v>
      </c>
      <c r="AA220" s="763"/>
      <c r="AB220" s="763"/>
      <c r="AC220" s="763"/>
      <c r="AD220" s="763"/>
      <c r="AE220" s="763"/>
      <c r="AF220" s="763"/>
      <c r="AG220" s="763"/>
      <c r="AH220" s="763"/>
      <c r="AI220" s="763"/>
      <c r="AJ220" s="763"/>
      <c r="AK220" s="763"/>
      <c r="AL220" s="763"/>
      <c r="AM220" s="763"/>
      <c r="AN220" s="763"/>
      <c r="AO220" s="763"/>
      <c r="AP220" s="763"/>
      <c r="AQ220" s="763"/>
      <c r="AR220" s="763"/>
      <c r="AS220" s="763"/>
      <c r="AT220" s="763"/>
      <c r="AU220" s="763"/>
      <c r="AV220" s="763"/>
      <c r="AW220" s="763"/>
      <c r="AX220" s="763"/>
      <c r="AY220" s="763"/>
      <c r="AZ220" s="763"/>
      <c r="BA220" s="763"/>
      <c r="BB220" s="763"/>
      <c r="BC220" s="763"/>
      <c r="BD220" s="763"/>
      <c r="BE220" s="763"/>
      <c r="BF220" s="763"/>
      <c r="BG220" s="763" t="b">
        <f>IFERROR(__xludf.DUMMYFUNCTION("""COMPUTED_VALUE"""),TRUE)</f>
        <v>1</v>
      </c>
      <c r="BH220" s="763" t="b">
        <f>IFERROR(__xludf.DUMMYFUNCTION("""COMPUTED_VALUE"""),TRUE)</f>
        <v>1</v>
      </c>
      <c r="BI220" s="763" t="b">
        <f>IFERROR(__xludf.DUMMYFUNCTION("""COMPUTED_VALUE"""),TRUE)</f>
        <v>1</v>
      </c>
      <c r="BJ220" s="763" t="b">
        <f>IFERROR(__xludf.DUMMYFUNCTION("""COMPUTED_VALUE"""),TRUE)</f>
        <v>1</v>
      </c>
    </row>
    <row r="221">
      <c r="A221" s="763">
        <f>IFERROR(__xludf.DUMMYFUNCTION("""COMPUTED_VALUE"""),65046.0)</f>
        <v>65046</v>
      </c>
      <c r="B221" s="763">
        <f>IFERROR(__xludf.DUMMYFUNCTION("""COMPUTED_VALUE"""),65046.0)</f>
        <v>65046</v>
      </c>
      <c r="C221" s="763" t="str">
        <f>IFERROR(__xludf.DUMMYFUNCTION("""COMPUTED_VALUE"""),"2025-10-02 17:21:40")</f>
        <v>2025-10-02 17:21:40</v>
      </c>
      <c r="D221" s="763" t="str">
        <f>IFERROR(__xludf.DUMMYFUNCTION("""COMPUTED_VALUE"""),"processing")</f>
        <v>processing</v>
      </c>
      <c r="E221" s="763" t="str">
        <f>IFERROR(__xludf.DUMMYFUNCTION("""COMPUTED_VALUE"""),"Francesco")</f>
        <v>Francesco</v>
      </c>
      <c r="F221" s="763" t="str">
        <f>IFERROR(__xludf.DUMMYFUNCTION("""COMPUTED_VALUE"""),"Balzano")</f>
        <v>Balzano</v>
      </c>
      <c r="G221" s="763" t="str">
        <f>IFERROR(__xludf.DUMMYFUNCTION("""COMPUTED_VALUE"""),"francescobalzano243@gmail.com")</f>
        <v>francescobalzano243@gmail.com</v>
      </c>
      <c r="H221" s="763">
        <f>IFERROR(__xludf.DUMMYFUNCTION("""COMPUTED_VALUE"""),3.296767125E9)</f>
        <v>3296767125</v>
      </c>
      <c r="I221" s="763" t="str">
        <f>IFERROR(__xludf.DUMMYFUNCTION("""COMPUTED_VALUE"""),"Modena")</f>
        <v>Modena</v>
      </c>
      <c r="J221" s="763" t="str">
        <f>IFERROR(__xludf.DUMMYFUNCTION("""COMPUTED_VALUE"""),"Via Niccolò del abate 24")</f>
        <v>Via Niccolò del abate 24</v>
      </c>
      <c r="K221" s="763">
        <f>IFERROR(__xludf.DUMMYFUNCTION("""COMPUTED_VALUE"""),41121.0)</f>
        <v>41121</v>
      </c>
      <c r="L221" s="763" t="str">
        <f>IFERROR(__xludf.DUMMYFUNCTION("""COMPUTED_VALUE"""),"Carte di pagamento")</f>
        <v>Carte di pagamento</v>
      </c>
      <c r="M221" s="763"/>
      <c r="N221" s="763" t="str">
        <f>IFERROR(__xludf.DUMMYFUNCTION("""COMPUTED_VALUE"""),"65046-1759425701")</f>
        <v>65046-1759425701</v>
      </c>
      <c r="O221" s="763">
        <f>IFERROR(__xludf.DUMMYFUNCTION("""COMPUTED_VALUE"""),0.0)</f>
        <v>0</v>
      </c>
      <c r="P221" s="767">
        <f>IFERROR(__xludf.DUMMYFUNCTION("""COMPUTED_VALUE"""),1.3333333333333333)</f>
        <v>1.333333333</v>
      </c>
      <c r="Q221" s="763" t="str">
        <f>IFERROR(__xludf.DUMMYFUNCTION("""COMPUTED_VALUE"""),"EUR")</f>
        <v>EUR</v>
      </c>
      <c r="R221" s="763">
        <f>IFERROR(__xludf.DUMMYFUNCTION("""COMPUTED_VALUE"""),611.0)</f>
        <v>611</v>
      </c>
      <c r="S221" s="763" t="str">
        <f>IFERROR(__xludf.DUMMYFUNCTION("""COMPUTED_VALUE"""),"Workshop Afrofusion con Banana 2025 - Workshop Banana afrofusion")</f>
        <v>Workshop Afrofusion con Banana 2025 - Workshop Banana afrofusion</v>
      </c>
      <c r="T221" s="763"/>
      <c r="U221" s="763"/>
      <c r="V221" s="763">
        <f>IFERROR(__xludf.DUMMYFUNCTION("""COMPUTED_VALUE"""),1.0)</f>
        <v>1</v>
      </c>
      <c r="W221" s="763">
        <f>IFERROR(__xludf.DUMMYFUNCTION("""COMPUTED_VALUE"""),32.0)</f>
        <v>32</v>
      </c>
      <c r="X221" s="763">
        <f>IFERROR(__xludf.DUMMYFUNCTION("""COMPUTED_VALUE"""),32.0)</f>
        <v>32</v>
      </c>
      <c r="Y221" s="763"/>
      <c r="Z221" s="768" t="str">
        <f>IFERROR(__xludf.DUMMYFUNCTION("""COMPUTED_VALUE"""),"https://studio-gem.it/wp-admin/post.php?post=65046&amp;action=edit")</f>
        <v>https://studio-gem.it/wp-admin/post.php?post=65046&amp;action=edit</v>
      </c>
      <c r="AA221" s="763"/>
      <c r="AB221" s="763"/>
      <c r="AC221" s="763"/>
      <c r="AD221" s="763"/>
      <c r="AE221" s="763"/>
      <c r="AF221" s="763"/>
      <c r="AG221" s="763"/>
      <c r="AH221" s="763"/>
      <c r="AI221" s="763"/>
      <c r="AJ221" s="763"/>
      <c r="AK221" s="763"/>
      <c r="AL221" s="763"/>
      <c r="AM221" s="763"/>
      <c r="AN221" s="763"/>
      <c r="AO221" s="763"/>
      <c r="AP221" s="763"/>
      <c r="AQ221" s="763"/>
      <c r="AR221" s="763"/>
      <c r="AS221" s="763"/>
      <c r="AT221" s="763"/>
      <c r="AU221" s="763"/>
      <c r="AV221" s="763"/>
      <c r="AW221" s="763"/>
      <c r="AX221" s="763"/>
      <c r="AY221" s="763"/>
      <c r="AZ221" s="763"/>
      <c r="BA221" s="763"/>
      <c r="BB221" s="763"/>
      <c r="BC221" s="763"/>
      <c r="BD221" s="763"/>
      <c r="BE221" s="763"/>
      <c r="BF221" s="763"/>
      <c r="BG221" s="763" t="b">
        <f>IFERROR(__xludf.DUMMYFUNCTION("""COMPUTED_VALUE"""),TRUE)</f>
        <v>1</v>
      </c>
      <c r="BH221" s="763" t="b">
        <f>IFERROR(__xludf.DUMMYFUNCTION("""COMPUTED_VALUE"""),TRUE)</f>
        <v>1</v>
      </c>
      <c r="BI221" s="763" t="b">
        <f>IFERROR(__xludf.DUMMYFUNCTION("""COMPUTED_VALUE"""),TRUE)</f>
        <v>1</v>
      </c>
      <c r="BJ221" s="763" t="b">
        <f>IFERROR(__xludf.DUMMYFUNCTION("""COMPUTED_VALUE"""),FALSE)</f>
        <v>0</v>
      </c>
    </row>
    <row r="222">
      <c r="A222" s="763">
        <f>IFERROR(__xludf.DUMMYFUNCTION("""COMPUTED_VALUE"""),65047.0)</f>
        <v>65047</v>
      </c>
      <c r="B222" s="763">
        <f>IFERROR(__xludf.DUMMYFUNCTION("""COMPUTED_VALUE"""),65047.0)</f>
        <v>65047</v>
      </c>
      <c r="C222" s="763" t="str">
        <f>IFERROR(__xludf.DUMMYFUNCTION("""COMPUTED_VALUE"""),"2025-10-02 18:57:15")</f>
        <v>2025-10-02 18:57:15</v>
      </c>
      <c r="D222" s="763" t="str">
        <f>IFERROR(__xludf.DUMMYFUNCTION("""COMPUTED_VALUE"""),"pending")</f>
        <v>pending</v>
      </c>
      <c r="E222" s="763" t="str">
        <f>IFERROR(__xludf.DUMMYFUNCTION("""COMPUTED_VALUE"""),"Ester")</f>
        <v>Ester</v>
      </c>
      <c r="F222" s="763" t="str">
        <f>IFERROR(__xludf.DUMMYFUNCTION("""COMPUTED_VALUE"""),"Bonfante")</f>
        <v>Bonfante</v>
      </c>
      <c r="G222" s="763" t="str">
        <f>IFERROR(__xludf.DUMMYFUNCTION("""COMPUTED_VALUE"""),"esterbonfante09@gmail.com")</f>
        <v>esterbonfante09@gmail.com</v>
      </c>
      <c r="H222" s="763">
        <f>IFERROR(__xludf.DUMMYFUNCTION("""COMPUTED_VALUE"""),3.75670745E9)</f>
        <v>3756707450</v>
      </c>
      <c r="I222" s="763" t="str">
        <f>IFERROR(__xludf.DUMMYFUNCTION("""COMPUTED_VALUE"""),"Milano")</f>
        <v>Milano</v>
      </c>
      <c r="J222" s="763" t="str">
        <f>IFERROR(__xludf.DUMMYFUNCTION("""COMPUTED_VALUE"""),"Via gozzadini 18")</f>
        <v>Via gozzadini 18</v>
      </c>
      <c r="K222" s="763">
        <f>IFERROR(__xludf.DUMMYFUNCTION("""COMPUTED_VALUE"""),20148.0)</f>
        <v>20148</v>
      </c>
      <c r="L222" s="763" t="str">
        <f>IFERROR(__xludf.DUMMYFUNCTION("""COMPUTED_VALUE"""),"Carte di pagamento")</f>
        <v>Carte di pagamento</v>
      </c>
      <c r="M222" s="763"/>
      <c r="N222" s="763" t="str">
        <f>IFERROR(__xludf.DUMMYFUNCTION("""COMPUTED_VALUE"""),"65047-1759431437")</f>
        <v>65047-1759431437</v>
      </c>
      <c r="O222" s="763">
        <f>IFERROR(__xludf.DUMMYFUNCTION("""COMPUTED_VALUE"""),0.0)</f>
        <v>0</v>
      </c>
      <c r="P222" s="767">
        <f>IFERROR(__xludf.DUMMYFUNCTION("""COMPUTED_VALUE"""),1.3333333333333333)</f>
        <v>1.333333333</v>
      </c>
      <c r="Q222" s="763" t="str">
        <f>IFERROR(__xludf.DUMMYFUNCTION("""COMPUTED_VALUE"""),"EUR")</f>
        <v>EUR</v>
      </c>
      <c r="R222" s="763">
        <f>IFERROR(__xludf.DUMMYFUNCTION("""COMPUTED_VALUE"""),612.0)</f>
        <v>612</v>
      </c>
      <c r="S222" s="763" t="str">
        <f>IFERROR(__xludf.DUMMYFUNCTION("""COMPUTED_VALUE"""),"Workshop Urban con Kumo - Workshop Kumo Urban")</f>
        <v>Workshop Urban con Kumo - Workshop Kumo Urban</v>
      </c>
      <c r="T222" s="763"/>
      <c r="U222" s="763"/>
      <c r="V222" s="763">
        <f>IFERROR(__xludf.DUMMYFUNCTION("""COMPUTED_VALUE"""),1.0)</f>
        <v>1</v>
      </c>
      <c r="W222" s="763">
        <f>IFERROR(__xludf.DUMMYFUNCTION("""COMPUTED_VALUE"""),32.0)</f>
        <v>32</v>
      </c>
      <c r="X222" s="763">
        <f>IFERROR(__xludf.DUMMYFUNCTION("""COMPUTED_VALUE"""),32.0)</f>
        <v>32</v>
      </c>
      <c r="Y222" s="763"/>
      <c r="Z222" s="768" t="str">
        <f>IFERROR(__xludf.DUMMYFUNCTION("""COMPUTED_VALUE"""),"https://studio-gem.it/wp-admin/post.php?post=65047&amp;action=edit")</f>
        <v>https://studio-gem.it/wp-admin/post.php?post=65047&amp;action=edit</v>
      </c>
      <c r="AA222" s="763"/>
      <c r="AB222" s="763"/>
      <c r="AC222" s="763"/>
      <c r="AD222" s="763"/>
      <c r="AE222" s="763"/>
      <c r="AF222" s="763"/>
      <c r="AG222" s="763"/>
      <c r="AH222" s="763"/>
      <c r="AI222" s="763"/>
      <c r="AJ222" s="763"/>
      <c r="AK222" s="763"/>
      <c r="AL222" s="763"/>
      <c r="AM222" s="763"/>
      <c r="AN222" s="763"/>
      <c r="AO222" s="763"/>
      <c r="AP222" s="763"/>
      <c r="AQ222" s="763"/>
      <c r="AR222" s="763"/>
      <c r="AS222" s="763"/>
      <c r="AT222" s="763"/>
      <c r="AU222" s="763"/>
      <c r="AV222" s="763"/>
      <c r="AW222" s="763"/>
      <c r="AX222" s="763"/>
      <c r="AY222" s="763"/>
      <c r="AZ222" s="763"/>
      <c r="BA222" s="763"/>
      <c r="BB222" s="763"/>
      <c r="BC222" s="763"/>
      <c r="BD222" s="763"/>
      <c r="BE222" s="763"/>
      <c r="BF222" s="763"/>
      <c r="BG222" s="763" t="b">
        <f>IFERROR(__xludf.DUMMYFUNCTION("""COMPUTED_VALUE"""),TRUE)</f>
        <v>1</v>
      </c>
      <c r="BH222" s="763" t="b">
        <f>IFERROR(__xludf.DUMMYFUNCTION("""COMPUTED_VALUE"""),TRUE)</f>
        <v>1</v>
      </c>
      <c r="BI222" s="763" t="b">
        <f>IFERROR(__xludf.DUMMYFUNCTION("""COMPUTED_VALUE"""),TRUE)</f>
        <v>1</v>
      </c>
      <c r="BJ222" s="763" t="b">
        <f>IFERROR(__xludf.DUMMYFUNCTION("""COMPUTED_VALUE"""),FALSE)</f>
        <v>0</v>
      </c>
    </row>
    <row r="223">
      <c r="A223" s="763">
        <f>IFERROR(__xludf.DUMMYFUNCTION("""COMPUTED_VALUE"""),65049.0)</f>
        <v>65049</v>
      </c>
      <c r="B223" s="763">
        <f>IFERROR(__xludf.DUMMYFUNCTION("""COMPUTED_VALUE"""),65049.0)</f>
        <v>65049</v>
      </c>
      <c r="C223" s="763" t="str">
        <f>IFERROR(__xludf.DUMMYFUNCTION("""COMPUTED_VALUE"""),"2025-10-03 11:33:59")</f>
        <v>2025-10-03 11:33:59</v>
      </c>
      <c r="D223" s="763" t="str">
        <f>IFERROR(__xludf.DUMMYFUNCTION("""COMPUTED_VALUE"""),"pending")</f>
        <v>pending</v>
      </c>
      <c r="E223" s="763" t="str">
        <f>IFERROR(__xludf.DUMMYFUNCTION("""COMPUTED_VALUE"""),"Sara")</f>
        <v>Sara</v>
      </c>
      <c r="F223" s="763" t="str">
        <f>IFERROR(__xludf.DUMMYFUNCTION("""COMPUTED_VALUE"""),"Arrigoni")</f>
        <v>Arrigoni</v>
      </c>
      <c r="G223" s="763" t="str">
        <f>IFERROR(__xludf.DUMMYFUNCTION("""COMPUTED_VALUE"""),"sarajannelli95@gmail.com")</f>
        <v>sarajannelli95@gmail.com</v>
      </c>
      <c r="H223" s="763">
        <f>IFERROR(__xludf.DUMMYFUNCTION("""COMPUTED_VALUE"""),3.408186878E9)</f>
        <v>3408186878</v>
      </c>
      <c r="I223" s="763" t="str">
        <f>IFERROR(__xludf.DUMMYFUNCTION("""COMPUTED_VALUE"""),"Milano")</f>
        <v>Milano</v>
      </c>
      <c r="J223" s="763" t="str">
        <f>IFERROR(__xludf.DUMMYFUNCTION("""COMPUTED_VALUE"""),"VIA MONTESSORI 1")</f>
        <v>VIA MONTESSORI 1</v>
      </c>
      <c r="K223" s="763">
        <f>IFERROR(__xludf.DUMMYFUNCTION("""COMPUTED_VALUE"""),20138.0)</f>
        <v>20138</v>
      </c>
      <c r="L223" s="763" t="str">
        <f>IFERROR(__xludf.DUMMYFUNCTION("""COMPUTED_VALUE"""),"Carte di pagamento")</f>
        <v>Carte di pagamento</v>
      </c>
      <c r="M223" s="763"/>
      <c r="N223" s="763"/>
      <c r="O223" s="763">
        <f>IFERROR(__xludf.DUMMYFUNCTION("""COMPUTED_VALUE"""),0.0)</f>
        <v>0</v>
      </c>
      <c r="P223" s="767">
        <f>IFERROR(__xludf.DUMMYFUNCTION("""COMPUTED_VALUE"""),1.3333333333333333)</f>
        <v>1.333333333</v>
      </c>
      <c r="Q223" s="763" t="str">
        <f>IFERROR(__xludf.DUMMYFUNCTION("""COMPUTED_VALUE"""),"EUR")</f>
        <v>EUR</v>
      </c>
      <c r="R223" s="763">
        <f>IFERROR(__xludf.DUMMYFUNCTION("""COMPUTED_VALUE"""),613.0)</f>
        <v>613</v>
      </c>
      <c r="S223" s="763" t="str">
        <f>IFERROR(__xludf.DUMMYFUNCTION("""COMPUTED_VALUE"""),"Workshop Afrofusion con Banana 2025 - Workshop Banana afrofusion")</f>
        <v>Workshop Afrofusion con Banana 2025 - Workshop Banana afrofusion</v>
      </c>
      <c r="T223" s="763"/>
      <c r="U223" s="763"/>
      <c r="V223" s="763">
        <f>IFERROR(__xludf.DUMMYFUNCTION("""COMPUTED_VALUE"""),1.0)</f>
        <v>1</v>
      </c>
      <c r="W223" s="763">
        <f>IFERROR(__xludf.DUMMYFUNCTION("""COMPUTED_VALUE"""),32.0)</f>
        <v>32</v>
      </c>
      <c r="X223" s="763">
        <f>IFERROR(__xludf.DUMMYFUNCTION("""COMPUTED_VALUE"""),32.0)</f>
        <v>32</v>
      </c>
      <c r="Y223" s="763"/>
      <c r="Z223" s="768" t="str">
        <f>IFERROR(__xludf.DUMMYFUNCTION("""COMPUTED_VALUE"""),"https://studio-gem.it/wp-admin/post.php?post=65049&amp;action=edit")</f>
        <v>https://studio-gem.it/wp-admin/post.php?post=65049&amp;action=edit</v>
      </c>
      <c r="AA223" s="763"/>
      <c r="AB223" s="763"/>
      <c r="AC223" s="763"/>
      <c r="AD223" s="763"/>
      <c r="AE223" s="763"/>
      <c r="AF223" s="763"/>
      <c r="AG223" s="763"/>
      <c r="AH223" s="763"/>
      <c r="AI223" s="763"/>
      <c r="AJ223" s="763"/>
      <c r="AK223" s="763"/>
      <c r="AL223" s="763"/>
      <c r="AM223" s="763"/>
      <c r="AN223" s="763"/>
      <c r="AO223" s="763"/>
      <c r="AP223" s="763"/>
      <c r="AQ223" s="763"/>
      <c r="AR223" s="763"/>
      <c r="AS223" s="763"/>
      <c r="AT223" s="763"/>
      <c r="AU223" s="763"/>
      <c r="AV223" s="763"/>
      <c r="AW223" s="763"/>
      <c r="AX223" s="763"/>
      <c r="AY223" s="763"/>
      <c r="AZ223" s="763"/>
      <c r="BA223" s="763"/>
      <c r="BB223" s="763"/>
      <c r="BC223" s="763"/>
      <c r="BD223" s="763"/>
      <c r="BE223" s="763"/>
      <c r="BF223" s="763"/>
      <c r="BG223" s="763" t="b">
        <f>IFERROR(__xludf.DUMMYFUNCTION("""COMPUTED_VALUE"""),TRUE)</f>
        <v>1</v>
      </c>
      <c r="BH223" s="763" t="b">
        <f>IFERROR(__xludf.DUMMYFUNCTION("""COMPUTED_VALUE"""),FALSE)</f>
        <v>0</v>
      </c>
      <c r="BI223" s="763" t="b">
        <f>IFERROR(__xludf.DUMMYFUNCTION("""COMPUTED_VALUE"""),FALSE)</f>
        <v>0</v>
      </c>
      <c r="BJ223" s="763" t="b">
        <f>IFERROR(__xludf.DUMMYFUNCTION("""COMPUTED_VALUE"""),FALSE)</f>
        <v>0</v>
      </c>
    </row>
    <row r="224">
      <c r="A224" s="763">
        <f>IFERROR(__xludf.DUMMYFUNCTION("""COMPUTED_VALUE"""),65050.0)</f>
        <v>65050</v>
      </c>
      <c r="B224" s="763">
        <f>IFERROR(__xludf.DUMMYFUNCTION("""COMPUTED_VALUE"""),65050.0)</f>
        <v>65050</v>
      </c>
      <c r="C224" s="763" t="str">
        <f>IFERROR(__xludf.DUMMYFUNCTION("""COMPUTED_VALUE"""),"2025-10-03 12:50:37")</f>
        <v>2025-10-03 12:50:37</v>
      </c>
      <c r="D224" s="763" t="str">
        <f>IFERROR(__xludf.DUMMYFUNCTION("""COMPUTED_VALUE"""),"processing")</f>
        <v>processing</v>
      </c>
      <c r="E224" s="763" t="str">
        <f>IFERROR(__xludf.DUMMYFUNCTION("""COMPUTED_VALUE"""),"Sara")</f>
        <v>Sara</v>
      </c>
      <c r="F224" s="763" t="str">
        <f>IFERROR(__xludf.DUMMYFUNCTION("""COMPUTED_VALUE"""),"Arrigoni")</f>
        <v>Arrigoni</v>
      </c>
      <c r="G224" s="763" t="str">
        <f>IFERROR(__xludf.DUMMYFUNCTION("""COMPUTED_VALUE"""),"sarajannelli95@gmail.com")</f>
        <v>sarajannelli95@gmail.com</v>
      </c>
      <c r="H224" s="763">
        <f>IFERROR(__xludf.DUMMYFUNCTION("""COMPUTED_VALUE"""),3.408186878E9)</f>
        <v>3408186878</v>
      </c>
      <c r="I224" s="763" t="str">
        <f>IFERROR(__xludf.DUMMYFUNCTION("""COMPUTED_VALUE"""),"Milano")</f>
        <v>Milano</v>
      </c>
      <c r="J224" s="763" t="str">
        <f>IFERROR(__xludf.DUMMYFUNCTION("""COMPUTED_VALUE"""),"VIA MONTESSORI 1")</f>
        <v>VIA MONTESSORI 1</v>
      </c>
      <c r="K224" s="763">
        <f>IFERROR(__xludf.DUMMYFUNCTION("""COMPUTED_VALUE"""),20138.0)</f>
        <v>20138</v>
      </c>
      <c r="L224" s="763" t="str">
        <f>IFERROR(__xludf.DUMMYFUNCTION("""COMPUTED_VALUE"""),"Carte di pagamento")</f>
        <v>Carte di pagamento</v>
      </c>
      <c r="M224" s="763" t="str">
        <f>IFERROR(__xludf.DUMMYFUNCTION("""COMPUTED_VALUE"""),"sara02ws")</f>
        <v>sara02ws</v>
      </c>
      <c r="N224" s="763" t="str">
        <f>IFERROR(__xludf.DUMMYFUNCTION("""COMPUTED_VALUE"""),"65050-1759495839")</f>
        <v>65050-1759495839</v>
      </c>
      <c r="O224" s="763">
        <f>IFERROR(__xludf.DUMMYFUNCTION("""COMPUTED_VALUE"""),0.0)</f>
        <v>0</v>
      </c>
      <c r="P224" s="767">
        <f>IFERROR(__xludf.DUMMYFUNCTION("""COMPUTED_VALUE"""),1.4583333333333333)</f>
        <v>1.458333333</v>
      </c>
      <c r="Q224" s="763" t="str">
        <f>IFERROR(__xludf.DUMMYFUNCTION("""COMPUTED_VALUE"""),"EUR")</f>
        <v>EUR</v>
      </c>
      <c r="R224" s="763">
        <f>IFERROR(__xludf.DUMMYFUNCTION("""COMPUTED_VALUE"""),614.0)</f>
        <v>614</v>
      </c>
      <c r="S224" s="763" t="str">
        <f>IFERROR(__xludf.DUMMYFUNCTION("""COMPUTED_VALUE"""),"Workshop Afrofusion con Banana 2025 - Workshop Banana afrofusion")</f>
        <v>Workshop Afrofusion con Banana 2025 - Workshop Banana afrofusion</v>
      </c>
      <c r="T224" s="763"/>
      <c r="U224" s="763"/>
      <c r="V224" s="763">
        <f>IFERROR(__xludf.DUMMYFUNCTION("""COMPUTED_VALUE"""),1.0)</f>
        <v>1</v>
      </c>
      <c r="W224" s="763">
        <f>IFERROR(__xludf.DUMMYFUNCTION("""COMPUTED_VALUE"""),35.0)</f>
        <v>35</v>
      </c>
      <c r="X224" s="763">
        <f>IFERROR(__xludf.DUMMYFUNCTION("""COMPUTED_VALUE"""),35.0)</f>
        <v>35</v>
      </c>
      <c r="Y224" s="763"/>
      <c r="Z224" s="768" t="str">
        <f>IFERROR(__xludf.DUMMYFUNCTION("""COMPUTED_VALUE"""),"https://studio-gem.it/wp-admin/post.php?post=65050&amp;action=edit")</f>
        <v>https://studio-gem.it/wp-admin/post.php?post=65050&amp;action=edit</v>
      </c>
      <c r="AA224" s="763"/>
      <c r="AB224" s="763"/>
      <c r="AC224" s="763"/>
      <c r="AD224" s="763"/>
      <c r="AE224" s="763"/>
      <c r="AF224" s="763"/>
      <c r="AG224" s="763"/>
      <c r="AH224" s="763"/>
      <c r="AI224" s="763"/>
      <c r="AJ224" s="763"/>
      <c r="AK224" s="763"/>
      <c r="AL224" s="763"/>
      <c r="AM224" s="763"/>
      <c r="AN224" s="763"/>
      <c r="AO224" s="763"/>
      <c r="AP224" s="763"/>
      <c r="AQ224" s="763"/>
      <c r="AR224" s="763"/>
      <c r="AS224" s="763"/>
      <c r="AT224" s="763"/>
      <c r="AU224" s="763"/>
      <c r="AV224" s="763"/>
      <c r="AW224" s="763"/>
      <c r="AX224" s="763"/>
      <c r="AY224" s="763"/>
      <c r="AZ224" s="763"/>
      <c r="BA224" s="763"/>
      <c r="BB224" s="763"/>
      <c r="BC224" s="763"/>
      <c r="BD224" s="763"/>
      <c r="BE224" s="763"/>
      <c r="BF224" s="763"/>
      <c r="BG224" s="763" t="b">
        <f>IFERROR(__xludf.DUMMYFUNCTION("""COMPUTED_VALUE"""),TRUE)</f>
        <v>1</v>
      </c>
      <c r="BH224" s="763" t="b">
        <f>IFERROR(__xludf.DUMMYFUNCTION("""COMPUTED_VALUE"""),TRUE)</f>
        <v>1</v>
      </c>
      <c r="BI224" s="763" t="b">
        <f>IFERROR(__xludf.DUMMYFUNCTION("""COMPUTED_VALUE"""),TRUE)</f>
        <v>1</v>
      </c>
      <c r="BJ224" s="763" t="b">
        <f>IFERROR(__xludf.DUMMYFUNCTION("""COMPUTED_VALUE"""),FALSE)</f>
        <v>0</v>
      </c>
    </row>
    <row r="225">
      <c r="A225" s="763">
        <f>IFERROR(__xludf.DUMMYFUNCTION("""COMPUTED_VALUE"""),65051.0)</f>
        <v>65051</v>
      </c>
      <c r="B225" s="763">
        <f>IFERROR(__xludf.DUMMYFUNCTION("""COMPUTED_VALUE"""),65051.0)</f>
        <v>65051</v>
      </c>
      <c r="C225" s="763" t="str">
        <f>IFERROR(__xludf.DUMMYFUNCTION("""COMPUTED_VALUE"""),"2025-10-03 12:55:26")</f>
        <v>2025-10-03 12:55:26</v>
      </c>
      <c r="D225" s="763" t="str">
        <f>IFERROR(__xludf.DUMMYFUNCTION("""COMPUTED_VALUE"""),"completed")</f>
        <v>completed</v>
      </c>
      <c r="E225" s="763" t="str">
        <f>IFERROR(__xludf.DUMMYFUNCTION("""COMPUTED_VALUE"""),"Katya")</f>
        <v>Katya</v>
      </c>
      <c r="F225" s="763" t="str">
        <f>IFERROR(__xludf.DUMMYFUNCTION("""COMPUTED_VALUE"""),"Virgadaula")</f>
        <v>Virgadaula</v>
      </c>
      <c r="G225" s="763" t="str">
        <f>IFERROR(__xludf.DUMMYFUNCTION("""COMPUTED_VALUE"""),"katya@studiolegalemilano.com")</f>
        <v>katya@studiolegalemilano.com</v>
      </c>
      <c r="H225" s="763">
        <f>IFERROR(__xludf.DUMMYFUNCTION("""COMPUTED_VALUE"""),3.471864831E9)</f>
        <v>3471864831</v>
      </c>
      <c r="I225" s="763" t="str">
        <f>IFERROR(__xludf.DUMMYFUNCTION("""COMPUTED_VALUE"""),"rozzano")</f>
        <v>rozzano</v>
      </c>
      <c r="J225" s="763" t="str">
        <f>IFERROR(__xludf.DUMMYFUNCTION("""COMPUTED_VALUE"""),"Via Monviso 55")</f>
        <v>Via Monviso 55</v>
      </c>
      <c r="K225" s="763">
        <f>IFERROR(__xludf.DUMMYFUNCTION("""COMPUTED_VALUE"""),20089.0)</f>
        <v>20089</v>
      </c>
      <c r="L225" s="763" t="str">
        <f>IFERROR(__xludf.DUMMYFUNCTION("""COMPUTED_VALUE"""),"Satispay")</f>
        <v>Satispay</v>
      </c>
      <c r="M225" s="763"/>
      <c r="N225" s="763" t="str">
        <f>IFERROR(__xludf.DUMMYFUNCTION("""COMPUTED_VALUE"""),"0199aa24-41bf-7245-b0f8-740434fa7c37")</f>
        <v>0199aa24-41bf-7245-b0f8-740434fa7c37</v>
      </c>
      <c r="O225" s="763">
        <f>IFERROR(__xludf.DUMMYFUNCTION("""COMPUTED_VALUE"""),0.0)</f>
        <v>0</v>
      </c>
      <c r="P225" s="767">
        <f>IFERROR(__xludf.DUMMYFUNCTION("""COMPUTED_VALUE"""),1.6666666666666667)</f>
        <v>1.666666667</v>
      </c>
      <c r="Q225" s="763" t="str">
        <f>IFERROR(__xludf.DUMMYFUNCTION("""COMPUTED_VALUE"""),"EUR")</f>
        <v>EUR</v>
      </c>
      <c r="R225" s="763">
        <f>IFERROR(__xludf.DUMMYFUNCTION("""COMPUTED_VALUE"""),616.0)</f>
        <v>616</v>
      </c>
      <c r="S225" s="763" t="str">
        <f>IFERROR(__xludf.DUMMYFUNCTION("""COMPUTED_VALUE"""),"Domeniche in movimento - 2 lezioni - Dalle 10 alle 11.50 con Dorian Kuqi €20")</f>
        <v>Domeniche in movimento - 2 lezioni - Dalle 10 alle 11.50 con Dorian Kuqi €20</v>
      </c>
      <c r="T225" s="763"/>
      <c r="U225" s="763"/>
      <c r="V225" s="763">
        <f>IFERROR(__xludf.DUMMYFUNCTION("""COMPUTED_VALUE"""),2.0)</f>
        <v>2</v>
      </c>
      <c r="W225" s="763">
        <f>IFERROR(__xludf.DUMMYFUNCTION("""COMPUTED_VALUE"""),20.0)</f>
        <v>20</v>
      </c>
      <c r="X225" s="763">
        <f>IFERROR(__xludf.DUMMYFUNCTION("""COMPUTED_VALUE"""),40.0)</f>
        <v>40</v>
      </c>
      <c r="Y225" s="763"/>
      <c r="Z225" s="768" t="str">
        <f>IFERROR(__xludf.DUMMYFUNCTION("""COMPUTED_VALUE"""),"https://studio-gem.it/wp-admin/post.php?post=65051&amp;action=edit")</f>
        <v>https://studio-gem.it/wp-admin/post.php?post=65051&amp;action=edit</v>
      </c>
      <c r="AA225" s="763"/>
      <c r="AB225" s="763"/>
      <c r="AC225" s="763"/>
      <c r="AD225" s="763"/>
      <c r="AE225" s="763"/>
      <c r="AF225" s="763"/>
      <c r="AG225" s="763"/>
      <c r="AH225" s="763"/>
      <c r="AI225" s="763"/>
      <c r="AJ225" s="763"/>
      <c r="AK225" s="763"/>
      <c r="AL225" s="763"/>
      <c r="AM225" s="763"/>
      <c r="AN225" s="763"/>
      <c r="AO225" s="763"/>
      <c r="AP225" s="763"/>
      <c r="AQ225" s="763"/>
      <c r="AR225" s="763"/>
      <c r="AS225" s="763"/>
      <c r="AT225" s="763"/>
      <c r="AU225" s="763"/>
      <c r="AV225" s="763"/>
      <c r="AW225" s="763"/>
      <c r="AX225" s="763"/>
      <c r="AY225" s="763"/>
      <c r="AZ225" s="763"/>
      <c r="BA225" s="763"/>
      <c r="BB225" s="763"/>
      <c r="BC225" s="763"/>
      <c r="BD225" s="763"/>
      <c r="BE225" s="763"/>
      <c r="BF225" s="763"/>
      <c r="BG225" s="763" t="b">
        <f>IFERROR(__xludf.DUMMYFUNCTION("""COMPUTED_VALUE"""),TRUE)</f>
        <v>1</v>
      </c>
      <c r="BH225" s="763" t="b">
        <f>IFERROR(__xludf.DUMMYFUNCTION("""COMPUTED_VALUE"""),TRUE)</f>
        <v>1</v>
      </c>
      <c r="BI225" s="763" t="b">
        <f>IFERROR(__xludf.DUMMYFUNCTION("""COMPUTED_VALUE"""),TRUE)</f>
        <v>1</v>
      </c>
      <c r="BJ225" s="763" t="b">
        <f>IFERROR(__xludf.DUMMYFUNCTION("""COMPUTED_VALUE"""),TRUE)</f>
        <v>1</v>
      </c>
    </row>
    <row r="226">
      <c r="A226" s="763">
        <f>IFERROR(__xludf.DUMMYFUNCTION("""COMPUTED_VALUE"""),65053.0)</f>
        <v>65053</v>
      </c>
      <c r="B226" s="763">
        <f>IFERROR(__xludf.DUMMYFUNCTION("""COMPUTED_VALUE"""),65053.0)</f>
        <v>65053</v>
      </c>
      <c r="C226" s="763" t="str">
        <f>IFERROR(__xludf.DUMMYFUNCTION("""COMPUTED_VALUE"""),"2025-10-03 13:02:29")</f>
        <v>2025-10-03 13:02:29</v>
      </c>
      <c r="D226" s="763" t="str">
        <f>IFERROR(__xludf.DUMMYFUNCTION("""COMPUTED_VALUE"""),"completed")</f>
        <v>completed</v>
      </c>
      <c r="E226" s="763" t="str">
        <f>IFERROR(__xludf.DUMMYFUNCTION("""COMPUTED_VALUE"""),"Thomas")</f>
        <v>Thomas</v>
      </c>
      <c r="F226" s="763" t="str">
        <f>IFERROR(__xludf.DUMMYFUNCTION("""COMPUTED_VALUE"""),"Amarena")</f>
        <v>Amarena</v>
      </c>
      <c r="G226" s="763" t="str">
        <f>IFERROR(__xludf.DUMMYFUNCTION("""COMPUTED_VALUE"""),"deborahmercurio.art@gmail.com")</f>
        <v>deborahmercurio.art@gmail.com</v>
      </c>
      <c r="H226" s="763">
        <f>IFERROR(__xludf.DUMMYFUNCTION("""COMPUTED_VALUE"""),3.398639539E9)</f>
        <v>3398639539</v>
      </c>
      <c r="I226" s="763" t="str">
        <f>IFERROR(__xludf.DUMMYFUNCTION("""COMPUTED_VALUE"""),"senago")</f>
        <v>senago</v>
      </c>
      <c r="J226" s="763" t="str">
        <f>IFERROR(__xludf.DUMMYFUNCTION("""COMPUTED_VALUE"""),"diaz 8")</f>
        <v>diaz 8</v>
      </c>
      <c r="K226" s="763">
        <f>IFERROR(__xludf.DUMMYFUNCTION("""COMPUTED_VALUE"""),20030.0)</f>
        <v>20030</v>
      </c>
      <c r="L226" s="763" t="str">
        <f>IFERROR(__xludf.DUMMYFUNCTION("""COMPUTED_VALUE"""),"Carte di pagamento")</f>
        <v>Carte di pagamento</v>
      </c>
      <c r="M226" s="763" t="str">
        <f>IFERROR(__xludf.DUMMYFUNCTION("""COMPUTED_VALUE"""),"nura02ws")</f>
        <v>nura02ws</v>
      </c>
      <c r="N226" s="763" t="str">
        <f>IFERROR(__xludf.DUMMYFUNCTION("""COMPUTED_VALUE"""),"65053-1759496550")</f>
        <v>65053-1759496550</v>
      </c>
      <c r="O226" s="763">
        <f>IFERROR(__xludf.DUMMYFUNCTION("""COMPUTED_VALUE"""),0.0)</f>
        <v>0</v>
      </c>
      <c r="P226" s="767">
        <f>IFERROR(__xludf.DUMMYFUNCTION("""COMPUTED_VALUE"""),1.4583333333333333)</f>
        <v>1.458333333</v>
      </c>
      <c r="Q226" s="763" t="str">
        <f>IFERROR(__xludf.DUMMYFUNCTION("""COMPUTED_VALUE"""),"EUR")</f>
        <v>EUR</v>
      </c>
      <c r="R226" s="763">
        <f>IFERROR(__xludf.DUMMYFUNCTION("""COMPUTED_VALUE"""),617.0)</f>
        <v>617</v>
      </c>
      <c r="S226" s="763" t="str">
        <f>IFERROR(__xludf.DUMMYFUNCTION("""COMPUTED_VALUE"""),"Workshop Afrofusion con Banana 2025 - Workshop Banana afrofusion")</f>
        <v>Workshop Afrofusion con Banana 2025 - Workshop Banana afrofusion</v>
      </c>
      <c r="T226" s="763"/>
      <c r="U226" s="763"/>
      <c r="V226" s="763">
        <f>IFERROR(__xludf.DUMMYFUNCTION("""COMPUTED_VALUE"""),1.0)</f>
        <v>1</v>
      </c>
      <c r="W226" s="763">
        <f>IFERROR(__xludf.DUMMYFUNCTION("""COMPUTED_VALUE"""),35.0)</f>
        <v>35</v>
      </c>
      <c r="X226" s="763">
        <f>IFERROR(__xludf.DUMMYFUNCTION("""COMPUTED_VALUE"""),35.0)</f>
        <v>35</v>
      </c>
      <c r="Y226" s="763"/>
      <c r="Z226" s="768" t="str">
        <f>IFERROR(__xludf.DUMMYFUNCTION("""COMPUTED_VALUE"""),"https://studio-gem.it/wp-admin/post.php?post=65053&amp;action=edit")</f>
        <v>https://studio-gem.it/wp-admin/post.php?post=65053&amp;action=edit</v>
      </c>
      <c r="AA226" s="763"/>
      <c r="AB226" s="763"/>
      <c r="AC226" s="763"/>
      <c r="AD226" s="763"/>
      <c r="AE226" s="763"/>
      <c r="AF226" s="763"/>
      <c r="AG226" s="763"/>
      <c r="AH226" s="763"/>
      <c r="AI226" s="763"/>
      <c r="AJ226" s="763"/>
      <c r="AK226" s="763"/>
      <c r="AL226" s="763"/>
      <c r="AM226" s="763"/>
      <c r="AN226" s="763"/>
      <c r="AO226" s="763"/>
      <c r="AP226" s="763"/>
      <c r="AQ226" s="763"/>
      <c r="AR226" s="763"/>
      <c r="AS226" s="763"/>
      <c r="AT226" s="763"/>
      <c r="AU226" s="763"/>
      <c r="AV226" s="763"/>
      <c r="AW226" s="763"/>
      <c r="AX226" s="763"/>
      <c r="AY226" s="763"/>
      <c r="AZ226" s="763"/>
      <c r="BA226" s="763"/>
      <c r="BB226" s="763"/>
      <c r="BC226" s="763"/>
      <c r="BD226" s="763"/>
      <c r="BE226" s="763"/>
      <c r="BF226" s="763"/>
      <c r="BG226" s="763" t="b">
        <f>IFERROR(__xludf.DUMMYFUNCTION("""COMPUTED_VALUE"""),TRUE)</f>
        <v>1</v>
      </c>
      <c r="BH226" s="763" t="b">
        <f>IFERROR(__xludf.DUMMYFUNCTION("""COMPUTED_VALUE"""),TRUE)</f>
        <v>1</v>
      </c>
      <c r="BI226" s="763" t="b">
        <f>IFERROR(__xludf.DUMMYFUNCTION("""COMPUTED_VALUE"""),TRUE)</f>
        <v>1</v>
      </c>
      <c r="BJ226" s="763" t="b">
        <f>IFERROR(__xludf.DUMMYFUNCTION("""COMPUTED_VALUE"""),TRUE)</f>
        <v>1</v>
      </c>
    </row>
    <row r="227">
      <c r="A227" s="763">
        <f>IFERROR(__xludf.DUMMYFUNCTION("""COMPUTED_VALUE"""),65055.0)</f>
        <v>65055</v>
      </c>
      <c r="B227" s="763">
        <f>IFERROR(__xludf.DUMMYFUNCTION("""COMPUTED_VALUE"""),65055.0)</f>
        <v>65055</v>
      </c>
      <c r="C227" s="763" t="str">
        <f>IFERROR(__xludf.DUMMYFUNCTION("""COMPUTED_VALUE"""),"2025-10-03 19:51:18")</f>
        <v>2025-10-03 19:51:18</v>
      </c>
      <c r="D227" s="763" t="str">
        <f>IFERROR(__xludf.DUMMYFUNCTION("""COMPUTED_VALUE"""),"completed")</f>
        <v>completed</v>
      </c>
      <c r="E227" s="763" t="str">
        <f>IFERROR(__xludf.DUMMYFUNCTION("""COMPUTED_VALUE"""),"Noemi")</f>
        <v>Noemi</v>
      </c>
      <c r="F227" s="763" t="str">
        <f>IFERROR(__xludf.DUMMYFUNCTION("""COMPUTED_VALUE"""),"Benci")</f>
        <v>Benci</v>
      </c>
      <c r="G227" s="763" t="str">
        <f>IFERROR(__xludf.DUMMYFUNCTION("""COMPUTED_VALUE"""),"benci.noemi@gmail.com")</f>
        <v>benci.noemi@gmail.com</v>
      </c>
      <c r="H227" s="763">
        <f>IFERROR(__xludf.DUMMYFUNCTION("""COMPUTED_VALUE"""),3.313043039E9)</f>
        <v>3313043039</v>
      </c>
      <c r="I227" s="763" t="str">
        <f>IFERROR(__xludf.DUMMYFUNCTION("""COMPUTED_VALUE"""),"Arezzo")</f>
        <v>Arezzo</v>
      </c>
      <c r="J227" s="763" t="str">
        <f>IFERROR(__xludf.DUMMYFUNCTION("""COMPUTED_VALUE"""),"Via Antonio Cecchi,8")</f>
        <v>Via Antonio Cecchi,8</v>
      </c>
      <c r="K227" s="763">
        <f>IFERROR(__xludf.DUMMYFUNCTION("""COMPUTED_VALUE"""),52100.0)</f>
        <v>52100</v>
      </c>
      <c r="L227" s="763" t="str">
        <f>IFERROR(__xludf.DUMMYFUNCTION("""COMPUTED_VALUE"""),"Google Pay")</f>
        <v>Google Pay</v>
      </c>
      <c r="M227" s="763" t="str">
        <f>IFERROR(__xludf.DUMMYFUNCTION("""COMPUTED_VALUE"""),"nura02ws")</f>
        <v>nura02ws</v>
      </c>
      <c r="N227" s="763" t="str">
        <f>IFERROR(__xludf.DUMMYFUNCTION("""COMPUTED_VALUE"""),"65055-1759521079")</f>
        <v>65055-1759521079</v>
      </c>
      <c r="O227" s="763">
        <f>IFERROR(__xludf.DUMMYFUNCTION("""COMPUTED_VALUE"""),0.0)</f>
        <v>0</v>
      </c>
      <c r="P227" s="767">
        <f>IFERROR(__xludf.DUMMYFUNCTION("""COMPUTED_VALUE"""),1.4583333333333333)</f>
        <v>1.458333333</v>
      </c>
      <c r="Q227" s="763" t="str">
        <f>IFERROR(__xludf.DUMMYFUNCTION("""COMPUTED_VALUE"""),"EUR")</f>
        <v>EUR</v>
      </c>
      <c r="R227" s="763">
        <f>IFERROR(__xludf.DUMMYFUNCTION("""COMPUTED_VALUE"""),619.0)</f>
        <v>619</v>
      </c>
      <c r="S227" s="763" t="str">
        <f>IFERROR(__xludf.DUMMYFUNCTION("""COMPUTED_VALUE"""),"Workshop Afrofusion con Banana 2025 - Workshop Banana afrofusion")</f>
        <v>Workshop Afrofusion con Banana 2025 - Workshop Banana afrofusion</v>
      </c>
      <c r="T227" s="763"/>
      <c r="U227" s="763"/>
      <c r="V227" s="763">
        <f>IFERROR(__xludf.DUMMYFUNCTION("""COMPUTED_VALUE"""),1.0)</f>
        <v>1</v>
      </c>
      <c r="W227" s="763">
        <f>IFERROR(__xludf.DUMMYFUNCTION("""COMPUTED_VALUE"""),35.0)</f>
        <v>35</v>
      </c>
      <c r="X227" s="763">
        <f>IFERROR(__xludf.DUMMYFUNCTION("""COMPUTED_VALUE"""),35.0)</f>
        <v>35</v>
      </c>
      <c r="Y227" s="763"/>
      <c r="Z227" s="768" t="str">
        <f>IFERROR(__xludf.DUMMYFUNCTION("""COMPUTED_VALUE"""),"https://studio-gem.it/wp-admin/post.php?post=65055&amp;action=edit")</f>
        <v>https://studio-gem.it/wp-admin/post.php?post=65055&amp;action=edit</v>
      </c>
      <c r="AA227" s="763"/>
      <c r="AB227" s="763"/>
      <c r="AC227" s="763"/>
      <c r="AD227" s="763"/>
      <c r="AE227" s="763"/>
      <c r="AF227" s="763"/>
      <c r="AG227" s="763"/>
      <c r="AH227" s="763"/>
      <c r="AI227" s="763"/>
      <c r="AJ227" s="763"/>
      <c r="AK227" s="763"/>
      <c r="AL227" s="763"/>
      <c r="AM227" s="763"/>
      <c r="AN227" s="763"/>
      <c r="AO227" s="763"/>
      <c r="AP227" s="763"/>
      <c r="AQ227" s="763"/>
      <c r="AR227" s="763"/>
      <c r="AS227" s="763"/>
      <c r="AT227" s="763"/>
      <c r="AU227" s="763"/>
      <c r="AV227" s="763"/>
      <c r="AW227" s="763"/>
      <c r="AX227" s="763"/>
      <c r="AY227" s="763"/>
      <c r="AZ227" s="763"/>
      <c r="BA227" s="763"/>
      <c r="BB227" s="763"/>
      <c r="BC227" s="763"/>
      <c r="BD227" s="763"/>
      <c r="BE227" s="763"/>
      <c r="BF227" s="763"/>
      <c r="BG227" s="763" t="b">
        <f>IFERROR(__xludf.DUMMYFUNCTION("""COMPUTED_VALUE"""),TRUE)</f>
        <v>1</v>
      </c>
      <c r="BH227" s="763" t="b">
        <f>IFERROR(__xludf.DUMMYFUNCTION("""COMPUTED_VALUE"""),TRUE)</f>
        <v>1</v>
      </c>
      <c r="BI227" s="763" t="b">
        <f>IFERROR(__xludf.DUMMYFUNCTION("""COMPUTED_VALUE"""),TRUE)</f>
        <v>1</v>
      </c>
      <c r="BJ227" s="763" t="b">
        <f>IFERROR(__xludf.DUMMYFUNCTION("""COMPUTED_VALUE"""),TRUE)</f>
        <v>1</v>
      </c>
    </row>
    <row r="228">
      <c r="A228" s="763">
        <f>IFERROR(__xludf.DUMMYFUNCTION("""COMPUTED_VALUE"""),65059.0)</f>
        <v>65059</v>
      </c>
      <c r="B228" s="763">
        <f>IFERROR(__xludf.DUMMYFUNCTION("""COMPUTED_VALUE"""),65059.0)</f>
        <v>65059</v>
      </c>
      <c r="C228" s="763" t="str">
        <f>IFERROR(__xludf.DUMMYFUNCTION("""COMPUTED_VALUE"""),"2025-10-04 12:04:26")</f>
        <v>2025-10-04 12:04:26</v>
      </c>
      <c r="D228" s="763" t="str">
        <f>IFERROR(__xludf.DUMMYFUNCTION("""COMPUTED_VALUE"""),"processing")</f>
        <v>processing</v>
      </c>
      <c r="E228" s="763" t="str">
        <f>IFERROR(__xludf.DUMMYFUNCTION("""COMPUTED_VALUE"""),"Erika")</f>
        <v>Erika</v>
      </c>
      <c r="F228" s="763" t="str">
        <f>IFERROR(__xludf.DUMMYFUNCTION("""COMPUTED_VALUE"""),"Beltrame")</f>
        <v>Beltrame</v>
      </c>
      <c r="G228" s="763" t="str">
        <f>IFERROR(__xludf.DUMMYFUNCTION("""COMPUTED_VALUE"""),"erikabeltra112@gmail.com")</f>
        <v>erikabeltra112@gmail.com</v>
      </c>
      <c r="H228" s="763">
        <f>IFERROR(__xludf.DUMMYFUNCTION("""COMPUTED_VALUE"""),3.20094462E9)</f>
        <v>3200944620</v>
      </c>
      <c r="I228" s="763" t="str">
        <f>IFERROR(__xludf.DUMMYFUNCTION("""COMPUTED_VALUE"""),"Carmagnola")</f>
        <v>Carmagnola</v>
      </c>
      <c r="J228" s="763" t="str">
        <f>IFERROR(__xludf.DUMMYFUNCTION("""COMPUTED_VALUE"""),"Via Ormea 29")</f>
        <v>Via Ormea 29</v>
      </c>
      <c r="K228" s="763">
        <f>IFERROR(__xludf.DUMMYFUNCTION("""COMPUTED_VALUE"""),10022.0)</f>
        <v>10022</v>
      </c>
      <c r="L228" s="763" t="str">
        <f>IFERROR(__xludf.DUMMYFUNCTION("""COMPUTED_VALUE"""),"Carte di pagamento")</f>
        <v>Carte di pagamento</v>
      </c>
      <c r="M228" s="763"/>
      <c r="N228" s="763" t="str">
        <f>IFERROR(__xludf.DUMMYFUNCTION("""COMPUTED_VALUE"""),"65059-1759579467")</f>
        <v>65059-1759579467</v>
      </c>
      <c r="O228" s="763">
        <f>IFERROR(__xludf.DUMMYFUNCTION("""COMPUTED_VALUE"""),0.0)</f>
        <v>0</v>
      </c>
      <c r="P228" s="767">
        <f>IFERROR(__xludf.DUMMYFUNCTION("""COMPUTED_VALUE"""),1.875)</f>
        <v>1.875</v>
      </c>
      <c r="Q228" s="763" t="str">
        <f>IFERROR(__xludf.DUMMYFUNCTION("""COMPUTED_VALUE"""),"EUR")</f>
        <v>EUR</v>
      </c>
      <c r="R228" s="763">
        <f>IFERROR(__xludf.DUMMYFUNCTION("""COMPUTED_VALUE"""),621.0)</f>
        <v>621</v>
      </c>
      <c r="S228" s="763" t="str">
        <f>IFERROR(__xludf.DUMMYFUNCTION("""COMPUTED_VALUE"""),"Workshop Commercial con Timor Steffens - Workshop Commercial con Timor Steffens")</f>
        <v>Workshop Commercial con Timor Steffens - Workshop Commercial con Timor Steffens</v>
      </c>
      <c r="T228" s="763"/>
      <c r="U228" s="763"/>
      <c r="V228" s="763">
        <f>IFERROR(__xludf.DUMMYFUNCTION("""COMPUTED_VALUE"""),1.0)</f>
        <v>1</v>
      </c>
      <c r="W228" s="763">
        <f>IFERROR(__xludf.DUMMYFUNCTION("""COMPUTED_VALUE"""),45.0)</f>
        <v>45</v>
      </c>
      <c r="X228" s="763">
        <f>IFERROR(__xludf.DUMMYFUNCTION("""COMPUTED_VALUE"""),45.0)</f>
        <v>45</v>
      </c>
      <c r="Y228" s="763"/>
      <c r="Z228" s="768" t="str">
        <f>IFERROR(__xludf.DUMMYFUNCTION("""COMPUTED_VALUE"""),"https://studio-gem.it/wp-admin/post.php?post=65059&amp;action=edit")</f>
        <v>https://studio-gem.it/wp-admin/post.php?post=65059&amp;action=edit</v>
      </c>
      <c r="AA228" s="763"/>
      <c r="AB228" s="763"/>
      <c r="AC228" s="763"/>
      <c r="AD228" s="763"/>
      <c r="AE228" s="763"/>
      <c r="AF228" s="763"/>
      <c r="AG228" s="763"/>
      <c r="AH228" s="763"/>
      <c r="AI228" s="763"/>
      <c r="AJ228" s="763"/>
      <c r="AK228" s="763"/>
      <c r="AL228" s="763"/>
      <c r="AM228" s="763"/>
      <c r="AN228" s="763"/>
      <c r="AO228" s="763"/>
      <c r="AP228" s="763"/>
      <c r="AQ228" s="763"/>
      <c r="AR228" s="763"/>
      <c r="AS228" s="763"/>
      <c r="AT228" s="763"/>
      <c r="AU228" s="763"/>
      <c r="AV228" s="763"/>
      <c r="AW228" s="763"/>
      <c r="AX228" s="763"/>
      <c r="AY228" s="763"/>
      <c r="AZ228" s="763"/>
      <c r="BA228" s="763"/>
      <c r="BB228" s="763"/>
      <c r="BC228" s="763"/>
      <c r="BD228" s="763"/>
      <c r="BE228" s="763"/>
      <c r="BF228" s="763"/>
      <c r="BG228" s="763" t="b">
        <f>IFERROR(__xludf.DUMMYFUNCTION("""COMPUTED_VALUE"""),TRUE)</f>
        <v>1</v>
      </c>
      <c r="BH228" s="763" t="b">
        <f>IFERROR(__xludf.DUMMYFUNCTION("""COMPUTED_VALUE"""),TRUE)</f>
        <v>1</v>
      </c>
      <c r="BI228" s="763" t="b">
        <f>IFERROR(__xludf.DUMMYFUNCTION("""COMPUTED_VALUE"""),TRUE)</f>
        <v>1</v>
      </c>
      <c r="BJ228" s="763" t="b">
        <f>IFERROR(__xludf.DUMMYFUNCTION("""COMPUTED_VALUE"""),TRUE)</f>
        <v>1</v>
      </c>
    </row>
    <row r="229">
      <c r="A229" s="763">
        <f>IFERROR(__xludf.DUMMYFUNCTION("""COMPUTED_VALUE"""),65060.0)</f>
        <v>65060</v>
      </c>
      <c r="B229" s="763">
        <f>IFERROR(__xludf.DUMMYFUNCTION("""COMPUTED_VALUE"""),65060.0)</f>
        <v>65060</v>
      </c>
      <c r="C229" s="763" t="str">
        <f>IFERROR(__xludf.DUMMYFUNCTION("""COMPUTED_VALUE"""),"2025-10-04 20:37:32")</f>
        <v>2025-10-04 20:37:32</v>
      </c>
      <c r="D229" s="763" t="str">
        <f>IFERROR(__xludf.DUMMYFUNCTION("""COMPUTED_VALUE"""),"completed")</f>
        <v>completed</v>
      </c>
      <c r="E229" s="763" t="str">
        <f>IFERROR(__xludf.DUMMYFUNCTION("""COMPUTED_VALUE"""),"Beatrice")</f>
        <v>Beatrice</v>
      </c>
      <c r="F229" s="763" t="str">
        <f>IFERROR(__xludf.DUMMYFUNCTION("""COMPUTED_VALUE"""),"Paino")</f>
        <v>Paino</v>
      </c>
      <c r="G229" s="763" t="str">
        <f>IFERROR(__xludf.DUMMYFUNCTION("""COMPUTED_VALUE"""),"beatricepaino@yahoo.it")</f>
        <v>beatricepaino@yahoo.it</v>
      </c>
      <c r="H229" s="763" t="str">
        <f>IFERROR(__xludf.DUMMYFUNCTION("""COMPUTED_VALUE"""),"+393477410909")</f>
        <v>+393477410909</v>
      </c>
      <c r="I229" s="763" t="str">
        <f>IFERROR(__xludf.DUMMYFUNCTION("""COMPUTED_VALUE"""),"Milano")</f>
        <v>Milano</v>
      </c>
      <c r="J229" s="763" t="str">
        <f>IFERROR(__xludf.DUMMYFUNCTION("""COMPUTED_VALUE"""),"Via Comune Antico 50")</f>
        <v>Via Comune Antico 50</v>
      </c>
      <c r="K229" s="763">
        <f>IFERROR(__xludf.DUMMYFUNCTION("""COMPUTED_VALUE"""),20125.0)</f>
        <v>20125</v>
      </c>
      <c r="L229" s="763"/>
      <c r="M229" s="763"/>
      <c r="N229" s="763"/>
      <c r="O229" s="763">
        <f>IFERROR(__xludf.DUMMYFUNCTION("""COMPUTED_VALUE"""),0.0)</f>
        <v>0</v>
      </c>
      <c r="P229" s="767">
        <f>IFERROR(__xludf.DUMMYFUNCTION("""COMPUTED_VALUE"""),0.0)</f>
        <v>0</v>
      </c>
      <c r="Q229" s="763" t="str">
        <f>IFERROR(__xludf.DUMMYFUNCTION("""COMPUTED_VALUE"""),"EUR")</f>
        <v>EUR</v>
      </c>
      <c r="R229" s="763">
        <f>IFERROR(__xludf.DUMMYFUNCTION("""COMPUTED_VALUE"""),622.0)</f>
        <v>622</v>
      </c>
      <c r="S229" s="763" t="str">
        <f>IFERROR(__xludf.DUMMYFUNCTION("""COMPUTED_VALUE"""),"Domeniche in movimento - Gratuito per open fitness e open mattino 1 lezione dalle 10 alle 10.50")</f>
        <v>Domeniche in movimento - Gratuito per open fitness e open mattino 1 lezione dalle 10 alle 10.50</v>
      </c>
      <c r="T229" s="763"/>
      <c r="U229" s="763"/>
      <c r="V229" s="763">
        <f>IFERROR(__xludf.DUMMYFUNCTION("""COMPUTED_VALUE"""),1.0)</f>
        <v>1</v>
      </c>
      <c r="W229" s="763">
        <f>IFERROR(__xludf.DUMMYFUNCTION("""COMPUTED_VALUE"""),0.0)</f>
        <v>0</v>
      </c>
      <c r="X229" s="763">
        <f>IFERROR(__xludf.DUMMYFUNCTION("""COMPUTED_VALUE"""),0.0)</f>
        <v>0</v>
      </c>
      <c r="Y229" s="763"/>
      <c r="Z229" s="768" t="str">
        <f>IFERROR(__xludf.DUMMYFUNCTION("""COMPUTED_VALUE"""),"https://studio-gem.it/wp-admin/post.php?post=65060&amp;action=edit")</f>
        <v>https://studio-gem.it/wp-admin/post.php?post=65060&amp;action=edit</v>
      </c>
      <c r="AA229" s="763"/>
      <c r="AB229" s="763"/>
      <c r="AC229" s="763"/>
      <c r="AD229" s="763"/>
      <c r="AE229" s="763"/>
      <c r="AF229" s="763"/>
      <c r="AG229" s="763"/>
      <c r="AH229" s="763"/>
      <c r="AI229" s="763"/>
      <c r="AJ229" s="763"/>
      <c r="AK229" s="763"/>
      <c r="AL229" s="763"/>
      <c r="AM229" s="763"/>
      <c r="AN229" s="763"/>
      <c r="AO229" s="763"/>
      <c r="AP229" s="763"/>
      <c r="AQ229" s="763"/>
      <c r="AR229" s="763"/>
      <c r="AS229" s="763"/>
      <c r="AT229" s="763"/>
      <c r="AU229" s="763"/>
      <c r="AV229" s="763"/>
      <c r="AW229" s="763"/>
      <c r="AX229" s="763"/>
      <c r="AY229" s="763"/>
      <c r="AZ229" s="763"/>
      <c r="BA229" s="763"/>
      <c r="BB229" s="763"/>
      <c r="BC229" s="763"/>
      <c r="BD229" s="763"/>
      <c r="BE229" s="763"/>
      <c r="BF229" s="763"/>
      <c r="BG229" s="763" t="b">
        <f>IFERROR(__xludf.DUMMYFUNCTION("""COMPUTED_VALUE"""),TRUE)</f>
        <v>1</v>
      </c>
      <c r="BH229" s="763" t="b">
        <f>IFERROR(__xludf.DUMMYFUNCTION("""COMPUTED_VALUE"""),FALSE)</f>
        <v>0</v>
      </c>
      <c r="BI229" s="763" t="b">
        <f>IFERROR(__xludf.DUMMYFUNCTION("""COMPUTED_VALUE"""),TRUE)</f>
        <v>1</v>
      </c>
      <c r="BJ229" s="763" t="b">
        <f>IFERROR(__xludf.DUMMYFUNCTION("""COMPUTED_VALUE"""),TRUE)</f>
        <v>1</v>
      </c>
    </row>
    <row r="230">
      <c r="A230" s="763">
        <f>IFERROR(__xludf.DUMMYFUNCTION("""COMPUTED_VALUE"""),65060.0)</f>
        <v>65060</v>
      </c>
      <c r="B230" s="763">
        <f>IFERROR(__xludf.DUMMYFUNCTION("""COMPUTED_VALUE"""),65060.0)</f>
        <v>65060</v>
      </c>
      <c r="C230" s="763" t="str">
        <f>IFERROR(__xludf.DUMMYFUNCTION("""COMPUTED_VALUE"""),"2025-10-04 20:37:32")</f>
        <v>2025-10-04 20:37:32</v>
      </c>
      <c r="D230" s="763" t="str">
        <f>IFERROR(__xludf.DUMMYFUNCTION("""COMPUTED_VALUE"""),"completed")</f>
        <v>completed</v>
      </c>
      <c r="E230" s="763" t="str">
        <f>IFERROR(__xludf.DUMMYFUNCTION("""COMPUTED_VALUE"""),"Beatrice")</f>
        <v>Beatrice</v>
      </c>
      <c r="F230" s="763" t="str">
        <f>IFERROR(__xludf.DUMMYFUNCTION("""COMPUTED_VALUE"""),"Paino")</f>
        <v>Paino</v>
      </c>
      <c r="G230" s="763" t="str">
        <f>IFERROR(__xludf.DUMMYFUNCTION("""COMPUTED_VALUE"""),"beatricepaino@yahoo.it")</f>
        <v>beatricepaino@yahoo.it</v>
      </c>
      <c r="H230" s="763" t="str">
        <f>IFERROR(__xludf.DUMMYFUNCTION("""COMPUTED_VALUE"""),"+393477410909")</f>
        <v>+393477410909</v>
      </c>
      <c r="I230" s="763" t="str">
        <f>IFERROR(__xludf.DUMMYFUNCTION("""COMPUTED_VALUE"""),"Milano")</f>
        <v>Milano</v>
      </c>
      <c r="J230" s="763" t="str">
        <f>IFERROR(__xludf.DUMMYFUNCTION("""COMPUTED_VALUE"""),"Via Comune Antico 50")</f>
        <v>Via Comune Antico 50</v>
      </c>
      <c r="K230" s="763">
        <f>IFERROR(__xludf.DUMMYFUNCTION("""COMPUTED_VALUE"""),20125.0)</f>
        <v>20125</v>
      </c>
      <c r="L230" s="763"/>
      <c r="M230" s="763"/>
      <c r="N230" s="763"/>
      <c r="O230" s="763">
        <f>IFERROR(__xludf.DUMMYFUNCTION("""COMPUTED_VALUE"""),0.0)</f>
        <v>0</v>
      </c>
      <c r="P230" s="767">
        <f>IFERROR(__xludf.DUMMYFUNCTION("""COMPUTED_VALUE"""),0.0)</f>
        <v>0</v>
      </c>
      <c r="Q230" s="763" t="str">
        <f>IFERROR(__xludf.DUMMYFUNCTION("""COMPUTED_VALUE"""),"EUR")</f>
        <v>EUR</v>
      </c>
      <c r="R230" s="763">
        <f>IFERROR(__xludf.DUMMYFUNCTION("""COMPUTED_VALUE"""),623.0)</f>
        <v>623</v>
      </c>
      <c r="S230" s="763" t="str">
        <f>IFERROR(__xludf.DUMMYFUNCTION("""COMPUTED_VALUE"""),"Domeniche in movimento - Gratuito per open fitness e open mattino 1 lezione dalle 11 alle 11.50")</f>
        <v>Domeniche in movimento - Gratuito per open fitness e open mattino 1 lezione dalle 11 alle 11.50</v>
      </c>
      <c r="T230" s="763"/>
      <c r="U230" s="763"/>
      <c r="V230" s="763">
        <f>IFERROR(__xludf.DUMMYFUNCTION("""COMPUTED_VALUE"""),1.0)</f>
        <v>1</v>
      </c>
      <c r="W230" s="763">
        <f>IFERROR(__xludf.DUMMYFUNCTION("""COMPUTED_VALUE"""),0.0)</f>
        <v>0</v>
      </c>
      <c r="X230" s="763">
        <f>IFERROR(__xludf.DUMMYFUNCTION("""COMPUTED_VALUE"""),0.0)</f>
        <v>0</v>
      </c>
      <c r="Y230" s="763"/>
      <c r="Z230" s="768" t="str">
        <f>IFERROR(__xludf.DUMMYFUNCTION("""COMPUTED_VALUE"""),"https://studio-gem.it/wp-admin/post.php?post=65060&amp;action=edit")</f>
        <v>https://studio-gem.it/wp-admin/post.php?post=65060&amp;action=edit</v>
      </c>
      <c r="AA230" s="763"/>
      <c r="AB230" s="763"/>
      <c r="AC230" s="763"/>
      <c r="AD230" s="763"/>
      <c r="AE230" s="763"/>
      <c r="AF230" s="763"/>
      <c r="AG230" s="763"/>
      <c r="AH230" s="763"/>
      <c r="AI230" s="763"/>
      <c r="AJ230" s="763"/>
      <c r="AK230" s="763"/>
      <c r="AL230" s="763"/>
      <c r="AM230" s="763"/>
      <c r="AN230" s="763"/>
      <c r="AO230" s="763"/>
      <c r="AP230" s="763"/>
      <c r="AQ230" s="763"/>
      <c r="AR230" s="763"/>
      <c r="AS230" s="763"/>
      <c r="AT230" s="763"/>
      <c r="AU230" s="763"/>
      <c r="AV230" s="763"/>
      <c r="AW230" s="763"/>
      <c r="AX230" s="763"/>
      <c r="AY230" s="763"/>
      <c r="AZ230" s="763"/>
      <c r="BA230" s="763"/>
      <c r="BB230" s="763"/>
      <c r="BC230" s="763"/>
      <c r="BD230" s="763"/>
      <c r="BE230" s="763"/>
      <c r="BF230" s="763"/>
      <c r="BG230" s="763" t="b">
        <f>IFERROR(__xludf.DUMMYFUNCTION("""COMPUTED_VALUE"""),TRUE)</f>
        <v>1</v>
      </c>
      <c r="BH230" s="763" t="b">
        <f>IFERROR(__xludf.DUMMYFUNCTION("""COMPUTED_VALUE"""),FALSE)</f>
        <v>0</v>
      </c>
      <c r="BI230" s="763" t="b">
        <f>IFERROR(__xludf.DUMMYFUNCTION("""COMPUTED_VALUE"""),TRUE)</f>
        <v>1</v>
      </c>
      <c r="BJ230" s="763" t="b">
        <f>IFERROR(__xludf.DUMMYFUNCTION("""COMPUTED_VALUE"""),TRUE)</f>
        <v>1</v>
      </c>
    </row>
    <row r="231">
      <c r="A231" s="763">
        <f>IFERROR(__xludf.DUMMYFUNCTION("""COMPUTED_VALUE"""),65062.0)</f>
        <v>65062</v>
      </c>
      <c r="B231" s="763">
        <f>IFERROR(__xludf.DUMMYFUNCTION("""COMPUTED_VALUE"""),65062.0)</f>
        <v>65062</v>
      </c>
      <c r="C231" s="763" t="str">
        <f>IFERROR(__xludf.DUMMYFUNCTION("""COMPUTED_VALUE"""),"2025-10-04 20:40:03")</f>
        <v>2025-10-04 20:40:03</v>
      </c>
      <c r="D231" s="763" t="str">
        <f>IFERROR(__xludf.DUMMYFUNCTION("""COMPUTED_VALUE"""),"completed")</f>
        <v>completed</v>
      </c>
      <c r="E231" s="763" t="str">
        <f>IFERROR(__xludf.DUMMYFUNCTION("""COMPUTED_VALUE"""),"Simone")</f>
        <v>Simone</v>
      </c>
      <c r="F231" s="763" t="str">
        <f>IFERROR(__xludf.DUMMYFUNCTION("""COMPUTED_VALUE"""),"Dispinzeri")</f>
        <v>Dispinzeri</v>
      </c>
      <c r="G231" s="763" t="str">
        <f>IFERROR(__xludf.DUMMYFUNCTION("""COMPUTED_VALUE"""),"simonedispinzeri@gmail.com")</f>
        <v>simonedispinzeri@gmail.com</v>
      </c>
      <c r="H231" s="763" t="str">
        <f>IFERROR(__xludf.DUMMYFUNCTION("""COMPUTED_VALUE"""),"+393393765784")</f>
        <v>+393393765784</v>
      </c>
      <c r="I231" s="763" t="str">
        <f>IFERROR(__xludf.DUMMYFUNCTION("""COMPUTED_VALUE"""),"Milano")</f>
        <v>Milano</v>
      </c>
      <c r="J231" s="763" t="str">
        <f>IFERROR(__xludf.DUMMYFUNCTION("""COMPUTED_VALUE"""),"Via Comune Antico 50")</f>
        <v>Via Comune Antico 50</v>
      </c>
      <c r="K231" s="763">
        <f>IFERROR(__xludf.DUMMYFUNCTION("""COMPUTED_VALUE"""),20125.0)</f>
        <v>20125</v>
      </c>
      <c r="L231" s="763"/>
      <c r="M231" s="763"/>
      <c r="N231" s="763"/>
      <c r="O231" s="763">
        <f>IFERROR(__xludf.DUMMYFUNCTION("""COMPUTED_VALUE"""),0.0)</f>
        <v>0</v>
      </c>
      <c r="P231" s="767">
        <f>IFERROR(__xludf.DUMMYFUNCTION("""COMPUTED_VALUE"""),0.0)</f>
        <v>0</v>
      </c>
      <c r="Q231" s="763" t="str">
        <f>IFERROR(__xludf.DUMMYFUNCTION("""COMPUTED_VALUE"""),"EUR")</f>
        <v>EUR</v>
      </c>
      <c r="R231" s="763">
        <f>IFERROR(__xludf.DUMMYFUNCTION("""COMPUTED_VALUE"""),624.0)</f>
        <v>624</v>
      </c>
      <c r="S231" s="763" t="str">
        <f>IFERROR(__xludf.DUMMYFUNCTION("""COMPUTED_VALUE"""),"Domeniche in movimento - Gratuito per open fitness e open mattino 1 lezione dalle 10 alle 10.50")</f>
        <v>Domeniche in movimento - Gratuito per open fitness e open mattino 1 lezione dalle 10 alle 10.50</v>
      </c>
      <c r="T231" s="763"/>
      <c r="U231" s="763"/>
      <c r="V231" s="763">
        <f>IFERROR(__xludf.DUMMYFUNCTION("""COMPUTED_VALUE"""),1.0)</f>
        <v>1</v>
      </c>
      <c r="W231" s="763">
        <f>IFERROR(__xludf.DUMMYFUNCTION("""COMPUTED_VALUE"""),0.0)</f>
        <v>0</v>
      </c>
      <c r="X231" s="763">
        <f>IFERROR(__xludf.DUMMYFUNCTION("""COMPUTED_VALUE"""),0.0)</f>
        <v>0</v>
      </c>
      <c r="Y231" s="763"/>
      <c r="Z231" s="768" t="str">
        <f>IFERROR(__xludf.DUMMYFUNCTION("""COMPUTED_VALUE"""),"https://studio-gem.it/wp-admin/post.php?post=65062&amp;action=edit")</f>
        <v>https://studio-gem.it/wp-admin/post.php?post=65062&amp;action=edit</v>
      </c>
      <c r="AA231" s="763"/>
      <c r="AB231" s="763"/>
      <c r="AC231" s="763"/>
      <c r="AD231" s="763"/>
      <c r="AE231" s="763"/>
      <c r="AF231" s="763"/>
      <c r="AG231" s="763"/>
      <c r="AH231" s="763"/>
      <c r="AI231" s="763"/>
      <c r="AJ231" s="763"/>
      <c r="AK231" s="763"/>
      <c r="AL231" s="763"/>
      <c r="AM231" s="763"/>
      <c r="AN231" s="763"/>
      <c r="AO231" s="763"/>
      <c r="AP231" s="763"/>
      <c r="AQ231" s="763"/>
      <c r="AR231" s="763"/>
      <c r="AS231" s="763"/>
      <c r="AT231" s="763"/>
      <c r="AU231" s="763"/>
      <c r="AV231" s="763"/>
      <c r="AW231" s="763"/>
      <c r="AX231" s="763"/>
      <c r="AY231" s="763"/>
      <c r="AZ231" s="763"/>
      <c r="BA231" s="763"/>
      <c r="BB231" s="763"/>
      <c r="BC231" s="763"/>
      <c r="BD231" s="763"/>
      <c r="BE231" s="763"/>
      <c r="BF231" s="763"/>
      <c r="BG231" s="763" t="b">
        <f>IFERROR(__xludf.DUMMYFUNCTION("""COMPUTED_VALUE"""),FALSE)</f>
        <v>0</v>
      </c>
      <c r="BH231" s="763" t="b">
        <f>IFERROR(__xludf.DUMMYFUNCTION("""COMPUTED_VALUE"""),FALSE)</f>
        <v>0</v>
      </c>
      <c r="BI231" s="763" t="b">
        <f>IFERROR(__xludf.DUMMYFUNCTION("""COMPUTED_VALUE"""),TRUE)</f>
        <v>1</v>
      </c>
      <c r="BJ231" s="763" t="b">
        <f>IFERROR(__xludf.DUMMYFUNCTION("""COMPUTED_VALUE"""),FALSE)</f>
        <v>0</v>
      </c>
    </row>
    <row r="232">
      <c r="A232" s="763">
        <f>IFERROR(__xludf.DUMMYFUNCTION("""COMPUTED_VALUE"""),65062.0)</f>
        <v>65062</v>
      </c>
      <c r="B232" s="763">
        <f>IFERROR(__xludf.DUMMYFUNCTION("""COMPUTED_VALUE"""),65062.0)</f>
        <v>65062</v>
      </c>
      <c r="C232" s="763" t="str">
        <f>IFERROR(__xludf.DUMMYFUNCTION("""COMPUTED_VALUE"""),"2025-10-04 20:40:03")</f>
        <v>2025-10-04 20:40:03</v>
      </c>
      <c r="D232" s="763" t="str">
        <f>IFERROR(__xludf.DUMMYFUNCTION("""COMPUTED_VALUE"""),"completed")</f>
        <v>completed</v>
      </c>
      <c r="E232" s="763" t="str">
        <f>IFERROR(__xludf.DUMMYFUNCTION("""COMPUTED_VALUE"""),"Simone")</f>
        <v>Simone</v>
      </c>
      <c r="F232" s="763" t="str">
        <f>IFERROR(__xludf.DUMMYFUNCTION("""COMPUTED_VALUE"""),"Dispinzeri")</f>
        <v>Dispinzeri</v>
      </c>
      <c r="G232" s="763" t="str">
        <f>IFERROR(__xludf.DUMMYFUNCTION("""COMPUTED_VALUE"""),"simonedispinzeri@gmail.com")</f>
        <v>simonedispinzeri@gmail.com</v>
      </c>
      <c r="H232" s="763" t="str">
        <f>IFERROR(__xludf.DUMMYFUNCTION("""COMPUTED_VALUE"""),"+393393765784")</f>
        <v>+393393765784</v>
      </c>
      <c r="I232" s="763" t="str">
        <f>IFERROR(__xludf.DUMMYFUNCTION("""COMPUTED_VALUE"""),"Milano")</f>
        <v>Milano</v>
      </c>
      <c r="J232" s="763" t="str">
        <f>IFERROR(__xludf.DUMMYFUNCTION("""COMPUTED_VALUE"""),"Via Comune Antico 50")</f>
        <v>Via Comune Antico 50</v>
      </c>
      <c r="K232" s="763">
        <f>IFERROR(__xludf.DUMMYFUNCTION("""COMPUTED_VALUE"""),20125.0)</f>
        <v>20125</v>
      </c>
      <c r="L232" s="763"/>
      <c r="M232" s="763"/>
      <c r="N232" s="763"/>
      <c r="O232" s="763">
        <f>IFERROR(__xludf.DUMMYFUNCTION("""COMPUTED_VALUE"""),0.0)</f>
        <v>0</v>
      </c>
      <c r="P232" s="767">
        <f>IFERROR(__xludf.DUMMYFUNCTION("""COMPUTED_VALUE"""),0.0)</f>
        <v>0</v>
      </c>
      <c r="Q232" s="763" t="str">
        <f>IFERROR(__xludf.DUMMYFUNCTION("""COMPUTED_VALUE"""),"EUR")</f>
        <v>EUR</v>
      </c>
      <c r="R232" s="763">
        <f>IFERROR(__xludf.DUMMYFUNCTION("""COMPUTED_VALUE"""),625.0)</f>
        <v>625</v>
      </c>
      <c r="S232" s="763" t="str">
        <f>IFERROR(__xludf.DUMMYFUNCTION("""COMPUTED_VALUE"""),"Domeniche in movimento - Gratuito per open fitness e open mattino 1 lezione dalle 11 alle 11.50")</f>
        <v>Domeniche in movimento - Gratuito per open fitness e open mattino 1 lezione dalle 11 alle 11.50</v>
      </c>
      <c r="T232" s="763"/>
      <c r="U232" s="763"/>
      <c r="V232" s="763">
        <f>IFERROR(__xludf.DUMMYFUNCTION("""COMPUTED_VALUE"""),1.0)</f>
        <v>1</v>
      </c>
      <c r="W232" s="763">
        <f>IFERROR(__xludf.DUMMYFUNCTION("""COMPUTED_VALUE"""),0.0)</f>
        <v>0</v>
      </c>
      <c r="X232" s="763">
        <f>IFERROR(__xludf.DUMMYFUNCTION("""COMPUTED_VALUE"""),0.0)</f>
        <v>0</v>
      </c>
      <c r="Y232" s="763"/>
      <c r="Z232" s="768" t="str">
        <f>IFERROR(__xludf.DUMMYFUNCTION("""COMPUTED_VALUE"""),"https://studio-gem.it/wp-admin/post.php?post=65062&amp;action=edit")</f>
        <v>https://studio-gem.it/wp-admin/post.php?post=65062&amp;action=edit</v>
      </c>
      <c r="AA232" s="763"/>
      <c r="AB232" s="763"/>
      <c r="AC232" s="763"/>
      <c r="AD232" s="763"/>
      <c r="AE232" s="763"/>
      <c r="AF232" s="763"/>
      <c r="AG232" s="763"/>
      <c r="AH232" s="763"/>
      <c r="AI232" s="763"/>
      <c r="AJ232" s="763"/>
      <c r="AK232" s="763"/>
      <c r="AL232" s="763"/>
      <c r="AM232" s="763"/>
      <c r="AN232" s="763"/>
      <c r="AO232" s="763"/>
      <c r="AP232" s="763"/>
      <c r="AQ232" s="763"/>
      <c r="AR232" s="763"/>
      <c r="AS232" s="763"/>
      <c r="AT232" s="763"/>
      <c r="AU232" s="763"/>
      <c r="AV232" s="763"/>
      <c r="AW232" s="763"/>
      <c r="AX232" s="763"/>
      <c r="AY232" s="763"/>
      <c r="AZ232" s="763"/>
      <c r="BA232" s="763"/>
      <c r="BB232" s="763"/>
      <c r="BC232" s="763"/>
      <c r="BD232" s="763"/>
      <c r="BE232" s="763"/>
      <c r="BF232" s="763"/>
      <c r="BG232" s="763" t="b">
        <f>IFERROR(__xludf.DUMMYFUNCTION("""COMPUTED_VALUE"""),FALSE)</f>
        <v>0</v>
      </c>
      <c r="BH232" s="763" t="b">
        <f>IFERROR(__xludf.DUMMYFUNCTION("""COMPUTED_VALUE"""),FALSE)</f>
        <v>0</v>
      </c>
      <c r="BI232" s="763" t="b">
        <f>IFERROR(__xludf.DUMMYFUNCTION("""COMPUTED_VALUE"""),TRUE)</f>
        <v>1</v>
      </c>
      <c r="BJ232" s="763" t="b">
        <f>IFERROR(__xludf.DUMMYFUNCTION("""COMPUTED_VALUE"""),FALSE)</f>
        <v>0</v>
      </c>
    </row>
    <row r="233">
      <c r="A233" s="763">
        <f>IFERROR(__xludf.DUMMYFUNCTION("""COMPUTED_VALUE"""),65064.0)</f>
        <v>65064</v>
      </c>
      <c r="B233" s="763">
        <f>IFERROR(__xludf.DUMMYFUNCTION("""COMPUTED_VALUE"""),65064.0)</f>
        <v>65064</v>
      </c>
      <c r="C233" s="763" t="str">
        <f>IFERROR(__xludf.DUMMYFUNCTION("""COMPUTED_VALUE"""),"2025-10-04 22:23:03")</f>
        <v>2025-10-04 22:23:03</v>
      </c>
      <c r="D233" s="763" t="str">
        <f>IFERROR(__xludf.DUMMYFUNCTION("""COMPUTED_VALUE"""),"completed")</f>
        <v>completed</v>
      </c>
      <c r="E233" s="763" t="str">
        <f>IFERROR(__xludf.DUMMYFUNCTION("""COMPUTED_VALUE"""),"Anastasia")</f>
        <v>Anastasia</v>
      </c>
      <c r="F233" s="763" t="str">
        <f>IFERROR(__xludf.DUMMYFUNCTION("""COMPUTED_VALUE"""),"Bordi")</f>
        <v>Bordi</v>
      </c>
      <c r="G233" s="763" t="str">
        <f>IFERROR(__xludf.DUMMYFUNCTION("""COMPUTED_VALUE"""),"kuznetsova.anastasia443@gmail.com")</f>
        <v>kuznetsova.anastasia443@gmail.com</v>
      </c>
      <c r="H233" s="763">
        <f>IFERROR(__xludf.DUMMYFUNCTION("""COMPUTED_VALUE"""),3.662108705E9)</f>
        <v>3662108705</v>
      </c>
      <c r="I233" s="763" t="str">
        <f>IFERROR(__xludf.DUMMYFUNCTION("""COMPUTED_VALUE"""),"Casirate D'adda")</f>
        <v>Casirate D'adda</v>
      </c>
      <c r="J233" s="763">
        <f>IFERROR(__xludf.DUMMYFUNCTION("""COMPUTED_VALUE"""),19.0)</f>
        <v>19</v>
      </c>
      <c r="K233" s="763">
        <f>IFERROR(__xludf.DUMMYFUNCTION("""COMPUTED_VALUE"""),24040.0)</f>
        <v>24040</v>
      </c>
      <c r="L233" s="763" t="str">
        <f>IFERROR(__xludf.DUMMYFUNCTION("""COMPUTED_VALUE"""),"Apple Pay")</f>
        <v>Apple Pay</v>
      </c>
      <c r="M233" s="763"/>
      <c r="N233" s="763" t="str">
        <f>IFERROR(__xludf.DUMMYFUNCTION("""COMPUTED_VALUE"""),"65064-1759616585")</f>
        <v>65064-1759616585</v>
      </c>
      <c r="O233" s="763">
        <f>IFERROR(__xludf.DUMMYFUNCTION("""COMPUTED_VALUE"""),0.0)</f>
        <v>0</v>
      </c>
      <c r="P233" s="767">
        <f>IFERROR(__xludf.DUMMYFUNCTION("""COMPUTED_VALUE"""),1.5416666666666667)</f>
        <v>1.541666667</v>
      </c>
      <c r="Q233" s="763" t="str">
        <f>IFERROR(__xludf.DUMMYFUNCTION("""COMPUTED_VALUE"""),"EUR")</f>
        <v>EUR</v>
      </c>
      <c r="R233" s="763">
        <f>IFERROR(__xludf.DUMMYFUNCTION("""COMPUTED_VALUE"""),626.0)</f>
        <v>626</v>
      </c>
      <c r="S233" s="763" t="str">
        <f>IFERROR(__xludf.DUMMYFUNCTION("""COMPUTED_VALUE"""),"Workshop Heels con Lulu Kulova - Workshop Lulu Heels")</f>
        <v>Workshop Heels con Lulu Kulova - Workshop Lulu Heels</v>
      </c>
      <c r="T233" s="763"/>
      <c r="U233" s="763"/>
      <c r="V233" s="763">
        <f>IFERROR(__xludf.DUMMYFUNCTION("""COMPUTED_VALUE"""),1.0)</f>
        <v>1</v>
      </c>
      <c r="W233" s="763">
        <f>IFERROR(__xludf.DUMMYFUNCTION("""COMPUTED_VALUE"""),37.0)</f>
        <v>37</v>
      </c>
      <c r="X233" s="763">
        <f>IFERROR(__xludf.DUMMYFUNCTION("""COMPUTED_VALUE"""),37.0)</f>
        <v>37</v>
      </c>
      <c r="Y233" s="763"/>
      <c r="Z233" s="768" t="str">
        <f>IFERROR(__xludf.DUMMYFUNCTION("""COMPUTED_VALUE"""),"https://studio-gem.it/wp-admin/post.php?post=65064&amp;action=edit")</f>
        <v>https://studio-gem.it/wp-admin/post.php?post=65064&amp;action=edit</v>
      </c>
      <c r="AA233" s="763"/>
      <c r="AB233" s="763"/>
      <c r="AC233" s="763"/>
      <c r="AD233" s="763"/>
      <c r="AE233" s="763"/>
      <c r="AF233" s="763"/>
      <c r="AG233" s="763"/>
      <c r="AH233" s="763"/>
      <c r="AI233" s="763"/>
      <c r="AJ233" s="763"/>
      <c r="AK233" s="763"/>
      <c r="AL233" s="763"/>
      <c r="AM233" s="763"/>
      <c r="AN233" s="763"/>
      <c r="AO233" s="763"/>
      <c r="AP233" s="763"/>
      <c r="AQ233" s="763"/>
      <c r="AR233" s="763"/>
      <c r="AS233" s="763"/>
      <c r="AT233" s="763"/>
      <c r="AU233" s="763"/>
      <c r="AV233" s="763"/>
      <c r="AW233" s="763"/>
      <c r="AX233" s="763"/>
      <c r="AY233" s="763"/>
      <c r="AZ233" s="763"/>
      <c r="BA233" s="763"/>
      <c r="BB233" s="763"/>
      <c r="BC233" s="763"/>
      <c r="BD233" s="763"/>
      <c r="BE233" s="763"/>
      <c r="BF233" s="763"/>
      <c r="BG233" s="763" t="b">
        <f>IFERROR(__xludf.DUMMYFUNCTION("""COMPUTED_VALUE"""),TRUE)</f>
        <v>1</v>
      </c>
      <c r="BH233" s="763" t="b">
        <f>IFERROR(__xludf.DUMMYFUNCTION("""COMPUTED_VALUE"""),TRUE)</f>
        <v>1</v>
      </c>
      <c r="BI233" s="763" t="b">
        <f>IFERROR(__xludf.DUMMYFUNCTION("""COMPUTED_VALUE"""),TRUE)</f>
        <v>1</v>
      </c>
      <c r="BJ233" s="763" t="b">
        <f>IFERROR(__xludf.DUMMYFUNCTION("""COMPUTED_VALUE"""),TRUE)</f>
        <v>1</v>
      </c>
    </row>
    <row r="234">
      <c r="A234" s="763">
        <f>IFERROR(__xludf.DUMMYFUNCTION("""COMPUTED_VALUE"""),65066.0)</f>
        <v>65066</v>
      </c>
      <c r="B234" s="763">
        <f>IFERROR(__xludf.DUMMYFUNCTION("""COMPUTED_VALUE"""),65066.0)</f>
        <v>65066</v>
      </c>
      <c r="C234" s="763" t="str">
        <f>IFERROR(__xludf.DUMMYFUNCTION("""COMPUTED_VALUE"""),"2025-10-05 09:47:01")</f>
        <v>2025-10-05 09:47:01</v>
      </c>
      <c r="D234" s="763" t="str">
        <f>IFERROR(__xludf.DUMMYFUNCTION("""COMPUTED_VALUE"""),"processing")</f>
        <v>processing</v>
      </c>
      <c r="E234" s="763" t="str">
        <f>IFERROR(__xludf.DUMMYFUNCTION("""COMPUTED_VALUE"""),"Tiziana")</f>
        <v>Tiziana</v>
      </c>
      <c r="F234" s="763" t="str">
        <f>IFERROR(__xludf.DUMMYFUNCTION("""COMPUTED_VALUE"""),"Valle")</f>
        <v>Valle</v>
      </c>
      <c r="G234" s="763" t="str">
        <f>IFERROR(__xludf.DUMMYFUNCTION("""COMPUTED_VALUE"""),"Tiziana.valle@outlook.com")</f>
        <v>Tiziana.valle@outlook.com</v>
      </c>
      <c r="H234" s="763" t="str">
        <f>IFERROR(__xludf.DUMMYFUNCTION("""COMPUTED_VALUE"""),"+39 335 769 3864")</f>
        <v>+39 335 769 3864</v>
      </c>
      <c r="I234" s="763" t="str">
        <f>IFERROR(__xludf.DUMMYFUNCTION("""COMPUTED_VALUE"""),"Milano")</f>
        <v>Milano</v>
      </c>
      <c r="J234" s="763" t="str">
        <f>IFERROR(__xludf.DUMMYFUNCTION("""COMPUTED_VALUE"""),"Viale Giustignano 8")</f>
        <v>Viale Giustignano 8</v>
      </c>
      <c r="K234" s="763">
        <f>IFERROR(__xludf.DUMMYFUNCTION("""COMPUTED_VALUE"""),20129.0)</f>
        <v>20129</v>
      </c>
      <c r="L234" s="763" t="str">
        <f>IFERROR(__xludf.DUMMYFUNCTION("""COMPUTED_VALUE"""),"Carte di pagamento")</f>
        <v>Carte di pagamento</v>
      </c>
      <c r="M234" s="763"/>
      <c r="N234" s="763" t="str">
        <f>IFERROR(__xludf.DUMMYFUNCTION("""COMPUTED_VALUE"""),"65066-1759657622")</f>
        <v>65066-1759657622</v>
      </c>
      <c r="O234" s="763">
        <f>IFERROR(__xludf.DUMMYFUNCTION("""COMPUTED_VALUE"""),0.0)</f>
        <v>0</v>
      </c>
      <c r="P234" s="767">
        <f>IFERROR(__xludf.DUMMYFUNCTION("""COMPUTED_VALUE"""),0.8333333333333334)</f>
        <v>0.8333333333</v>
      </c>
      <c r="Q234" s="763" t="str">
        <f>IFERROR(__xludf.DUMMYFUNCTION("""COMPUTED_VALUE"""),"EUR")</f>
        <v>EUR</v>
      </c>
      <c r="R234" s="763">
        <f>IFERROR(__xludf.DUMMYFUNCTION("""COMPUTED_VALUE"""),627.0)</f>
        <v>627</v>
      </c>
      <c r="S234" s="763" t="str">
        <f>IFERROR(__xludf.DUMMYFUNCTION("""COMPUTED_VALUE"""),"Domeniche in movimento - 2 lezioni - Dalle 10 alle 11.50 con Dorian Kuqi €20")</f>
        <v>Domeniche in movimento - 2 lezioni - Dalle 10 alle 11.50 con Dorian Kuqi €20</v>
      </c>
      <c r="T234" s="763"/>
      <c r="U234" s="763"/>
      <c r="V234" s="763">
        <f>IFERROR(__xludf.DUMMYFUNCTION("""COMPUTED_VALUE"""),1.0)</f>
        <v>1</v>
      </c>
      <c r="W234" s="763">
        <f>IFERROR(__xludf.DUMMYFUNCTION("""COMPUTED_VALUE"""),20.0)</f>
        <v>20</v>
      </c>
      <c r="X234" s="763">
        <f>IFERROR(__xludf.DUMMYFUNCTION("""COMPUTED_VALUE"""),20.0)</f>
        <v>20</v>
      </c>
      <c r="Y234" s="763"/>
      <c r="Z234" s="768" t="str">
        <f>IFERROR(__xludf.DUMMYFUNCTION("""COMPUTED_VALUE"""),"https://studio-gem.it/wp-admin/post.php?post=65066&amp;action=edit")</f>
        <v>https://studio-gem.it/wp-admin/post.php?post=65066&amp;action=edit</v>
      </c>
      <c r="AA234" s="763"/>
      <c r="AB234" s="763"/>
      <c r="AC234" s="763"/>
      <c r="AD234" s="763"/>
      <c r="AE234" s="763"/>
      <c r="AF234" s="763"/>
      <c r="AG234" s="763"/>
      <c r="AH234" s="763"/>
      <c r="AI234" s="763"/>
      <c r="AJ234" s="763"/>
      <c r="AK234" s="763"/>
      <c r="AL234" s="763"/>
      <c r="AM234" s="763"/>
      <c r="AN234" s="763"/>
      <c r="AO234" s="763"/>
      <c r="AP234" s="763"/>
      <c r="AQ234" s="763"/>
      <c r="AR234" s="763"/>
      <c r="AS234" s="763"/>
      <c r="AT234" s="763"/>
      <c r="AU234" s="763"/>
      <c r="AV234" s="763"/>
      <c r="AW234" s="763"/>
      <c r="AX234" s="763"/>
      <c r="AY234" s="763"/>
      <c r="AZ234" s="763"/>
      <c r="BA234" s="763"/>
      <c r="BB234" s="763"/>
      <c r="BC234" s="763"/>
      <c r="BD234" s="763"/>
      <c r="BE234" s="763"/>
      <c r="BF234" s="763"/>
      <c r="BG234" s="763" t="b">
        <f>IFERROR(__xludf.DUMMYFUNCTION("""COMPUTED_VALUE"""),TRUE)</f>
        <v>1</v>
      </c>
      <c r="BH234" s="763" t="b">
        <f>IFERROR(__xludf.DUMMYFUNCTION("""COMPUTED_VALUE"""),TRUE)</f>
        <v>1</v>
      </c>
      <c r="BI234" s="763" t="b">
        <f>IFERROR(__xludf.DUMMYFUNCTION("""COMPUTED_VALUE"""),TRUE)</f>
        <v>1</v>
      </c>
      <c r="BJ234" s="763" t="b">
        <f>IFERROR(__xludf.DUMMYFUNCTION("""COMPUTED_VALUE"""),TRUE)</f>
        <v>1</v>
      </c>
    </row>
    <row r="235">
      <c r="A235" s="763">
        <f>IFERROR(__xludf.DUMMYFUNCTION("""COMPUTED_VALUE"""),65067.0)</f>
        <v>65067</v>
      </c>
      <c r="B235" s="763">
        <f>IFERROR(__xludf.DUMMYFUNCTION("""COMPUTED_VALUE"""),65067.0)</f>
        <v>65067</v>
      </c>
      <c r="C235" s="763" t="str">
        <f>IFERROR(__xludf.DUMMYFUNCTION("""COMPUTED_VALUE"""),"2025-10-05 10:05:16")</f>
        <v>2025-10-05 10:05:16</v>
      </c>
      <c r="D235" s="763" t="str">
        <f>IFERROR(__xludf.DUMMYFUNCTION("""COMPUTED_VALUE"""),"completed")</f>
        <v>completed</v>
      </c>
      <c r="E235" s="763" t="str">
        <f>IFERROR(__xludf.DUMMYFUNCTION("""COMPUTED_VALUE"""),"alessia")</f>
        <v>alessia</v>
      </c>
      <c r="F235" s="763" t="str">
        <f>IFERROR(__xludf.DUMMYFUNCTION("""COMPUTED_VALUE"""),"esposti")</f>
        <v>esposti</v>
      </c>
      <c r="G235" s="763" t="str">
        <f>IFERROR(__xludf.DUMMYFUNCTION("""COMPUTED_VALUE"""),"alessiaesposti04@gmail.com")</f>
        <v>alessiaesposti04@gmail.com</v>
      </c>
      <c r="H235" s="763">
        <f>IFERROR(__xludf.DUMMYFUNCTION("""COMPUTED_VALUE"""),3.920234147E9)</f>
        <v>3920234147</v>
      </c>
      <c r="I235" s="763" t="str">
        <f>IFERROR(__xludf.DUMMYFUNCTION("""COMPUTED_VALUE"""),"Seveso")</f>
        <v>Seveso</v>
      </c>
      <c r="J235" s="763" t="str">
        <f>IFERROR(__xludf.DUMMYFUNCTION("""COMPUTED_VALUE"""),"Via Luigi Galvani 10")</f>
        <v>Via Luigi Galvani 10</v>
      </c>
      <c r="K235" s="763">
        <f>IFERROR(__xludf.DUMMYFUNCTION("""COMPUTED_VALUE"""),20822.0)</f>
        <v>20822</v>
      </c>
      <c r="L235" s="763" t="str">
        <f>IFERROR(__xludf.DUMMYFUNCTION("""COMPUTED_VALUE"""),"Apple Pay")</f>
        <v>Apple Pay</v>
      </c>
      <c r="M235" s="763"/>
      <c r="N235" s="763" t="str">
        <f>IFERROR(__xludf.DUMMYFUNCTION("""COMPUTED_VALUE"""),"65067-1759658717")</f>
        <v>65067-1759658717</v>
      </c>
      <c r="O235" s="763">
        <f>IFERROR(__xludf.DUMMYFUNCTION("""COMPUTED_VALUE"""),0.0)</f>
        <v>0</v>
      </c>
      <c r="P235" s="767">
        <f>IFERROR(__xludf.DUMMYFUNCTION("""COMPUTED_VALUE"""),1.3333333333333333)</f>
        <v>1.333333333</v>
      </c>
      <c r="Q235" s="763" t="str">
        <f>IFERROR(__xludf.DUMMYFUNCTION("""COMPUTED_VALUE"""),"EUR")</f>
        <v>EUR</v>
      </c>
      <c r="R235" s="763">
        <f>IFERROR(__xludf.DUMMYFUNCTION("""COMPUTED_VALUE"""),628.0)</f>
        <v>628</v>
      </c>
      <c r="S235" s="763" t="str">
        <f>IFERROR(__xludf.DUMMYFUNCTION("""COMPUTED_VALUE"""),"Workshop Heels con Deborah Esposito - Workshop Heels con Deborah Esposito")</f>
        <v>Workshop Heels con Deborah Esposito - Workshop Heels con Deborah Esposito</v>
      </c>
      <c r="T235" s="763"/>
      <c r="U235" s="763"/>
      <c r="V235" s="763">
        <f>IFERROR(__xludf.DUMMYFUNCTION("""COMPUTED_VALUE"""),1.0)</f>
        <v>1</v>
      </c>
      <c r="W235" s="763">
        <f>IFERROR(__xludf.DUMMYFUNCTION("""COMPUTED_VALUE"""),32.0)</f>
        <v>32</v>
      </c>
      <c r="X235" s="763">
        <f>IFERROR(__xludf.DUMMYFUNCTION("""COMPUTED_VALUE"""),32.0)</f>
        <v>32</v>
      </c>
      <c r="Y235" s="763"/>
      <c r="Z235" s="768" t="str">
        <f>IFERROR(__xludf.DUMMYFUNCTION("""COMPUTED_VALUE"""),"https://studio-gem.it/wp-admin/post.php?post=65067&amp;action=edit")</f>
        <v>https://studio-gem.it/wp-admin/post.php?post=65067&amp;action=edit</v>
      </c>
      <c r="AA235" s="763"/>
      <c r="AB235" s="763"/>
      <c r="AC235" s="763"/>
      <c r="AD235" s="763"/>
      <c r="AE235" s="763"/>
      <c r="AF235" s="763"/>
      <c r="AG235" s="763"/>
      <c r="AH235" s="763"/>
      <c r="AI235" s="763"/>
      <c r="AJ235" s="763"/>
      <c r="AK235" s="763"/>
      <c r="AL235" s="763"/>
      <c r="AM235" s="763"/>
      <c r="AN235" s="763"/>
      <c r="AO235" s="763"/>
      <c r="AP235" s="763"/>
      <c r="AQ235" s="763"/>
      <c r="AR235" s="763"/>
      <c r="AS235" s="763"/>
      <c r="AT235" s="763"/>
      <c r="AU235" s="763"/>
      <c r="AV235" s="763"/>
      <c r="AW235" s="763"/>
      <c r="AX235" s="763"/>
      <c r="AY235" s="763"/>
      <c r="AZ235" s="763"/>
      <c r="BA235" s="763"/>
      <c r="BB235" s="763"/>
      <c r="BC235" s="763"/>
      <c r="BD235" s="763"/>
      <c r="BE235" s="763"/>
      <c r="BF235" s="763"/>
      <c r="BG235" s="763" t="b">
        <f>IFERROR(__xludf.DUMMYFUNCTION("""COMPUTED_VALUE"""),TRUE)</f>
        <v>1</v>
      </c>
      <c r="BH235" s="763" t="b">
        <f>IFERROR(__xludf.DUMMYFUNCTION("""COMPUTED_VALUE"""),TRUE)</f>
        <v>1</v>
      </c>
      <c r="BI235" s="763" t="b">
        <f>IFERROR(__xludf.DUMMYFUNCTION("""COMPUTED_VALUE"""),TRUE)</f>
        <v>1</v>
      </c>
      <c r="BJ235" s="763" t="b">
        <f>IFERROR(__xludf.DUMMYFUNCTION("""COMPUTED_VALUE"""),TRUE)</f>
        <v>1</v>
      </c>
    </row>
    <row r="236">
      <c r="A236" s="763">
        <f>IFERROR(__xludf.DUMMYFUNCTION("""COMPUTED_VALUE"""),65070.0)</f>
        <v>65070</v>
      </c>
      <c r="B236" s="763">
        <f>IFERROR(__xludf.DUMMYFUNCTION("""COMPUTED_VALUE"""),65070.0)</f>
        <v>65070</v>
      </c>
      <c r="C236" s="763" t="str">
        <f>IFERROR(__xludf.DUMMYFUNCTION("""COMPUTED_VALUE"""),"2025-10-05 20:56:53")</f>
        <v>2025-10-05 20:56:53</v>
      </c>
      <c r="D236" s="763" t="str">
        <f>IFERROR(__xludf.DUMMYFUNCTION("""COMPUTED_VALUE"""),"failed")</f>
        <v>failed</v>
      </c>
      <c r="E236" s="763" t="str">
        <f>IFERROR(__xludf.DUMMYFUNCTION("""COMPUTED_VALUE"""),"Francesca")</f>
        <v>Francesca</v>
      </c>
      <c r="F236" s="763" t="str">
        <f>IFERROR(__xludf.DUMMYFUNCTION("""COMPUTED_VALUE"""),"Raimondi")</f>
        <v>Raimondi</v>
      </c>
      <c r="G236" s="763" t="str">
        <f>IFERROR(__xludf.DUMMYFUNCTION("""COMPUTED_VALUE"""),"francy140692@gmail.com")</f>
        <v>francy140692@gmail.com</v>
      </c>
      <c r="H236" s="763">
        <f>IFERROR(__xludf.DUMMYFUNCTION("""COMPUTED_VALUE"""),3.423729995E9)</f>
        <v>3423729995</v>
      </c>
      <c r="I236" s="763" t="str">
        <f>IFERROR(__xludf.DUMMYFUNCTION("""COMPUTED_VALUE"""),"Fara Olivana con Sola")</f>
        <v>Fara Olivana con Sola</v>
      </c>
      <c r="J236" s="763" t="str">
        <f>IFERROR(__xludf.DUMMYFUNCTION("""COMPUTED_VALUE"""),"Via Verdi 2")</f>
        <v>Via Verdi 2</v>
      </c>
      <c r="K236" s="763">
        <f>IFERROR(__xludf.DUMMYFUNCTION("""COMPUTED_VALUE"""),24058.0)</f>
        <v>24058</v>
      </c>
      <c r="L236" s="763" t="str">
        <f>IFERROR(__xludf.DUMMYFUNCTION("""COMPUTED_VALUE"""),"Carte di pagamento")</f>
        <v>Carte di pagamento</v>
      </c>
      <c r="M236" s="763"/>
      <c r="N236" s="763"/>
      <c r="O236" s="763">
        <f>IFERROR(__xludf.DUMMYFUNCTION("""COMPUTED_VALUE"""),0.0)</f>
        <v>0</v>
      </c>
      <c r="P236" s="767">
        <f>IFERROR(__xludf.DUMMYFUNCTION("""COMPUTED_VALUE"""),1.5416666666666667)</f>
        <v>1.541666667</v>
      </c>
      <c r="Q236" s="763" t="str">
        <f>IFERROR(__xludf.DUMMYFUNCTION("""COMPUTED_VALUE"""),"EUR")</f>
        <v>EUR</v>
      </c>
      <c r="R236" s="763">
        <f>IFERROR(__xludf.DUMMYFUNCTION("""COMPUTED_VALUE"""),629.0)</f>
        <v>629</v>
      </c>
      <c r="S236" s="763" t="str">
        <f>IFERROR(__xludf.DUMMYFUNCTION("""COMPUTED_VALUE"""),"Workshop Heels con Lulu Kulova - Workshop Lulu Heels")</f>
        <v>Workshop Heels con Lulu Kulova - Workshop Lulu Heels</v>
      </c>
      <c r="T236" s="763"/>
      <c r="U236" s="763"/>
      <c r="V236" s="763">
        <f>IFERROR(__xludf.DUMMYFUNCTION("""COMPUTED_VALUE"""),1.0)</f>
        <v>1</v>
      </c>
      <c r="W236" s="763">
        <f>IFERROR(__xludf.DUMMYFUNCTION("""COMPUTED_VALUE"""),37.0)</f>
        <v>37</v>
      </c>
      <c r="X236" s="763">
        <f>IFERROR(__xludf.DUMMYFUNCTION("""COMPUTED_VALUE"""),37.0)</f>
        <v>37</v>
      </c>
      <c r="Y236" s="763"/>
      <c r="Z236" s="768" t="str">
        <f>IFERROR(__xludf.DUMMYFUNCTION("""COMPUTED_VALUE"""),"https://studio-gem.it/wp-admin/post.php?post=65070&amp;action=edit")</f>
        <v>https://studio-gem.it/wp-admin/post.php?post=65070&amp;action=edit</v>
      </c>
      <c r="AA236" s="763"/>
      <c r="AB236" s="763"/>
      <c r="AC236" s="763"/>
      <c r="AD236" s="763"/>
      <c r="AE236" s="763"/>
      <c r="AF236" s="763"/>
      <c r="AG236" s="763"/>
      <c r="AH236" s="763"/>
      <c r="AI236" s="763"/>
      <c r="AJ236" s="763"/>
      <c r="AK236" s="763"/>
      <c r="AL236" s="763"/>
      <c r="AM236" s="763"/>
      <c r="AN236" s="763"/>
      <c r="AO236" s="763"/>
      <c r="AP236" s="763"/>
      <c r="AQ236" s="763"/>
      <c r="AR236" s="763"/>
      <c r="AS236" s="763"/>
      <c r="AT236" s="763"/>
      <c r="AU236" s="763"/>
      <c r="AV236" s="763"/>
      <c r="AW236" s="763"/>
      <c r="AX236" s="763"/>
      <c r="AY236" s="763"/>
      <c r="AZ236" s="763"/>
      <c r="BA236" s="763"/>
      <c r="BB236" s="763"/>
      <c r="BC236" s="763"/>
      <c r="BD236" s="763"/>
      <c r="BE236" s="763"/>
      <c r="BF236" s="763"/>
      <c r="BG236" s="763" t="b">
        <f>IFERROR(__xludf.DUMMYFUNCTION("""COMPUTED_VALUE"""),FALSE)</f>
        <v>0</v>
      </c>
      <c r="BH236" s="763" t="b">
        <f>IFERROR(__xludf.DUMMYFUNCTION("""COMPUTED_VALUE"""),FALSE)</f>
        <v>0</v>
      </c>
      <c r="BI236" s="763" t="b">
        <f>IFERROR(__xludf.DUMMYFUNCTION("""COMPUTED_VALUE"""),FALSE)</f>
        <v>0</v>
      </c>
      <c r="BJ236" s="763" t="b">
        <f>IFERROR(__xludf.DUMMYFUNCTION("""COMPUTED_VALUE"""),FALSE)</f>
        <v>0</v>
      </c>
    </row>
    <row r="237">
      <c r="A237" s="763">
        <f>IFERROR(__xludf.DUMMYFUNCTION("""COMPUTED_VALUE"""),65070.0)</f>
        <v>65070</v>
      </c>
      <c r="B237" s="763">
        <f>IFERROR(__xludf.DUMMYFUNCTION("""COMPUTED_VALUE"""),65070.0)</f>
        <v>65070</v>
      </c>
      <c r="C237" s="763" t="str">
        <f>IFERROR(__xludf.DUMMYFUNCTION("""COMPUTED_VALUE"""),"2025-10-05 20:56:53")</f>
        <v>2025-10-05 20:56:53</v>
      </c>
      <c r="D237" s="763" t="str">
        <f>IFERROR(__xludf.DUMMYFUNCTION("""COMPUTED_VALUE"""),"failed")</f>
        <v>failed</v>
      </c>
      <c r="E237" s="763" t="str">
        <f>IFERROR(__xludf.DUMMYFUNCTION("""COMPUTED_VALUE"""),"Francesca")</f>
        <v>Francesca</v>
      </c>
      <c r="F237" s="763" t="str">
        <f>IFERROR(__xludf.DUMMYFUNCTION("""COMPUTED_VALUE"""),"Raimondi")</f>
        <v>Raimondi</v>
      </c>
      <c r="G237" s="763" t="str">
        <f>IFERROR(__xludf.DUMMYFUNCTION("""COMPUTED_VALUE"""),"francy140692@gmail.com")</f>
        <v>francy140692@gmail.com</v>
      </c>
      <c r="H237" s="763">
        <f>IFERROR(__xludf.DUMMYFUNCTION("""COMPUTED_VALUE"""),3.423729995E9)</f>
        <v>3423729995</v>
      </c>
      <c r="I237" s="763" t="str">
        <f>IFERROR(__xludf.DUMMYFUNCTION("""COMPUTED_VALUE"""),"Fara Olivana con Sola")</f>
        <v>Fara Olivana con Sola</v>
      </c>
      <c r="J237" s="763" t="str">
        <f>IFERROR(__xludf.DUMMYFUNCTION("""COMPUTED_VALUE"""),"Via Verdi 2")</f>
        <v>Via Verdi 2</v>
      </c>
      <c r="K237" s="763">
        <f>IFERROR(__xludf.DUMMYFUNCTION("""COMPUTED_VALUE"""),24058.0)</f>
        <v>24058</v>
      </c>
      <c r="L237" s="763" t="str">
        <f>IFERROR(__xludf.DUMMYFUNCTION("""COMPUTED_VALUE"""),"Carte di pagamento")</f>
        <v>Carte di pagamento</v>
      </c>
      <c r="M237" s="763"/>
      <c r="N237" s="763"/>
      <c r="O237" s="763">
        <f>IFERROR(__xludf.DUMMYFUNCTION("""COMPUTED_VALUE"""),0.0)</f>
        <v>0</v>
      </c>
      <c r="P237" s="767">
        <f>IFERROR(__xludf.DUMMYFUNCTION("""COMPUTED_VALUE"""),1.5416666666666667)</f>
        <v>1.541666667</v>
      </c>
      <c r="Q237" s="763" t="str">
        <f>IFERROR(__xludf.DUMMYFUNCTION("""COMPUTED_VALUE"""),"EUR")</f>
        <v>EUR</v>
      </c>
      <c r="R237" s="763">
        <f>IFERROR(__xludf.DUMMYFUNCTION("""COMPUTED_VALUE"""),630.0)</f>
        <v>630</v>
      </c>
      <c r="S237" s="763" t="str">
        <f>IFERROR(__xludf.DUMMYFUNCTION("""COMPUTED_VALUE"""),"Workshop Heels con Lulu Kulova - Workshop Lulu Heels")</f>
        <v>Workshop Heels con Lulu Kulova - Workshop Lulu Heels</v>
      </c>
      <c r="T237" s="763"/>
      <c r="U237" s="763"/>
      <c r="V237" s="763">
        <f>IFERROR(__xludf.DUMMYFUNCTION("""COMPUTED_VALUE"""),1.0)</f>
        <v>1</v>
      </c>
      <c r="W237" s="763">
        <f>IFERROR(__xludf.DUMMYFUNCTION("""COMPUTED_VALUE"""),37.0)</f>
        <v>37</v>
      </c>
      <c r="X237" s="763">
        <f>IFERROR(__xludf.DUMMYFUNCTION("""COMPUTED_VALUE"""),37.0)</f>
        <v>37</v>
      </c>
      <c r="Y237" s="763"/>
      <c r="Z237" s="768" t="str">
        <f>IFERROR(__xludf.DUMMYFUNCTION("""COMPUTED_VALUE"""),"https://studio-gem.it/wp-admin/post.php?post=65070&amp;action=edit")</f>
        <v>https://studio-gem.it/wp-admin/post.php?post=65070&amp;action=edit</v>
      </c>
      <c r="AA237" s="763"/>
      <c r="AB237" s="763"/>
      <c r="AC237" s="763"/>
      <c r="AD237" s="763"/>
      <c r="AE237" s="763"/>
      <c r="AF237" s="763"/>
      <c r="AG237" s="763"/>
      <c r="AH237" s="763"/>
      <c r="AI237" s="763"/>
      <c r="AJ237" s="763"/>
      <c r="AK237" s="763"/>
      <c r="AL237" s="763"/>
      <c r="AM237" s="763"/>
      <c r="AN237" s="763"/>
      <c r="AO237" s="763"/>
      <c r="AP237" s="763"/>
      <c r="AQ237" s="763"/>
      <c r="AR237" s="763"/>
      <c r="AS237" s="763"/>
      <c r="AT237" s="763"/>
      <c r="AU237" s="763"/>
      <c r="AV237" s="763"/>
      <c r="AW237" s="763"/>
      <c r="AX237" s="763"/>
      <c r="AY237" s="763"/>
      <c r="AZ237" s="763"/>
      <c r="BA237" s="763"/>
      <c r="BB237" s="763"/>
      <c r="BC237" s="763"/>
      <c r="BD237" s="763"/>
      <c r="BE237" s="763"/>
      <c r="BF237" s="763"/>
      <c r="BG237" s="763" t="b">
        <f>IFERROR(__xludf.DUMMYFUNCTION("""COMPUTED_VALUE"""),FALSE)</f>
        <v>0</v>
      </c>
      <c r="BH237" s="763" t="b">
        <f>IFERROR(__xludf.DUMMYFUNCTION("""COMPUTED_VALUE"""),FALSE)</f>
        <v>0</v>
      </c>
      <c r="BI237" s="763" t="b">
        <f>IFERROR(__xludf.DUMMYFUNCTION("""COMPUTED_VALUE"""),FALSE)</f>
        <v>0</v>
      </c>
      <c r="BJ237" s="763" t="b">
        <f>IFERROR(__xludf.DUMMYFUNCTION("""COMPUTED_VALUE"""),FALSE)</f>
        <v>0</v>
      </c>
    </row>
    <row r="238">
      <c r="A238" s="763">
        <f>IFERROR(__xludf.DUMMYFUNCTION("""COMPUTED_VALUE"""),65071.0)</f>
        <v>65071</v>
      </c>
      <c r="B238" s="763">
        <f>IFERROR(__xludf.DUMMYFUNCTION("""COMPUTED_VALUE"""),65071.0)</f>
        <v>65071</v>
      </c>
      <c r="C238" s="763" t="str">
        <f>IFERROR(__xludf.DUMMYFUNCTION("""COMPUTED_VALUE"""),"2025-10-05 21:08:46")</f>
        <v>2025-10-05 21:08:46</v>
      </c>
      <c r="D238" s="763" t="str">
        <f>IFERROR(__xludf.DUMMYFUNCTION("""COMPUTED_VALUE"""),"failed")</f>
        <v>failed</v>
      </c>
      <c r="E238" s="763" t="str">
        <f>IFERROR(__xludf.DUMMYFUNCTION("""COMPUTED_VALUE"""),"Francesca")</f>
        <v>Francesca</v>
      </c>
      <c r="F238" s="763" t="str">
        <f>IFERROR(__xludf.DUMMYFUNCTION("""COMPUTED_VALUE"""),"Raimondi")</f>
        <v>Raimondi</v>
      </c>
      <c r="G238" s="763" t="str">
        <f>IFERROR(__xludf.DUMMYFUNCTION("""COMPUTED_VALUE"""),"francy140692@gmail.com")</f>
        <v>francy140692@gmail.com</v>
      </c>
      <c r="H238" s="763">
        <f>IFERROR(__xludf.DUMMYFUNCTION("""COMPUTED_VALUE"""),3.423729995E9)</f>
        <v>3423729995</v>
      </c>
      <c r="I238" s="763" t="str">
        <f>IFERROR(__xludf.DUMMYFUNCTION("""COMPUTED_VALUE"""),"Fara Olivana con Sola")</f>
        <v>Fara Olivana con Sola</v>
      </c>
      <c r="J238" s="763" t="str">
        <f>IFERROR(__xludf.DUMMYFUNCTION("""COMPUTED_VALUE"""),"Via Verdi 2")</f>
        <v>Via Verdi 2</v>
      </c>
      <c r="K238" s="763">
        <f>IFERROR(__xludf.DUMMYFUNCTION("""COMPUTED_VALUE"""),24058.0)</f>
        <v>24058</v>
      </c>
      <c r="L238" s="763" t="str">
        <f>IFERROR(__xludf.DUMMYFUNCTION("""COMPUTED_VALUE"""),"Carte di pagamento")</f>
        <v>Carte di pagamento</v>
      </c>
      <c r="M238" s="763"/>
      <c r="N238" s="763"/>
      <c r="O238" s="763">
        <f>IFERROR(__xludf.DUMMYFUNCTION("""COMPUTED_VALUE"""),0.0)</f>
        <v>0</v>
      </c>
      <c r="P238" s="767">
        <f>IFERROR(__xludf.DUMMYFUNCTION("""COMPUTED_VALUE"""),1.5416666666666667)</f>
        <v>1.541666667</v>
      </c>
      <c r="Q238" s="763" t="str">
        <f>IFERROR(__xludf.DUMMYFUNCTION("""COMPUTED_VALUE"""),"EUR")</f>
        <v>EUR</v>
      </c>
      <c r="R238" s="763">
        <f>IFERROR(__xludf.DUMMYFUNCTION("""COMPUTED_VALUE"""),631.0)</f>
        <v>631</v>
      </c>
      <c r="S238" s="763" t="str">
        <f>IFERROR(__xludf.DUMMYFUNCTION("""COMPUTED_VALUE"""),"Workshop Heels con Lulu Kulova - Workshop Lulu Heels")</f>
        <v>Workshop Heels con Lulu Kulova - Workshop Lulu Heels</v>
      </c>
      <c r="T238" s="763"/>
      <c r="U238" s="763"/>
      <c r="V238" s="763">
        <f>IFERROR(__xludf.DUMMYFUNCTION("""COMPUTED_VALUE"""),1.0)</f>
        <v>1</v>
      </c>
      <c r="W238" s="763">
        <f>IFERROR(__xludf.DUMMYFUNCTION("""COMPUTED_VALUE"""),37.0)</f>
        <v>37</v>
      </c>
      <c r="X238" s="763">
        <f>IFERROR(__xludf.DUMMYFUNCTION("""COMPUTED_VALUE"""),37.0)</f>
        <v>37</v>
      </c>
      <c r="Y238" s="763"/>
      <c r="Z238" s="768" t="str">
        <f>IFERROR(__xludf.DUMMYFUNCTION("""COMPUTED_VALUE"""),"https://studio-gem.it/wp-admin/post.php?post=65071&amp;action=edit")</f>
        <v>https://studio-gem.it/wp-admin/post.php?post=65071&amp;action=edit</v>
      </c>
      <c r="AA238" s="763"/>
      <c r="AB238" s="763"/>
      <c r="AC238" s="763"/>
      <c r="AD238" s="763"/>
      <c r="AE238" s="763"/>
      <c r="AF238" s="763"/>
      <c r="AG238" s="763"/>
      <c r="AH238" s="763"/>
      <c r="AI238" s="763"/>
      <c r="AJ238" s="763"/>
      <c r="AK238" s="763"/>
      <c r="AL238" s="763"/>
      <c r="AM238" s="763"/>
      <c r="AN238" s="763"/>
      <c r="AO238" s="763"/>
      <c r="AP238" s="763"/>
      <c r="AQ238" s="763"/>
      <c r="AR238" s="763"/>
      <c r="AS238" s="763"/>
      <c r="AT238" s="763"/>
      <c r="AU238" s="763"/>
      <c r="AV238" s="763"/>
      <c r="AW238" s="763"/>
      <c r="AX238" s="763"/>
      <c r="AY238" s="763"/>
      <c r="AZ238" s="763"/>
      <c r="BA238" s="763"/>
      <c r="BB238" s="763"/>
      <c r="BC238" s="763"/>
      <c r="BD238" s="763"/>
      <c r="BE238" s="763"/>
      <c r="BF238" s="763"/>
      <c r="BG238" s="763" t="b">
        <f>IFERROR(__xludf.DUMMYFUNCTION("""COMPUTED_VALUE"""),FALSE)</f>
        <v>0</v>
      </c>
      <c r="BH238" s="763" t="b">
        <f>IFERROR(__xludf.DUMMYFUNCTION("""COMPUTED_VALUE"""),FALSE)</f>
        <v>0</v>
      </c>
      <c r="BI238" s="763" t="b">
        <f>IFERROR(__xludf.DUMMYFUNCTION("""COMPUTED_VALUE"""),FALSE)</f>
        <v>0</v>
      </c>
      <c r="BJ238" s="763" t="b">
        <f>IFERROR(__xludf.DUMMYFUNCTION("""COMPUTED_VALUE"""),FALSE)</f>
        <v>0</v>
      </c>
    </row>
    <row r="239">
      <c r="A239" s="763">
        <f>IFERROR(__xludf.DUMMYFUNCTION("""COMPUTED_VALUE"""),65072.0)</f>
        <v>65072</v>
      </c>
      <c r="B239" s="763">
        <f>IFERROR(__xludf.DUMMYFUNCTION("""COMPUTED_VALUE"""),65072.0)</f>
        <v>65072</v>
      </c>
      <c r="C239" s="763" t="str">
        <f>IFERROR(__xludf.DUMMYFUNCTION("""COMPUTED_VALUE"""),"2025-10-05 21:15:40")</f>
        <v>2025-10-05 21:15:40</v>
      </c>
      <c r="D239" s="763" t="str">
        <f>IFERROR(__xludf.DUMMYFUNCTION("""COMPUTED_VALUE"""),"failed")</f>
        <v>failed</v>
      </c>
      <c r="E239" s="763" t="str">
        <f>IFERROR(__xludf.DUMMYFUNCTION("""COMPUTED_VALUE"""),"Francesca")</f>
        <v>Francesca</v>
      </c>
      <c r="F239" s="763" t="str">
        <f>IFERROR(__xludf.DUMMYFUNCTION("""COMPUTED_VALUE"""),"Raimondi")</f>
        <v>Raimondi</v>
      </c>
      <c r="G239" s="763" t="str">
        <f>IFERROR(__xludf.DUMMYFUNCTION("""COMPUTED_VALUE"""),"francy140692@gmail.com")</f>
        <v>francy140692@gmail.com</v>
      </c>
      <c r="H239" s="763">
        <f>IFERROR(__xludf.DUMMYFUNCTION("""COMPUTED_VALUE"""),3.423729995E9)</f>
        <v>3423729995</v>
      </c>
      <c r="I239" s="763" t="str">
        <f>IFERROR(__xludf.DUMMYFUNCTION("""COMPUTED_VALUE"""),"Fara Olivana con Sola")</f>
        <v>Fara Olivana con Sola</v>
      </c>
      <c r="J239" s="763" t="str">
        <f>IFERROR(__xludf.DUMMYFUNCTION("""COMPUTED_VALUE"""),"Via Verdi 2")</f>
        <v>Via Verdi 2</v>
      </c>
      <c r="K239" s="763">
        <f>IFERROR(__xludf.DUMMYFUNCTION("""COMPUTED_VALUE"""),24058.0)</f>
        <v>24058</v>
      </c>
      <c r="L239" s="763" t="str">
        <f>IFERROR(__xludf.DUMMYFUNCTION("""COMPUTED_VALUE"""),"Carte di pagamento")</f>
        <v>Carte di pagamento</v>
      </c>
      <c r="M239" s="763"/>
      <c r="N239" s="763"/>
      <c r="O239" s="763">
        <f>IFERROR(__xludf.DUMMYFUNCTION("""COMPUTED_VALUE"""),0.0)</f>
        <v>0</v>
      </c>
      <c r="P239" s="767">
        <f>IFERROR(__xludf.DUMMYFUNCTION("""COMPUTED_VALUE"""),1.5416666666666667)</f>
        <v>1.541666667</v>
      </c>
      <c r="Q239" s="763" t="str">
        <f>IFERROR(__xludf.DUMMYFUNCTION("""COMPUTED_VALUE"""),"EUR")</f>
        <v>EUR</v>
      </c>
      <c r="R239" s="763">
        <f>IFERROR(__xludf.DUMMYFUNCTION("""COMPUTED_VALUE"""),632.0)</f>
        <v>632</v>
      </c>
      <c r="S239" s="763" t="str">
        <f>IFERROR(__xludf.DUMMYFUNCTION("""COMPUTED_VALUE"""),"Workshop Heels con Lulu Kulova - Workshop Lulu Heels")</f>
        <v>Workshop Heels con Lulu Kulova - Workshop Lulu Heels</v>
      </c>
      <c r="T239" s="763"/>
      <c r="U239" s="763"/>
      <c r="V239" s="763">
        <f>IFERROR(__xludf.DUMMYFUNCTION("""COMPUTED_VALUE"""),1.0)</f>
        <v>1</v>
      </c>
      <c r="W239" s="763">
        <f>IFERROR(__xludf.DUMMYFUNCTION("""COMPUTED_VALUE"""),37.0)</f>
        <v>37</v>
      </c>
      <c r="X239" s="763">
        <f>IFERROR(__xludf.DUMMYFUNCTION("""COMPUTED_VALUE"""),37.0)</f>
        <v>37</v>
      </c>
      <c r="Y239" s="763"/>
      <c r="Z239" s="768" t="str">
        <f>IFERROR(__xludf.DUMMYFUNCTION("""COMPUTED_VALUE"""),"https://studio-gem.it/wp-admin/post.php?post=65072&amp;action=edit")</f>
        <v>https://studio-gem.it/wp-admin/post.php?post=65072&amp;action=edit</v>
      </c>
      <c r="AA239" s="763"/>
      <c r="AB239" s="763"/>
      <c r="AC239" s="763"/>
      <c r="AD239" s="763"/>
      <c r="AE239" s="763"/>
      <c r="AF239" s="763"/>
      <c r="AG239" s="763"/>
      <c r="AH239" s="763"/>
      <c r="AI239" s="763"/>
      <c r="AJ239" s="763"/>
      <c r="AK239" s="763"/>
      <c r="AL239" s="763"/>
      <c r="AM239" s="763"/>
      <c r="AN239" s="763"/>
      <c r="AO239" s="763"/>
      <c r="AP239" s="763"/>
      <c r="AQ239" s="763"/>
      <c r="AR239" s="763"/>
      <c r="AS239" s="763"/>
      <c r="AT239" s="763"/>
      <c r="AU239" s="763"/>
      <c r="AV239" s="763"/>
      <c r="AW239" s="763"/>
      <c r="AX239" s="763"/>
      <c r="AY239" s="763"/>
      <c r="AZ239" s="763"/>
      <c r="BA239" s="763"/>
      <c r="BB239" s="763"/>
      <c r="BC239" s="763"/>
      <c r="BD239" s="763"/>
      <c r="BE239" s="763"/>
      <c r="BF239" s="763"/>
      <c r="BG239" s="763" t="b">
        <f>IFERROR(__xludf.DUMMYFUNCTION("""COMPUTED_VALUE"""),FALSE)</f>
        <v>0</v>
      </c>
      <c r="BH239" s="763" t="b">
        <f>IFERROR(__xludf.DUMMYFUNCTION("""COMPUTED_VALUE"""),FALSE)</f>
        <v>0</v>
      </c>
      <c r="BI239" s="763" t="b">
        <f>IFERROR(__xludf.DUMMYFUNCTION("""COMPUTED_VALUE"""),FALSE)</f>
        <v>0</v>
      </c>
      <c r="BJ239" s="763" t="b">
        <f>IFERROR(__xludf.DUMMYFUNCTION("""COMPUTED_VALUE"""),FALSE)</f>
        <v>0</v>
      </c>
    </row>
    <row r="240">
      <c r="A240" s="763">
        <f>IFERROR(__xludf.DUMMYFUNCTION("""COMPUTED_VALUE"""),65070.0)</f>
        <v>65070</v>
      </c>
      <c r="B240" s="763">
        <f>IFERROR(__xludf.DUMMYFUNCTION("""COMPUTED_VALUE"""),65070.0)</f>
        <v>65070</v>
      </c>
      <c r="C240" s="763" t="str">
        <f>IFERROR(__xludf.DUMMYFUNCTION("""COMPUTED_VALUE"""),"2025-10-05 20:56:53")</f>
        <v>2025-10-05 20:56:53</v>
      </c>
      <c r="D240" s="763" t="str">
        <f>IFERROR(__xludf.DUMMYFUNCTION("""COMPUTED_VALUE"""),"failed")</f>
        <v>failed</v>
      </c>
      <c r="E240" s="763" t="str">
        <f>IFERROR(__xludf.DUMMYFUNCTION("""COMPUTED_VALUE"""),"Francesca")</f>
        <v>Francesca</v>
      </c>
      <c r="F240" s="763" t="str">
        <f>IFERROR(__xludf.DUMMYFUNCTION("""COMPUTED_VALUE"""),"Raimondi")</f>
        <v>Raimondi</v>
      </c>
      <c r="G240" s="763" t="str">
        <f>IFERROR(__xludf.DUMMYFUNCTION("""COMPUTED_VALUE"""),"francy140692@gmail.com")</f>
        <v>francy140692@gmail.com</v>
      </c>
      <c r="H240" s="763">
        <f>IFERROR(__xludf.DUMMYFUNCTION("""COMPUTED_VALUE"""),3.423729995E9)</f>
        <v>3423729995</v>
      </c>
      <c r="I240" s="763" t="str">
        <f>IFERROR(__xludf.DUMMYFUNCTION("""COMPUTED_VALUE"""),"Fara Olivana con Sola")</f>
        <v>Fara Olivana con Sola</v>
      </c>
      <c r="J240" s="763" t="str">
        <f>IFERROR(__xludf.DUMMYFUNCTION("""COMPUTED_VALUE"""),"Via Verdi 2")</f>
        <v>Via Verdi 2</v>
      </c>
      <c r="K240" s="763">
        <f>IFERROR(__xludf.DUMMYFUNCTION("""COMPUTED_VALUE"""),24058.0)</f>
        <v>24058</v>
      </c>
      <c r="L240" s="763" t="str">
        <f>IFERROR(__xludf.DUMMYFUNCTION("""COMPUTED_VALUE"""),"Google Pay")</f>
        <v>Google Pay</v>
      </c>
      <c r="M240" s="763"/>
      <c r="N240" s="763"/>
      <c r="O240" s="763">
        <f>IFERROR(__xludf.DUMMYFUNCTION("""COMPUTED_VALUE"""),0.0)</f>
        <v>0</v>
      </c>
      <c r="P240" s="767">
        <f>IFERROR(__xludf.DUMMYFUNCTION("""COMPUTED_VALUE"""),1.5416666666666667)</f>
        <v>1.541666667</v>
      </c>
      <c r="Q240" s="763" t="str">
        <f>IFERROR(__xludf.DUMMYFUNCTION("""COMPUTED_VALUE"""),"EUR")</f>
        <v>EUR</v>
      </c>
      <c r="R240" s="763">
        <f>IFERROR(__xludf.DUMMYFUNCTION("""COMPUTED_VALUE"""),635.0)</f>
        <v>635</v>
      </c>
      <c r="S240" s="763" t="str">
        <f>IFERROR(__xludf.DUMMYFUNCTION("""COMPUTED_VALUE"""),"Workshop Heels con Lulu Kulova - Workshop Lulu Heels")</f>
        <v>Workshop Heels con Lulu Kulova - Workshop Lulu Heels</v>
      </c>
      <c r="T240" s="763"/>
      <c r="U240" s="763"/>
      <c r="V240" s="763">
        <f>IFERROR(__xludf.DUMMYFUNCTION("""COMPUTED_VALUE"""),1.0)</f>
        <v>1</v>
      </c>
      <c r="W240" s="763">
        <f>IFERROR(__xludf.DUMMYFUNCTION("""COMPUTED_VALUE"""),37.0)</f>
        <v>37</v>
      </c>
      <c r="X240" s="763">
        <f>IFERROR(__xludf.DUMMYFUNCTION("""COMPUTED_VALUE"""),37.0)</f>
        <v>37</v>
      </c>
      <c r="Y240" s="763"/>
      <c r="Z240" s="768" t="str">
        <f>IFERROR(__xludf.DUMMYFUNCTION("""COMPUTED_VALUE"""),"https://studio-gem.it/wp-admin/post.php?post=65070&amp;action=edit")</f>
        <v>https://studio-gem.it/wp-admin/post.php?post=65070&amp;action=edit</v>
      </c>
      <c r="AA240" s="763"/>
      <c r="AB240" s="763"/>
      <c r="AC240" s="763"/>
      <c r="AD240" s="763"/>
      <c r="AE240" s="763"/>
      <c r="AF240" s="763"/>
      <c r="AG240" s="763"/>
      <c r="AH240" s="763"/>
      <c r="AI240" s="763"/>
      <c r="AJ240" s="763"/>
      <c r="AK240" s="763"/>
      <c r="AL240" s="763"/>
      <c r="AM240" s="763"/>
      <c r="AN240" s="763"/>
      <c r="AO240" s="763"/>
      <c r="AP240" s="763"/>
      <c r="AQ240" s="763"/>
      <c r="AR240" s="763"/>
      <c r="AS240" s="763"/>
      <c r="AT240" s="763"/>
      <c r="AU240" s="763"/>
      <c r="AV240" s="763"/>
      <c r="AW240" s="763"/>
      <c r="AX240" s="763"/>
      <c r="AY240" s="763"/>
      <c r="AZ240" s="763"/>
      <c r="BA240" s="763"/>
      <c r="BB240" s="763"/>
      <c r="BC240" s="763"/>
      <c r="BD240" s="763"/>
      <c r="BE240" s="763"/>
      <c r="BF240" s="763"/>
      <c r="BG240" s="763" t="b">
        <f>IFERROR(__xludf.DUMMYFUNCTION("""COMPUTED_VALUE"""),FALSE)</f>
        <v>0</v>
      </c>
      <c r="BH240" s="763" t="b">
        <f>IFERROR(__xludf.DUMMYFUNCTION("""COMPUTED_VALUE"""),FALSE)</f>
        <v>0</v>
      </c>
      <c r="BI240" s="763" t="b">
        <f>IFERROR(__xludf.DUMMYFUNCTION("""COMPUTED_VALUE"""),FALSE)</f>
        <v>0</v>
      </c>
      <c r="BJ240" s="763" t="b">
        <f>IFERROR(__xludf.DUMMYFUNCTION("""COMPUTED_VALUE"""),FALSE)</f>
        <v>0</v>
      </c>
    </row>
    <row r="241">
      <c r="A241" s="763">
        <f>IFERROR(__xludf.DUMMYFUNCTION("""COMPUTED_VALUE"""),65073.0)</f>
        <v>65073</v>
      </c>
      <c r="B241" s="763">
        <f>IFERROR(__xludf.DUMMYFUNCTION("""COMPUTED_VALUE"""),65073.0)</f>
        <v>65073</v>
      </c>
      <c r="C241" s="763" t="str">
        <f>IFERROR(__xludf.DUMMYFUNCTION("""COMPUTED_VALUE"""),"2025-10-06 06:37:47")</f>
        <v>2025-10-06 06:37:47</v>
      </c>
      <c r="D241" s="763" t="str">
        <f>IFERROR(__xludf.DUMMYFUNCTION("""COMPUTED_VALUE"""),"pending")</f>
        <v>pending</v>
      </c>
      <c r="E241" s="763" t="str">
        <f>IFERROR(__xludf.DUMMYFUNCTION("""COMPUTED_VALUE"""),"Ariel")</f>
        <v>Ariel</v>
      </c>
      <c r="F241" s="763" t="str">
        <f>IFERROR(__xludf.DUMMYFUNCTION("""COMPUTED_VALUE"""),"Albarracin")</f>
        <v>Albarracin</v>
      </c>
      <c r="G241" s="763" t="str">
        <f>IFERROR(__xludf.DUMMYFUNCTION("""COMPUTED_VALUE"""),"heidy.92@hotmail.it")</f>
        <v>heidy.92@hotmail.it</v>
      </c>
      <c r="H241" s="763">
        <f>IFERROR(__xludf.DUMMYFUNCTION("""COMPUTED_VALUE"""),3.456922361E9)</f>
        <v>3456922361</v>
      </c>
      <c r="I241" s="763" t="str">
        <f>IFERROR(__xludf.DUMMYFUNCTION("""COMPUTED_VALUE"""),"Genova")</f>
        <v>Genova</v>
      </c>
      <c r="J241" s="763" t="str">
        <f>IFERROR(__xludf.DUMMYFUNCTION("""COMPUTED_VALUE"""),"Via Bobbio 9a")</f>
        <v>Via Bobbio 9a</v>
      </c>
      <c r="K241" s="763">
        <f>IFERROR(__xludf.DUMMYFUNCTION("""COMPUTED_VALUE"""),16137.0)</f>
        <v>16137</v>
      </c>
      <c r="L241" s="763" t="str">
        <f>IFERROR(__xludf.DUMMYFUNCTION("""COMPUTED_VALUE"""),"Apple Pay")</f>
        <v>Apple Pay</v>
      </c>
      <c r="M241" s="763"/>
      <c r="N241" s="763"/>
      <c r="O241" s="763">
        <f>IFERROR(__xludf.DUMMYFUNCTION("""COMPUTED_VALUE"""),0.0)</f>
        <v>0</v>
      </c>
      <c r="P241" s="767">
        <f>IFERROR(__xludf.DUMMYFUNCTION("""COMPUTED_VALUE"""),1.5416666666666667)</f>
        <v>1.541666667</v>
      </c>
      <c r="Q241" s="763" t="str">
        <f>IFERROR(__xludf.DUMMYFUNCTION("""COMPUTED_VALUE"""),"EUR")</f>
        <v>EUR</v>
      </c>
      <c r="R241" s="763">
        <f>IFERROR(__xludf.DUMMYFUNCTION("""COMPUTED_VALUE"""),633.0)</f>
        <v>633</v>
      </c>
      <c r="S241" s="763" t="str">
        <f>IFERROR(__xludf.DUMMYFUNCTION("""COMPUTED_VALUE"""),"Workshop Afrofusion con Banana 2025 - Workshop Banana afrofusion")</f>
        <v>Workshop Afrofusion con Banana 2025 - Workshop Banana afrofusion</v>
      </c>
      <c r="T241" s="763"/>
      <c r="U241" s="763"/>
      <c r="V241" s="763">
        <f>IFERROR(__xludf.DUMMYFUNCTION("""COMPUTED_VALUE"""),1.0)</f>
        <v>1</v>
      </c>
      <c r="W241" s="763">
        <f>IFERROR(__xludf.DUMMYFUNCTION("""COMPUTED_VALUE"""),37.0)</f>
        <v>37</v>
      </c>
      <c r="X241" s="763">
        <f>IFERROR(__xludf.DUMMYFUNCTION("""COMPUTED_VALUE"""),37.0)</f>
        <v>37</v>
      </c>
      <c r="Y241" s="763"/>
      <c r="Z241" s="768" t="str">
        <f>IFERROR(__xludf.DUMMYFUNCTION("""COMPUTED_VALUE"""),"https://studio-gem.it/wp-admin/post.php?post=65073&amp;action=edit")</f>
        <v>https://studio-gem.it/wp-admin/post.php?post=65073&amp;action=edit</v>
      </c>
      <c r="AA241" s="763"/>
      <c r="AB241" s="763"/>
      <c r="AC241" s="763"/>
      <c r="AD241" s="763"/>
      <c r="AE241" s="763"/>
      <c r="AF241" s="763"/>
      <c r="AG241" s="763"/>
      <c r="AH241" s="763"/>
      <c r="AI241" s="763"/>
      <c r="AJ241" s="763"/>
      <c r="AK241" s="763"/>
      <c r="AL241" s="763"/>
      <c r="AM241" s="763"/>
      <c r="AN241" s="763"/>
      <c r="AO241" s="763"/>
      <c r="AP241" s="763"/>
      <c r="AQ241" s="763"/>
      <c r="AR241" s="763"/>
      <c r="AS241" s="763"/>
      <c r="AT241" s="763"/>
      <c r="AU241" s="763"/>
      <c r="AV241" s="763"/>
      <c r="AW241" s="763"/>
      <c r="AX241" s="763"/>
      <c r="AY241" s="763"/>
      <c r="AZ241" s="763"/>
      <c r="BA241" s="763"/>
      <c r="BB241" s="763"/>
      <c r="BC241" s="763"/>
      <c r="BD241" s="763"/>
      <c r="BE241" s="763"/>
      <c r="BF241" s="763"/>
      <c r="BG241" s="763" t="b">
        <f>IFERROR(__xludf.DUMMYFUNCTION("""COMPUTED_VALUE"""),FALSE)</f>
        <v>0</v>
      </c>
      <c r="BH241" s="763" t="b">
        <f>IFERROR(__xludf.DUMMYFUNCTION("""COMPUTED_VALUE"""),FALSE)</f>
        <v>0</v>
      </c>
      <c r="BI241" s="763" t="b">
        <f>IFERROR(__xludf.DUMMYFUNCTION("""COMPUTED_VALUE"""),TRUE)</f>
        <v>1</v>
      </c>
      <c r="BJ241" s="763" t="b">
        <f>IFERROR(__xludf.DUMMYFUNCTION("""COMPUTED_VALUE"""),FALSE)</f>
        <v>0</v>
      </c>
    </row>
    <row r="242">
      <c r="A242" s="763">
        <f>IFERROR(__xludf.DUMMYFUNCTION("""COMPUTED_VALUE"""),65076.0)</f>
        <v>65076</v>
      </c>
      <c r="B242" s="763">
        <f>IFERROR(__xludf.DUMMYFUNCTION("""COMPUTED_VALUE"""),65076.0)</f>
        <v>65076</v>
      </c>
      <c r="C242" s="763" t="str">
        <f>IFERROR(__xludf.DUMMYFUNCTION("""COMPUTED_VALUE"""),"2025-10-06 11:15:16")</f>
        <v>2025-10-06 11:15:16</v>
      </c>
      <c r="D242" s="763" t="str">
        <f>IFERROR(__xludf.DUMMYFUNCTION("""COMPUTED_VALUE"""),"failed")</f>
        <v>failed</v>
      </c>
      <c r="E242" s="763" t="str">
        <f>IFERROR(__xludf.DUMMYFUNCTION("""COMPUTED_VALUE"""),"Francesca")</f>
        <v>Francesca</v>
      </c>
      <c r="F242" s="763" t="str">
        <f>IFERROR(__xludf.DUMMYFUNCTION("""COMPUTED_VALUE"""),"Raimondi")</f>
        <v>Raimondi</v>
      </c>
      <c r="G242" s="763" t="str">
        <f>IFERROR(__xludf.DUMMYFUNCTION("""COMPUTED_VALUE"""),"francy140692@gmail.com")</f>
        <v>francy140692@gmail.com</v>
      </c>
      <c r="H242" s="763">
        <f>IFERROR(__xludf.DUMMYFUNCTION("""COMPUTED_VALUE"""),3.423729995E9)</f>
        <v>3423729995</v>
      </c>
      <c r="I242" s="763" t="str">
        <f>IFERROR(__xludf.DUMMYFUNCTION("""COMPUTED_VALUE"""),"Fara Olivana con Sola")</f>
        <v>Fara Olivana con Sola</v>
      </c>
      <c r="J242" s="763" t="str">
        <f>IFERROR(__xludf.DUMMYFUNCTION("""COMPUTED_VALUE"""),"Via Verdi 2")</f>
        <v>Via Verdi 2</v>
      </c>
      <c r="K242" s="763">
        <f>IFERROR(__xludf.DUMMYFUNCTION("""COMPUTED_VALUE"""),24058.0)</f>
        <v>24058</v>
      </c>
      <c r="L242" s="763" t="str">
        <f>IFERROR(__xludf.DUMMYFUNCTION("""COMPUTED_VALUE"""),"Google Pay")</f>
        <v>Google Pay</v>
      </c>
      <c r="M242" s="763" t="str">
        <f>IFERROR(__xludf.DUMMYFUNCTION("""COMPUTED_VALUE"""),"alexandra02ws")</f>
        <v>alexandra02ws</v>
      </c>
      <c r="N242" s="763" t="str">
        <f>IFERROR(__xludf.DUMMYFUNCTION("""COMPUTED_VALUE"""),"65076-1759765856")</f>
        <v>65076-1759765856</v>
      </c>
      <c r="O242" s="763">
        <f>IFERROR(__xludf.DUMMYFUNCTION("""COMPUTED_VALUE"""),0.0)</f>
        <v>0</v>
      </c>
      <c r="P242" s="767">
        <f>IFERROR(__xludf.DUMMYFUNCTION("""COMPUTED_VALUE"""),1.4583333333333333)</f>
        <v>1.458333333</v>
      </c>
      <c r="Q242" s="763" t="str">
        <f>IFERROR(__xludf.DUMMYFUNCTION("""COMPUTED_VALUE"""),"EUR")</f>
        <v>EUR</v>
      </c>
      <c r="R242" s="763">
        <f>IFERROR(__xludf.DUMMYFUNCTION("""COMPUTED_VALUE"""),636.0)</f>
        <v>636</v>
      </c>
      <c r="S242" s="763" t="str">
        <f>IFERROR(__xludf.DUMMYFUNCTION("""COMPUTED_VALUE"""),"Workshop Heels con Lulu Kulova - Workshop Lulu Heels")</f>
        <v>Workshop Heels con Lulu Kulova - Workshop Lulu Heels</v>
      </c>
      <c r="T242" s="763"/>
      <c r="U242" s="763"/>
      <c r="V242" s="763">
        <f>IFERROR(__xludf.DUMMYFUNCTION("""COMPUTED_VALUE"""),1.0)</f>
        <v>1</v>
      </c>
      <c r="W242" s="763">
        <f>IFERROR(__xludf.DUMMYFUNCTION("""COMPUTED_VALUE"""),35.0)</f>
        <v>35</v>
      </c>
      <c r="X242" s="763">
        <f>IFERROR(__xludf.DUMMYFUNCTION("""COMPUTED_VALUE"""),35.0)</f>
        <v>35</v>
      </c>
      <c r="Y242" s="763"/>
      <c r="Z242" s="768" t="str">
        <f>IFERROR(__xludf.DUMMYFUNCTION("""COMPUTED_VALUE"""),"https://studio-gem.it/wp-admin/post.php?post=65076&amp;action=edit")</f>
        <v>https://studio-gem.it/wp-admin/post.php?post=65076&amp;action=edit</v>
      </c>
      <c r="AA242" s="763"/>
      <c r="AB242" s="763"/>
      <c r="AC242" s="763"/>
      <c r="AD242" s="763"/>
      <c r="AE242" s="763"/>
      <c r="AF242" s="763"/>
      <c r="AG242" s="763"/>
      <c r="AH242" s="763"/>
      <c r="AI242" s="763"/>
      <c r="AJ242" s="763"/>
      <c r="AK242" s="763"/>
      <c r="AL242" s="763"/>
      <c r="AM242" s="763"/>
      <c r="AN242" s="763"/>
      <c r="AO242" s="763"/>
      <c r="AP242" s="763"/>
      <c r="AQ242" s="763"/>
      <c r="AR242" s="763"/>
      <c r="AS242" s="763"/>
      <c r="AT242" s="763"/>
      <c r="AU242" s="763"/>
      <c r="AV242" s="763"/>
      <c r="AW242" s="763"/>
      <c r="AX242" s="763"/>
      <c r="AY242" s="763"/>
      <c r="AZ242" s="763"/>
      <c r="BA242" s="763"/>
      <c r="BB242" s="763"/>
      <c r="BC242" s="763"/>
      <c r="BD242" s="763"/>
      <c r="BE242" s="763"/>
      <c r="BF242" s="763"/>
      <c r="BG242" s="763" t="b">
        <f>IFERROR(__xludf.DUMMYFUNCTION("""COMPUTED_VALUE"""),FALSE)</f>
        <v>0</v>
      </c>
      <c r="BH242" s="763" t="b">
        <f>IFERROR(__xludf.DUMMYFUNCTION("""COMPUTED_VALUE"""),TRUE)</f>
        <v>1</v>
      </c>
      <c r="BI242" s="763" t="b">
        <f>IFERROR(__xludf.DUMMYFUNCTION("""COMPUTED_VALUE"""),FALSE)</f>
        <v>0</v>
      </c>
      <c r="BJ242" s="763" t="b">
        <f>IFERROR(__xludf.DUMMYFUNCTION("""COMPUTED_VALUE"""),FALSE)</f>
        <v>0</v>
      </c>
    </row>
    <row r="243">
      <c r="A243" s="763">
        <f>IFERROR(__xludf.DUMMYFUNCTION("""COMPUTED_VALUE"""),65076.0)</f>
        <v>65076</v>
      </c>
      <c r="B243" s="763">
        <f>IFERROR(__xludf.DUMMYFUNCTION("""COMPUTED_VALUE"""),65076.0)</f>
        <v>65076</v>
      </c>
      <c r="C243" s="763" t="str">
        <f>IFERROR(__xludf.DUMMYFUNCTION("""COMPUTED_VALUE"""),"2025-10-06 11:15:16")</f>
        <v>2025-10-06 11:15:16</v>
      </c>
      <c r="D243" s="763" t="str">
        <f>IFERROR(__xludf.DUMMYFUNCTION("""COMPUTED_VALUE"""),"failed")</f>
        <v>failed</v>
      </c>
      <c r="E243" s="763" t="str">
        <f>IFERROR(__xludf.DUMMYFUNCTION("""COMPUTED_VALUE"""),"Francesca")</f>
        <v>Francesca</v>
      </c>
      <c r="F243" s="763" t="str">
        <f>IFERROR(__xludf.DUMMYFUNCTION("""COMPUTED_VALUE"""),"Raimondi")</f>
        <v>Raimondi</v>
      </c>
      <c r="G243" s="763" t="str">
        <f>IFERROR(__xludf.DUMMYFUNCTION("""COMPUTED_VALUE"""),"francy140692@gmail.com")</f>
        <v>francy140692@gmail.com</v>
      </c>
      <c r="H243" s="763">
        <f>IFERROR(__xludf.DUMMYFUNCTION("""COMPUTED_VALUE"""),3.423729995E9)</f>
        <v>3423729995</v>
      </c>
      <c r="I243" s="763" t="str">
        <f>IFERROR(__xludf.DUMMYFUNCTION("""COMPUTED_VALUE"""),"Fara Olivana con Sola")</f>
        <v>Fara Olivana con Sola</v>
      </c>
      <c r="J243" s="763" t="str">
        <f>IFERROR(__xludf.DUMMYFUNCTION("""COMPUTED_VALUE"""),"Via Verdi 2")</f>
        <v>Via Verdi 2</v>
      </c>
      <c r="K243" s="763">
        <f>IFERROR(__xludf.DUMMYFUNCTION("""COMPUTED_VALUE"""),24058.0)</f>
        <v>24058</v>
      </c>
      <c r="L243" s="763" t="str">
        <f>IFERROR(__xludf.DUMMYFUNCTION("""COMPUTED_VALUE"""),"Carte di pagamento")</f>
        <v>Carte di pagamento</v>
      </c>
      <c r="M243" s="763" t="str">
        <f>IFERROR(__xludf.DUMMYFUNCTION("""COMPUTED_VALUE"""),"alexandra02ws")</f>
        <v>alexandra02ws</v>
      </c>
      <c r="N243" s="763" t="str">
        <f>IFERROR(__xludf.DUMMYFUNCTION("""COMPUTED_VALUE"""),"65076-1759765856")</f>
        <v>65076-1759765856</v>
      </c>
      <c r="O243" s="763">
        <f>IFERROR(__xludf.DUMMYFUNCTION("""COMPUTED_VALUE"""),0.0)</f>
        <v>0</v>
      </c>
      <c r="P243" s="767">
        <f>IFERROR(__xludf.DUMMYFUNCTION("""COMPUTED_VALUE"""),1.4583333333333333)</f>
        <v>1.458333333</v>
      </c>
      <c r="Q243" s="763" t="str">
        <f>IFERROR(__xludf.DUMMYFUNCTION("""COMPUTED_VALUE"""),"EUR")</f>
        <v>EUR</v>
      </c>
      <c r="R243" s="763">
        <f>IFERROR(__xludf.DUMMYFUNCTION("""COMPUTED_VALUE"""),638.0)</f>
        <v>638</v>
      </c>
      <c r="S243" s="763" t="str">
        <f>IFERROR(__xludf.DUMMYFUNCTION("""COMPUTED_VALUE"""),"Workshop Heels con Lulu Kulova - Workshop Lulu Heels")</f>
        <v>Workshop Heels con Lulu Kulova - Workshop Lulu Heels</v>
      </c>
      <c r="T243" s="763"/>
      <c r="U243" s="763"/>
      <c r="V243" s="763">
        <f>IFERROR(__xludf.DUMMYFUNCTION("""COMPUTED_VALUE"""),1.0)</f>
        <v>1</v>
      </c>
      <c r="W243" s="763">
        <f>IFERROR(__xludf.DUMMYFUNCTION("""COMPUTED_VALUE"""),35.0)</f>
        <v>35</v>
      </c>
      <c r="X243" s="763">
        <f>IFERROR(__xludf.DUMMYFUNCTION("""COMPUTED_VALUE"""),35.0)</f>
        <v>35</v>
      </c>
      <c r="Y243" s="763"/>
      <c r="Z243" s="768" t="str">
        <f>IFERROR(__xludf.DUMMYFUNCTION("""COMPUTED_VALUE"""),"https://studio-gem.it/wp-admin/post.php?post=65076&amp;action=edit")</f>
        <v>https://studio-gem.it/wp-admin/post.php?post=65076&amp;action=edit</v>
      </c>
      <c r="AA243" s="763"/>
      <c r="AB243" s="763"/>
      <c r="AC243" s="763"/>
      <c r="AD243" s="763"/>
      <c r="AE243" s="763"/>
      <c r="AF243" s="763"/>
      <c r="AG243" s="763"/>
      <c r="AH243" s="763"/>
      <c r="AI243" s="763"/>
      <c r="AJ243" s="763"/>
      <c r="AK243" s="763"/>
      <c r="AL243" s="763"/>
      <c r="AM243" s="763"/>
      <c r="AN243" s="763"/>
      <c r="AO243" s="763"/>
      <c r="AP243" s="763"/>
      <c r="AQ243" s="763"/>
      <c r="AR243" s="763"/>
      <c r="AS243" s="763"/>
      <c r="AT243" s="763"/>
      <c r="AU243" s="763"/>
      <c r="AV243" s="763"/>
      <c r="AW243" s="763"/>
      <c r="AX243" s="763"/>
      <c r="AY243" s="763"/>
      <c r="AZ243" s="763"/>
      <c r="BA243" s="763"/>
      <c r="BB243" s="763"/>
      <c r="BC243" s="763"/>
      <c r="BD243" s="763"/>
      <c r="BE243" s="763"/>
      <c r="BF243" s="763"/>
      <c r="BG243" s="763" t="b">
        <f>IFERROR(__xludf.DUMMYFUNCTION("""COMPUTED_VALUE"""),FALSE)</f>
        <v>0</v>
      </c>
      <c r="BH243" s="763" t="b">
        <f>IFERROR(__xludf.DUMMYFUNCTION("""COMPUTED_VALUE"""),TRUE)</f>
        <v>1</v>
      </c>
      <c r="BI243" s="763" t="b">
        <f>IFERROR(__xludf.DUMMYFUNCTION("""COMPUTED_VALUE"""),FALSE)</f>
        <v>0</v>
      </c>
      <c r="BJ243" s="763" t="b">
        <f>IFERROR(__xludf.DUMMYFUNCTION("""COMPUTED_VALUE"""),FALSE)</f>
        <v>0</v>
      </c>
    </row>
    <row r="244">
      <c r="A244" s="763">
        <f>IFERROR(__xludf.DUMMYFUNCTION("""COMPUTED_VALUE"""),65076.0)</f>
        <v>65076</v>
      </c>
      <c r="B244" s="763">
        <f>IFERROR(__xludf.DUMMYFUNCTION("""COMPUTED_VALUE"""),65076.0)</f>
        <v>65076</v>
      </c>
      <c r="C244" s="763" t="str">
        <f>IFERROR(__xludf.DUMMYFUNCTION("""COMPUTED_VALUE"""),"2025-10-06 11:15:16")</f>
        <v>2025-10-06 11:15:16</v>
      </c>
      <c r="D244" s="763" t="str">
        <f>IFERROR(__xludf.DUMMYFUNCTION("""COMPUTED_VALUE"""),"completed")</f>
        <v>completed</v>
      </c>
      <c r="E244" s="763" t="str">
        <f>IFERROR(__xludf.DUMMYFUNCTION("""COMPUTED_VALUE"""),"Francesca")</f>
        <v>Francesca</v>
      </c>
      <c r="F244" s="763" t="str">
        <f>IFERROR(__xludf.DUMMYFUNCTION("""COMPUTED_VALUE"""),"Raimondi")</f>
        <v>Raimondi</v>
      </c>
      <c r="G244" s="763" t="str">
        <f>IFERROR(__xludf.DUMMYFUNCTION("""COMPUTED_VALUE"""),"francy140692@gmail.com")</f>
        <v>francy140692@gmail.com</v>
      </c>
      <c r="H244" s="763">
        <f>IFERROR(__xludf.DUMMYFUNCTION("""COMPUTED_VALUE"""),3.423729995E9)</f>
        <v>3423729995</v>
      </c>
      <c r="I244" s="763" t="str">
        <f>IFERROR(__xludf.DUMMYFUNCTION("""COMPUTED_VALUE"""),"Fara Olivana con Sola")</f>
        <v>Fara Olivana con Sola</v>
      </c>
      <c r="J244" s="763" t="str">
        <f>IFERROR(__xludf.DUMMYFUNCTION("""COMPUTED_VALUE"""),"Via Verdi 2")</f>
        <v>Via Verdi 2</v>
      </c>
      <c r="K244" s="763">
        <f>IFERROR(__xludf.DUMMYFUNCTION("""COMPUTED_VALUE"""),24058.0)</f>
        <v>24058</v>
      </c>
      <c r="L244" s="763" t="str">
        <f>IFERROR(__xludf.DUMMYFUNCTION("""COMPUTED_VALUE"""),"Google Pay")</f>
        <v>Google Pay</v>
      </c>
      <c r="M244" s="763" t="str">
        <f>IFERROR(__xludf.DUMMYFUNCTION("""COMPUTED_VALUE"""),"alexandra02ws")</f>
        <v>alexandra02ws</v>
      </c>
      <c r="N244" s="763" t="str">
        <f>IFERROR(__xludf.DUMMYFUNCTION("""COMPUTED_VALUE"""),"65076-1759765856")</f>
        <v>65076-1759765856</v>
      </c>
      <c r="O244" s="763">
        <f>IFERROR(__xludf.DUMMYFUNCTION("""COMPUTED_VALUE"""),0.0)</f>
        <v>0</v>
      </c>
      <c r="P244" s="767">
        <f>IFERROR(__xludf.DUMMYFUNCTION("""COMPUTED_VALUE"""),1.4583333333333333)</f>
        <v>1.458333333</v>
      </c>
      <c r="Q244" s="763" t="str">
        <f>IFERROR(__xludf.DUMMYFUNCTION("""COMPUTED_VALUE"""),"EUR")</f>
        <v>EUR</v>
      </c>
      <c r="R244" s="763">
        <f>IFERROR(__xludf.DUMMYFUNCTION("""COMPUTED_VALUE"""),642.0)</f>
        <v>642</v>
      </c>
      <c r="S244" s="763" t="str">
        <f>IFERROR(__xludf.DUMMYFUNCTION("""COMPUTED_VALUE"""),"Workshop Heels con Lulu Kulova - Workshop Lulu Heels")</f>
        <v>Workshop Heels con Lulu Kulova - Workshop Lulu Heels</v>
      </c>
      <c r="T244" s="763"/>
      <c r="U244" s="763"/>
      <c r="V244" s="763">
        <f>IFERROR(__xludf.DUMMYFUNCTION("""COMPUTED_VALUE"""),1.0)</f>
        <v>1</v>
      </c>
      <c r="W244" s="763">
        <f>IFERROR(__xludf.DUMMYFUNCTION("""COMPUTED_VALUE"""),35.0)</f>
        <v>35</v>
      </c>
      <c r="X244" s="763">
        <f>IFERROR(__xludf.DUMMYFUNCTION("""COMPUTED_VALUE"""),35.0)</f>
        <v>35</v>
      </c>
      <c r="Y244" s="763"/>
      <c r="Z244" s="768" t="str">
        <f>IFERROR(__xludf.DUMMYFUNCTION("""COMPUTED_VALUE"""),"https://studio-gem.it/wp-admin/post.php?post=65076&amp;action=edit")</f>
        <v>https://studio-gem.it/wp-admin/post.php?post=65076&amp;action=edit</v>
      </c>
      <c r="AA244" s="763"/>
      <c r="AB244" s="763"/>
      <c r="AC244" s="763"/>
      <c r="AD244" s="763"/>
      <c r="AE244" s="763"/>
      <c r="AF244" s="763"/>
      <c r="AG244" s="763"/>
      <c r="AH244" s="763"/>
      <c r="AI244" s="763"/>
      <c r="AJ244" s="763"/>
      <c r="AK244" s="763"/>
      <c r="AL244" s="763"/>
      <c r="AM244" s="763"/>
      <c r="AN244" s="763"/>
      <c r="AO244" s="763"/>
      <c r="AP244" s="763"/>
      <c r="AQ244" s="763"/>
      <c r="AR244" s="763"/>
      <c r="AS244" s="763"/>
      <c r="AT244" s="763"/>
      <c r="AU244" s="763"/>
      <c r="AV244" s="763"/>
      <c r="AW244" s="763"/>
      <c r="AX244" s="763"/>
      <c r="AY244" s="763"/>
      <c r="AZ244" s="763"/>
      <c r="BA244" s="763"/>
      <c r="BB244" s="763"/>
      <c r="BC244" s="763"/>
      <c r="BD244" s="763"/>
      <c r="BE244" s="763"/>
      <c r="BF244" s="763"/>
      <c r="BG244" s="763" t="b">
        <f>IFERROR(__xludf.DUMMYFUNCTION("""COMPUTED_VALUE"""),TRUE)</f>
        <v>1</v>
      </c>
      <c r="BH244" s="763" t="b">
        <f>IFERROR(__xludf.DUMMYFUNCTION("""COMPUTED_VALUE"""),TRUE)</f>
        <v>1</v>
      </c>
      <c r="BI244" s="763" t="b">
        <f>IFERROR(__xludf.DUMMYFUNCTION("""COMPUTED_VALUE"""),TRUE)</f>
        <v>1</v>
      </c>
      <c r="BJ244" s="763" t="b">
        <f>IFERROR(__xludf.DUMMYFUNCTION("""COMPUTED_VALUE"""),TRUE)</f>
        <v>1</v>
      </c>
    </row>
    <row r="245">
      <c r="A245" s="763">
        <f>IFERROR(__xludf.DUMMYFUNCTION("""COMPUTED_VALUE"""),65081.0)</f>
        <v>65081</v>
      </c>
      <c r="B245" s="763">
        <f>IFERROR(__xludf.DUMMYFUNCTION("""COMPUTED_VALUE"""),65081.0)</f>
        <v>65081</v>
      </c>
      <c r="C245" s="763" t="str">
        <f>IFERROR(__xludf.DUMMYFUNCTION("""COMPUTED_VALUE"""),"2025-10-06 19:11:00")</f>
        <v>2025-10-06 19:11:00</v>
      </c>
      <c r="D245" s="763" t="str">
        <f>IFERROR(__xludf.DUMMYFUNCTION("""COMPUTED_VALUE"""),"completed")</f>
        <v>completed</v>
      </c>
      <c r="E245" s="763" t="str">
        <f>IFERROR(__xludf.DUMMYFUNCTION("""COMPUTED_VALUE"""),"Carolina")</f>
        <v>Carolina</v>
      </c>
      <c r="F245" s="763" t="str">
        <f>IFERROR(__xludf.DUMMYFUNCTION("""COMPUTED_VALUE"""),"Piccioli")</f>
        <v>Piccioli</v>
      </c>
      <c r="G245" s="763" t="str">
        <f>IFERROR(__xludf.DUMMYFUNCTION("""COMPUTED_VALUE"""),"carolina.piccioli@icloud.com")</f>
        <v>carolina.piccioli@icloud.com</v>
      </c>
      <c r="H245" s="763">
        <f>IFERROR(__xludf.DUMMYFUNCTION("""COMPUTED_VALUE"""),3.667433835E9)</f>
        <v>3667433835</v>
      </c>
      <c r="I245" s="763" t="str">
        <f>IFERROR(__xludf.DUMMYFUNCTION("""COMPUTED_VALUE"""),"Monza")</f>
        <v>Monza</v>
      </c>
      <c r="J245" s="763" t="str">
        <f>IFERROR(__xludf.DUMMYFUNCTION("""COMPUTED_VALUE"""),"Palazzo C")</f>
        <v>Palazzo C</v>
      </c>
      <c r="K245" s="763">
        <f>IFERROR(__xludf.DUMMYFUNCTION("""COMPUTED_VALUE"""),20900.0)</f>
        <v>20900</v>
      </c>
      <c r="L245" s="763" t="str">
        <f>IFERROR(__xludf.DUMMYFUNCTION("""COMPUTED_VALUE"""),"Carte di pagamento")</f>
        <v>Carte di pagamento</v>
      </c>
      <c r="M245" s="763"/>
      <c r="N245" s="763" t="str">
        <f>IFERROR(__xludf.DUMMYFUNCTION("""COMPUTED_VALUE"""),"65081-1759777861")</f>
        <v>65081-1759777861</v>
      </c>
      <c r="O245" s="763">
        <f>IFERROR(__xludf.DUMMYFUNCTION("""COMPUTED_VALUE"""),0.0)</f>
        <v>0</v>
      </c>
      <c r="P245" s="767">
        <f>IFERROR(__xludf.DUMMYFUNCTION("""COMPUTED_VALUE"""),1.3333333333333333)</f>
        <v>1.333333333</v>
      </c>
      <c r="Q245" s="763" t="str">
        <f>IFERROR(__xludf.DUMMYFUNCTION("""COMPUTED_VALUE"""),"EUR")</f>
        <v>EUR</v>
      </c>
      <c r="R245" s="763">
        <f>IFERROR(__xludf.DUMMYFUNCTION("""COMPUTED_VALUE"""),644.0)</f>
        <v>644</v>
      </c>
      <c r="S245" s="763" t="str">
        <f>IFERROR(__xludf.DUMMYFUNCTION("""COMPUTED_VALUE"""),"Workshop Urban con Kumo - Workshop Kumo Urban")</f>
        <v>Workshop Urban con Kumo - Workshop Kumo Urban</v>
      </c>
      <c r="T245" s="763"/>
      <c r="U245" s="763"/>
      <c r="V245" s="763">
        <f>IFERROR(__xludf.DUMMYFUNCTION("""COMPUTED_VALUE"""),1.0)</f>
        <v>1</v>
      </c>
      <c r="W245" s="763">
        <f>IFERROR(__xludf.DUMMYFUNCTION("""COMPUTED_VALUE"""),32.0)</f>
        <v>32</v>
      </c>
      <c r="X245" s="763">
        <f>IFERROR(__xludf.DUMMYFUNCTION("""COMPUTED_VALUE"""),32.0)</f>
        <v>32</v>
      </c>
      <c r="Y245" s="763"/>
      <c r="Z245" s="768" t="str">
        <f>IFERROR(__xludf.DUMMYFUNCTION("""COMPUTED_VALUE"""),"https://studio-gem.it/wp-admin/post.php?post=65081&amp;action=edit")</f>
        <v>https://studio-gem.it/wp-admin/post.php?post=65081&amp;action=edit</v>
      </c>
      <c r="AA245" s="763"/>
      <c r="AB245" s="763"/>
      <c r="AC245" s="763"/>
      <c r="AD245" s="763"/>
      <c r="AE245" s="763"/>
      <c r="AF245" s="763"/>
      <c r="AG245" s="763"/>
      <c r="AH245" s="763"/>
      <c r="AI245" s="763"/>
      <c r="AJ245" s="763"/>
      <c r="AK245" s="763"/>
      <c r="AL245" s="763"/>
      <c r="AM245" s="763"/>
      <c r="AN245" s="763"/>
      <c r="AO245" s="763"/>
      <c r="AP245" s="763"/>
      <c r="AQ245" s="763"/>
      <c r="AR245" s="763"/>
      <c r="AS245" s="763"/>
      <c r="AT245" s="763"/>
      <c r="AU245" s="763"/>
      <c r="AV245" s="763"/>
      <c r="AW245" s="763"/>
      <c r="AX245" s="763"/>
      <c r="AY245" s="763"/>
      <c r="AZ245" s="763"/>
      <c r="BA245" s="763"/>
      <c r="BB245" s="763"/>
      <c r="BC245" s="763"/>
      <c r="BD245" s="763"/>
      <c r="BE245" s="763"/>
      <c r="BF245" s="763"/>
      <c r="BG245" s="763" t="b">
        <f>IFERROR(__xludf.DUMMYFUNCTION("""COMPUTED_VALUE"""),TRUE)</f>
        <v>1</v>
      </c>
      <c r="BH245" s="763" t="b">
        <f>IFERROR(__xludf.DUMMYFUNCTION("""COMPUTED_VALUE"""),TRUE)</f>
        <v>1</v>
      </c>
      <c r="BI245" s="763" t="b">
        <f>IFERROR(__xludf.DUMMYFUNCTION("""COMPUTED_VALUE"""),TRUE)</f>
        <v>1</v>
      </c>
      <c r="BJ245" s="763" t="b">
        <f>IFERROR(__xludf.DUMMYFUNCTION("""COMPUTED_VALUE"""),TRUE)</f>
        <v>1</v>
      </c>
    </row>
    <row r="246">
      <c r="A246" s="763">
        <f>IFERROR(__xludf.DUMMYFUNCTION("""COMPUTED_VALUE"""),65083.0)</f>
        <v>65083</v>
      </c>
      <c r="B246" s="763">
        <f>IFERROR(__xludf.DUMMYFUNCTION("""COMPUTED_VALUE"""),65083.0)</f>
        <v>65083</v>
      </c>
      <c r="C246" s="763" t="str">
        <f>IFERROR(__xludf.DUMMYFUNCTION("""COMPUTED_VALUE"""),"2025-10-07 07:52:04")</f>
        <v>2025-10-07 07:52:04</v>
      </c>
      <c r="D246" s="763" t="str">
        <f>IFERROR(__xludf.DUMMYFUNCTION("""COMPUTED_VALUE"""),"completed")</f>
        <v>completed</v>
      </c>
      <c r="E246" s="763" t="str">
        <f>IFERROR(__xludf.DUMMYFUNCTION("""COMPUTED_VALUE"""),"MONA")</f>
        <v>MONA</v>
      </c>
      <c r="F246" s="763" t="str">
        <f>IFERROR(__xludf.DUMMYFUNCTION("""COMPUTED_VALUE"""),"AFSHARI")</f>
        <v>AFSHARI</v>
      </c>
      <c r="G246" s="763" t="str">
        <f>IFERROR(__xludf.DUMMYFUNCTION("""COMPUTED_VALUE"""),"mona.afshar741@gmail.com")</f>
        <v>mona.afshar741@gmail.com</v>
      </c>
      <c r="H246" s="763">
        <f>IFERROR(__xludf.DUMMYFUNCTION("""COMPUTED_VALUE"""),3.518087121E9)</f>
        <v>3518087121</v>
      </c>
      <c r="I246" s="763" t="str">
        <f>IFERROR(__xludf.DUMMYFUNCTION("""COMPUTED_VALUE"""),"MONZA")</f>
        <v>MONZA</v>
      </c>
      <c r="J246" s="763" t="str">
        <f>IFERROR(__xludf.DUMMYFUNCTION("""COMPUTED_VALUE"""),"Via Reina, 7")</f>
        <v>Via Reina, 7</v>
      </c>
      <c r="K246" s="763">
        <f>IFERROR(__xludf.DUMMYFUNCTION("""COMPUTED_VALUE"""),20900.0)</f>
        <v>20900</v>
      </c>
      <c r="L246" s="763" t="str">
        <f>IFERROR(__xludf.DUMMYFUNCTION("""COMPUTED_VALUE"""),"Carte di pagamento")</f>
        <v>Carte di pagamento</v>
      </c>
      <c r="M246" s="763"/>
      <c r="N246" s="763" t="str">
        <f>IFERROR(__xludf.DUMMYFUNCTION("""COMPUTED_VALUE"""),"65083-1759823525")</f>
        <v>65083-1759823525</v>
      </c>
      <c r="O246" s="763">
        <f>IFERROR(__xludf.DUMMYFUNCTION("""COMPUTED_VALUE"""),0.0)</f>
        <v>0</v>
      </c>
      <c r="P246" s="767">
        <f>IFERROR(__xludf.DUMMYFUNCTION("""COMPUTED_VALUE"""),1.5416666666666667)</f>
        <v>1.541666667</v>
      </c>
      <c r="Q246" s="763" t="str">
        <f>IFERROR(__xludf.DUMMYFUNCTION("""COMPUTED_VALUE"""),"EUR")</f>
        <v>EUR</v>
      </c>
      <c r="R246" s="763">
        <f>IFERROR(__xludf.DUMMYFUNCTION("""COMPUTED_VALUE"""),645.0)</f>
        <v>645</v>
      </c>
      <c r="S246" s="763" t="str">
        <f>IFERROR(__xludf.DUMMYFUNCTION("""COMPUTED_VALUE"""),"Workshop Afrofusion con Banana 2025 - Workshop Banana afrofusion")</f>
        <v>Workshop Afrofusion con Banana 2025 - Workshop Banana afrofusion</v>
      </c>
      <c r="T246" s="763"/>
      <c r="U246" s="763"/>
      <c r="V246" s="763">
        <f>IFERROR(__xludf.DUMMYFUNCTION("""COMPUTED_VALUE"""),1.0)</f>
        <v>1</v>
      </c>
      <c r="W246" s="763">
        <f>IFERROR(__xludf.DUMMYFUNCTION("""COMPUTED_VALUE"""),37.0)</f>
        <v>37</v>
      </c>
      <c r="X246" s="763">
        <f>IFERROR(__xludf.DUMMYFUNCTION("""COMPUTED_VALUE"""),37.0)</f>
        <v>37</v>
      </c>
      <c r="Y246" s="763"/>
      <c r="Z246" s="768" t="str">
        <f>IFERROR(__xludf.DUMMYFUNCTION("""COMPUTED_VALUE"""),"https://studio-gem.it/wp-admin/post.php?post=65083&amp;action=edit")</f>
        <v>https://studio-gem.it/wp-admin/post.php?post=65083&amp;action=edit</v>
      </c>
      <c r="AA246" s="763"/>
      <c r="AB246" s="763"/>
      <c r="AC246" s="763"/>
      <c r="AD246" s="763"/>
      <c r="AE246" s="763"/>
      <c r="AF246" s="763"/>
      <c r="AG246" s="763"/>
      <c r="AH246" s="763"/>
      <c r="AI246" s="763"/>
      <c r="AJ246" s="763"/>
      <c r="AK246" s="763"/>
      <c r="AL246" s="763"/>
      <c r="AM246" s="763"/>
      <c r="AN246" s="763"/>
      <c r="AO246" s="763"/>
      <c r="AP246" s="763"/>
      <c r="AQ246" s="763"/>
      <c r="AR246" s="763"/>
      <c r="AS246" s="763"/>
      <c r="AT246" s="763"/>
      <c r="AU246" s="763"/>
      <c r="AV246" s="763"/>
      <c r="AW246" s="763"/>
      <c r="AX246" s="763"/>
      <c r="AY246" s="763"/>
      <c r="AZ246" s="763"/>
      <c r="BA246" s="763"/>
      <c r="BB246" s="763"/>
      <c r="BC246" s="763"/>
      <c r="BD246" s="763"/>
      <c r="BE246" s="763"/>
      <c r="BF246" s="763"/>
      <c r="BG246" s="763" t="b">
        <f>IFERROR(__xludf.DUMMYFUNCTION("""COMPUTED_VALUE"""),TRUE)</f>
        <v>1</v>
      </c>
      <c r="BH246" s="763" t="b">
        <f>IFERROR(__xludf.DUMMYFUNCTION("""COMPUTED_VALUE"""),TRUE)</f>
        <v>1</v>
      </c>
      <c r="BI246" s="763" t="b">
        <f>IFERROR(__xludf.DUMMYFUNCTION("""COMPUTED_VALUE"""),TRUE)</f>
        <v>1</v>
      </c>
      <c r="BJ246" s="763" t="b">
        <f>IFERROR(__xludf.DUMMYFUNCTION("""COMPUTED_VALUE"""),TRUE)</f>
        <v>1</v>
      </c>
    </row>
    <row r="247">
      <c r="A247" s="763">
        <f>IFERROR(__xludf.DUMMYFUNCTION("""COMPUTED_VALUE"""),65085.0)</f>
        <v>65085</v>
      </c>
      <c r="B247" s="763">
        <f>IFERROR(__xludf.DUMMYFUNCTION("""COMPUTED_VALUE"""),65085.0)</f>
        <v>65085</v>
      </c>
      <c r="C247" s="763" t="str">
        <f>IFERROR(__xludf.DUMMYFUNCTION("""COMPUTED_VALUE"""),"2025-10-07 09:29:53")</f>
        <v>2025-10-07 09:29:53</v>
      </c>
      <c r="D247" s="763" t="str">
        <f>IFERROR(__xludf.DUMMYFUNCTION("""COMPUTED_VALUE"""),"failed")</f>
        <v>failed</v>
      </c>
      <c r="E247" s="763" t="str">
        <f>IFERROR(__xludf.DUMMYFUNCTION("""COMPUTED_VALUE"""),"Claudia")</f>
        <v>Claudia</v>
      </c>
      <c r="F247" s="763" t="str">
        <f>IFERROR(__xludf.DUMMYFUNCTION("""COMPUTED_VALUE"""),"Scipioni")</f>
        <v>Scipioni</v>
      </c>
      <c r="G247" s="763" t="str">
        <f>IFERROR(__xludf.DUMMYFUNCTION("""COMPUTED_VALUE"""),"claudia.scipioni64@gmail.com")</f>
        <v>claudia.scipioni64@gmail.com</v>
      </c>
      <c r="H247" s="763">
        <f>IFERROR(__xludf.DUMMYFUNCTION("""COMPUTED_VALUE"""),3.396859611E9)</f>
        <v>3396859611</v>
      </c>
      <c r="I247" s="763" t="str">
        <f>IFERROR(__xludf.DUMMYFUNCTION("""COMPUTED_VALUE"""),"Milano")</f>
        <v>Milano</v>
      </c>
      <c r="J247" s="763" t="str">
        <f>IFERROR(__xludf.DUMMYFUNCTION("""COMPUTED_VALUE"""),"via Calatafimi 15")</f>
        <v>via Calatafimi 15</v>
      </c>
      <c r="K247" s="763">
        <f>IFERROR(__xludf.DUMMYFUNCTION("""COMPUTED_VALUE"""),20122.0)</f>
        <v>20122</v>
      </c>
      <c r="L247" s="763" t="str">
        <f>IFERROR(__xludf.DUMMYFUNCTION("""COMPUTED_VALUE"""),"Carte di pagamento")</f>
        <v>Carte di pagamento</v>
      </c>
      <c r="M247" s="763" t="str">
        <f>IFERROR(__xludf.DUMMYFUNCTION("""COMPUTED_VALUE"""),"alexandra02ws")</f>
        <v>alexandra02ws</v>
      </c>
      <c r="N247" s="763" t="str">
        <f>IFERROR(__xludf.DUMMYFUNCTION("""COMPUTED_VALUE"""),"65085-1759840638")</f>
        <v>65085-1759840638</v>
      </c>
      <c r="O247" s="763">
        <f>IFERROR(__xludf.DUMMYFUNCTION("""COMPUTED_VALUE"""),0.0)</f>
        <v>0</v>
      </c>
      <c r="P247" s="767">
        <f>IFERROR(__xludf.DUMMYFUNCTION("""COMPUTED_VALUE"""),1.0416666666666667)</f>
        <v>1.041666667</v>
      </c>
      <c r="Q247" s="763" t="str">
        <f>IFERROR(__xludf.DUMMYFUNCTION("""COMPUTED_VALUE"""),"EUR")</f>
        <v>EUR</v>
      </c>
      <c r="R247" s="763">
        <f>IFERROR(__xludf.DUMMYFUNCTION("""COMPUTED_VALUE"""),648.0)</f>
        <v>648</v>
      </c>
      <c r="S247" s="763" t="str">
        <f>IFERROR(__xludf.DUMMYFUNCTION("""COMPUTED_VALUE"""),"Workshop Indian Fusion con Leli - Workshop Leli Indian Fusion")</f>
        <v>Workshop Indian Fusion con Leli - Workshop Leli Indian Fusion</v>
      </c>
      <c r="T247" s="763"/>
      <c r="U247" s="763"/>
      <c r="V247" s="763">
        <f>IFERROR(__xludf.DUMMYFUNCTION("""COMPUTED_VALUE"""),1.0)</f>
        <v>1</v>
      </c>
      <c r="W247" s="763">
        <f>IFERROR(__xludf.DUMMYFUNCTION("""COMPUTED_VALUE"""),25.0)</f>
        <v>25</v>
      </c>
      <c r="X247" s="763">
        <f>IFERROR(__xludf.DUMMYFUNCTION("""COMPUTED_VALUE"""),25.0)</f>
        <v>25</v>
      </c>
      <c r="Y247" s="763"/>
      <c r="Z247" s="768" t="str">
        <f>IFERROR(__xludf.DUMMYFUNCTION("""COMPUTED_VALUE"""),"https://studio-gem.it/wp-admin/post.php?post=65085&amp;action=edit")</f>
        <v>https://studio-gem.it/wp-admin/post.php?post=65085&amp;action=edit</v>
      </c>
      <c r="AA247" s="763"/>
      <c r="AB247" s="763"/>
      <c r="AC247" s="763"/>
      <c r="AD247" s="763"/>
      <c r="AE247" s="763"/>
      <c r="AF247" s="763"/>
      <c r="AG247" s="763"/>
      <c r="AH247" s="763"/>
      <c r="AI247" s="763"/>
      <c r="AJ247" s="763"/>
      <c r="AK247" s="763"/>
      <c r="AL247" s="763"/>
      <c r="AM247" s="763"/>
      <c r="AN247" s="763"/>
      <c r="AO247" s="763"/>
      <c r="AP247" s="763"/>
      <c r="AQ247" s="763"/>
      <c r="AR247" s="763"/>
      <c r="AS247" s="763"/>
      <c r="AT247" s="763"/>
      <c r="AU247" s="763"/>
      <c r="AV247" s="763"/>
      <c r="AW247" s="763"/>
      <c r="AX247" s="763"/>
      <c r="AY247" s="763"/>
      <c r="AZ247" s="763"/>
      <c r="BA247" s="763"/>
      <c r="BB247" s="763"/>
      <c r="BC247" s="763"/>
      <c r="BD247" s="763"/>
      <c r="BE247" s="763"/>
      <c r="BF247" s="763"/>
      <c r="BG247" s="763" t="b">
        <f>IFERROR(__xludf.DUMMYFUNCTION("""COMPUTED_VALUE"""),TRUE)</f>
        <v>1</v>
      </c>
      <c r="BH247" s="763" t="b">
        <f>IFERROR(__xludf.DUMMYFUNCTION("""COMPUTED_VALUE"""),TRUE)</f>
        <v>1</v>
      </c>
      <c r="BI247" s="763" t="b">
        <f>IFERROR(__xludf.DUMMYFUNCTION("""COMPUTED_VALUE"""),TRUE)</f>
        <v>1</v>
      </c>
      <c r="BJ247" s="763" t="b">
        <f>IFERROR(__xludf.DUMMYFUNCTION("""COMPUTED_VALUE"""),TRUE)</f>
        <v>1</v>
      </c>
    </row>
    <row r="248">
      <c r="A248" s="763">
        <f>IFERROR(__xludf.DUMMYFUNCTION("""COMPUTED_VALUE"""),65085.0)</f>
        <v>65085</v>
      </c>
      <c r="B248" s="763">
        <f>IFERROR(__xludf.DUMMYFUNCTION("""COMPUTED_VALUE"""),65085.0)</f>
        <v>65085</v>
      </c>
      <c r="C248" s="763" t="str">
        <f>IFERROR(__xludf.DUMMYFUNCTION("""COMPUTED_VALUE"""),"2025-10-07 09:29:53")</f>
        <v>2025-10-07 09:29:53</v>
      </c>
      <c r="D248" s="763" t="str">
        <f>IFERROR(__xludf.DUMMYFUNCTION("""COMPUTED_VALUE"""),"processing")</f>
        <v>processing</v>
      </c>
      <c r="E248" s="763" t="str">
        <f>IFERROR(__xludf.DUMMYFUNCTION("""COMPUTED_VALUE"""),"Claudia")</f>
        <v>Claudia</v>
      </c>
      <c r="F248" s="763" t="str">
        <f>IFERROR(__xludf.DUMMYFUNCTION("""COMPUTED_VALUE"""),"Scipioni")</f>
        <v>Scipioni</v>
      </c>
      <c r="G248" s="763" t="str">
        <f>IFERROR(__xludf.DUMMYFUNCTION("""COMPUTED_VALUE"""),"claudia.scipioni64@gmail.com")</f>
        <v>claudia.scipioni64@gmail.com</v>
      </c>
      <c r="H248" s="763">
        <f>IFERROR(__xludf.DUMMYFUNCTION("""COMPUTED_VALUE"""),3.396859611E9)</f>
        <v>3396859611</v>
      </c>
      <c r="I248" s="763" t="str">
        <f>IFERROR(__xludf.DUMMYFUNCTION("""COMPUTED_VALUE"""),"Milano")</f>
        <v>Milano</v>
      </c>
      <c r="J248" s="763" t="str">
        <f>IFERROR(__xludf.DUMMYFUNCTION("""COMPUTED_VALUE"""),"via Calatafimi 15")</f>
        <v>via Calatafimi 15</v>
      </c>
      <c r="K248" s="763">
        <f>IFERROR(__xludf.DUMMYFUNCTION("""COMPUTED_VALUE"""),20122.0)</f>
        <v>20122</v>
      </c>
      <c r="L248" s="763" t="str">
        <f>IFERROR(__xludf.DUMMYFUNCTION("""COMPUTED_VALUE"""),"Carte di pagamento")</f>
        <v>Carte di pagamento</v>
      </c>
      <c r="M248" s="763" t="str">
        <f>IFERROR(__xludf.DUMMYFUNCTION("""COMPUTED_VALUE"""),"alexandra02ws")</f>
        <v>alexandra02ws</v>
      </c>
      <c r="N248" s="763" t="str">
        <f>IFERROR(__xludf.DUMMYFUNCTION("""COMPUTED_VALUE"""),"65085-1759840638")</f>
        <v>65085-1759840638</v>
      </c>
      <c r="O248" s="763">
        <f>IFERROR(__xludf.DUMMYFUNCTION("""COMPUTED_VALUE"""),0.0)</f>
        <v>0</v>
      </c>
      <c r="P248" s="767">
        <f>IFERROR(__xludf.DUMMYFUNCTION("""COMPUTED_VALUE"""),1.0416666666666667)</f>
        <v>1.041666667</v>
      </c>
      <c r="Q248" s="763" t="str">
        <f>IFERROR(__xludf.DUMMYFUNCTION("""COMPUTED_VALUE"""),"EUR")</f>
        <v>EUR</v>
      </c>
      <c r="R248" s="763">
        <f>IFERROR(__xludf.DUMMYFUNCTION("""COMPUTED_VALUE"""),650.0)</f>
        <v>650</v>
      </c>
      <c r="S248" s="763" t="str">
        <f>IFERROR(__xludf.DUMMYFUNCTION("""COMPUTED_VALUE"""),"Workshop Indian Fusion con Leli - Workshop Leli Indian Fusion")</f>
        <v>Workshop Indian Fusion con Leli - Workshop Leli Indian Fusion</v>
      </c>
      <c r="T248" s="763"/>
      <c r="U248" s="763"/>
      <c r="V248" s="763">
        <f>IFERROR(__xludf.DUMMYFUNCTION("""COMPUTED_VALUE"""),1.0)</f>
        <v>1</v>
      </c>
      <c r="W248" s="763">
        <f>IFERROR(__xludf.DUMMYFUNCTION("""COMPUTED_VALUE"""),25.0)</f>
        <v>25</v>
      </c>
      <c r="X248" s="763">
        <f>IFERROR(__xludf.DUMMYFUNCTION("""COMPUTED_VALUE"""),25.0)</f>
        <v>25</v>
      </c>
      <c r="Y248" s="763"/>
      <c r="Z248" s="768" t="str">
        <f>IFERROR(__xludf.DUMMYFUNCTION("""COMPUTED_VALUE"""),"https://studio-gem.it/wp-admin/post.php?post=65085&amp;action=edit")</f>
        <v>https://studio-gem.it/wp-admin/post.php?post=65085&amp;action=edit</v>
      </c>
      <c r="AA248" s="763"/>
      <c r="AB248" s="763"/>
      <c r="AC248" s="763"/>
      <c r="AD248" s="763"/>
      <c r="AE248" s="763"/>
      <c r="AF248" s="763"/>
      <c r="AG248" s="763"/>
      <c r="AH248" s="763"/>
      <c r="AI248" s="763"/>
      <c r="AJ248" s="763"/>
      <c r="AK248" s="763"/>
      <c r="AL248" s="763"/>
      <c r="AM248" s="763"/>
      <c r="AN248" s="763"/>
      <c r="AO248" s="763"/>
      <c r="AP248" s="763"/>
      <c r="AQ248" s="763"/>
      <c r="AR248" s="763"/>
      <c r="AS248" s="763"/>
      <c r="AT248" s="763"/>
      <c r="AU248" s="763"/>
      <c r="AV248" s="763"/>
      <c r="AW248" s="763"/>
      <c r="AX248" s="763"/>
      <c r="AY248" s="763"/>
      <c r="AZ248" s="763"/>
      <c r="BA248" s="763"/>
      <c r="BB248" s="763"/>
      <c r="BC248" s="763"/>
      <c r="BD248" s="763"/>
      <c r="BE248" s="763"/>
      <c r="BF248" s="763"/>
      <c r="BG248" s="763" t="b">
        <f>IFERROR(__xludf.DUMMYFUNCTION("""COMPUTED_VALUE"""),FALSE)</f>
        <v>0</v>
      </c>
      <c r="BH248" s="763" t="b">
        <f>IFERROR(__xludf.DUMMYFUNCTION("""COMPUTED_VALUE"""),TRUE)</f>
        <v>1</v>
      </c>
      <c r="BI248" s="763" t="b">
        <f>IFERROR(__xludf.DUMMYFUNCTION("""COMPUTED_VALUE"""),TRUE)</f>
        <v>1</v>
      </c>
      <c r="BJ248" s="763" t="b">
        <f>IFERROR(__xludf.DUMMYFUNCTION("""COMPUTED_VALUE"""),FALSE)</f>
        <v>0</v>
      </c>
    </row>
    <row r="249">
      <c r="A249" s="763">
        <f>IFERROR(__xludf.DUMMYFUNCTION("""COMPUTED_VALUE"""),65088.0)</f>
        <v>65088</v>
      </c>
      <c r="B249" s="763">
        <f>IFERROR(__xludf.DUMMYFUNCTION("""COMPUTED_VALUE"""),65088.0)</f>
        <v>65088</v>
      </c>
      <c r="C249" s="763" t="str">
        <f>IFERROR(__xludf.DUMMYFUNCTION("""COMPUTED_VALUE"""),"2025-10-07 19:20:58")</f>
        <v>2025-10-07 19:20:58</v>
      </c>
      <c r="D249" s="763" t="str">
        <f>IFERROR(__xludf.DUMMYFUNCTION("""COMPUTED_VALUE"""),"completed")</f>
        <v>completed</v>
      </c>
      <c r="E249" s="763" t="str">
        <f>IFERROR(__xludf.DUMMYFUNCTION("""COMPUTED_VALUE"""),"Simona")</f>
        <v>Simona</v>
      </c>
      <c r="F249" s="763" t="str">
        <f>IFERROR(__xludf.DUMMYFUNCTION("""COMPUTED_VALUE"""),"Abbatista")</f>
        <v>Abbatista</v>
      </c>
      <c r="G249" s="763" t="str">
        <f>IFERROR(__xludf.DUMMYFUNCTION("""COMPUTED_VALUE"""),"simona.abbatista@virgilio.it")</f>
        <v>simona.abbatista@virgilio.it</v>
      </c>
      <c r="H249" s="763" t="str">
        <f>IFERROR(__xludf.DUMMYFUNCTION("""COMPUTED_VALUE"""),"+393355460087")</f>
        <v>+393355460087</v>
      </c>
      <c r="I249" s="763" t="str">
        <f>IFERROR(__xludf.DUMMYFUNCTION("""COMPUTED_VALUE"""),"Milano")</f>
        <v>Milano</v>
      </c>
      <c r="J249" s="763" t="str">
        <f>IFERROR(__xludf.DUMMYFUNCTION("""COMPUTED_VALUE"""),"Via Lomellina 64")</f>
        <v>Via Lomellina 64</v>
      </c>
      <c r="K249" s="763">
        <f>IFERROR(__xludf.DUMMYFUNCTION("""COMPUTED_VALUE"""),20133.0)</f>
        <v>20133</v>
      </c>
      <c r="L249" s="763" t="str">
        <f>IFERROR(__xludf.DUMMYFUNCTION("""COMPUTED_VALUE"""),"Satispay")</f>
        <v>Satispay</v>
      </c>
      <c r="M249" s="763"/>
      <c r="N249" s="763" t="str">
        <f>IFERROR(__xludf.DUMMYFUNCTION("""COMPUTED_VALUE"""),"0199c01e-a7ea-7b4a-bf2e-2823e0b755b6")</f>
        <v>0199c01e-a7ea-7b4a-bf2e-2823e0b755b6</v>
      </c>
      <c r="O249" s="763">
        <f>IFERROR(__xludf.DUMMYFUNCTION("""COMPUTED_VALUE"""),0.0)</f>
        <v>0</v>
      </c>
      <c r="P249" s="767">
        <f>IFERROR(__xludf.DUMMYFUNCTION("""COMPUTED_VALUE"""),1.5416666666666667)</f>
        <v>1.541666667</v>
      </c>
      <c r="Q249" s="763" t="str">
        <f>IFERROR(__xludf.DUMMYFUNCTION("""COMPUTED_VALUE"""),"EUR")</f>
        <v>EUR</v>
      </c>
      <c r="R249" s="763">
        <f>IFERROR(__xludf.DUMMYFUNCTION("""COMPUTED_VALUE"""),652.0)</f>
        <v>652</v>
      </c>
      <c r="S249" s="763" t="str">
        <f>IFERROR(__xludf.DUMMYFUNCTION("""COMPUTED_VALUE"""),"Workshop Heels con Lulu Kulova - Workshop Lulu Heels")</f>
        <v>Workshop Heels con Lulu Kulova - Workshop Lulu Heels</v>
      </c>
      <c r="T249" s="763"/>
      <c r="U249" s="763"/>
      <c r="V249" s="763">
        <f>IFERROR(__xludf.DUMMYFUNCTION("""COMPUTED_VALUE"""),1.0)</f>
        <v>1</v>
      </c>
      <c r="W249" s="763">
        <f>IFERROR(__xludf.DUMMYFUNCTION("""COMPUTED_VALUE"""),37.0)</f>
        <v>37</v>
      </c>
      <c r="X249" s="763">
        <f>IFERROR(__xludf.DUMMYFUNCTION("""COMPUTED_VALUE"""),37.0)</f>
        <v>37</v>
      </c>
      <c r="Y249" s="763"/>
      <c r="Z249" s="768" t="str">
        <f>IFERROR(__xludf.DUMMYFUNCTION("""COMPUTED_VALUE"""),"https://studio-gem.it/wp-admin/post.php?post=65088&amp;action=edit")</f>
        <v>https://studio-gem.it/wp-admin/post.php?post=65088&amp;action=edit</v>
      </c>
      <c r="AA249" s="763"/>
      <c r="AB249" s="763"/>
      <c r="AC249" s="763"/>
      <c r="AD249" s="763"/>
      <c r="AE249" s="763"/>
      <c r="AF249" s="763"/>
      <c r="AG249" s="763"/>
      <c r="AH249" s="763"/>
      <c r="AI249" s="763"/>
      <c r="AJ249" s="763"/>
      <c r="AK249" s="763"/>
      <c r="AL249" s="763"/>
      <c r="AM249" s="763"/>
      <c r="AN249" s="763"/>
      <c r="AO249" s="763"/>
      <c r="AP249" s="763"/>
      <c r="AQ249" s="763"/>
      <c r="AR249" s="763"/>
      <c r="AS249" s="763"/>
      <c r="AT249" s="763"/>
      <c r="AU249" s="763"/>
      <c r="AV249" s="763"/>
      <c r="AW249" s="763"/>
      <c r="AX249" s="763"/>
      <c r="AY249" s="763"/>
      <c r="AZ249" s="763"/>
      <c r="BA249" s="763"/>
      <c r="BB249" s="763"/>
      <c r="BC249" s="763"/>
      <c r="BD249" s="763"/>
      <c r="BE249" s="763"/>
      <c r="BF249" s="763"/>
      <c r="BG249" s="763" t="b">
        <f>IFERROR(__xludf.DUMMYFUNCTION("""COMPUTED_VALUE"""),TRUE)</f>
        <v>1</v>
      </c>
      <c r="BH249" s="763" t="b">
        <f>IFERROR(__xludf.DUMMYFUNCTION("""COMPUTED_VALUE"""),TRUE)</f>
        <v>1</v>
      </c>
      <c r="BI249" s="763" t="b">
        <f>IFERROR(__xludf.DUMMYFUNCTION("""COMPUTED_VALUE"""),TRUE)</f>
        <v>1</v>
      </c>
      <c r="BJ249" s="763" t="b">
        <f>IFERROR(__xludf.DUMMYFUNCTION("""COMPUTED_VALUE"""),TRUE)</f>
        <v>1</v>
      </c>
    </row>
    <row r="250">
      <c r="A250" s="763">
        <f>IFERROR(__xludf.DUMMYFUNCTION("""COMPUTED_VALUE"""),65090.0)</f>
        <v>65090</v>
      </c>
      <c r="B250" s="763">
        <f>IFERROR(__xludf.DUMMYFUNCTION("""COMPUTED_VALUE"""),65090.0)</f>
        <v>65090</v>
      </c>
      <c r="C250" s="763" t="str">
        <f>IFERROR(__xludf.DUMMYFUNCTION("""COMPUTED_VALUE"""),"2025-10-07 19:59:36")</f>
        <v>2025-10-07 19:59:36</v>
      </c>
      <c r="D250" s="763" t="str">
        <f>IFERROR(__xludf.DUMMYFUNCTION("""COMPUTED_VALUE"""),"completed")</f>
        <v>completed</v>
      </c>
      <c r="E250" s="763" t="str">
        <f>IFERROR(__xludf.DUMMYFUNCTION("""COMPUTED_VALUE"""),"Rebecca")</f>
        <v>Rebecca</v>
      </c>
      <c r="F250" s="763" t="str">
        <f>IFERROR(__xludf.DUMMYFUNCTION("""COMPUTED_VALUE"""),"Laffranchi")</f>
        <v>Laffranchi</v>
      </c>
      <c r="G250" s="763" t="str">
        <f>IFERROR(__xludf.DUMMYFUNCTION("""COMPUTED_VALUE"""),"laffranchi06@gmail.com")</f>
        <v>laffranchi06@gmail.com</v>
      </c>
      <c r="H250" s="763">
        <f>IFERROR(__xludf.DUMMYFUNCTION("""COMPUTED_VALUE"""),3.286757789E9)</f>
        <v>3286757789</v>
      </c>
      <c r="I250" s="763" t="str">
        <f>IFERROR(__xludf.DUMMYFUNCTION("""COMPUTED_VALUE"""),"Rezzato")</f>
        <v>Rezzato</v>
      </c>
      <c r="J250" s="763" t="str">
        <f>IFERROR(__xludf.DUMMYFUNCTION("""COMPUTED_VALUE"""),"Via Disciplina")</f>
        <v>Via Disciplina</v>
      </c>
      <c r="K250" s="763">
        <f>IFERROR(__xludf.DUMMYFUNCTION("""COMPUTED_VALUE"""),25086.0)</f>
        <v>25086</v>
      </c>
      <c r="L250" s="763" t="str">
        <f>IFERROR(__xludf.DUMMYFUNCTION("""COMPUTED_VALUE"""),"Carte di pagamento")</f>
        <v>Carte di pagamento</v>
      </c>
      <c r="M250" s="763"/>
      <c r="N250" s="763" t="str">
        <f>IFERROR(__xludf.DUMMYFUNCTION("""COMPUTED_VALUE"""),"65090-1759867178")</f>
        <v>65090-1759867178</v>
      </c>
      <c r="O250" s="763">
        <f>IFERROR(__xludf.DUMMYFUNCTION("""COMPUTED_VALUE"""),0.0)</f>
        <v>0</v>
      </c>
      <c r="P250" s="767">
        <f>IFERROR(__xludf.DUMMYFUNCTION("""COMPUTED_VALUE"""),1.3333333333333333)</f>
        <v>1.333333333</v>
      </c>
      <c r="Q250" s="763" t="str">
        <f>IFERROR(__xludf.DUMMYFUNCTION("""COMPUTED_VALUE"""),"EUR")</f>
        <v>EUR</v>
      </c>
      <c r="R250" s="763">
        <f>IFERROR(__xludf.DUMMYFUNCTION("""COMPUTED_VALUE"""),653.0)</f>
        <v>653</v>
      </c>
      <c r="S250" s="763" t="str">
        <f>IFERROR(__xludf.DUMMYFUNCTION("""COMPUTED_VALUE"""),"Workshop Urban con Kumo - Workshop Kumo Urban")</f>
        <v>Workshop Urban con Kumo - Workshop Kumo Urban</v>
      </c>
      <c r="T250" s="763"/>
      <c r="U250" s="763"/>
      <c r="V250" s="763">
        <f>IFERROR(__xludf.DUMMYFUNCTION("""COMPUTED_VALUE"""),1.0)</f>
        <v>1</v>
      </c>
      <c r="W250" s="763">
        <f>IFERROR(__xludf.DUMMYFUNCTION("""COMPUTED_VALUE"""),32.0)</f>
        <v>32</v>
      </c>
      <c r="X250" s="763">
        <f>IFERROR(__xludf.DUMMYFUNCTION("""COMPUTED_VALUE"""),32.0)</f>
        <v>32</v>
      </c>
      <c r="Y250" s="763"/>
      <c r="Z250" s="768" t="str">
        <f>IFERROR(__xludf.DUMMYFUNCTION("""COMPUTED_VALUE"""),"https://studio-gem.it/wp-admin/post.php?post=65090&amp;action=edit")</f>
        <v>https://studio-gem.it/wp-admin/post.php?post=65090&amp;action=edit</v>
      </c>
      <c r="AA250" s="763"/>
      <c r="AB250" s="763"/>
      <c r="AC250" s="763"/>
      <c r="AD250" s="763"/>
      <c r="AE250" s="763"/>
      <c r="AF250" s="763"/>
      <c r="AG250" s="763"/>
      <c r="AH250" s="763"/>
      <c r="AI250" s="763"/>
      <c r="AJ250" s="763"/>
      <c r="AK250" s="763"/>
      <c r="AL250" s="763"/>
      <c r="AM250" s="763"/>
      <c r="AN250" s="763"/>
      <c r="AO250" s="763"/>
      <c r="AP250" s="763"/>
      <c r="AQ250" s="763"/>
      <c r="AR250" s="763"/>
      <c r="AS250" s="763"/>
      <c r="AT250" s="763"/>
      <c r="AU250" s="763"/>
      <c r="AV250" s="763"/>
      <c r="AW250" s="763"/>
      <c r="AX250" s="763"/>
      <c r="AY250" s="763"/>
      <c r="AZ250" s="763"/>
      <c r="BA250" s="763"/>
      <c r="BB250" s="763"/>
      <c r="BC250" s="763"/>
      <c r="BD250" s="763"/>
      <c r="BE250" s="763"/>
      <c r="BF250" s="763"/>
      <c r="BG250" s="763" t="b">
        <f>IFERROR(__xludf.DUMMYFUNCTION("""COMPUTED_VALUE"""),TRUE)</f>
        <v>1</v>
      </c>
      <c r="BH250" s="763" t="b">
        <f>IFERROR(__xludf.DUMMYFUNCTION("""COMPUTED_VALUE"""),TRUE)</f>
        <v>1</v>
      </c>
      <c r="BI250" s="763" t="b">
        <f>IFERROR(__xludf.DUMMYFUNCTION("""COMPUTED_VALUE"""),TRUE)</f>
        <v>1</v>
      </c>
      <c r="BJ250" s="763" t="b">
        <f>IFERROR(__xludf.DUMMYFUNCTION("""COMPUTED_VALUE"""),TRUE)</f>
        <v>1</v>
      </c>
    </row>
    <row r="251">
      <c r="A251" s="763">
        <f>IFERROR(__xludf.DUMMYFUNCTION("""COMPUTED_VALUE"""),65092.0)</f>
        <v>65092</v>
      </c>
      <c r="B251" s="763">
        <f>IFERROR(__xludf.DUMMYFUNCTION("""COMPUTED_VALUE"""),65092.0)</f>
        <v>65092</v>
      </c>
      <c r="C251" s="763" t="str">
        <f>IFERROR(__xludf.DUMMYFUNCTION("""COMPUTED_VALUE"""),"2025-10-07 22:25:28")</f>
        <v>2025-10-07 22:25:28</v>
      </c>
      <c r="D251" s="763" t="str">
        <f>IFERROR(__xludf.DUMMYFUNCTION("""COMPUTED_VALUE"""),"completed")</f>
        <v>completed</v>
      </c>
      <c r="E251" s="763" t="str">
        <f>IFERROR(__xludf.DUMMYFUNCTION("""COMPUTED_VALUE"""),"Mariam")</f>
        <v>Mariam</v>
      </c>
      <c r="F251" s="763" t="str">
        <f>IFERROR(__xludf.DUMMYFUNCTION("""COMPUTED_VALUE"""),"Soumaoro")</f>
        <v>Soumaoro</v>
      </c>
      <c r="G251" s="763" t="str">
        <f>IFERROR(__xludf.DUMMYFUNCTION("""COMPUTED_VALUE"""),"Mariamsou00@gmail.com")</f>
        <v>Mariamsou00@gmail.com</v>
      </c>
      <c r="H251" s="763">
        <f>IFERROR(__xludf.DUMMYFUNCTION("""COMPUTED_VALUE"""),3.516583407E9)</f>
        <v>3516583407</v>
      </c>
      <c r="I251" s="763" t="str">
        <f>IFERROR(__xludf.DUMMYFUNCTION("""COMPUTED_VALUE"""),"Treviolo")</f>
        <v>Treviolo</v>
      </c>
      <c r="J251" s="763" t="str">
        <f>IFERROR(__xludf.DUMMYFUNCTION("""COMPUTED_VALUE"""),"Via 24 maggio")</f>
        <v>Via 24 maggio</v>
      </c>
      <c r="K251" s="763">
        <f>IFERROR(__xludf.DUMMYFUNCTION("""COMPUTED_VALUE"""),24048.0)</f>
        <v>24048</v>
      </c>
      <c r="L251" s="763" t="str">
        <f>IFERROR(__xludf.DUMMYFUNCTION("""COMPUTED_VALUE"""),"Apple Pay")</f>
        <v>Apple Pay</v>
      </c>
      <c r="M251" s="763"/>
      <c r="N251" s="763" t="str">
        <f>IFERROR(__xludf.DUMMYFUNCTION("""COMPUTED_VALUE"""),"65092-1759875997")</f>
        <v>65092-1759875997</v>
      </c>
      <c r="O251" s="763">
        <f>IFERROR(__xludf.DUMMYFUNCTION("""COMPUTED_VALUE"""),0.0)</f>
        <v>0</v>
      </c>
      <c r="P251" s="767">
        <f>IFERROR(__xludf.DUMMYFUNCTION("""COMPUTED_VALUE"""),1.5416666666666667)</f>
        <v>1.541666667</v>
      </c>
      <c r="Q251" s="763" t="str">
        <f>IFERROR(__xludf.DUMMYFUNCTION("""COMPUTED_VALUE"""),"EUR")</f>
        <v>EUR</v>
      </c>
      <c r="R251" s="763">
        <f>IFERROR(__xludf.DUMMYFUNCTION("""COMPUTED_VALUE"""),655.0)</f>
        <v>655</v>
      </c>
      <c r="S251" s="763" t="str">
        <f>IFERROR(__xludf.DUMMYFUNCTION("""COMPUTED_VALUE"""),"Workshop Heels con Lulu Kulova - Workshop Lulu Heels")</f>
        <v>Workshop Heels con Lulu Kulova - Workshop Lulu Heels</v>
      </c>
      <c r="T251" s="763"/>
      <c r="U251" s="763"/>
      <c r="V251" s="763">
        <f>IFERROR(__xludf.DUMMYFUNCTION("""COMPUTED_VALUE"""),1.0)</f>
        <v>1</v>
      </c>
      <c r="W251" s="763">
        <f>IFERROR(__xludf.DUMMYFUNCTION("""COMPUTED_VALUE"""),37.0)</f>
        <v>37</v>
      </c>
      <c r="X251" s="763">
        <f>IFERROR(__xludf.DUMMYFUNCTION("""COMPUTED_VALUE"""),37.0)</f>
        <v>37</v>
      </c>
      <c r="Y251" s="763"/>
      <c r="Z251" s="768" t="str">
        <f>IFERROR(__xludf.DUMMYFUNCTION("""COMPUTED_VALUE"""),"https://studio-gem.it/wp-admin/post.php?post=65092&amp;action=edit")</f>
        <v>https://studio-gem.it/wp-admin/post.php?post=65092&amp;action=edit</v>
      </c>
      <c r="AA251" s="763"/>
      <c r="AB251" s="763"/>
      <c r="AC251" s="763"/>
      <c r="AD251" s="763"/>
      <c r="AE251" s="763"/>
      <c r="AF251" s="763"/>
      <c r="AG251" s="763"/>
      <c r="AH251" s="763"/>
      <c r="AI251" s="763"/>
      <c r="AJ251" s="763"/>
      <c r="AK251" s="763"/>
      <c r="AL251" s="763"/>
      <c r="AM251" s="763"/>
      <c r="AN251" s="763"/>
      <c r="AO251" s="763"/>
      <c r="AP251" s="763"/>
      <c r="AQ251" s="763"/>
      <c r="AR251" s="763"/>
      <c r="AS251" s="763"/>
      <c r="AT251" s="763"/>
      <c r="AU251" s="763"/>
      <c r="AV251" s="763"/>
      <c r="AW251" s="763"/>
      <c r="AX251" s="763"/>
      <c r="AY251" s="763"/>
      <c r="AZ251" s="763"/>
      <c r="BA251" s="763"/>
      <c r="BB251" s="763"/>
      <c r="BC251" s="763"/>
      <c r="BD251" s="763"/>
      <c r="BE251" s="763"/>
      <c r="BF251" s="763"/>
      <c r="BG251" s="763" t="b">
        <f>IFERROR(__xludf.DUMMYFUNCTION("""COMPUTED_VALUE"""),TRUE)</f>
        <v>1</v>
      </c>
      <c r="BH251" s="763" t="b">
        <f>IFERROR(__xludf.DUMMYFUNCTION("""COMPUTED_VALUE"""),TRUE)</f>
        <v>1</v>
      </c>
      <c r="BI251" s="763" t="b">
        <f>IFERROR(__xludf.DUMMYFUNCTION("""COMPUTED_VALUE"""),TRUE)</f>
        <v>1</v>
      </c>
      <c r="BJ251" s="763" t="b">
        <f>IFERROR(__xludf.DUMMYFUNCTION("""COMPUTED_VALUE"""),TRUE)</f>
        <v>1</v>
      </c>
    </row>
    <row r="252">
      <c r="A252" s="763">
        <f>IFERROR(__xludf.DUMMYFUNCTION("""COMPUTED_VALUE"""),65094.0)</f>
        <v>65094</v>
      </c>
      <c r="B252" s="763">
        <f>IFERROR(__xludf.DUMMYFUNCTION("""COMPUTED_VALUE"""),65094.0)</f>
        <v>65094</v>
      </c>
      <c r="C252" s="763" t="str">
        <f>IFERROR(__xludf.DUMMYFUNCTION("""COMPUTED_VALUE"""),"2025-10-08 00:33:34")</f>
        <v>2025-10-08 00:33:34</v>
      </c>
      <c r="D252" s="763" t="str">
        <f>IFERROR(__xludf.DUMMYFUNCTION("""COMPUTED_VALUE"""),"processing")</f>
        <v>processing</v>
      </c>
      <c r="E252" s="763" t="str">
        <f>IFERROR(__xludf.DUMMYFUNCTION("""COMPUTED_VALUE"""),"Ilaria")</f>
        <v>Ilaria</v>
      </c>
      <c r="F252" s="763" t="str">
        <f>IFERROR(__xludf.DUMMYFUNCTION("""COMPUTED_VALUE"""),"Dentella")</f>
        <v>Dentella</v>
      </c>
      <c r="G252" s="763" t="str">
        <f>IFERROR(__xludf.DUMMYFUNCTION("""COMPUTED_VALUE"""),"ilaria.dentella1@gmail.com")</f>
        <v>ilaria.dentella1@gmail.com</v>
      </c>
      <c r="H252" s="763">
        <f>IFERROR(__xludf.DUMMYFUNCTION("""COMPUTED_VALUE"""),3.662764646E9)</f>
        <v>3662764646</v>
      </c>
      <c r="I252" s="763" t="str">
        <f>IFERROR(__xludf.DUMMYFUNCTION("""COMPUTED_VALUE"""),"Bergamo")</f>
        <v>Bergamo</v>
      </c>
      <c r="J252" s="763" t="str">
        <f>IFERROR(__xludf.DUMMYFUNCTION("""COMPUTED_VALUE"""),"Via Bono 13")</f>
        <v>Via Bono 13</v>
      </c>
      <c r="K252" s="763">
        <f>IFERROR(__xludf.DUMMYFUNCTION("""COMPUTED_VALUE"""),24121.0)</f>
        <v>24121</v>
      </c>
      <c r="L252" s="763" t="str">
        <f>IFERROR(__xludf.DUMMYFUNCTION("""COMPUTED_VALUE"""),"Carte di pagamento")</f>
        <v>Carte di pagamento</v>
      </c>
      <c r="M252" s="763"/>
      <c r="N252" s="763" t="str">
        <f>IFERROR(__xludf.DUMMYFUNCTION("""COMPUTED_VALUE"""),"65094-1759883615")</f>
        <v>65094-1759883615</v>
      </c>
      <c r="O252" s="763">
        <f>IFERROR(__xludf.DUMMYFUNCTION("""COMPUTED_VALUE"""),0.0)</f>
        <v>0</v>
      </c>
      <c r="P252" s="767">
        <f>IFERROR(__xludf.DUMMYFUNCTION("""COMPUTED_VALUE"""),1.5416666666666667)</f>
        <v>1.541666667</v>
      </c>
      <c r="Q252" s="763" t="str">
        <f>IFERROR(__xludf.DUMMYFUNCTION("""COMPUTED_VALUE"""),"EUR")</f>
        <v>EUR</v>
      </c>
      <c r="R252" s="763">
        <f>IFERROR(__xludf.DUMMYFUNCTION("""COMPUTED_VALUE"""),656.0)</f>
        <v>656</v>
      </c>
      <c r="S252" s="763" t="str">
        <f>IFERROR(__xludf.DUMMYFUNCTION("""COMPUTED_VALUE"""),"Workshop Heels con Lulu Kulova - Workshop Lulu Heels")</f>
        <v>Workshop Heels con Lulu Kulova - Workshop Lulu Heels</v>
      </c>
      <c r="T252" s="763"/>
      <c r="U252" s="763"/>
      <c r="V252" s="763">
        <f>IFERROR(__xludf.DUMMYFUNCTION("""COMPUTED_VALUE"""),1.0)</f>
        <v>1</v>
      </c>
      <c r="W252" s="763">
        <f>IFERROR(__xludf.DUMMYFUNCTION("""COMPUTED_VALUE"""),37.0)</f>
        <v>37</v>
      </c>
      <c r="X252" s="763">
        <f>IFERROR(__xludf.DUMMYFUNCTION("""COMPUTED_VALUE"""),37.0)</f>
        <v>37</v>
      </c>
      <c r="Y252" s="763"/>
      <c r="Z252" s="768" t="str">
        <f>IFERROR(__xludf.DUMMYFUNCTION("""COMPUTED_VALUE"""),"https://studio-gem.it/wp-admin/post.php?post=65094&amp;action=edit")</f>
        <v>https://studio-gem.it/wp-admin/post.php?post=65094&amp;action=edit</v>
      </c>
      <c r="AA252" s="763"/>
      <c r="AB252" s="763"/>
      <c r="AC252" s="763"/>
      <c r="AD252" s="763"/>
      <c r="AE252" s="763"/>
      <c r="AF252" s="763"/>
      <c r="AG252" s="763"/>
      <c r="AH252" s="763"/>
      <c r="AI252" s="763"/>
      <c r="AJ252" s="763"/>
      <c r="AK252" s="763"/>
      <c r="AL252" s="763"/>
      <c r="AM252" s="763"/>
      <c r="AN252" s="763"/>
      <c r="AO252" s="763"/>
      <c r="AP252" s="763"/>
      <c r="AQ252" s="763"/>
      <c r="AR252" s="763"/>
      <c r="AS252" s="763"/>
      <c r="AT252" s="763"/>
      <c r="AU252" s="763"/>
      <c r="AV252" s="763"/>
      <c r="AW252" s="763"/>
      <c r="AX252" s="763"/>
      <c r="AY252" s="763"/>
      <c r="AZ252" s="763"/>
      <c r="BA252" s="763"/>
      <c r="BB252" s="763"/>
      <c r="BC252" s="763"/>
      <c r="BD252" s="763"/>
      <c r="BE252" s="763"/>
      <c r="BF252" s="763"/>
      <c r="BG252" s="763" t="b">
        <f>IFERROR(__xludf.DUMMYFUNCTION("""COMPUTED_VALUE"""),TRUE)</f>
        <v>1</v>
      </c>
      <c r="BH252" s="763" t="b">
        <f>IFERROR(__xludf.DUMMYFUNCTION("""COMPUTED_VALUE"""),TRUE)</f>
        <v>1</v>
      </c>
      <c r="BI252" s="763" t="b">
        <f>IFERROR(__xludf.DUMMYFUNCTION("""COMPUTED_VALUE"""),TRUE)</f>
        <v>1</v>
      </c>
      <c r="BJ252" s="763" t="b">
        <f>IFERROR(__xludf.DUMMYFUNCTION("""COMPUTED_VALUE"""),TRUE)</f>
        <v>1</v>
      </c>
    </row>
    <row r="253">
      <c r="A253" s="763">
        <f>IFERROR(__xludf.DUMMYFUNCTION("""COMPUTED_VALUE"""),65096.0)</f>
        <v>65096</v>
      </c>
      <c r="B253" s="763">
        <f>IFERROR(__xludf.DUMMYFUNCTION("""COMPUTED_VALUE"""),65096.0)</f>
        <v>65096</v>
      </c>
      <c r="C253" s="763" t="str">
        <f>IFERROR(__xludf.DUMMYFUNCTION("""COMPUTED_VALUE"""),"2025-10-08 10:45:54")</f>
        <v>2025-10-08 10:45:54</v>
      </c>
      <c r="D253" s="763" t="str">
        <f>IFERROR(__xludf.DUMMYFUNCTION("""COMPUTED_VALUE"""),"completed")</f>
        <v>completed</v>
      </c>
      <c r="E253" s="763" t="str">
        <f>IFERROR(__xludf.DUMMYFUNCTION("""COMPUTED_VALUE"""),"Sara")</f>
        <v>Sara</v>
      </c>
      <c r="F253" s="763" t="str">
        <f>IFERROR(__xludf.DUMMYFUNCTION("""COMPUTED_VALUE"""),"Ardigó")</f>
        <v>Ardigó</v>
      </c>
      <c r="G253" s="763" t="str">
        <f>IFERROR(__xludf.DUMMYFUNCTION("""COMPUTED_VALUE"""),"saraardigo2001@gmail.com")</f>
        <v>saraardigo2001@gmail.com</v>
      </c>
      <c r="H253" s="763">
        <f>IFERROR(__xludf.DUMMYFUNCTION("""COMPUTED_VALUE"""),3.338296855E9)</f>
        <v>3338296855</v>
      </c>
      <c r="I253" s="763" t="str">
        <f>IFERROR(__xludf.DUMMYFUNCTION("""COMPUTED_VALUE"""),"Persico Dosimo")</f>
        <v>Persico Dosimo</v>
      </c>
      <c r="J253" s="763" t="str">
        <f>IFERROR(__xludf.DUMMYFUNCTION("""COMPUTED_VALUE"""),"Via Falcone E Borsellino 12 Persico Dosimo Cr")</f>
        <v>Via Falcone E Borsellino 12 Persico Dosimo Cr</v>
      </c>
      <c r="K253" s="763">
        <f>IFERROR(__xludf.DUMMYFUNCTION("""COMPUTED_VALUE"""),26043.0)</f>
        <v>26043</v>
      </c>
      <c r="L253" s="763" t="str">
        <f>IFERROR(__xludf.DUMMYFUNCTION("""COMPUTED_VALUE"""),"Apple Pay")</f>
        <v>Apple Pay</v>
      </c>
      <c r="M253" s="763"/>
      <c r="N253" s="763" t="str">
        <f>IFERROR(__xludf.DUMMYFUNCTION("""COMPUTED_VALUE"""),"65096-1759920356")</f>
        <v>65096-1759920356</v>
      </c>
      <c r="O253" s="763">
        <f>IFERROR(__xludf.DUMMYFUNCTION("""COMPUTED_VALUE"""),0.0)</f>
        <v>0</v>
      </c>
      <c r="P253" s="767">
        <f>IFERROR(__xludf.DUMMYFUNCTION("""COMPUTED_VALUE"""),1.3333333333333333)</f>
        <v>1.333333333</v>
      </c>
      <c r="Q253" s="763" t="str">
        <f>IFERROR(__xludf.DUMMYFUNCTION("""COMPUTED_VALUE"""),"EUR")</f>
        <v>EUR</v>
      </c>
      <c r="R253" s="763">
        <f>IFERROR(__xludf.DUMMYFUNCTION("""COMPUTED_VALUE"""),657.0)</f>
        <v>657</v>
      </c>
      <c r="S253" s="763" t="str">
        <f>IFERROR(__xludf.DUMMYFUNCTION("""COMPUTED_VALUE"""),"Workshop Urban con Kumo - Workshop Kumo Urban")</f>
        <v>Workshop Urban con Kumo - Workshop Kumo Urban</v>
      </c>
      <c r="T253" s="763"/>
      <c r="U253" s="763"/>
      <c r="V253" s="763">
        <f>IFERROR(__xludf.DUMMYFUNCTION("""COMPUTED_VALUE"""),1.0)</f>
        <v>1</v>
      </c>
      <c r="W253" s="763">
        <f>IFERROR(__xludf.DUMMYFUNCTION("""COMPUTED_VALUE"""),32.0)</f>
        <v>32</v>
      </c>
      <c r="X253" s="763">
        <f>IFERROR(__xludf.DUMMYFUNCTION("""COMPUTED_VALUE"""),32.0)</f>
        <v>32</v>
      </c>
      <c r="Y253" s="763"/>
      <c r="Z253" s="768" t="str">
        <f>IFERROR(__xludf.DUMMYFUNCTION("""COMPUTED_VALUE"""),"https://studio-gem.it/wp-admin/post.php?post=65096&amp;action=edit")</f>
        <v>https://studio-gem.it/wp-admin/post.php?post=65096&amp;action=edit</v>
      </c>
      <c r="AA253" s="763"/>
      <c r="AB253" s="763"/>
      <c r="AC253" s="763"/>
      <c r="AD253" s="763"/>
      <c r="AE253" s="763"/>
      <c r="AF253" s="763"/>
      <c r="AG253" s="763"/>
      <c r="AH253" s="763"/>
      <c r="AI253" s="763"/>
      <c r="AJ253" s="763"/>
      <c r="AK253" s="763"/>
      <c r="AL253" s="763"/>
      <c r="AM253" s="763"/>
      <c r="AN253" s="763"/>
      <c r="AO253" s="763"/>
      <c r="AP253" s="763"/>
      <c r="AQ253" s="763"/>
      <c r="AR253" s="763"/>
      <c r="AS253" s="763"/>
      <c r="AT253" s="763"/>
      <c r="AU253" s="763"/>
      <c r="AV253" s="763"/>
      <c r="AW253" s="763"/>
      <c r="AX253" s="763"/>
      <c r="AY253" s="763"/>
      <c r="AZ253" s="763"/>
      <c r="BA253" s="763"/>
      <c r="BB253" s="763"/>
      <c r="BC253" s="763"/>
      <c r="BD253" s="763"/>
      <c r="BE253" s="763"/>
      <c r="BF253" s="763"/>
      <c r="BG253" s="763" t="b">
        <f>IFERROR(__xludf.DUMMYFUNCTION("""COMPUTED_VALUE"""),TRUE)</f>
        <v>1</v>
      </c>
      <c r="BH253" s="763" t="b">
        <f>IFERROR(__xludf.DUMMYFUNCTION("""COMPUTED_VALUE"""),TRUE)</f>
        <v>1</v>
      </c>
      <c r="BI253" s="763" t="b">
        <f>IFERROR(__xludf.DUMMYFUNCTION("""COMPUTED_VALUE"""),TRUE)</f>
        <v>1</v>
      </c>
      <c r="BJ253" s="763" t="b">
        <f>IFERROR(__xludf.DUMMYFUNCTION("""COMPUTED_VALUE"""),TRUE)</f>
        <v>1</v>
      </c>
    </row>
    <row r="254">
      <c r="A254" s="763">
        <f>IFERROR(__xludf.DUMMYFUNCTION("""COMPUTED_VALUE"""),65100.0)</f>
        <v>65100</v>
      </c>
      <c r="B254" s="763">
        <f>IFERROR(__xludf.DUMMYFUNCTION("""COMPUTED_VALUE"""),65100.0)</f>
        <v>65100</v>
      </c>
      <c r="C254" s="763" t="str">
        <f>IFERROR(__xludf.DUMMYFUNCTION("""COMPUTED_VALUE"""),"2025-10-08 14:19:54")</f>
        <v>2025-10-08 14:19:54</v>
      </c>
      <c r="D254" s="763" t="str">
        <f>IFERROR(__xludf.DUMMYFUNCTION("""COMPUTED_VALUE"""),"processing")</f>
        <v>processing</v>
      </c>
      <c r="E254" s="763" t="str">
        <f>IFERROR(__xludf.DUMMYFUNCTION("""COMPUTED_VALUE"""),"Marta")</f>
        <v>Marta</v>
      </c>
      <c r="F254" s="763" t="str">
        <f>IFERROR(__xludf.DUMMYFUNCTION("""COMPUTED_VALUE"""),"Breschi")</f>
        <v>Breschi</v>
      </c>
      <c r="G254" s="763" t="str">
        <f>IFERROR(__xludf.DUMMYFUNCTION("""COMPUTED_VALUE"""),"marta.breschi@gmail.com")</f>
        <v>marta.breschi@gmail.com</v>
      </c>
      <c r="H254" s="763">
        <f>IFERROR(__xludf.DUMMYFUNCTION("""COMPUTED_VALUE"""),3.899541586E9)</f>
        <v>3899541586</v>
      </c>
      <c r="I254" s="763" t="str">
        <f>IFERROR(__xludf.DUMMYFUNCTION("""COMPUTED_VALUE"""),"Milano")</f>
        <v>Milano</v>
      </c>
      <c r="J254" s="763" t="str">
        <f>IFERROR(__xludf.DUMMYFUNCTION("""COMPUTED_VALUE"""),"Via Venosa 2")</f>
        <v>Via Venosa 2</v>
      </c>
      <c r="K254" s="763">
        <f>IFERROR(__xludf.DUMMYFUNCTION("""COMPUTED_VALUE"""),20137.0)</f>
        <v>20137</v>
      </c>
      <c r="L254" s="763" t="str">
        <f>IFERROR(__xludf.DUMMYFUNCTION("""COMPUTED_VALUE"""),"Carte di pagamento")</f>
        <v>Carte di pagamento</v>
      </c>
      <c r="M254" s="763"/>
      <c r="N254" s="763" t="str">
        <f>IFERROR(__xludf.DUMMYFUNCTION("""COMPUTED_VALUE"""),"65100-1759933195")</f>
        <v>65100-1759933195</v>
      </c>
      <c r="O254" s="763">
        <f>IFERROR(__xludf.DUMMYFUNCTION("""COMPUTED_VALUE"""),0.0)</f>
        <v>0</v>
      </c>
      <c r="P254" s="767">
        <f>IFERROR(__xludf.DUMMYFUNCTION("""COMPUTED_VALUE"""),1.5416666666666667)</f>
        <v>1.541666667</v>
      </c>
      <c r="Q254" s="763" t="str">
        <f>IFERROR(__xludf.DUMMYFUNCTION("""COMPUTED_VALUE"""),"EUR")</f>
        <v>EUR</v>
      </c>
      <c r="R254" s="763">
        <f>IFERROR(__xludf.DUMMYFUNCTION("""COMPUTED_VALUE"""),658.0)</f>
        <v>658</v>
      </c>
      <c r="S254" s="763" t="str">
        <f>IFERROR(__xludf.DUMMYFUNCTION("""COMPUTED_VALUE"""),"Workshop Heels con Lulu Kulova - Workshop Lulu Heels")</f>
        <v>Workshop Heels con Lulu Kulova - Workshop Lulu Heels</v>
      </c>
      <c r="T254" s="763"/>
      <c r="U254" s="763"/>
      <c r="V254" s="763">
        <f>IFERROR(__xludf.DUMMYFUNCTION("""COMPUTED_VALUE"""),1.0)</f>
        <v>1</v>
      </c>
      <c r="W254" s="763">
        <f>IFERROR(__xludf.DUMMYFUNCTION("""COMPUTED_VALUE"""),37.0)</f>
        <v>37</v>
      </c>
      <c r="X254" s="763">
        <f>IFERROR(__xludf.DUMMYFUNCTION("""COMPUTED_VALUE"""),37.0)</f>
        <v>37</v>
      </c>
      <c r="Y254" s="763"/>
      <c r="Z254" s="768" t="str">
        <f>IFERROR(__xludf.DUMMYFUNCTION("""COMPUTED_VALUE"""),"https://studio-gem.it/wp-admin/post.php?post=65100&amp;action=edit")</f>
        <v>https://studio-gem.it/wp-admin/post.php?post=65100&amp;action=edit</v>
      </c>
      <c r="AA254" s="763"/>
      <c r="AB254" s="763"/>
      <c r="AC254" s="763"/>
      <c r="AD254" s="763"/>
      <c r="AE254" s="763"/>
      <c r="AF254" s="763"/>
      <c r="AG254" s="763"/>
      <c r="AH254" s="763"/>
      <c r="AI254" s="763"/>
      <c r="AJ254" s="763"/>
      <c r="AK254" s="763"/>
      <c r="AL254" s="763"/>
      <c r="AM254" s="763"/>
      <c r="AN254" s="763"/>
      <c r="AO254" s="763"/>
      <c r="AP254" s="763"/>
      <c r="AQ254" s="763"/>
      <c r="AR254" s="763"/>
      <c r="AS254" s="763"/>
      <c r="AT254" s="763"/>
      <c r="AU254" s="763"/>
      <c r="AV254" s="763"/>
      <c r="AW254" s="763"/>
      <c r="AX254" s="763"/>
      <c r="AY254" s="763"/>
      <c r="AZ254" s="763"/>
      <c r="BA254" s="763"/>
      <c r="BB254" s="763"/>
      <c r="BC254" s="763"/>
      <c r="BD254" s="763"/>
      <c r="BE254" s="763"/>
      <c r="BF254" s="763"/>
      <c r="BG254" s="763" t="b">
        <f>IFERROR(__xludf.DUMMYFUNCTION("""COMPUTED_VALUE"""),TRUE)</f>
        <v>1</v>
      </c>
      <c r="BH254" s="763" t="b">
        <f>IFERROR(__xludf.DUMMYFUNCTION("""COMPUTED_VALUE"""),TRUE)</f>
        <v>1</v>
      </c>
      <c r="BI254" s="763" t="b">
        <f>IFERROR(__xludf.DUMMYFUNCTION("""COMPUTED_VALUE"""),TRUE)</f>
        <v>1</v>
      </c>
      <c r="BJ254" s="763" t="b">
        <f>IFERROR(__xludf.DUMMYFUNCTION("""COMPUTED_VALUE"""),TRUE)</f>
        <v>1</v>
      </c>
    </row>
    <row r="255">
      <c r="A255" s="763">
        <f>IFERROR(__xludf.DUMMYFUNCTION("""COMPUTED_VALUE"""),65101.0)</f>
        <v>65101</v>
      </c>
      <c r="B255" s="763">
        <f>IFERROR(__xludf.DUMMYFUNCTION("""COMPUTED_VALUE"""),65101.0)</f>
        <v>65101</v>
      </c>
      <c r="C255" s="763" t="str">
        <f>IFERROR(__xludf.DUMMYFUNCTION("""COMPUTED_VALUE"""),"2025-10-08 19:01:26")</f>
        <v>2025-10-08 19:01:26</v>
      </c>
      <c r="D255" s="763" t="str">
        <f>IFERROR(__xludf.DUMMYFUNCTION("""COMPUTED_VALUE"""),"completed")</f>
        <v>completed</v>
      </c>
      <c r="E255" s="763" t="str">
        <f>IFERROR(__xludf.DUMMYFUNCTION("""COMPUTED_VALUE"""),"Camilla")</f>
        <v>Camilla</v>
      </c>
      <c r="F255" s="763" t="str">
        <f>IFERROR(__xludf.DUMMYFUNCTION("""COMPUTED_VALUE"""),"Gherpelli")</f>
        <v>Gherpelli</v>
      </c>
      <c r="G255" s="763" t="str">
        <f>IFERROR(__xludf.DUMMYFUNCTION("""COMPUTED_VALUE"""),"camillagherpelli@gmail.com")</f>
        <v>camillagherpelli@gmail.com</v>
      </c>
      <c r="H255" s="763">
        <f>IFERROR(__xludf.DUMMYFUNCTION("""COMPUTED_VALUE"""),3.314715259E9)</f>
        <v>3314715259</v>
      </c>
      <c r="I255" s="763" t="str">
        <f>IFERROR(__xludf.DUMMYFUNCTION("""COMPUTED_VALUE"""),"Milano")</f>
        <v>Milano</v>
      </c>
      <c r="J255" s="763" t="str">
        <f>IFERROR(__xludf.DUMMYFUNCTION("""COMPUTED_VALUE"""),"Via Arganini, 30")</f>
        <v>Via Arganini, 30</v>
      </c>
      <c r="K255" s="763">
        <f>IFERROR(__xludf.DUMMYFUNCTION("""COMPUTED_VALUE"""),20162.0)</f>
        <v>20162</v>
      </c>
      <c r="L255" s="763" t="str">
        <f>IFERROR(__xludf.DUMMYFUNCTION("""COMPUTED_VALUE"""),"Carte di pagamento")</f>
        <v>Carte di pagamento</v>
      </c>
      <c r="M255" s="763"/>
      <c r="N255" s="763" t="str">
        <f>IFERROR(__xludf.DUMMYFUNCTION("""COMPUTED_VALUE"""),"65101-1759950088")</f>
        <v>65101-1759950088</v>
      </c>
      <c r="O255" s="763">
        <f>IFERROR(__xludf.DUMMYFUNCTION("""COMPUTED_VALUE"""),0.0)</f>
        <v>0</v>
      </c>
      <c r="P255" s="767">
        <f>IFERROR(__xludf.DUMMYFUNCTION("""COMPUTED_VALUE"""),1.875)</f>
        <v>1.875</v>
      </c>
      <c r="Q255" s="763" t="str">
        <f>IFERROR(__xludf.DUMMYFUNCTION("""COMPUTED_VALUE"""),"EUR")</f>
        <v>EUR</v>
      </c>
      <c r="R255" s="763">
        <f>IFERROR(__xludf.DUMMYFUNCTION("""COMPUTED_VALUE"""),659.0)</f>
        <v>659</v>
      </c>
      <c r="S255" s="763" t="str">
        <f>IFERROR(__xludf.DUMMYFUNCTION("""COMPUTED_VALUE"""),"Workshop Commercial con Timor Steffens - Workshop Commercial con Timor Steffens")</f>
        <v>Workshop Commercial con Timor Steffens - Workshop Commercial con Timor Steffens</v>
      </c>
      <c r="T255" s="763"/>
      <c r="U255" s="763"/>
      <c r="V255" s="763">
        <f>IFERROR(__xludf.DUMMYFUNCTION("""COMPUTED_VALUE"""),1.0)</f>
        <v>1</v>
      </c>
      <c r="W255" s="763">
        <f>IFERROR(__xludf.DUMMYFUNCTION("""COMPUTED_VALUE"""),45.0)</f>
        <v>45</v>
      </c>
      <c r="X255" s="763">
        <f>IFERROR(__xludf.DUMMYFUNCTION("""COMPUTED_VALUE"""),45.0)</f>
        <v>45</v>
      </c>
      <c r="Y255" s="763"/>
      <c r="Z255" s="768" t="str">
        <f>IFERROR(__xludf.DUMMYFUNCTION("""COMPUTED_VALUE"""),"https://studio-gem.it/wp-admin/post.php?post=65101&amp;action=edit")</f>
        <v>https://studio-gem.it/wp-admin/post.php?post=65101&amp;action=edit</v>
      </c>
      <c r="AA255" s="763"/>
      <c r="AB255" s="763"/>
      <c r="AC255" s="763"/>
      <c r="AD255" s="763"/>
      <c r="AE255" s="763"/>
      <c r="AF255" s="763"/>
      <c r="AG255" s="763"/>
      <c r="AH255" s="763"/>
      <c r="AI255" s="763"/>
      <c r="AJ255" s="763"/>
      <c r="AK255" s="763"/>
      <c r="AL255" s="763"/>
      <c r="AM255" s="763"/>
      <c r="AN255" s="763"/>
      <c r="AO255" s="763"/>
      <c r="AP255" s="763"/>
      <c r="AQ255" s="763"/>
      <c r="AR255" s="763"/>
      <c r="AS255" s="763"/>
      <c r="AT255" s="763"/>
      <c r="AU255" s="763"/>
      <c r="AV255" s="763"/>
      <c r="AW255" s="763"/>
      <c r="AX255" s="763"/>
      <c r="AY255" s="763"/>
      <c r="AZ255" s="763"/>
      <c r="BA255" s="763"/>
      <c r="BB255" s="763"/>
      <c r="BC255" s="763"/>
      <c r="BD255" s="763"/>
      <c r="BE255" s="763"/>
      <c r="BF255" s="763"/>
      <c r="BG255" s="763" t="b">
        <f>IFERROR(__xludf.DUMMYFUNCTION("""COMPUTED_VALUE"""),TRUE)</f>
        <v>1</v>
      </c>
      <c r="BH255" s="763" t="b">
        <f>IFERROR(__xludf.DUMMYFUNCTION("""COMPUTED_VALUE"""),TRUE)</f>
        <v>1</v>
      </c>
      <c r="BI255" s="763" t="b">
        <f>IFERROR(__xludf.DUMMYFUNCTION("""COMPUTED_VALUE"""),TRUE)</f>
        <v>1</v>
      </c>
      <c r="BJ255" s="763" t="b">
        <f>IFERROR(__xludf.DUMMYFUNCTION("""COMPUTED_VALUE"""),TRUE)</f>
        <v>1</v>
      </c>
    </row>
    <row r="256">
      <c r="A256" s="763">
        <f>IFERROR(__xludf.DUMMYFUNCTION("""COMPUTED_VALUE"""),65103.0)</f>
        <v>65103</v>
      </c>
      <c r="B256" s="763">
        <f>IFERROR(__xludf.DUMMYFUNCTION("""COMPUTED_VALUE"""),65103.0)</f>
        <v>65103</v>
      </c>
      <c r="C256" s="763" t="str">
        <f>IFERROR(__xludf.DUMMYFUNCTION("""COMPUTED_VALUE"""),"2025-10-08 19:17:14")</f>
        <v>2025-10-08 19:17:14</v>
      </c>
      <c r="D256" s="763" t="str">
        <f>IFERROR(__xludf.DUMMYFUNCTION("""COMPUTED_VALUE"""),"processing")</f>
        <v>processing</v>
      </c>
      <c r="E256" s="763" t="str">
        <f>IFERROR(__xludf.DUMMYFUNCTION("""COMPUTED_VALUE"""),"Libera")</f>
        <v>Libera</v>
      </c>
      <c r="F256" s="763" t="str">
        <f>IFERROR(__xludf.DUMMYFUNCTION("""COMPUTED_VALUE"""),"Francese")</f>
        <v>Francese</v>
      </c>
      <c r="G256" s="763" t="str">
        <f>IFERROR(__xludf.DUMMYFUNCTION("""COMPUTED_VALUE"""),"liby.90@hotmail.it")</f>
        <v>liby.90@hotmail.it</v>
      </c>
      <c r="H256" s="763">
        <f>IFERROR(__xludf.DUMMYFUNCTION("""COMPUTED_VALUE"""),3.475517658E9)</f>
        <v>3475517658</v>
      </c>
      <c r="I256" s="763" t="str">
        <f>IFERROR(__xludf.DUMMYFUNCTION("""COMPUTED_VALUE"""),"Cambiago")</f>
        <v>Cambiago</v>
      </c>
      <c r="J256" s="763" t="str">
        <f>IFERROR(__xludf.DUMMYFUNCTION("""COMPUTED_VALUE"""),"Via della liberazione 3/3")</f>
        <v>Via della liberazione 3/3</v>
      </c>
      <c r="K256" s="763">
        <f>IFERROR(__xludf.DUMMYFUNCTION("""COMPUTED_VALUE"""),20040.0)</f>
        <v>20040</v>
      </c>
      <c r="L256" s="763" t="str">
        <f>IFERROR(__xludf.DUMMYFUNCTION("""COMPUTED_VALUE"""),"Carte di pagamento")</f>
        <v>Carte di pagamento</v>
      </c>
      <c r="M256" s="763"/>
      <c r="N256" s="763" t="str">
        <f>IFERROR(__xludf.DUMMYFUNCTION("""COMPUTED_VALUE"""),"65103-1759951036")</f>
        <v>65103-1759951036</v>
      </c>
      <c r="O256" s="763">
        <f>IFERROR(__xludf.DUMMYFUNCTION("""COMPUTED_VALUE"""),0.0)</f>
        <v>0</v>
      </c>
      <c r="P256" s="767">
        <f>IFERROR(__xludf.DUMMYFUNCTION("""COMPUTED_VALUE"""),1.875)</f>
        <v>1.875</v>
      </c>
      <c r="Q256" s="763" t="str">
        <f>IFERROR(__xludf.DUMMYFUNCTION("""COMPUTED_VALUE"""),"EUR")</f>
        <v>EUR</v>
      </c>
      <c r="R256" s="763">
        <f>IFERROR(__xludf.DUMMYFUNCTION("""COMPUTED_VALUE"""),660.0)</f>
        <v>660</v>
      </c>
      <c r="S256" s="763" t="str">
        <f>IFERROR(__xludf.DUMMYFUNCTION("""COMPUTED_VALUE"""),"Workshop Commercial con Timor Steffens - Workshop Commercial con Timor Steffens")</f>
        <v>Workshop Commercial con Timor Steffens - Workshop Commercial con Timor Steffens</v>
      </c>
      <c r="T256" s="763"/>
      <c r="U256" s="763"/>
      <c r="V256" s="763">
        <f>IFERROR(__xludf.DUMMYFUNCTION("""COMPUTED_VALUE"""),1.0)</f>
        <v>1</v>
      </c>
      <c r="W256" s="763">
        <f>IFERROR(__xludf.DUMMYFUNCTION("""COMPUTED_VALUE"""),45.0)</f>
        <v>45</v>
      </c>
      <c r="X256" s="763">
        <f>IFERROR(__xludf.DUMMYFUNCTION("""COMPUTED_VALUE"""),45.0)</f>
        <v>45</v>
      </c>
      <c r="Y256" s="763"/>
      <c r="Z256" s="768" t="str">
        <f>IFERROR(__xludf.DUMMYFUNCTION("""COMPUTED_VALUE"""),"https://studio-gem.it/wp-admin/post.php?post=65103&amp;action=edit")</f>
        <v>https://studio-gem.it/wp-admin/post.php?post=65103&amp;action=edit</v>
      </c>
      <c r="AA256" s="763"/>
      <c r="AB256" s="763"/>
      <c r="AC256" s="763"/>
      <c r="AD256" s="763"/>
      <c r="AE256" s="763"/>
      <c r="AF256" s="763"/>
      <c r="AG256" s="763"/>
      <c r="AH256" s="763"/>
      <c r="AI256" s="763"/>
      <c r="AJ256" s="763"/>
      <c r="AK256" s="763"/>
      <c r="AL256" s="763"/>
      <c r="AM256" s="763"/>
      <c r="AN256" s="763"/>
      <c r="AO256" s="763"/>
      <c r="AP256" s="763"/>
      <c r="AQ256" s="763"/>
      <c r="AR256" s="763"/>
      <c r="AS256" s="763"/>
      <c r="AT256" s="763"/>
      <c r="AU256" s="763"/>
      <c r="AV256" s="763"/>
      <c r="AW256" s="763"/>
      <c r="AX256" s="763"/>
      <c r="AY256" s="763"/>
      <c r="AZ256" s="763"/>
      <c r="BA256" s="763"/>
      <c r="BB256" s="763"/>
      <c r="BC256" s="763"/>
      <c r="BD256" s="763"/>
      <c r="BE256" s="763"/>
      <c r="BF256" s="763"/>
      <c r="BG256" s="763" t="b">
        <f>IFERROR(__xludf.DUMMYFUNCTION("""COMPUTED_VALUE"""),TRUE)</f>
        <v>1</v>
      </c>
      <c r="BH256" s="763" t="b">
        <f>IFERROR(__xludf.DUMMYFUNCTION("""COMPUTED_VALUE"""),TRUE)</f>
        <v>1</v>
      </c>
      <c r="BI256" s="763" t="b">
        <f>IFERROR(__xludf.DUMMYFUNCTION("""COMPUTED_VALUE"""),TRUE)</f>
        <v>1</v>
      </c>
      <c r="BJ256" s="763" t="b">
        <f>IFERROR(__xludf.DUMMYFUNCTION("""COMPUTED_VALUE"""),TRUE)</f>
        <v>1</v>
      </c>
    </row>
    <row r="257">
      <c r="A257" s="763">
        <f>IFERROR(__xludf.DUMMYFUNCTION("""COMPUTED_VALUE"""),65104.0)</f>
        <v>65104</v>
      </c>
      <c r="B257" s="763">
        <f>IFERROR(__xludf.DUMMYFUNCTION("""COMPUTED_VALUE"""),65104.0)</f>
        <v>65104</v>
      </c>
      <c r="C257" s="763" t="str">
        <f>IFERROR(__xludf.DUMMYFUNCTION("""COMPUTED_VALUE"""),"2025-10-08 19:56:17")</f>
        <v>2025-10-08 19:56:17</v>
      </c>
      <c r="D257" s="763" t="str">
        <f>IFERROR(__xludf.DUMMYFUNCTION("""COMPUTED_VALUE"""),"completed")</f>
        <v>completed</v>
      </c>
      <c r="E257" s="763" t="str">
        <f>IFERROR(__xludf.DUMMYFUNCTION("""COMPUTED_VALUE"""),"Viktoria")</f>
        <v>Viktoria</v>
      </c>
      <c r="F257" s="763" t="str">
        <f>IFERROR(__xludf.DUMMYFUNCTION("""COMPUTED_VALUE"""),"Karkhut")</f>
        <v>Karkhut</v>
      </c>
      <c r="G257" s="763" t="str">
        <f>IFERROR(__xludf.DUMMYFUNCTION("""COMPUTED_VALUE"""),"karkhutv@gmail.com")</f>
        <v>karkhutv@gmail.com</v>
      </c>
      <c r="H257" s="763">
        <f>IFERROR(__xludf.DUMMYFUNCTION("""COMPUTED_VALUE"""),3.2713316313E10)</f>
        <v>32713316313</v>
      </c>
      <c r="I257" s="763" t="str">
        <f>IFERROR(__xludf.DUMMYFUNCTION("""COMPUTED_VALUE"""),"Brescia")</f>
        <v>Brescia</v>
      </c>
      <c r="J257" s="763" t="str">
        <f>IFERROR(__xludf.DUMMYFUNCTION("""COMPUTED_VALUE"""),"Via Giacomo cappellini 18")</f>
        <v>Via Giacomo cappellini 18</v>
      </c>
      <c r="K257" s="763">
        <f>IFERROR(__xludf.DUMMYFUNCTION("""COMPUTED_VALUE"""),25124.0)</f>
        <v>25124</v>
      </c>
      <c r="L257" s="763" t="str">
        <f>IFERROR(__xludf.DUMMYFUNCTION("""COMPUTED_VALUE"""),"Apple Pay")</f>
        <v>Apple Pay</v>
      </c>
      <c r="M257" s="763"/>
      <c r="N257" s="763" t="str">
        <f>IFERROR(__xludf.DUMMYFUNCTION("""COMPUTED_VALUE"""),"65104-1759953378")</f>
        <v>65104-1759953378</v>
      </c>
      <c r="O257" s="763">
        <f>IFERROR(__xludf.DUMMYFUNCTION("""COMPUTED_VALUE"""),0.0)</f>
        <v>0</v>
      </c>
      <c r="P257" s="767">
        <f>IFERROR(__xludf.DUMMYFUNCTION("""COMPUTED_VALUE"""),1.5416666666666667)</f>
        <v>1.541666667</v>
      </c>
      <c r="Q257" s="763" t="str">
        <f>IFERROR(__xludf.DUMMYFUNCTION("""COMPUTED_VALUE"""),"EUR")</f>
        <v>EUR</v>
      </c>
      <c r="R257" s="763">
        <f>IFERROR(__xludf.DUMMYFUNCTION("""COMPUTED_VALUE"""),661.0)</f>
        <v>661</v>
      </c>
      <c r="S257" s="763" t="str">
        <f>IFERROR(__xludf.DUMMYFUNCTION("""COMPUTED_VALUE"""),"Workshop Heels con Lulu Kulova - Workshop Lulu Heels")</f>
        <v>Workshop Heels con Lulu Kulova - Workshop Lulu Heels</v>
      </c>
      <c r="T257" s="763"/>
      <c r="U257" s="763"/>
      <c r="V257" s="763">
        <f>IFERROR(__xludf.DUMMYFUNCTION("""COMPUTED_VALUE"""),1.0)</f>
        <v>1</v>
      </c>
      <c r="W257" s="763">
        <f>IFERROR(__xludf.DUMMYFUNCTION("""COMPUTED_VALUE"""),37.0)</f>
        <v>37</v>
      </c>
      <c r="X257" s="763">
        <f>IFERROR(__xludf.DUMMYFUNCTION("""COMPUTED_VALUE"""),37.0)</f>
        <v>37</v>
      </c>
      <c r="Y257" s="763"/>
      <c r="Z257" s="768" t="str">
        <f>IFERROR(__xludf.DUMMYFUNCTION("""COMPUTED_VALUE"""),"https://studio-gem.it/wp-admin/post.php?post=65104&amp;action=edit")</f>
        <v>https://studio-gem.it/wp-admin/post.php?post=65104&amp;action=edit</v>
      </c>
      <c r="AA257" s="763"/>
      <c r="AB257" s="763"/>
      <c r="AC257" s="763"/>
      <c r="AD257" s="763"/>
      <c r="AE257" s="763"/>
      <c r="AF257" s="763"/>
      <c r="AG257" s="763"/>
      <c r="AH257" s="763"/>
      <c r="AI257" s="763"/>
      <c r="AJ257" s="763"/>
      <c r="AK257" s="763"/>
      <c r="AL257" s="763"/>
      <c r="AM257" s="763"/>
      <c r="AN257" s="763"/>
      <c r="AO257" s="763"/>
      <c r="AP257" s="763"/>
      <c r="AQ257" s="763"/>
      <c r="AR257" s="763"/>
      <c r="AS257" s="763"/>
      <c r="AT257" s="763"/>
      <c r="AU257" s="763"/>
      <c r="AV257" s="763"/>
      <c r="AW257" s="763"/>
      <c r="AX257" s="763"/>
      <c r="AY257" s="763"/>
      <c r="AZ257" s="763"/>
      <c r="BA257" s="763"/>
      <c r="BB257" s="763"/>
      <c r="BC257" s="763"/>
      <c r="BD257" s="763"/>
      <c r="BE257" s="763"/>
      <c r="BF257" s="763"/>
      <c r="BG257" s="763" t="b">
        <f>IFERROR(__xludf.DUMMYFUNCTION("""COMPUTED_VALUE"""),TRUE)</f>
        <v>1</v>
      </c>
      <c r="BH257" s="763" t="b">
        <f>IFERROR(__xludf.DUMMYFUNCTION("""COMPUTED_VALUE"""),TRUE)</f>
        <v>1</v>
      </c>
      <c r="BI257" s="763" t="b">
        <f>IFERROR(__xludf.DUMMYFUNCTION("""COMPUTED_VALUE"""),TRUE)</f>
        <v>1</v>
      </c>
      <c r="BJ257" s="763" t="b">
        <f>IFERROR(__xludf.DUMMYFUNCTION("""COMPUTED_VALUE"""),TRUE)</f>
        <v>1</v>
      </c>
    </row>
    <row r="258">
      <c r="A258" s="763">
        <f>IFERROR(__xludf.DUMMYFUNCTION("""COMPUTED_VALUE"""),65106.0)</f>
        <v>65106</v>
      </c>
      <c r="B258" s="763">
        <f>IFERROR(__xludf.DUMMYFUNCTION("""COMPUTED_VALUE"""),65106.0)</f>
        <v>65106</v>
      </c>
      <c r="C258" s="763" t="str">
        <f>IFERROR(__xludf.DUMMYFUNCTION("""COMPUTED_VALUE"""),"2025-10-08 20:23:36")</f>
        <v>2025-10-08 20:23:36</v>
      </c>
      <c r="D258" s="763" t="str">
        <f>IFERROR(__xludf.DUMMYFUNCTION("""COMPUTED_VALUE"""),"processing")</f>
        <v>processing</v>
      </c>
      <c r="E258" s="763" t="str">
        <f>IFERROR(__xludf.DUMMYFUNCTION("""COMPUTED_VALUE"""),"Sara")</f>
        <v>Sara</v>
      </c>
      <c r="F258" s="763" t="str">
        <f>IFERROR(__xludf.DUMMYFUNCTION("""COMPUTED_VALUE"""),"Massalongo")</f>
        <v>Massalongo</v>
      </c>
      <c r="G258" s="763" t="str">
        <f>IFERROR(__xludf.DUMMYFUNCTION("""COMPUTED_VALUE"""),"sara.massalongo@hotmail.it")</f>
        <v>sara.massalongo@hotmail.it</v>
      </c>
      <c r="H258" s="763">
        <f>IFERROR(__xludf.DUMMYFUNCTION("""COMPUTED_VALUE"""),3.400902836E9)</f>
        <v>3400902836</v>
      </c>
      <c r="I258" s="763" t="str">
        <f>IFERROR(__xludf.DUMMYFUNCTION("""COMPUTED_VALUE"""),"Milano")</f>
        <v>Milano</v>
      </c>
      <c r="J258" s="763" t="str">
        <f>IFERROR(__xludf.DUMMYFUNCTION("""COMPUTED_VALUE"""),"Via Giovanni Battista Morgagni 39")</f>
        <v>Via Giovanni Battista Morgagni 39</v>
      </c>
      <c r="K258" s="763">
        <f>IFERROR(__xludf.DUMMYFUNCTION("""COMPUTED_VALUE"""),20129.0)</f>
        <v>20129</v>
      </c>
      <c r="L258" s="763" t="str">
        <f>IFERROR(__xludf.DUMMYFUNCTION("""COMPUTED_VALUE"""),"Carte di pagamento")</f>
        <v>Carte di pagamento</v>
      </c>
      <c r="M258" s="763"/>
      <c r="N258" s="763" t="str">
        <f>IFERROR(__xludf.DUMMYFUNCTION("""COMPUTED_VALUE"""),"65106-1759955018")</f>
        <v>65106-1759955018</v>
      </c>
      <c r="O258" s="763">
        <f>IFERROR(__xludf.DUMMYFUNCTION("""COMPUTED_VALUE"""),0.0)</f>
        <v>0</v>
      </c>
      <c r="P258" s="767">
        <f>IFERROR(__xludf.DUMMYFUNCTION("""COMPUTED_VALUE"""),1.5416666666666667)</f>
        <v>1.541666667</v>
      </c>
      <c r="Q258" s="763" t="str">
        <f>IFERROR(__xludf.DUMMYFUNCTION("""COMPUTED_VALUE"""),"EUR")</f>
        <v>EUR</v>
      </c>
      <c r="R258" s="763">
        <f>IFERROR(__xludf.DUMMYFUNCTION("""COMPUTED_VALUE"""),662.0)</f>
        <v>662</v>
      </c>
      <c r="S258" s="763" t="str">
        <f>IFERROR(__xludf.DUMMYFUNCTION("""COMPUTED_VALUE"""),"Workshop Heels con Lulu Kulova - Workshop Lulu Heels")</f>
        <v>Workshop Heels con Lulu Kulova - Workshop Lulu Heels</v>
      </c>
      <c r="T258" s="763"/>
      <c r="U258" s="763"/>
      <c r="V258" s="763">
        <f>IFERROR(__xludf.DUMMYFUNCTION("""COMPUTED_VALUE"""),1.0)</f>
        <v>1</v>
      </c>
      <c r="W258" s="763">
        <f>IFERROR(__xludf.DUMMYFUNCTION("""COMPUTED_VALUE"""),37.0)</f>
        <v>37</v>
      </c>
      <c r="X258" s="763">
        <f>IFERROR(__xludf.DUMMYFUNCTION("""COMPUTED_VALUE"""),37.0)</f>
        <v>37</v>
      </c>
      <c r="Y258" s="763"/>
      <c r="Z258" s="768" t="str">
        <f>IFERROR(__xludf.DUMMYFUNCTION("""COMPUTED_VALUE"""),"https://studio-gem.it/wp-admin/post.php?post=65106&amp;action=edit")</f>
        <v>https://studio-gem.it/wp-admin/post.php?post=65106&amp;action=edit</v>
      </c>
      <c r="AA258" s="763"/>
      <c r="AB258" s="763"/>
      <c r="AC258" s="763"/>
      <c r="AD258" s="763"/>
      <c r="AE258" s="763"/>
      <c r="AF258" s="763"/>
      <c r="AG258" s="763"/>
      <c r="AH258" s="763"/>
      <c r="AI258" s="763"/>
      <c r="AJ258" s="763"/>
      <c r="AK258" s="763"/>
      <c r="AL258" s="763"/>
      <c r="AM258" s="763"/>
      <c r="AN258" s="763"/>
      <c r="AO258" s="763"/>
      <c r="AP258" s="763"/>
      <c r="AQ258" s="763"/>
      <c r="AR258" s="763"/>
      <c r="AS258" s="763"/>
      <c r="AT258" s="763"/>
      <c r="AU258" s="763"/>
      <c r="AV258" s="763"/>
      <c r="AW258" s="763"/>
      <c r="AX258" s="763"/>
      <c r="AY258" s="763"/>
      <c r="AZ258" s="763"/>
      <c r="BA258" s="763"/>
      <c r="BB258" s="763"/>
      <c r="BC258" s="763"/>
      <c r="BD258" s="763"/>
      <c r="BE258" s="763"/>
      <c r="BF258" s="763"/>
      <c r="BG258" s="763" t="b">
        <f>IFERROR(__xludf.DUMMYFUNCTION("""COMPUTED_VALUE"""),TRUE)</f>
        <v>1</v>
      </c>
      <c r="BH258" s="763" t="b">
        <f>IFERROR(__xludf.DUMMYFUNCTION("""COMPUTED_VALUE"""),TRUE)</f>
        <v>1</v>
      </c>
      <c r="BI258" s="763" t="b">
        <f>IFERROR(__xludf.DUMMYFUNCTION("""COMPUTED_VALUE"""),TRUE)</f>
        <v>1</v>
      </c>
      <c r="BJ258" s="763" t="b">
        <f>IFERROR(__xludf.DUMMYFUNCTION("""COMPUTED_VALUE"""),TRUE)</f>
        <v>1</v>
      </c>
    </row>
    <row r="259">
      <c r="A259" s="763">
        <f>IFERROR(__xludf.DUMMYFUNCTION("""COMPUTED_VALUE"""),65107.0)</f>
        <v>65107</v>
      </c>
      <c r="B259" s="763">
        <f>IFERROR(__xludf.DUMMYFUNCTION("""COMPUTED_VALUE"""),65107.0)</f>
        <v>65107</v>
      </c>
      <c r="C259" s="763" t="str">
        <f>IFERROR(__xludf.DUMMYFUNCTION("""COMPUTED_VALUE"""),"2025-10-08 21:54:41")</f>
        <v>2025-10-08 21:54:41</v>
      </c>
      <c r="D259" s="763" t="str">
        <f>IFERROR(__xludf.DUMMYFUNCTION("""COMPUTED_VALUE"""),"completed")</f>
        <v>completed</v>
      </c>
      <c r="E259" s="763" t="str">
        <f>IFERROR(__xludf.DUMMYFUNCTION("""COMPUTED_VALUE"""),"Camilla")</f>
        <v>Camilla</v>
      </c>
      <c r="F259" s="763" t="str">
        <f>IFERROR(__xludf.DUMMYFUNCTION("""COMPUTED_VALUE"""),"Mosca Mondadori")</f>
        <v>Mosca Mondadori</v>
      </c>
      <c r="G259" s="763" t="str">
        <f>IFERROR(__xludf.DUMMYFUNCTION("""COMPUTED_VALUE"""),"millamondadori@gmail.com")</f>
        <v>millamondadori@gmail.com</v>
      </c>
      <c r="H259" s="763">
        <f>IFERROR(__xludf.DUMMYFUNCTION("""COMPUTED_VALUE"""),3.489003854E9)</f>
        <v>3489003854</v>
      </c>
      <c r="I259" s="763" t="str">
        <f>IFERROR(__xludf.DUMMYFUNCTION("""COMPUTED_VALUE"""),"Milano")</f>
        <v>Milano</v>
      </c>
      <c r="J259" s="763" t="str">
        <f>IFERROR(__xludf.DUMMYFUNCTION("""COMPUTED_VALUE"""),"Via Archimede 41")</f>
        <v>Via Archimede 41</v>
      </c>
      <c r="K259" s="763">
        <f>IFERROR(__xludf.DUMMYFUNCTION("""COMPUTED_VALUE"""),20129.0)</f>
        <v>20129</v>
      </c>
      <c r="L259" s="763" t="str">
        <f>IFERROR(__xludf.DUMMYFUNCTION("""COMPUTED_VALUE"""),"Carte di pagamento")</f>
        <v>Carte di pagamento</v>
      </c>
      <c r="M259" s="763"/>
      <c r="N259" s="763" t="str">
        <f>IFERROR(__xludf.DUMMYFUNCTION("""COMPUTED_VALUE"""),"65107-1759960482")</f>
        <v>65107-1759960482</v>
      </c>
      <c r="O259" s="763">
        <f>IFERROR(__xludf.DUMMYFUNCTION("""COMPUTED_VALUE"""),0.0)</f>
        <v>0</v>
      </c>
      <c r="P259" s="767">
        <f>IFERROR(__xludf.DUMMYFUNCTION("""COMPUTED_VALUE"""),1.5416666666666667)</f>
        <v>1.541666667</v>
      </c>
      <c r="Q259" s="763" t="str">
        <f>IFERROR(__xludf.DUMMYFUNCTION("""COMPUTED_VALUE"""),"EUR")</f>
        <v>EUR</v>
      </c>
      <c r="R259" s="763">
        <f>IFERROR(__xludf.DUMMYFUNCTION("""COMPUTED_VALUE"""),663.0)</f>
        <v>663</v>
      </c>
      <c r="S259" s="763" t="str">
        <f>IFERROR(__xludf.DUMMYFUNCTION("""COMPUTED_VALUE"""),"Workshop Afrofusion con Banana 2025 - Workshop Banana afrofusion")</f>
        <v>Workshop Afrofusion con Banana 2025 - Workshop Banana afrofusion</v>
      </c>
      <c r="T259" s="763"/>
      <c r="U259" s="763"/>
      <c r="V259" s="763">
        <f>IFERROR(__xludf.DUMMYFUNCTION("""COMPUTED_VALUE"""),1.0)</f>
        <v>1</v>
      </c>
      <c r="W259" s="763">
        <f>IFERROR(__xludf.DUMMYFUNCTION("""COMPUTED_VALUE"""),37.0)</f>
        <v>37</v>
      </c>
      <c r="X259" s="763">
        <f>IFERROR(__xludf.DUMMYFUNCTION("""COMPUTED_VALUE"""),37.0)</f>
        <v>37</v>
      </c>
      <c r="Y259" s="763"/>
      <c r="Z259" s="768" t="str">
        <f>IFERROR(__xludf.DUMMYFUNCTION("""COMPUTED_VALUE"""),"https://studio-gem.it/wp-admin/post.php?post=65107&amp;action=edit")</f>
        <v>https://studio-gem.it/wp-admin/post.php?post=65107&amp;action=edit</v>
      </c>
      <c r="AA259" s="763"/>
      <c r="AB259" s="763"/>
      <c r="AC259" s="763"/>
      <c r="AD259" s="763"/>
      <c r="AE259" s="763"/>
      <c r="AF259" s="763"/>
      <c r="AG259" s="763"/>
      <c r="AH259" s="763"/>
      <c r="AI259" s="763"/>
      <c r="AJ259" s="763"/>
      <c r="AK259" s="763"/>
      <c r="AL259" s="763"/>
      <c r="AM259" s="763"/>
      <c r="AN259" s="763"/>
      <c r="AO259" s="763"/>
      <c r="AP259" s="763"/>
      <c r="AQ259" s="763"/>
      <c r="AR259" s="763"/>
      <c r="AS259" s="763"/>
      <c r="AT259" s="763"/>
      <c r="AU259" s="763"/>
      <c r="AV259" s="763"/>
      <c r="AW259" s="763"/>
      <c r="AX259" s="763"/>
      <c r="AY259" s="763"/>
      <c r="AZ259" s="763"/>
      <c r="BA259" s="763"/>
      <c r="BB259" s="763"/>
      <c r="BC259" s="763"/>
      <c r="BD259" s="763"/>
      <c r="BE259" s="763"/>
      <c r="BF259" s="763"/>
      <c r="BG259" s="763" t="b">
        <f>IFERROR(__xludf.DUMMYFUNCTION("""COMPUTED_VALUE"""),TRUE)</f>
        <v>1</v>
      </c>
      <c r="BH259" s="763" t="b">
        <f>IFERROR(__xludf.DUMMYFUNCTION("""COMPUTED_VALUE"""),TRUE)</f>
        <v>1</v>
      </c>
      <c r="BI259" s="763" t="b">
        <f>IFERROR(__xludf.DUMMYFUNCTION("""COMPUTED_VALUE"""),TRUE)</f>
        <v>1</v>
      </c>
      <c r="BJ259" s="763" t="b">
        <f>IFERROR(__xludf.DUMMYFUNCTION("""COMPUTED_VALUE"""),TRUE)</f>
        <v>1</v>
      </c>
    </row>
    <row r="260">
      <c r="A260" s="763">
        <f>IFERROR(__xludf.DUMMYFUNCTION("""COMPUTED_VALUE"""),65109.0)</f>
        <v>65109</v>
      </c>
      <c r="B260" s="763">
        <f>IFERROR(__xludf.DUMMYFUNCTION("""COMPUTED_VALUE"""),65109.0)</f>
        <v>65109</v>
      </c>
      <c r="C260" s="763" t="str">
        <f>IFERROR(__xludf.DUMMYFUNCTION("""COMPUTED_VALUE"""),"2025-10-08 22:41:04")</f>
        <v>2025-10-08 22:41:04</v>
      </c>
      <c r="D260" s="763" t="str">
        <f>IFERROR(__xludf.DUMMYFUNCTION("""COMPUTED_VALUE"""),"processing")</f>
        <v>processing</v>
      </c>
      <c r="E260" s="763" t="str">
        <f>IFERROR(__xludf.DUMMYFUNCTION("""COMPUTED_VALUE"""),"Sophie")</f>
        <v>Sophie</v>
      </c>
      <c r="F260" s="763" t="str">
        <f>IFERROR(__xludf.DUMMYFUNCTION("""COMPUTED_VALUE"""),"Ghamlouche")</f>
        <v>Ghamlouche</v>
      </c>
      <c r="G260" s="763" t="str">
        <f>IFERROR(__xludf.DUMMYFUNCTION("""COMPUTED_VALUE"""),"sooopghamlouche@gmail.com")</f>
        <v>sooopghamlouche@gmail.com</v>
      </c>
      <c r="H260" s="763">
        <f>IFERROR(__xludf.DUMMYFUNCTION("""COMPUTED_VALUE"""),3.460351191E9)</f>
        <v>3460351191</v>
      </c>
      <c r="I260" s="763" t="str">
        <f>IFERROR(__xludf.DUMMYFUNCTION("""COMPUTED_VALUE"""),"Milan")</f>
        <v>Milan</v>
      </c>
      <c r="J260" s="763" t="str">
        <f>IFERROR(__xludf.DUMMYFUNCTION("""COMPUTED_VALUE"""),"Via rosa massara de capitani")</f>
        <v>Via rosa massara de capitani</v>
      </c>
      <c r="K260" s="763">
        <f>IFERROR(__xludf.DUMMYFUNCTION("""COMPUTED_VALUE"""),43121.0)</f>
        <v>43121</v>
      </c>
      <c r="L260" s="763" t="str">
        <f>IFERROR(__xludf.DUMMYFUNCTION("""COMPUTED_VALUE"""),"Satispay")</f>
        <v>Satispay</v>
      </c>
      <c r="M260" s="763"/>
      <c r="N260" s="763" t="str">
        <f>IFERROR(__xludf.DUMMYFUNCTION("""COMPUTED_VALUE"""),"0199c5fc-388e-70a6-8736-77a959fac623")</f>
        <v>0199c5fc-388e-70a6-8736-77a959fac623</v>
      </c>
      <c r="O260" s="763">
        <f>IFERROR(__xludf.DUMMYFUNCTION("""COMPUTED_VALUE"""),0.0)</f>
        <v>0</v>
      </c>
      <c r="P260" s="767">
        <f>IFERROR(__xludf.DUMMYFUNCTION("""COMPUTED_VALUE"""),1.5416666666666667)</f>
        <v>1.541666667</v>
      </c>
      <c r="Q260" s="763" t="str">
        <f>IFERROR(__xludf.DUMMYFUNCTION("""COMPUTED_VALUE"""),"EUR")</f>
        <v>EUR</v>
      </c>
      <c r="R260" s="763">
        <f>IFERROR(__xludf.DUMMYFUNCTION("""COMPUTED_VALUE"""),664.0)</f>
        <v>664</v>
      </c>
      <c r="S260" s="763" t="str">
        <f>IFERROR(__xludf.DUMMYFUNCTION("""COMPUTED_VALUE"""),"Workshop Afrofusion con Banana 2025 - Workshop Banana afrofusion")</f>
        <v>Workshop Afrofusion con Banana 2025 - Workshop Banana afrofusion</v>
      </c>
      <c r="T260" s="763"/>
      <c r="U260" s="763"/>
      <c r="V260" s="763">
        <f>IFERROR(__xludf.DUMMYFUNCTION("""COMPUTED_VALUE"""),1.0)</f>
        <v>1</v>
      </c>
      <c r="W260" s="763">
        <f>IFERROR(__xludf.DUMMYFUNCTION("""COMPUTED_VALUE"""),37.0)</f>
        <v>37</v>
      </c>
      <c r="X260" s="763">
        <f>IFERROR(__xludf.DUMMYFUNCTION("""COMPUTED_VALUE"""),37.0)</f>
        <v>37</v>
      </c>
      <c r="Y260" s="763"/>
      <c r="Z260" s="768" t="str">
        <f>IFERROR(__xludf.DUMMYFUNCTION("""COMPUTED_VALUE"""),"https://studio-gem.it/wp-admin/post.php?post=65109&amp;action=edit")</f>
        <v>https://studio-gem.it/wp-admin/post.php?post=65109&amp;action=edit</v>
      </c>
      <c r="AA260" s="763"/>
      <c r="AB260" s="763"/>
      <c r="AC260" s="763"/>
      <c r="AD260" s="763"/>
      <c r="AE260" s="763"/>
      <c r="AF260" s="763"/>
      <c r="AG260" s="763"/>
      <c r="AH260" s="763"/>
      <c r="AI260" s="763"/>
      <c r="AJ260" s="763"/>
      <c r="AK260" s="763"/>
      <c r="AL260" s="763"/>
      <c r="AM260" s="763"/>
      <c r="AN260" s="763"/>
      <c r="AO260" s="763"/>
      <c r="AP260" s="763"/>
      <c r="AQ260" s="763"/>
      <c r="AR260" s="763"/>
      <c r="AS260" s="763"/>
      <c r="AT260" s="763"/>
      <c r="AU260" s="763"/>
      <c r="AV260" s="763"/>
      <c r="AW260" s="763"/>
      <c r="AX260" s="763"/>
      <c r="AY260" s="763"/>
      <c r="AZ260" s="763"/>
      <c r="BA260" s="763"/>
      <c r="BB260" s="763"/>
      <c r="BC260" s="763"/>
      <c r="BD260" s="763"/>
      <c r="BE260" s="763"/>
      <c r="BF260" s="763"/>
      <c r="BG260" s="763" t="b">
        <f>IFERROR(__xludf.DUMMYFUNCTION("""COMPUTED_VALUE"""),TRUE)</f>
        <v>1</v>
      </c>
      <c r="BH260" s="763" t="b">
        <f>IFERROR(__xludf.DUMMYFUNCTION("""COMPUTED_VALUE"""),TRUE)</f>
        <v>1</v>
      </c>
      <c r="BI260" s="763" t="b">
        <f>IFERROR(__xludf.DUMMYFUNCTION("""COMPUTED_VALUE"""),TRUE)</f>
        <v>1</v>
      </c>
      <c r="BJ260" s="763" t="b">
        <f>IFERROR(__xludf.DUMMYFUNCTION("""COMPUTED_VALUE"""),TRUE)</f>
        <v>1</v>
      </c>
    </row>
    <row r="261">
      <c r="A261" s="763">
        <f>IFERROR(__xludf.DUMMYFUNCTION("""COMPUTED_VALUE"""),65111.0)</f>
        <v>65111</v>
      </c>
      <c r="B261" s="763">
        <f>IFERROR(__xludf.DUMMYFUNCTION("""COMPUTED_VALUE"""),65111.0)</f>
        <v>65111</v>
      </c>
      <c r="C261" s="763" t="str">
        <f>IFERROR(__xludf.DUMMYFUNCTION("""COMPUTED_VALUE"""),"2025-10-09 08:55:08")</f>
        <v>2025-10-09 08:55:08</v>
      </c>
      <c r="D261" s="763" t="str">
        <f>IFERROR(__xludf.DUMMYFUNCTION("""COMPUTED_VALUE"""),"pending")</f>
        <v>pending</v>
      </c>
      <c r="E261" s="763" t="str">
        <f>IFERROR(__xludf.DUMMYFUNCTION("""COMPUTED_VALUE"""),"Thomas")</f>
        <v>Thomas</v>
      </c>
      <c r="F261" s="763" t="str">
        <f>IFERROR(__xludf.DUMMYFUNCTION("""COMPUTED_VALUE"""),"Amarena")</f>
        <v>Amarena</v>
      </c>
      <c r="G261" s="763" t="str">
        <f>IFERROR(__xludf.DUMMYFUNCTION("""COMPUTED_VALUE"""),"deborahmercurio.art@gmail.com")</f>
        <v>deborahmercurio.art@gmail.com</v>
      </c>
      <c r="H261" s="763">
        <f>IFERROR(__xludf.DUMMYFUNCTION("""COMPUTED_VALUE"""),3.398639539E9)</f>
        <v>3398639539</v>
      </c>
      <c r="I261" s="763" t="str">
        <f>IFERROR(__xludf.DUMMYFUNCTION("""COMPUTED_VALUE"""),"senago")</f>
        <v>senago</v>
      </c>
      <c r="J261" s="763" t="str">
        <f>IFERROR(__xludf.DUMMYFUNCTION("""COMPUTED_VALUE"""),"diaz 8")</f>
        <v>diaz 8</v>
      </c>
      <c r="K261" s="763">
        <f>IFERROR(__xludf.DUMMYFUNCTION("""COMPUTED_VALUE"""),20030.0)</f>
        <v>20030</v>
      </c>
      <c r="L261" s="763" t="str">
        <f>IFERROR(__xludf.DUMMYFUNCTION("""COMPUTED_VALUE"""),"Carte di pagamento")</f>
        <v>Carte di pagamento</v>
      </c>
      <c r="M261" s="763" t="str">
        <f>IFERROR(__xludf.DUMMYFUNCTION("""COMPUTED_VALUE"""),"nura02ws")</f>
        <v>nura02ws</v>
      </c>
      <c r="N261" s="763" t="str">
        <f>IFERROR(__xludf.DUMMYFUNCTION("""COMPUTED_VALUE"""),"65111-1760000299")</f>
        <v>65111-1760000299</v>
      </c>
      <c r="O261" s="763">
        <f>IFERROR(__xludf.DUMMYFUNCTION("""COMPUTED_VALUE"""),0.0)</f>
        <v>0</v>
      </c>
      <c r="P261" s="767">
        <f>IFERROR(__xludf.DUMMYFUNCTION("""COMPUTED_VALUE"""),1.4583333333333333)</f>
        <v>1.458333333</v>
      </c>
      <c r="Q261" s="763" t="str">
        <f>IFERROR(__xludf.DUMMYFUNCTION("""COMPUTED_VALUE"""),"EUR")</f>
        <v>EUR</v>
      </c>
      <c r="R261" s="763">
        <f>IFERROR(__xludf.DUMMYFUNCTION("""COMPUTED_VALUE"""),667.0)</f>
        <v>667</v>
      </c>
      <c r="S261" s="763" t="str">
        <f>IFERROR(__xludf.DUMMYFUNCTION("""COMPUTED_VALUE"""),"Workshop Urban con Kumo - Workshop Kumo Urban")</f>
        <v>Workshop Urban con Kumo - Workshop Kumo Urban</v>
      </c>
      <c r="T261" s="763"/>
      <c r="U261" s="763"/>
      <c r="V261" s="763">
        <f>IFERROR(__xludf.DUMMYFUNCTION("""COMPUTED_VALUE"""),1.0)</f>
        <v>1</v>
      </c>
      <c r="W261" s="763">
        <f>IFERROR(__xludf.DUMMYFUNCTION("""COMPUTED_VALUE"""),35.0)</f>
        <v>35</v>
      </c>
      <c r="X261" s="763">
        <f>IFERROR(__xludf.DUMMYFUNCTION("""COMPUTED_VALUE"""),35.0)</f>
        <v>35</v>
      </c>
      <c r="Y261" s="763"/>
      <c r="Z261" s="768" t="str">
        <f>IFERROR(__xludf.DUMMYFUNCTION("""COMPUTED_VALUE"""),"https://studio-gem.it/wp-admin/post.php?post=65111&amp;action=edit")</f>
        <v>https://studio-gem.it/wp-admin/post.php?post=65111&amp;action=edit</v>
      </c>
      <c r="AA261" s="763"/>
      <c r="AB261" s="763"/>
      <c r="AC261" s="763"/>
      <c r="AD261" s="763"/>
      <c r="AE261" s="763"/>
      <c r="AF261" s="763"/>
      <c r="AG261" s="763"/>
      <c r="AH261" s="763"/>
      <c r="AI261" s="763"/>
      <c r="AJ261" s="763"/>
      <c r="AK261" s="763"/>
      <c r="AL261" s="763"/>
      <c r="AM261" s="763"/>
      <c r="AN261" s="763"/>
      <c r="AO261" s="763"/>
      <c r="AP261" s="763"/>
      <c r="AQ261" s="763"/>
      <c r="AR261" s="763"/>
      <c r="AS261" s="763"/>
      <c r="AT261" s="763"/>
      <c r="AU261" s="763"/>
      <c r="AV261" s="763"/>
      <c r="AW261" s="763"/>
      <c r="AX261" s="763"/>
      <c r="AY261" s="763"/>
      <c r="AZ261" s="763"/>
      <c r="BA261" s="763"/>
      <c r="BB261" s="763"/>
      <c r="BC261" s="763"/>
      <c r="BD261" s="763"/>
      <c r="BE261" s="763"/>
      <c r="BF261" s="763"/>
      <c r="BG261" s="763" t="b">
        <f>IFERROR(__xludf.DUMMYFUNCTION("""COMPUTED_VALUE"""),TRUE)</f>
        <v>1</v>
      </c>
      <c r="BH261" s="763" t="b">
        <f>IFERROR(__xludf.DUMMYFUNCTION("""COMPUTED_VALUE"""),TRUE)</f>
        <v>1</v>
      </c>
      <c r="BI261" s="763" t="b">
        <f>IFERROR(__xludf.DUMMYFUNCTION("""COMPUTED_VALUE"""),TRUE)</f>
        <v>1</v>
      </c>
      <c r="BJ261" s="763" t="b">
        <f>IFERROR(__xludf.DUMMYFUNCTION("""COMPUTED_VALUE"""),TRUE)</f>
        <v>1</v>
      </c>
    </row>
    <row r="262">
      <c r="A262" s="763">
        <f>IFERROR(__xludf.DUMMYFUNCTION("""COMPUTED_VALUE"""),65114.0)</f>
        <v>65114</v>
      </c>
      <c r="B262" s="763">
        <f>IFERROR(__xludf.DUMMYFUNCTION("""COMPUTED_VALUE"""),65114.0)</f>
        <v>65114</v>
      </c>
      <c r="C262" s="763" t="str">
        <f>IFERROR(__xludf.DUMMYFUNCTION("""COMPUTED_VALUE"""),"2025-10-09 14:08:52")</f>
        <v>2025-10-09 14:08:52</v>
      </c>
      <c r="D262" s="763" t="str">
        <f>IFERROR(__xludf.DUMMYFUNCTION("""COMPUTED_VALUE"""),"completed")</f>
        <v>completed</v>
      </c>
      <c r="E262" s="763" t="str">
        <f>IFERROR(__xludf.DUMMYFUNCTION("""COMPUTED_VALUE"""),"Nina")</f>
        <v>Nina</v>
      </c>
      <c r="F262" s="763" t="str">
        <f>IFERROR(__xludf.DUMMYFUNCTION("""COMPUTED_VALUE"""),"Galliani")</f>
        <v>Galliani</v>
      </c>
      <c r="G262" s="763" t="str">
        <f>IFERROR(__xludf.DUMMYFUNCTION("""COMPUTED_VALUE"""),"laetitiafarellacci@gmail.com")</f>
        <v>laetitiafarellacci@gmail.com</v>
      </c>
      <c r="H262" s="763">
        <f>IFERROR(__xludf.DUMMYFUNCTION("""COMPUTED_VALUE"""),3.470122644E9)</f>
        <v>3470122644</v>
      </c>
      <c r="I262" s="763" t="str">
        <f>IFERROR(__xludf.DUMMYFUNCTION("""COMPUTED_VALUE"""),"Milano")</f>
        <v>Milano</v>
      </c>
      <c r="J262" s="763" t="str">
        <f>IFERROR(__xludf.DUMMYFUNCTION("""COMPUTED_VALUE"""),"Viale Molise")</f>
        <v>Viale Molise</v>
      </c>
      <c r="K262" s="763">
        <f>IFERROR(__xludf.DUMMYFUNCTION("""COMPUTED_VALUE"""),20137.0)</f>
        <v>20137</v>
      </c>
      <c r="L262" s="763" t="str">
        <f>IFERROR(__xludf.DUMMYFUNCTION("""COMPUTED_VALUE"""),"Carte di pagamento")</f>
        <v>Carte di pagamento</v>
      </c>
      <c r="M262" s="763"/>
      <c r="N262" s="763" t="str">
        <f>IFERROR(__xludf.DUMMYFUNCTION("""COMPUTED_VALUE"""),"65114-1760018933")</f>
        <v>65114-1760018933</v>
      </c>
      <c r="O262" s="763">
        <f>IFERROR(__xludf.DUMMYFUNCTION("""COMPUTED_VALUE"""),0.0)</f>
        <v>0</v>
      </c>
      <c r="P262" s="767">
        <f>IFERROR(__xludf.DUMMYFUNCTION("""COMPUTED_VALUE"""),1.5416666666666667)</f>
        <v>1.541666667</v>
      </c>
      <c r="Q262" s="763" t="str">
        <f>IFERROR(__xludf.DUMMYFUNCTION("""COMPUTED_VALUE"""),"EUR")</f>
        <v>EUR</v>
      </c>
      <c r="R262" s="763">
        <f>IFERROR(__xludf.DUMMYFUNCTION("""COMPUTED_VALUE"""),669.0)</f>
        <v>669</v>
      </c>
      <c r="S262" s="763" t="str">
        <f>IFERROR(__xludf.DUMMYFUNCTION("""COMPUTED_VALUE"""),"Workshop Afrofusion con Banana 2025 - Workshop Banana afrofusion")</f>
        <v>Workshop Afrofusion con Banana 2025 - Workshop Banana afrofusion</v>
      </c>
      <c r="T262" s="763"/>
      <c r="U262" s="763"/>
      <c r="V262" s="763">
        <f>IFERROR(__xludf.DUMMYFUNCTION("""COMPUTED_VALUE"""),1.0)</f>
        <v>1</v>
      </c>
      <c r="W262" s="763">
        <f>IFERROR(__xludf.DUMMYFUNCTION("""COMPUTED_VALUE"""),37.0)</f>
        <v>37</v>
      </c>
      <c r="X262" s="763">
        <f>IFERROR(__xludf.DUMMYFUNCTION("""COMPUTED_VALUE"""),37.0)</f>
        <v>37</v>
      </c>
      <c r="Y262" s="763"/>
      <c r="Z262" s="768" t="str">
        <f>IFERROR(__xludf.DUMMYFUNCTION("""COMPUTED_VALUE"""),"https://studio-gem.it/wp-admin/post.php?post=65114&amp;action=edit")</f>
        <v>https://studio-gem.it/wp-admin/post.php?post=65114&amp;action=edit</v>
      </c>
      <c r="AA262" s="763"/>
      <c r="AB262" s="763"/>
      <c r="AC262" s="763"/>
      <c r="AD262" s="763"/>
      <c r="AE262" s="763"/>
      <c r="AF262" s="763"/>
      <c r="AG262" s="763"/>
      <c r="AH262" s="763"/>
      <c r="AI262" s="763"/>
      <c r="AJ262" s="763"/>
      <c r="AK262" s="763"/>
      <c r="AL262" s="763"/>
      <c r="AM262" s="763"/>
      <c r="AN262" s="763"/>
      <c r="AO262" s="763"/>
      <c r="AP262" s="763"/>
      <c r="AQ262" s="763"/>
      <c r="AR262" s="763"/>
      <c r="AS262" s="763"/>
      <c r="AT262" s="763"/>
      <c r="AU262" s="763"/>
      <c r="AV262" s="763"/>
      <c r="AW262" s="763"/>
      <c r="AX262" s="763"/>
      <c r="AY262" s="763"/>
      <c r="AZ262" s="763"/>
      <c r="BA262" s="763"/>
      <c r="BB262" s="763"/>
      <c r="BC262" s="763"/>
      <c r="BD262" s="763"/>
      <c r="BE262" s="763"/>
      <c r="BF262" s="763"/>
      <c r="BG262" s="763" t="b">
        <f>IFERROR(__xludf.DUMMYFUNCTION("""COMPUTED_VALUE"""),TRUE)</f>
        <v>1</v>
      </c>
      <c r="BH262" s="763" t="b">
        <f>IFERROR(__xludf.DUMMYFUNCTION("""COMPUTED_VALUE"""),TRUE)</f>
        <v>1</v>
      </c>
      <c r="BI262" s="763" t="b">
        <f>IFERROR(__xludf.DUMMYFUNCTION("""COMPUTED_VALUE"""),TRUE)</f>
        <v>1</v>
      </c>
      <c r="BJ262" s="763" t="b">
        <f>IFERROR(__xludf.DUMMYFUNCTION("""COMPUTED_VALUE"""),TRUE)</f>
        <v>1</v>
      </c>
    </row>
    <row r="263">
      <c r="A263" s="763">
        <f>IFERROR(__xludf.DUMMYFUNCTION("""COMPUTED_VALUE"""),65116.0)</f>
        <v>65116</v>
      </c>
      <c r="B263" s="763">
        <f>IFERROR(__xludf.DUMMYFUNCTION("""COMPUTED_VALUE"""),65116.0)</f>
        <v>65116</v>
      </c>
      <c r="C263" s="763" t="str">
        <f>IFERROR(__xludf.DUMMYFUNCTION("""COMPUTED_VALUE"""),"2025-10-09 16:19:20")</f>
        <v>2025-10-09 16:19:20</v>
      </c>
      <c r="D263" s="763" t="str">
        <f>IFERROR(__xludf.DUMMYFUNCTION("""COMPUTED_VALUE"""),"completed")</f>
        <v>completed</v>
      </c>
      <c r="E263" s="763" t="str">
        <f>IFERROR(__xludf.DUMMYFUNCTION("""COMPUTED_VALUE"""),"desirée")</f>
        <v>desirée</v>
      </c>
      <c r="F263" s="763" t="str">
        <f>IFERROR(__xludf.DUMMYFUNCTION("""COMPUTED_VALUE"""),"lopez")</f>
        <v>lopez</v>
      </c>
      <c r="G263" s="763" t="str">
        <f>IFERROR(__xludf.DUMMYFUNCTION("""COMPUTED_VALUE"""),"desiree.dudu10@gmail.com")</f>
        <v>desiree.dudu10@gmail.com</v>
      </c>
      <c r="H263" s="763">
        <f>IFERROR(__xludf.DUMMYFUNCTION("""COMPUTED_VALUE"""),3.890434628E9)</f>
        <v>3890434628</v>
      </c>
      <c r="I263" s="763" t="str">
        <f>IFERROR(__xludf.DUMMYFUNCTION("""COMPUTED_VALUE"""),"Brugherio")</f>
        <v>Brugherio</v>
      </c>
      <c r="J263" s="763" t="str">
        <f>IFERROR(__xludf.DUMMYFUNCTION("""COMPUTED_VALUE"""),"via montello 33")</f>
        <v>via montello 33</v>
      </c>
      <c r="K263" s="763">
        <f>IFERROR(__xludf.DUMMYFUNCTION("""COMPUTED_VALUE"""),20861.0)</f>
        <v>20861</v>
      </c>
      <c r="L263" s="763" t="str">
        <f>IFERROR(__xludf.DUMMYFUNCTION("""COMPUTED_VALUE"""),"Apple Pay")</f>
        <v>Apple Pay</v>
      </c>
      <c r="M263" s="763"/>
      <c r="N263" s="763" t="str">
        <f>IFERROR(__xludf.DUMMYFUNCTION("""COMPUTED_VALUE"""),"65116-1760026762")</f>
        <v>65116-1760026762</v>
      </c>
      <c r="O263" s="763">
        <f>IFERROR(__xludf.DUMMYFUNCTION("""COMPUTED_VALUE"""),0.0)</f>
        <v>0</v>
      </c>
      <c r="P263" s="767">
        <f>IFERROR(__xludf.DUMMYFUNCTION("""COMPUTED_VALUE"""),1.5416666666666667)</f>
        <v>1.541666667</v>
      </c>
      <c r="Q263" s="763" t="str">
        <f>IFERROR(__xludf.DUMMYFUNCTION("""COMPUTED_VALUE"""),"EUR")</f>
        <v>EUR</v>
      </c>
      <c r="R263" s="763">
        <f>IFERROR(__xludf.DUMMYFUNCTION("""COMPUTED_VALUE"""),670.0)</f>
        <v>670</v>
      </c>
      <c r="S263" s="763" t="str">
        <f>IFERROR(__xludf.DUMMYFUNCTION("""COMPUTED_VALUE"""),"Workshop Afrofusion con Banana 2025 - Workshop Banana afrofusion")</f>
        <v>Workshop Afrofusion con Banana 2025 - Workshop Banana afrofusion</v>
      </c>
      <c r="T263" s="763"/>
      <c r="U263" s="763"/>
      <c r="V263" s="763">
        <f>IFERROR(__xludf.DUMMYFUNCTION("""COMPUTED_VALUE"""),1.0)</f>
        <v>1</v>
      </c>
      <c r="W263" s="763">
        <f>IFERROR(__xludf.DUMMYFUNCTION("""COMPUTED_VALUE"""),37.0)</f>
        <v>37</v>
      </c>
      <c r="X263" s="763">
        <f>IFERROR(__xludf.DUMMYFUNCTION("""COMPUTED_VALUE"""),37.0)</f>
        <v>37</v>
      </c>
      <c r="Y263" s="763"/>
      <c r="Z263" s="768" t="str">
        <f>IFERROR(__xludf.DUMMYFUNCTION("""COMPUTED_VALUE"""),"https://studio-gem.it/wp-admin/post.php?post=65116&amp;action=edit")</f>
        <v>https://studio-gem.it/wp-admin/post.php?post=65116&amp;action=edit</v>
      </c>
      <c r="AA263" s="763"/>
      <c r="AB263" s="763"/>
      <c r="AC263" s="763"/>
      <c r="AD263" s="763"/>
      <c r="AE263" s="763"/>
      <c r="AF263" s="763"/>
      <c r="AG263" s="763"/>
      <c r="AH263" s="763"/>
      <c r="AI263" s="763"/>
      <c r="AJ263" s="763"/>
      <c r="AK263" s="763"/>
      <c r="AL263" s="763"/>
      <c r="AM263" s="763"/>
      <c r="AN263" s="763"/>
      <c r="AO263" s="763"/>
      <c r="AP263" s="763"/>
      <c r="AQ263" s="763"/>
      <c r="AR263" s="763"/>
      <c r="AS263" s="763"/>
      <c r="AT263" s="763"/>
      <c r="AU263" s="763"/>
      <c r="AV263" s="763"/>
      <c r="AW263" s="763"/>
      <c r="AX263" s="763"/>
      <c r="AY263" s="763"/>
      <c r="AZ263" s="763"/>
      <c r="BA263" s="763"/>
      <c r="BB263" s="763"/>
      <c r="BC263" s="763"/>
      <c r="BD263" s="763"/>
      <c r="BE263" s="763"/>
      <c r="BF263" s="763"/>
      <c r="BG263" s="763" t="b">
        <f>IFERROR(__xludf.DUMMYFUNCTION("""COMPUTED_VALUE"""),TRUE)</f>
        <v>1</v>
      </c>
      <c r="BH263" s="763" t="b">
        <f>IFERROR(__xludf.DUMMYFUNCTION("""COMPUTED_VALUE"""),TRUE)</f>
        <v>1</v>
      </c>
      <c r="BI263" s="763" t="b">
        <f>IFERROR(__xludf.DUMMYFUNCTION("""COMPUTED_VALUE"""),TRUE)</f>
        <v>1</v>
      </c>
      <c r="BJ263" s="763" t="b">
        <f>IFERROR(__xludf.DUMMYFUNCTION("""COMPUTED_VALUE"""),TRUE)</f>
        <v>1</v>
      </c>
    </row>
    <row r="264">
      <c r="A264" s="763">
        <f>IFERROR(__xludf.DUMMYFUNCTION("""COMPUTED_VALUE"""),65119.0)</f>
        <v>65119</v>
      </c>
      <c r="B264" s="763">
        <f>IFERROR(__xludf.DUMMYFUNCTION("""COMPUTED_VALUE"""),65119.0)</f>
        <v>65119</v>
      </c>
      <c r="C264" s="763" t="str">
        <f>IFERROR(__xludf.DUMMYFUNCTION("""COMPUTED_VALUE"""),"2025-10-09 17:13:42")</f>
        <v>2025-10-09 17:13:42</v>
      </c>
      <c r="D264" s="763" t="str">
        <f>IFERROR(__xludf.DUMMYFUNCTION("""COMPUTED_VALUE"""),"processing")</f>
        <v>processing</v>
      </c>
      <c r="E264" s="763" t="str">
        <f>IFERROR(__xludf.DUMMYFUNCTION("""COMPUTED_VALUE"""),"Veronica")</f>
        <v>Veronica</v>
      </c>
      <c r="F264" s="763" t="str">
        <f>IFERROR(__xludf.DUMMYFUNCTION("""COMPUTED_VALUE"""),"Ottolini")</f>
        <v>Ottolini</v>
      </c>
      <c r="G264" s="763" t="str">
        <f>IFERROR(__xludf.DUMMYFUNCTION("""COMPUTED_VALUE"""),"ve.ottolini@gmail.com")</f>
        <v>ve.ottolini@gmail.com</v>
      </c>
      <c r="H264" s="763" t="str">
        <f>IFERROR(__xludf.DUMMYFUNCTION("""COMPUTED_VALUE"""),"340 513 0696")</f>
        <v>340 513 0696</v>
      </c>
      <c r="I264" s="763" t="str">
        <f>IFERROR(__xludf.DUMMYFUNCTION("""COMPUTED_VALUE"""),"Pioltello")</f>
        <v>Pioltello</v>
      </c>
      <c r="J264" s="763" t="str">
        <f>IFERROR(__xludf.DUMMYFUNCTION("""COMPUTED_VALUE"""),"Strada Malaspina 14")</f>
        <v>Strada Malaspina 14</v>
      </c>
      <c r="K264" s="763">
        <f>IFERROR(__xludf.DUMMYFUNCTION("""COMPUTED_VALUE"""),20096.0)</f>
        <v>20096</v>
      </c>
      <c r="L264" s="763" t="str">
        <f>IFERROR(__xludf.DUMMYFUNCTION("""COMPUTED_VALUE"""),"Satispay")</f>
        <v>Satispay</v>
      </c>
      <c r="M264" s="763"/>
      <c r="N264" s="763" t="str">
        <f>IFERROR(__xludf.DUMMYFUNCTION("""COMPUTED_VALUE"""),"0199c9f6-dc5f-765e-a80b-4f8f238f409c")</f>
        <v>0199c9f6-dc5f-765e-a80b-4f8f238f409c</v>
      </c>
      <c r="O264" s="763">
        <f>IFERROR(__xludf.DUMMYFUNCTION("""COMPUTED_VALUE"""),0.0)</f>
        <v>0</v>
      </c>
      <c r="P264" s="767">
        <f>IFERROR(__xludf.DUMMYFUNCTION("""COMPUTED_VALUE"""),1.5416666666666667)</f>
        <v>1.541666667</v>
      </c>
      <c r="Q264" s="763" t="str">
        <f>IFERROR(__xludf.DUMMYFUNCTION("""COMPUTED_VALUE"""),"EUR")</f>
        <v>EUR</v>
      </c>
      <c r="R264" s="763">
        <f>IFERROR(__xludf.DUMMYFUNCTION("""COMPUTED_VALUE"""),671.0)</f>
        <v>671</v>
      </c>
      <c r="S264" s="763" t="str">
        <f>IFERROR(__xludf.DUMMYFUNCTION("""COMPUTED_VALUE"""),"Workshop Afrofusion con Banana 2025 - Workshop Banana afrofusion")</f>
        <v>Workshop Afrofusion con Banana 2025 - Workshop Banana afrofusion</v>
      </c>
      <c r="T264" s="763"/>
      <c r="U264" s="763"/>
      <c r="V264" s="763">
        <f>IFERROR(__xludf.DUMMYFUNCTION("""COMPUTED_VALUE"""),1.0)</f>
        <v>1</v>
      </c>
      <c r="W264" s="763">
        <f>IFERROR(__xludf.DUMMYFUNCTION("""COMPUTED_VALUE"""),37.0)</f>
        <v>37</v>
      </c>
      <c r="X264" s="763">
        <f>IFERROR(__xludf.DUMMYFUNCTION("""COMPUTED_VALUE"""),37.0)</f>
        <v>37</v>
      </c>
      <c r="Y264" s="763"/>
      <c r="Z264" s="768" t="str">
        <f>IFERROR(__xludf.DUMMYFUNCTION("""COMPUTED_VALUE"""),"https://studio-gem.it/wp-admin/post.php?post=65119&amp;action=edit")</f>
        <v>https://studio-gem.it/wp-admin/post.php?post=65119&amp;action=edit</v>
      </c>
      <c r="AA264" s="763"/>
      <c r="AB264" s="763"/>
      <c r="AC264" s="763"/>
      <c r="AD264" s="763"/>
      <c r="AE264" s="763"/>
      <c r="AF264" s="763"/>
      <c r="AG264" s="763"/>
      <c r="AH264" s="763"/>
      <c r="AI264" s="763"/>
      <c r="AJ264" s="763"/>
      <c r="AK264" s="763"/>
      <c r="AL264" s="763"/>
      <c r="AM264" s="763"/>
      <c r="AN264" s="763"/>
      <c r="AO264" s="763"/>
      <c r="AP264" s="763"/>
      <c r="AQ264" s="763"/>
      <c r="AR264" s="763"/>
      <c r="AS264" s="763"/>
      <c r="AT264" s="763"/>
      <c r="AU264" s="763"/>
      <c r="AV264" s="763"/>
      <c r="AW264" s="763"/>
      <c r="AX264" s="763"/>
      <c r="AY264" s="763"/>
      <c r="AZ264" s="763"/>
      <c r="BA264" s="763"/>
      <c r="BB264" s="763"/>
      <c r="BC264" s="763"/>
      <c r="BD264" s="763"/>
      <c r="BE264" s="763"/>
      <c r="BF264" s="763"/>
      <c r="BG264" s="763" t="b">
        <f>IFERROR(__xludf.DUMMYFUNCTION("""COMPUTED_VALUE"""),TRUE)</f>
        <v>1</v>
      </c>
      <c r="BH264" s="763" t="b">
        <f>IFERROR(__xludf.DUMMYFUNCTION("""COMPUTED_VALUE"""),TRUE)</f>
        <v>1</v>
      </c>
      <c r="BI264" s="763" t="b">
        <f>IFERROR(__xludf.DUMMYFUNCTION("""COMPUTED_VALUE"""),TRUE)</f>
        <v>1</v>
      </c>
      <c r="BJ264" s="763" t="b">
        <f>IFERROR(__xludf.DUMMYFUNCTION("""COMPUTED_VALUE"""),TRUE)</f>
        <v>1</v>
      </c>
    </row>
    <row r="265">
      <c r="A265" s="763">
        <f>IFERROR(__xludf.DUMMYFUNCTION("""COMPUTED_VALUE"""),65120.0)</f>
        <v>65120</v>
      </c>
      <c r="B265" s="763">
        <f>IFERROR(__xludf.DUMMYFUNCTION("""COMPUTED_VALUE"""),65120.0)</f>
        <v>65120</v>
      </c>
      <c r="C265" s="763" t="str">
        <f>IFERROR(__xludf.DUMMYFUNCTION("""COMPUTED_VALUE"""),"2025-10-09 17:46:08")</f>
        <v>2025-10-09 17:46:08</v>
      </c>
      <c r="D265" s="763" t="str">
        <f>IFERROR(__xludf.DUMMYFUNCTION("""COMPUTED_VALUE"""),"processing")</f>
        <v>processing</v>
      </c>
      <c r="E265" s="763" t="str">
        <f>IFERROR(__xludf.DUMMYFUNCTION("""COMPUTED_VALUE"""),"Roberta")</f>
        <v>Roberta</v>
      </c>
      <c r="F265" s="763" t="str">
        <f>IFERROR(__xludf.DUMMYFUNCTION("""COMPUTED_VALUE"""),"Lacagnina")</f>
        <v>Lacagnina</v>
      </c>
      <c r="G265" s="763" t="str">
        <f>IFERROR(__xludf.DUMMYFUNCTION("""COMPUTED_VALUE"""),"roberta.lacagnina@gmail.com")</f>
        <v>roberta.lacagnina@gmail.com</v>
      </c>
      <c r="H265" s="763">
        <f>IFERROR(__xludf.DUMMYFUNCTION("""COMPUTED_VALUE"""),3.923922667E9)</f>
        <v>3923922667</v>
      </c>
      <c r="I265" s="763" t="str">
        <f>IFERROR(__xludf.DUMMYFUNCTION("""COMPUTED_VALUE"""),"Milano")</f>
        <v>Milano</v>
      </c>
      <c r="J265" s="763" t="str">
        <f>IFERROR(__xludf.DUMMYFUNCTION("""COMPUTED_VALUE"""),"Via dei Pellegrini 20")</f>
        <v>Via dei Pellegrini 20</v>
      </c>
      <c r="K265" s="763">
        <f>IFERROR(__xludf.DUMMYFUNCTION("""COMPUTED_VALUE"""),20122.0)</f>
        <v>20122</v>
      </c>
      <c r="L265" s="763" t="str">
        <f>IFERROR(__xludf.DUMMYFUNCTION("""COMPUTED_VALUE"""),"Carte di pagamento")</f>
        <v>Carte di pagamento</v>
      </c>
      <c r="M265" s="763"/>
      <c r="N265" s="763" t="str">
        <f>IFERROR(__xludf.DUMMYFUNCTION("""COMPUTED_VALUE"""),"65120-1760031969")</f>
        <v>65120-1760031969</v>
      </c>
      <c r="O265" s="763">
        <f>IFERROR(__xludf.DUMMYFUNCTION("""COMPUTED_VALUE"""),0.0)</f>
        <v>0</v>
      </c>
      <c r="P265" s="767">
        <f>IFERROR(__xludf.DUMMYFUNCTION("""COMPUTED_VALUE"""),0.8333333333333334)</f>
        <v>0.8333333333</v>
      </c>
      <c r="Q265" s="763" t="str">
        <f>IFERROR(__xludf.DUMMYFUNCTION("""COMPUTED_VALUE"""),"EUR")</f>
        <v>EUR</v>
      </c>
      <c r="R265" s="763">
        <f>IFERROR(__xludf.DUMMYFUNCTION("""COMPUTED_VALUE"""),672.0)</f>
        <v>672</v>
      </c>
      <c r="S265" s="763" t="str">
        <f>IFERROR(__xludf.DUMMYFUNCTION("""COMPUTED_VALUE"""),"Domeniche in movimento - Gestualità afro cubana Raffaella Russo €20")</f>
        <v>Domeniche in movimento - Gestualità afro cubana Raffaella Russo €20</v>
      </c>
      <c r="T265" s="763"/>
      <c r="U265" s="763"/>
      <c r="V265" s="763">
        <f>IFERROR(__xludf.DUMMYFUNCTION("""COMPUTED_VALUE"""),1.0)</f>
        <v>1</v>
      </c>
      <c r="W265" s="763">
        <f>IFERROR(__xludf.DUMMYFUNCTION("""COMPUTED_VALUE"""),20.0)</f>
        <v>20</v>
      </c>
      <c r="X265" s="763">
        <f>IFERROR(__xludf.DUMMYFUNCTION("""COMPUTED_VALUE"""),20.0)</f>
        <v>20</v>
      </c>
      <c r="Y265" s="763"/>
      <c r="Z265" s="768" t="str">
        <f>IFERROR(__xludf.DUMMYFUNCTION("""COMPUTED_VALUE"""),"https://studio-gem.it/wp-admin/post.php?post=65120&amp;action=edit")</f>
        <v>https://studio-gem.it/wp-admin/post.php?post=65120&amp;action=edit</v>
      </c>
      <c r="AA265" s="763"/>
      <c r="AB265" s="763"/>
      <c r="AC265" s="763"/>
      <c r="AD265" s="763"/>
      <c r="AE265" s="763"/>
      <c r="AF265" s="763"/>
      <c r="AG265" s="763"/>
      <c r="AH265" s="763"/>
      <c r="AI265" s="763"/>
      <c r="AJ265" s="763"/>
      <c r="AK265" s="763"/>
      <c r="AL265" s="763"/>
      <c r="AM265" s="763"/>
      <c r="AN265" s="763"/>
      <c r="AO265" s="763"/>
      <c r="AP265" s="763"/>
      <c r="AQ265" s="763"/>
      <c r="AR265" s="763"/>
      <c r="AS265" s="763"/>
      <c r="AT265" s="763"/>
      <c r="AU265" s="763"/>
      <c r="AV265" s="763"/>
      <c r="AW265" s="763"/>
      <c r="AX265" s="763"/>
      <c r="AY265" s="763"/>
      <c r="AZ265" s="763"/>
      <c r="BA265" s="763"/>
      <c r="BB265" s="763"/>
      <c r="BC265" s="763"/>
      <c r="BD265" s="763"/>
      <c r="BE265" s="763"/>
      <c r="BF265" s="763"/>
      <c r="BG265" s="763" t="b">
        <f>IFERROR(__xludf.DUMMYFUNCTION("""COMPUTED_VALUE"""),TRUE)</f>
        <v>1</v>
      </c>
      <c r="BH265" s="763" t="b">
        <f>IFERROR(__xludf.DUMMYFUNCTION("""COMPUTED_VALUE"""),TRUE)</f>
        <v>1</v>
      </c>
      <c r="BI265" s="763" t="b">
        <f>IFERROR(__xludf.DUMMYFUNCTION("""COMPUTED_VALUE"""),TRUE)</f>
        <v>1</v>
      </c>
      <c r="BJ265" s="763" t="b">
        <f>IFERROR(__xludf.DUMMYFUNCTION("""COMPUTED_VALUE"""),TRUE)</f>
        <v>1</v>
      </c>
    </row>
    <row r="266">
      <c r="A266" s="763">
        <f>IFERROR(__xludf.DUMMYFUNCTION("""COMPUTED_VALUE"""),65123.0)</f>
        <v>65123</v>
      </c>
      <c r="B266" s="763">
        <f>IFERROR(__xludf.DUMMYFUNCTION("""COMPUTED_VALUE"""),65123.0)</f>
        <v>65123</v>
      </c>
      <c r="C266" s="763" t="str">
        <f>IFERROR(__xludf.DUMMYFUNCTION("""COMPUTED_VALUE"""),"2025-10-09 19:19:58")</f>
        <v>2025-10-09 19:19:58</v>
      </c>
      <c r="D266" s="763" t="str">
        <f>IFERROR(__xludf.DUMMYFUNCTION("""COMPUTED_VALUE"""),"processing")</f>
        <v>processing</v>
      </c>
      <c r="E266" s="763" t="str">
        <f>IFERROR(__xludf.DUMMYFUNCTION("""COMPUTED_VALUE"""),"Alessio")</f>
        <v>Alessio</v>
      </c>
      <c r="F266" s="763" t="str">
        <f>IFERROR(__xludf.DUMMYFUNCTION("""COMPUTED_VALUE"""),"D’Ernicoli")</f>
        <v>D’Ernicoli</v>
      </c>
      <c r="G266" s="763" t="str">
        <f>IFERROR(__xludf.DUMMYFUNCTION("""COMPUTED_VALUE"""),"mirtillalilla23@gmail.com")</f>
        <v>mirtillalilla23@gmail.com</v>
      </c>
      <c r="H266" s="763">
        <f>IFERROR(__xludf.DUMMYFUNCTION("""COMPUTED_VALUE"""),3.245831288E9)</f>
        <v>3245831288</v>
      </c>
      <c r="I266" s="763" t="str">
        <f>IFERROR(__xludf.DUMMYFUNCTION("""COMPUTED_VALUE"""),"Cuveglio")</f>
        <v>Cuveglio</v>
      </c>
      <c r="J266" s="763" t="str">
        <f>IFERROR(__xludf.DUMMYFUNCTION("""COMPUTED_VALUE"""),"Filzi 20")</f>
        <v>Filzi 20</v>
      </c>
      <c r="K266" s="763">
        <f>IFERROR(__xludf.DUMMYFUNCTION("""COMPUTED_VALUE"""),21030.0)</f>
        <v>21030</v>
      </c>
      <c r="L266" s="763" t="str">
        <f>IFERROR(__xludf.DUMMYFUNCTION("""COMPUTED_VALUE"""),"Carte di pagamento")</f>
        <v>Carte di pagamento</v>
      </c>
      <c r="M266" s="763"/>
      <c r="N266" s="763" t="str">
        <f>IFERROR(__xludf.DUMMYFUNCTION("""COMPUTED_VALUE"""),"65123-1760037599")</f>
        <v>65123-1760037599</v>
      </c>
      <c r="O266" s="763">
        <f>IFERROR(__xludf.DUMMYFUNCTION("""COMPUTED_VALUE"""),0.0)</f>
        <v>0</v>
      </c>
      <c r="P266" s="767">
        <f>IFERROR(__xludf.DUMMYFUNCTION("""COMPUTED_VALUE"""),1.5416666666666667)</f>
        <v>1.541666667</v>
      </c>
      <c r="Q266" s="763" t="str">
        <f>IFERROR(__xludf.DUMMYFUNCTION("""COMPUTED_VALUE"""),"EUR")</f>
        <v>EUR</v>
      </c>
      <c r="R266" s="763">
        <f>IFERROR(__xludf.DUMMYFUNCTION("""COMPUTED_VALUE"""),673.0)</f>
        <v>673</v>
      </c>
      <c r="S266" s="763" t="str">
        <f>IFERROR(__xludf.DUMMYFUNCTION("""COMPUTED_VALUE"""),"Workshop Afrofusion con Banana 2025 - Workshop Banana afrofusion")</f>
        <v>Workshop Afrofusion con Banana 2025 - Workshop Banana afrofusion</v>
      </c>
      <c r="T266" s="763"/>
      <c r="U266" s="763"/>
      <c r="V266" s="763">
        <f>IFERROR(__xludf.DUMMYFUNCTION("""COMPUTED_VALUE"""),1.0)</f>
        <v>1</v>
      </c>
      <c r="W266" s="763">
        <f>IFERROR(__xludf.DUMMYFUNCTION("""COMPUTED_VALUE"""),37.0)</f>
        <v>37</v>
      </c>
      <c r="X266" s="763">
        <f>IFERROR(__xludf.DUMMYFUNCTION("""COMPUTED_VALUE"""),37.0)</f>
        <v>37</v>
      </c>
      <c r="Y266" s="763"/>
      <c r="Z266" s="768" t="str">
        <f>IFERROR(__xludf.DUMMYFUNCTION("""COMPUTED_VALUE"""),"https://studio-gem.it/wp-admin/post.php?post=65123&amp;action=edit")</f>
        <v>https://studio-gem.it/wp-admin/post.php?post=65123&amp;action=edit</v>
      </c>
      <c r="AA266" s="763"/>
      <c r="AB266" s="763"/>
      <c r="AC266" s="763"/>
      <c r="AD266" s="763"/>
      <c r="AE266" s="763"/>
      <c r="AF266" s="763"/>
      <c r="AG266" s="763"/>
      <c r="AH266" s="763"/>
      <c r="AI266" s="763"/>
      <c r="AJ266" s="763"/>
      <c r="AK266" s="763"/>
      <c r="AL266" s="763"/>
      <c r="AM266" s="763"/>
      <c r="AN266" s="763"/>
      <c r="AO266" s="763"/>
      <c r="AP266" s="763"/>
      <c r="AQ266" s="763"/>
      <c r="AR266" s="763"/>
      <c r="AS266" s="763"/>
      <c r="AT266" s="763"/>
      <c r="AU266" s="763"/>
      <c r="AV266" s="763"/>
      <c r="AW266" s="763"/>
      <c r="AX266" s="763"/>
      <c r="AY266" s="763"/>
      <c r="AZ266" s="763"/>
      <c r="BA266" s="763"/>
      <c r="BB266" s="763"/>
      <c r="BC266" s="763"/>
      <c r="BD266" s="763"/>
      <c r="BE266" s="763"/>
      <c r="BF266" s="763"/>
      <c r="BG266" s="763" t="b">
        <f>IFERROR(__xludf.DUMMYFUNCTION("""COMPUTED_VALUE"""),TRUE)</f>
        <v>1</v>
      </c>
      <c r="BH266" s="763" t="b">
        <f>IFERROR(__xludf.DUMMYFUNCTION("""COMPUTED_VALUE"""),TRUE)</f>
        <v>1</v>
      </c>
      <c r="BI266" s="763" t="b">
        <f>IFERROR(__xludf.DUMMYFUNCTION("""COMPUTED_VALUE"""),TRUE)</f>
        <v>1</v>
      </c>
      <c r="BJ266" s="763" t="b">
        <f>IFERROR(__xludf.DUMMYFUNCTION("""COMPUTED_VALUE"""),TRUE)</f>
        <v>1</v>
      </c>
    </row>
    <row r="267">
      <c r="A267" s="763">
        <f>IFERROR(__xludf.DUMMYFUNCTION("""COMPUTED_VALUE"""),65124.0)</f>
        <v>65124</v>
      </c>
      <c r="B267" s="763">
        <f>IFERROR(__xludf.DUMMYFUNCTION("""COMPUTED_VALUE"""),65124.0)</f>
        <v>65124</v>
      </c>
      <c r="C267" s="763" t="str">
        <f>IFERROR(__xludf.DUMMYFUNCTION("""COMPUTED_VALUE"""),"2025-10-09 19:25:36")</f>
        <v>2025-10-09 19:25:36</v>
      </c>
      <c r="D267" s="763" t="str">
        <f>IFERROR(__xludf.DUMMYFUNCTION("""COMPUTED_VALUE"""),"pending")</f>
        <v>pending</v>
      </c>
      <c r="E267" s="763" t="str">
        <f>IFERROR(__xludf.DUMMYFUNCTION("""COMPUTED_VALUE"""),"Mia")</f>
        <v>Mia</v>
      </c>
      <c r="F267" s="763" t="str">
        <f>IFERROR(__xludf.DUMMYFUNCTION("""COMPUTED_VALUE"""),"Pellegrino")</f>
        <v>Pellegrino</v>
      </c>
      <c r="G267" s="763" t="str">
        <f>IFERROR(__xludf.DUMMYFUNCTION("""COMPUTED_VALUE"""),"mirtillalilla23@gmail.com")</f>
        <v>mirtillalilla23@gmail.com</v>
      </c>
      <c r="H267" s="763">
        <f>IFERROR(__xludf.DUMMYFUNCTION("""COMPUTED_VALUE"""),3.245831288E9)</f>
        <v>3245831288</v>
      </c>
      <c r="I267" s="763" t="str">
        <f>IFERROR(__xludf.DUMMYFUNCTION("""COMPUTED_VALUE"""),"Casalzuigno")</f>
        <v>Casalzuigno</v>
      </c>
      <c r="J267" s="763" t="str">
        <f>IFERROR(__xludf.DUMMYFUNCTION("""COMPUTED_VALUE"""),"Sciareda 11")</f>
        <v>Sciareda 11</v>
      </c>
      <c r="K267" s="763">
        <f>IFERROR(__xludf.DUMMYFUNCTION("""COMPUTED_VALUE"""),21030.0)</f>
        <v>21030</v>
      </c>
      <c r="L267" s="763" t="str">
        <f>IFERROR(__xludf.DUMMYFUNCTION("""COMPUTED_VALUE"""),"Carte di pagamento")</f>
        <v>Carte di pagamento</v>
      </c>
      <c r="M267" s="763"/>
      <c r="N267" s="763" t="str">
        <f>IFERROR(__xludf.DUMMYFUNCTION("""COMPUTED_VALUE"""),"65124-1760037938")</f>
        <v>65124-1760037938</v>
      </c>
      <c r="O267" s="763">
        <f>IFERROR(__xludf.DUMMYFUNCTION("""COMPUTED_VALUE"""),0.0)</f>
        <v>0</v>
      </c>
      <c r="P267" s="767">
        <f>IFERROR(__xludf.DUMMYFUNCTION("""COMPUTED_VALUE"""),1.5416666666666667)</f>
        <v>1.541666667</v>
      </c>
      <c r="Q267" s="763" t="str">
        <f>IFERROR(__xludf.DUMMYFUNCTION("""COMPUTED_VALUE"""),"EUR")</f>
        <v>EUR</v>
      </c>
      <c r="R267" s="763">
        <f>IFERROR(__xludf.DUMMYFUNCTION("""COMPUTED_VALUE"""),674.0)</f>
        <v>674</v>
      </c>
      <c r="S267" s="763" t="str">
        <f>IFERROR(__xludf.DUMMYFUNCTION("""COMPUTED_VALUE"""),"Workshop Afrofusion con Banana 2025 - Workshop Banana afrofusion")</f>
        <v>Workshop Afrofusion con Banana 2025 - Workshop Banana afrofusion</v>
      </c>
      <c r="T267" s="763"/>
      <c r="U267" s="763"/>
      <c r="V267" s="763">
        <f>IFERROR(__xludf.DUMMYFUNCTION("""COMPUTED_VALUE"""),1.0)</f>
        <v>1</v>
      </c>
      <c r="W267" s="763">
        <f>IFERROR(__xludf.DUMMYFUNCTION("""COMPUTED_VALUE"""),37.0)</f>
        <v>37</v>
      </c>
      <c r="X267" s="763">
        <f>IFERROR(__xludf.DUMMYFUNCTION("""COMPUTED_VALUE"""),37.0)</f>
        <v>37</v>
      </c>
      <c r="Y267" s="763"/>
      <c r="Z267" s="768" t="str">
        <f>IFERROR(__xludf.DUMMYFUNCTION("""COMPUTED_VALUE"""),"https://studio-gem.it/wp-admin/post.php?post=65124&amp;action=edit")</f>
        <v>https://studio-gem.it/wp-admin/post.php?post=65124&amp;action=edit</v>
      </c>
      <c r="AA267" s="763"/>
      <c r="AB267" s="763"/>
      <c r="AC267" s="763"/>
      <c r="AD267" s="763"/>
      <c r="AE267" s="763"/>
      <c r="AF267" s="763"/>
      <c r="AG267" s="763"/>
      <c r="AH267" s="763"/>
      <c r="AI267" s="763"/>
      <c r="AJ267" s="763"/>
      <c r="AK267" s="763"/>
      <c r="AL267" s="763"/>
      <c r="AM267" s="763"/>
      <c r="AN267" s="763"/>
      <c r="AO267" s="763"/>
      <c r="AP267" s="763"/>
      <c r="AQ267" s="763"/>
      <c r="AR267" s="763"/>
      <c r="AS267" s="763"/>
      <c r="AT267" s="763"/>
      <c r="AU267" s="763"/>
      <c r="AV267" s="763"/>
      <c r="AW267" s="763"/>
      <c r="AX267" s="763"/>
      <c r="AY267" s="763"/>
      <c r="AZ267" s="763"/>
      <c r="BA267" s="763"/>
      <c r="BB267" s="763"/>
      <c r="BC267" s="763"/>
      <c r="BD267" s="763"/>
      <c r="BE267" s="763"/>
      <c r="BF267" s="763"/>
      <c r="BG267" s="763" t="b">
        <f>IFERROR(__xludf.DUMMYFUNCTION("""COMPUTED_VALUE"""),TRUE)</f>
        <v>1</v>
      </c>
      <c r="BH267" s="763" t="b">
        <f>IFERROR(__xludf.DUMMYFUNCTION("""COMPUTED_VALUE"""),TRUE)</f>
        <v>1</v>
      </c>
      <c r="BI267" s="763" t="b">
        <f>IFERROR(__xludf.DUMMYFUNCTION("""COMPUTED_VALUE"""),TRUE)</f>
        <v>1</v>
      </c>
      <c r="BJ267" s="763" t="b">
        <f>IFERROR(__xludf.DUMMYFUNCTION("""COMPUTED_VALUE"""),TRUE)</f>
        <v>1</v>
      </c>
    </row>
    <row r="268">
      <c r="A268" s="763">
        <f>IFERROR(__xludf.DUMMYFUNCTION("""COMPUTED_VALUE"""),65125.0)</f>
        <v>65125</v>
      </c>
      <c r="B268" s="763">
        <f>IFERROR(__xludf.DUMMYFUNCTION("""COMPUTED_VALUE"""),65125.0)</f>
        <v>65125</v>
      </c>
      <c r="C268" s="763" t="str">
        <f>IFERROR(__xludf.DUMMYFUNCTION("""COMPUTED_VALUE"""),"2025-10-10 03:19:07")</f>
        <v>2025-10-10 03:19:07</v>
      </c>
      <c r="D268" s="763" t="str">
        <f>IFERROR(__xludf.DUMMYFUNCTION("""COMPUTED_VALUE"""),"completed")</f>
        <v>completed</v>
      </c>
      <c r="E268" s="763" t="str">
        <f>IFERROR(__xludf.DUMMYFUNCTION("""COMPUTED_VALUE"""),"Alice Morgana")</f>
        <v>Alice Morgana</v>
      </c>
      <c r="F268" s="763" t="str">
        <f>IFERROR(__xludf.DUMMYFUNCTION("""COMPUTED_VALUE"""),"Zeni")</f>
        <v>Zeni</v>
      </c>
      <c r="G268" s="763" t="str">
        <f>IFERROR(__xludf.DUMMYFUNCTION("""COMPUTED_VALUE"""),"Alice.zeni00@gmail.com")</f>
        <v>Alice.zeni00@gmail.com</v>
      </c>
      <c r="H268" s="763">
        <f>IFERROR(__xludf.DUMMYFUNCTION("""COMPUTED_VALUE"""),3.336823851E9)</f>
        <v>3336823851</v>
      </c>
      <c r="I268" s="763" t="str">
        <f>IFERROR(__xludf.DUMMYFUNCTION("""COMPUTED_VALUE"""),"Turate")</f>
        <v>Turate</v>
      </c>
      <c r="J268" s="763" t="str">
        <f>IFERROR(__xludf.DUMMYFUNCTION("""COMPUTED_VALUE"""),"Cristoforo colombo 28")</f>
        <v>Cristoforo colombo 28</v>
      </c>
      <c r="K268" s="763">
        <f>IFERROR(__xludf.DUMMYFUNCTION("""COMPUTED_VALUE"""),22078.0)</f>
        <v>22078</v>
      </c>
      <c r="L268" s="763" t="str">
        <f>IFERROR(__xludf.DUMMYFUNCTION("""COMPUTED_VALUE"""),"Apple Pay")</f>
        <v>Apple Pay</v>
      </c>
      <c r="M268" s="763"/>
      <c r="N268" s="763" t="str">
        <f>IFERROR(__xludf.DUMMYFUNCTION("""COMPUTED_VALUE"""),"65125-1760066348")</f>
        <v>65125-1760066348</v>
      </c>
      <c r="O268" s="763">
        <f>IFERROR(__xludf.DUMMYFUNCTION("""COMPUTED_VALUE"""),0.0)</f>
        <v>0</v>
      </c>
      <c r="P268" s="767">
        <f>IFERROR(__xludf.DUMMYFUNCTION("""COMPUTED_VALUE"""),1.3333333333333333)</f>
        <v>1.333333333</v>
      </c>
      <c r="Q268" s="763" t="str">
        <f>IFERROR(__xludf.DUMMYFUNCTION("""COMPUTED_VALUE"""),"EUR")</f>
        <v>EUR</v>
      </c>
      <c r="R268" s="763">
        <f>IFERROR(__xludf.DUMMYFUNCTION("""COMPUTED_VALUE"""),675.0)</f>
        <v>675</v>
      </c>
      <c r="S268" s="763" t="str">
        <f>IFERROR(__xludf.DUMMYFUNCTION("""COMPUTED_VALUE"""),"Workshop Heels con Deborah Esposito - Workshop Heels con Deborah Esposito")</f>
        <v>Workshop Heels con Deborah Esposito - Workshop Heels con Deborah Esposito</v>
      </c>
      <c r="T268" s="763"/>
      <c r="U268" s="763"/>
      <c r="V268" s="763">
        <f>IFERROR(__xludf.DUMMYFUNCTION("""COMPUTED_VALUE"""),1.0)</f>
        <v>1</v>
      </c>
      <c r="W268" s="763">
        <f>IFERROR(__xludf.DUMMYFUNCTION("""COMPUTED_VALUE"""),32.0)</f>
        <v>32</v>
      </c>
      <c r="X268" s="763">
        <f>IFERROR(__xludf.DUMMYFUNCTION("""COMPUTED_VALUE"""),32.0)</f>
        <v>32</v>
      </c>
      <c r="Y268" s="763"/>
      <c r="Z268" s="768" t="str">
        <f>IFERROR(__xludf.DUMMYFUNCTION("""COMPUTED_VALUE"""),"https://studio-gem.it/wp-admin/post.php?post=65125&amp;action=edit")</f>
        <v>https://studio-gem.it/wp-admin/post.php?post=65125&amp;action=edit</v>
      </c>
      <c r="AA268" s="763"/>
      <c r="AB268" s="763"/>
      <c r="AC268" s="763"/>
      <c r="AD268" s="763"/>
      <c r="AE268" s="763"/>
      <c r="AF268" s="763"/>
      <c r="AG268" s="763"/>
      <c r="AH268" s="763"/>
      <c r="AI268" s="763"/>
      <c r="AJ268" s="763"/>
      <c r="AK268" s="763"/>
      <c r="AL268" s="763"/>
      <c r="AM268" s="763"/>
      <c r="AN268" s="763"/>
      <c r="AO268" s="763"/>
      <c r="AP268" s="763"/>
      <c r="AQ268" s="763"/>
      <c r="AR268" s="763"/>
      <c r="AS268" s="763"/>
      <c r="AT268" s="763"/>
      <c r="AU268" s="763"/>
      <c r="AV268" s="763"/>
      <c r="AW268" s="763"/>
      <c r="AX268" s="763"/>
      <c r="AY268" s="763"/>
      <c r="AZ268" s="763"/>
      <c r="BA268" s="763"/>
      <c r="BB268" s="763"/>
      <c r="BC268" s="763"/>
      <c r="BD268" s="763"/>
      <c r="BE268" s="763"/>
      <c r="BF268" s="763"/>
      <c r="BG268" s="763" t="b">
        <f>IFERROR(__xludf.DUMMYFUNCTION("""COMPUTED_VALUE"""),TRUE)</f>
        <v>1</v>
      </c>
      <c r="BH268" s="763" t="b">
        <f>IFERROR(__xludf.DUMMYFUNCTION("""COMPUTED_VALUE"""),TRUE)</f>
        <v>1</v>
      </c>
      <c r="BI268" s="763" t="b">
        <f>IFERROR(__xludf.DUMMYFUNCTION("""COMPUTED_VALUE"""),TRUE)</f>
        <v>1</v>
      </c>
      <c r="BJ268" s="763" t="b">
        <f>IFERROR(__xludf.DUMMYFUNCTION("""COMPUTED_VALUE"""),TRUE)</f>
        <v>1</v>
      </c>
    </row>
    <row r="269">
      <c r="A269" s="763">
        <f>IFERROR(__xludf.DUMMYFUNCTION("""COMPUTED_VALUE"""),65127.0)</f>
        <v>65127</v>
      </c>
      <c r="B269" s="763">
        <f>IFERROR(__xludf.DUMMYFUNCTION("""COMPUTED_VALUE"""),65127.0)</f>
        <v>65127</v>
      </c>
      <c r="C269" s="763" t="str">
        <f>IFERROR(__xludf.DUMMYFUNCTION("""COMPUTED_VALUE"""),"2025-10-10 03:29:51")</f>
        <v>2025-10-10 03:29:51</v>
      </c>
      <c r="D269" s="763" t="str">
        <f>IFERROR(__xludf.DUMMYFUNCTION("""COMPUTED_VALUE"""),"completed")</f>
        <v>completed</v>
      </c>
      <c r="E269" s="763" t="str">
        <f>IFERROR(__xludf.DUMMYFUNCTION("""COMPUTED_VALUE"""),"Matilde")</f>
        <v>Matilde</v>
      </c>
      <c r="F269" s="763" t="str">
        <f>IFERROR(__xludf.DUMMYFUNCTION("""COMPUTED_VALUE"""),"Laera")</f>
        <v>Laera</v>
      </c>
      <c r="G269" s="763" t="str">
        <f>IFERROR(__xludf.DUMMYFUNCTION("""COMPUTED_VALUE"""),"laeramatilde@gmail.com")</f>
        <v>laeramatilde@gmail.com</v>
      </c>
      <c r="H269" s="763">
        <f>IFERROR(__xludf.DUMMYFUNCTION("""COMPUTED_VALUE"""),3.668786797E9)</f>
        <v>3668786797</v>
      </c>
      <c r="I269" s="763" t="str">
        <f>IFERROR(__xludf.DUMMYFUNCTION("""COMPUTED_VALUE"""),"Milano")</f>
        <v>Milano</v>
      </c>
      <c r="J269" s="763" t="str">
        <f>IFERROR(__xludf.DUMMYFUNCTION("""COMPUTED_VALUE"""),"Via Francesco Gonin")</f>
        <v>Via Francesco Gonin</v>
      </c>
      <c r="K269" s="763">
        <f>IFERROR(__xludf.DUMMYFUNCTION("""COMPUTED_VALUE"""),20147.0)</f>
        <v>20147</v>
      </c>
      <c r="L269" s="763" t="str">
        <f>IFERROR(__xludf.DUMMYFUNCTION("""COMPUTED_VALUE"""),"Apple Pay")</f>
        <v>Apple Pay</v>
      </c>
      <c r="M269" s="763"/>
      <c r="N269" s="763" t="str">
        <f>IFERROR(__xludf.DUMMYFUNCTION("""COMPUTED_VALUE"""),"65127-1760067241")</f>
        <v>65127-1760067241</v>
      </c>
      <c r="O269" s="763">
        <f>IFERROR(__xludf.DUMMYFUNCTION("""COMPUTED_VALUE"""),0.0)</f>
        <v>0</v>
      </c>
      <c r="P269" s="767">
        <f>IFERROR(__xludf.DUMMYFUNCTION("""COMPUTED_VALUE"""),1.3333333333333333)</f>
        <v>1.333333333</v>
      </c>
      <c r="Q269" s="763" t="str">
        <f>IFERROR(__xludf.DUMMYFUNCTION("""COMPUTED_VALUE"""),"EUR")</f>
        <v>EUR</v>
      </c>
      <c r="R269" s="763">
        <f>IFERROR(__xludf.DUMMYFUNCTION("""COMPUTED_VALUE"""),676.0)</f>
        <v>676</v>
      </c>
      <c r="S269" s="763" t="str">
        <f>IFERROR(__xludf.DUMMYFUNCTION("""COMPUTED_VALUE"""),"Workshop Heels con Deborah Esposito - Workshop Heels con Deborah Esposito")</f>
        <v>Workshop Heels con Deborah Esposito - Workshop Heels con Deborah Esposito</v>
      </c>
      <c r="T269" s="763"/>
      <c r="U269" s="763"/>
      <c r="V269" s="763">
        <f>IFERROR(__xludf.DUMMYFUNCTION("""COMPUTED_VALUE"""),1.0)</f>
        <v>1</v>
      </c>
      <c r="W269" s="763">
        <f>IFERROR(__xludf.DUMMYFUNCTION("""COMPUTED_VALUE"""),32.0)</f>
        <v>32</v>
      </c>
      <c r="X269" s="763">
        <f>IFERROR(__xludf.DUMMYFUNCTION("""COMPUTED_VALUE"""),32.0)</f>
        <v>32</v>
      </c>
      <c r="Y269" s="763"/>
      <c r="Z269" s="768" t="str">
        <f>IFERROR(__xludf.DUMMYFUNCTION("""COMPUTED_VALUE"""),"https://studio-gem.it/wp-admin/post.php?post=65127&amp;action=edit")</f>
        <v>https://studio-gem.it/wp-admin/post.php?post=65127&amp;action=edit</v>
      </c>
      <c r="AA269" s="763"/>
      <c r="AB269" s="763"/>
      <c r="AC269" s="763"/>
      <c r="AD269" s="763"/>
      <c r="AE269" s="763"/>
      <c r="AF269" s="763"/>
      <c r="AG269" s="763"/>
      <c r="AH269" s="763"/>
      <c r="AI269" s="763"/>
      <c r="AJ269" s="763"/>
      <c r="AK269" s="763"/>
      <c r="AL269" s="763"/>
      <c r="AM269" s="763"/>
      <c r="AN269" s="763"/>
      <c r="AO269" s="763"/>
      <c r="AP269" s="763"/>
      <c r="AQ269" s="763"/>
      <c r="AR269" s="763"/>
      <c r="AS269" s="763"/>
      <c r="AT269" s="763"/>
      <c r="AU269" s="763"/>
      <c r="AV269" s="763"/>
      <c r="AW269" s="763"/>
      <c r="AX269" s="763"/>
      <c r="AY269" s="763"/>
      <c r="AZ269" s="763"/>
      <c r="BA269" s="763"/>
      <c r="BB269" s="763"/>
      <c r="BC269" s="763"/>
      <c r="BD269" s="763"/>
      <c r="BE269" s="763"/>
      <c r="BF269" s="763"/>
      <c r="BG269" s="763" t="b">
        <f>IFERROR(__xludf.DUMMYFUNCTION("""COMPUTED_VALUE"""),TRUE)</f>
        <v>1</v>
      </c>
      <c r="BH269" s="763" t="b">
        <f>IFERROR(__xludf.DUMMYFUNCTION("""COMPUTED_VALUE"""),TRUE)</f>
        <v>1</v>
      </c>
      <c r="BI269" s="763" t="b">
        <f>IFERROR(__xludf.DUMMYFUNCTION("""COMPUTED_VALUE"""),TRUE)</f>
        <v>1</v>
      </c>
      <c r="BJ269" s="763" t="b">
        <f>IFERROR(__xludf.DUMMYFUNCTION("""COMPUTED_VALUE"""),TRUE)</f>
        <v>1</v>
      </c>
    </row>
    <row r="270">
      <c r="A270" s="763">
        <f>IFERROR(__xludf.DUMMYFUNCTION("""COMPUTED_VALUE"""),65130.0)</f>
        <v>65130</v>
      </c>
      <c r="B270" s="763">
        <f>IFERROR(__xludf.DUMMYFUNCTION("""COMPUTED_VALUE"""),65130.0)</f>
        <v>65130</v>
      </c>
      <c r="C270" s="763" t="str">
        <f>IFERROR(__xludf.DUMMYFUNCTION("""COMPUTED_VALUE"""),"2025-10-10 06:55:52")</f>
        <v>2025-10-10 06:55:52</v>
      </c>
      <c r="D270" s="763" t="str">
        <f>IFERROR(__xludf.DUMMYFUNCTION("""COMPUTED_VALUE"""),"completed")</f>
        <v>completed</v>
      </c>
      <c r="E270" s="763" t="str">
        <f>IFERROR(__xludf.DUMMYFUNCTION("""COMPUTED_VALUE"""),"Emilia")</f>
        <v>Emilia</v>
      </c>
      <c r="F270" s="763" t="str">
        <f>IFERROR(__xludf.DUMMYFUNCTION("""COMPUTED_VALUE"""),"Zubova")</f>
        <v>Zubova</v>
      </c>
      <c r="G270" s="763" t="str">
        <f>IFERROR(__xludf.DUMMYFUNCTION("""COMPUTED_VALUE"""),"zubova.emilia@gmail.com")</f>
        <v>zubova.emilia@gmail.com</v>
      </c>
      <c r="H270" s="763" t="str">
        <f>IFERROR(__xludf.DUMMYFUNCTION("""COMPUTED_VALUE"""),"+393517142864")</f>
        <v>+393517142864</v>
      </c>
      <c r="I270" s="763" t="str">
        <f>IFERROR(__xludf.DUMMYFUNCTION("""COMPUTED_VALUE"""),"Milano")</f>
        <v>Milano</v>
      </c>
      <c r="J270" s="763" t="str">
        <f>IFERROR(__xludf.DUMMYFUNCTION("""COMPUTED_VALUE"""),"Via volvinio")</f>
        <v>Via volvinio</v>
      </c>
      <c r="K270" s="763">
        <f>IFERROR(__xludf.DUMMYFUNCTION("""COMPUTED_VALUE"""),20122.0)</f>
        <v>20122</v>
      </c>
      <c r="L270" s="763" t="str">
        <f>IFERROR(__xludf.DUMMYFUNCTION("""COMPUTED_VALUE"""),"Apple Pay")</f>
        <v>Apple Pay</v>
      </c>
      <c r="M270" s="763"/>
      <c r="N270" s="763" t="str">
        <f>IFERROR(__xludf.DUMMYFUNCTION("""COMPUTED_VALUE"""),"65130-1760079353")</f>
        <v>65130-1760079353</v>
      </c>
      <c r="O270" s="763">
        <f>IFERROR(__xludf.DUMMYFUNCTION("""COMPUTED_VALUE"""),0.0)</f>
        <v>0</v>
      </c>
      <c r="P270" s="767">
        <f>IFERROR(__xludf.DUMMYFUNCTION("""COMPUTED_VALUE"""),1.5416666666666667)</f>
        <v>1.541666667</v>
      </c>
      <c r="Q270" s="763" t="str">
        <f>IFERROR(__xludf.DUMMYFUNCTION("""COMPUTED_VALUE"""),"EUR")</f>
        <v>EUR</v>
      </c>
      <c r="R270" s="763">
        <f>IFERROR(__xludf.DUMMYFUNCTION("""COMPUTED_VALUE"""),677.0)</f>
        <v>677</v>
      </c>
      <c r="S270" s="763" t="str">
        <f>IFERROR(__xludf.DUMMYFUNCTION("""COMPUTED_VALUE"""),"Workshop Urban con Kumo - Workshop Kumo Urban")</f>
        <v>Workshop Urban con Kumo - Workshop Kumo Urban</v>
      </c>
      <c r="T270" s="763"/>
      <c r="U270" s="763"/>
      <c r="V270" s="763">
        <f>IFERROR(__xludf.DUMMYFUNCTION("""COMPUTED_VALUE"""),1.0)</f>
        <v>1</v>
      </c>
      <c r="W270" s="763">
        <f>IFERROR(__xludf.DUMMYFUNCTION("""COMPUTED_VALUE"""),37.0)</f>
        <v>37</v>
      </c>
      <c r="X270" s="763">
        <f>IFERROR(__xludf.DUMMYFUNCTION("""COMPUTED_VALUE"""),37.0)</f>
        <v>37</v>
      </c>
      <c r="Y270" s="763"/>
      <c r="Z270" s="768" t="str">
        <f>IFERROR(__xludf.DUMMYFUNCTION("""COMPUTED_VALUE"""),"https://studio-gem.it/wp-admin/post.php?post=65130&amp;action=edit")</f>
        <v>https://studio-gem.it/wp-admin/post.php?post=65130&amp;action=edit</v>
      </c>
      <c r="AA270" s="763"/>
      <c r="AB270" s="763"/>
      <c r="AC270" s="763"/>
      <c r="AD270" s="763"/>
      <c r="AE270" s="763"/>
      <c r="AF270" s="763"/>
      <c r="AG270" s="763"/>
      <c r="AH270" s="763"/>
      <c r="AI270" s="763"/>
      <c r="AJ270" s="763"/>
      <c r="AK270" s="763"/>
      <c r="AL270" s="763"/>
      <c r="AM270" s="763"/>
      <c r="AN270" s="763"/>
      <c r="AO270" s="763"/>
      <c r="AP270" s="763"/>
      <c r="AQ270" s="763"/>
      <c r="AR270" s="763"/>
      <c r="AS270" s="763"/>
      <c r="AT270" s="763"/>
      <c r="AU270" s="763"/>
      <c r="AV270" s="763"/>
      <c r="AW270" s="763"/>
      <c r="AX270" s="763"/>
      <c r="AY270" s="763"/>
      <c r="AZ270" s="763"/>
      <c r="BA270" s="763"/>
      <c r="BB270" s="763"/>
      <c r="BC270" s="763"/>
      <c r="BD270" s="763"/>
      <c r="BE270" s="763"/>
      <c r="BF270" s="763"/>
      <c r="BG270" s="763" t="b">
        <f>IFERROR(__xludf.DUMMYFUNCTION("""COMPUTED_VALUE"""),TRUE)</f>
        <v>1</v>
      </c>
      <c r="BH270" s="763" t="b">
        <f>IFERROR(__xludf.DUMMYFUNCTION("""COMPUTED_VALUE"""),TRUE)</f>
        <v>1</v>
      </c>
      <c r="BI270" s="763" t="b">
        <f>IFERROR(__xludf.DUMMYFUNCTION("""COMPUTED_VALUE"""),TRUE)</f>
        <v>1</v>
      </c>
      <c r="BJ270" s="763" t="b">
        <f>IFERROR(__xludf.DUMMYFUNCTION("""COMPUTED_VALUE"""),TRUE)</f>
        <v>1</v>
      </c>
    </row>
    <row r="271">
      <c r="A271" s="763">
        <f>IFERROR(__xludf.DUMMYFUNCTION("""COMPUTED_VALUE"""),65132.0)</f>
        <v>65132</v>
      </c>
      <c r="B271" s="763">
        <f>IFERROR(__xludf.DUMMYFUNCTION("""COMPUTED_VALUE"""),65132.0)</f>
        <v>65132</v>
      </c>
      <c r="C271" s="763" t="str">
        <f>IFERROR(__xludf.DUMMYFUNCTION("""COMPUTED_VALUE"""),"2025-10-10 10:41:51")</f>
        <v>2025-10-10 10:41:51</v>
      </c>
      <c r="D271" s="763" t="str">
        <f>IFERROR(__xludf.DUMMYFUNCTION("""COMPUTED_VALUE"""),"completed")</f>
        <v>completed</v>
      </c>
      <c r="E271" s="763" t="str">
        <f>IFERROR(__xludf.DUMMYFUNCTION("""COMPUTED_VALUE"""),"Marco")</f>
        <v>Marco</v>
      </c>
      <c r="F271" s="763" t="str">
        <f>IFERROR(__xludf.DUMMYFUNCTION("""COMPUTED_VALUE"""),"Pratis Palazzo")</f>
        <v>Pratis Palazzo</v>
      </c>
      <c r="G271" s="763" t="str">
        <f>IFERROR(__xludf.DUMMYFUNCTION("""COMPUTED_VALUE"""),"marco.pratis@gmail.com")</f>
        <v>marco.pratis@gmail.com</v>
      </c>
      <c r="H271" s="763" t="str">
        <f>IFERROR(__xludf.DUMMYFUNCTION("""COMPUTED_VALUE"""),"+39 39 170 378 20")</f>
        <v>+39 39 170 378 20</v>
      </c>
      <c r="I271" s="763" t="str">
        <f>IFERROR(__xludf.DUMMYFUNCTION("""COMPUTED_VALUE"""),"Milano")</f>
        <v>Milano</v>
      </c>
      <c r="J271" s="763" t="str">
        <f>IFERROR(__xludf.DUMMYFUNCTION("""COMPUTED_VALUE"""),"Via Monte Generoso 8")</f>
        <v>Via Monte Generoso 8</v>
      </c>
      <c r="K271" s="763">
        <f>IFERROR(__xludf.DUMMYFUNCTION("""COMPUTED_VALUE"""),20100.0)</f>
        <v>20100</v>
      </c>
      <c r="L271" s="763" t="str">
        <f>IFERROR(__xludf.DUMMYFUNCTION("""COMPUTED_VALUE"""),"Carte di pagamento")</f>
        <v>Carte di pagamento</v>
      </c>
      <c r="M271" s="763" t="str">
        <f>IFERROR(__xludf.DUMMYFUNCTION("""COMPUTED_VALUE"""),"estefany02ws")</f>
        <v>estefany02ws</v>
      </c>
      <c r="N271" s="763" t="str">
        <f>IFERROR(__xludf.DUMMYFUNCTION("""COMPUTED_VALUE"""),"65132-1760092912")</f>
        <v>65132-1760092912</v>
      </c>
      <c r="O271" s="763">
        <f>IFERROR(__xludf.DUMMYFUNCTION("""COMPUTED_VALUE"""),0.0)</f>
        <v>0</v>
      </c>
      <c r="P271" s="767">
        <f>IFERROR(__xludf.DUMMYFUNCTION("""COMPUTED_VALUE"""),1.7916666666666667)</f>
        <v>1.791666667</v>
      </c>
      <c r="Q271" s="763" t="str">
        <f>IFERROR(__xludf.DUMMYFUNCTION("""COMPUTED_VALUE"""),"EUR")</f>
        <v>EUR</v>
      </c>
      <c r="R271" s="763">
        <f>IFERROR(__xludf.DUMMYFUNCTION("""COMPUTED_VALUE"""),678.0)</f>
        <v>678</v>
      </c>
      <c r="S271" s="763" t="str">
        <f>IFERROR(__xludf.DUMMYFUNCTION("""COMPUTED_VALUE"""),"Workshop Commercial con Timor Steffens - Workshop Commercial con Timor Steffens")</f>
        <v>Workshop Commercial con Timor Steffens - Workshop Commercial con Timor Steffens</v>
      </c>
      <c r="T271" s="763"/>
      <c r="U271" s="763"/>
      <c r="V271" s="763">
        <f>IFERROR(__xludf.DUMMYFUNCTION("""COMPUTED_VALUE"""),1.0)</f>
        <v>1</v>
      </c>
      <c r="W271" s="763">
        <f>IFERROR(__xludf.DUMMYFUNCTION("""COMPUTED_VALUE"""),43.0)</f>
        <v>43</v>
      </c>
      <c r="X271" s="763">
        <f>IFERROR(__xludf.DUMMYFUNCTION("""COMPUTED_VALUE"""),43.0)</f>
        <v>43</v>
      </c>
      <c r="Y271" s="763"/>
      <c r="Z271" s="768" t="str">
        <f>IFERROR(__xludf.DUMMYFUNCTION("""COMPUTED_VALUE"""),"https://studio-gem.it/wp-admin/post.php?post=65132&amp;action=edit")</f>
        <v>https://studio-gem.it/wp-admin/post.php?post=65132&amp;action=edit</v>
      </c>
      <c r="AA271" s="763"/>
      <c r="AB271" s="763"/>
      <c r="AC271" s="763"/>
      <c r="AD271" s="763"/>
      <c r="AE271" s="763"/>
      <c r="AF271" s="763"/>
      <c r="AG271" s="763"/>
      <c r="AH271" s="763"/>
      <c r="AI271" s="763"/>
      <c r="AJ271" s="763"/>
      <c r="AK271" s="763"/>
      <c r="AL271" s="763"/>
      <c r="AM271" s="763"/>
      <c r="AN271" s="763"/>
      <c r="AO271" s="763"/>
      <c r="AP271" s="763"/>
      <c r="AQ271" s="763"/>
      <c r="AR271" s="763"/>
      <c r="AS271" s="763"/>
      <c r="AT271" s="763"/>
      <c r="AU271" s="763"/>
      <c r="AV271" s="763"/>
      <c r="AW271" s="763"/>
      <c r="AX271" s="763"/>
      <c r="AY271" s="763"/>
      <c r="AZ271" s="763"/>
      <c r="BA271" s="763"/>
      <c r="BB271" s="763"/>
      <c r="BC271" s="763"/>
      <c r="BD271" s="763"/>
      <c r="BE271" s="763"/>
      <c r="BF271" s="763"/>
      <c r="BG271" s="763" t="b">
        <f>IFERROR(__xludf.DUMMYFUNCTION("""COMPUTED_VALUE"""),TRUE)</f>
        <v>1</v>
      </c>
      <c r="BH271" s="763" t="b">
        <f>IFERROR(__xludf.DUMMYFUNCTION("""COMPUTED_VALUE"""),TRUE)</f>
        <v>1</v>
      </c>
      <c r="BI271" s="763" t="b">
        <f>IFERROR(__xludf.DUMMYFUNCTION("""COMPUTED_VALUE"""),TRUE)</f>
        <v>1</v>
      </c>
      <c r="BJ271" s="763" t="b">
        <f>IFERROR(__xludf.DUMMYFUNCTION("""COMPUTED_VALUE"""),TRUE)</f>
        <v>1</v>
      </c>
    </row>
    <row r="272">
      <c r="A272" s="763">
        <f>IFERROR(__xludf.DUMMYFUNCTION("""COMPUTED_VALUE"""),65136.0)</f>
        <v>65136</v>
      </c>
      <c r="B272" s="763">
        <f>IFERROR(__xludf.DUMMYFUNCTION("""COMPUTED_VALUE"""),65136.0)</f>
        <v>65136</v>
      </c>
      <c r="C272" s="763" t="str">
        <f>IFERROR(__xludf.DUMMYFUNCTION("""COMPUTED_VALUE"""),"2025-10-10 15:46:33")</f>
        <v>2025-10-10 15:46:33</v>
      </c>
      <c r="D272" s="763" t="str">
        <f>IFERROR(__xludf.DUMMYFUNCTION("""COMPUTED_VALUE"""),"completed")</f>
        <v>completed</v>
      </c>
      <c r="E272" s="763" t="str">
        <f>IFERROR(__xludf.DUMMYFUNCTION("""COMPUTED_VALUE"""),"Eleonora")</f>
        <v>Eleonora</v>
      </c>
      <c r="F272" s="763" t="str">
        <f>IFERROR(__xludf.DUMMYFUNCTION("""COMPUTED_VALUE"""),"Buccinnà")</f>
        <v>Buccinnà</v>
      </c>
      <c r="G272" s="763" t="str">
        <f>IFERROR(__xludf.DUMMYFUNCTION("""COMPUTED_VALUE"""),"Lenorlilac@gmail.com")</f>
        <v>Lenorlilac@gmail.com</v>
      </c>
      <c r="H272" s="763">
        <f>IFERROR(__xludf.DUMMYFUNCTION("""COMPUTED_VALUE"""),3.240437094E9)</f>
        <v>3240437094</v>
      </c>
      <c r="I272" s="763" t="str">
        <f>IFERROR(__xludf.DUMMYFUNCTION("""COMPUTED_VALUE"""),"Milano")</f>
        <v>Milano</v>
      </c>
      <c r="J272" s="763" t="str">
        <f>IFERROR(__xludf.DUMMYFUNCTION("""COMPUTED_VALUE"""),"Via Carlo de Angeli, 3")</f>
        <v>Via Carlo de Angeli, 3</v>
      </c>
      <c r="K272" s="763">
        <f>IFERROR(__xludf.DUMMYFUNCTION("""COMPUTED_VALUE"""),20141.0)</f>
        <v>20141</v>
      </c>
      <c r="L272" s="763" t="str">
        <f>IFERROR(__xludf.DUMMYFUNCTION("""COMPUTED_VALUE"""),"Apple Pay")</f>
        <v>Apple Pay</v>
      </c>
      <c r="M272" s="763" t="str">
        <f>IFERROR(__xludf.DUMMYFUNCTION("""COMPUTED_VALUE"""),"alexandra02ws")</f>
        <v>alexandra02ws</v>
      </c>
      <c r="N272" s="763" t="str">
        <f>IFERROR(__xludf.DUMMYFUNCTION("""COMPUTED_VALUE"""),"65136-1760111194")</f>
        <v>65136-1760111194</v>
      </c>
      <c r="O272" s="763">
        <f>IFERROR(__xludf.DUMMYFUNCTION("""COMPUTED_VALUE"""),0.0)</f>
        <v>0</v>
      </c>
      <c r="P272" s="767">
        <f>IFERROR(__xludf.DUMMYFUNCTION("""COMPUTED_VALUE"""),1.4583333333333333)</f>
        <v>1.458333333</v>
      </c>
      <c r="Q272" s="763" t="str">
        <f>IFERROR(__xludf.DUMMYFUNCTION("""COMPUTED_VALUE"""),"EUR")</f>
        <v>EUR</v>
      </c>
      <c r="R272" s="763">
        <f>IFERROR(__xludf.DUMMYFUNCTION("""COMPUTED_VALUE"""),680.0)</f>
        <v>680</v>
      </c>
      <c r="S272" s="763" t="str">
        <f>IFERROR(__xludf.DUMMYFUNCTION("""COMPUTED_VALUE"""),"Workshop Afrofusion con Banana 2025 - Workshop Banana afrofusion")</f>
        <v>Workshop Afrofusion con Banana 2025 - Workshop Banana afrofusion</v>
      </c>
      <c r="T272" s="763"/>
      <c r="U272" s="763"/>
      <c r="V272" s="763">
        <f>IFERROR(__xludf.DUMMYFUNCTION("""COMPUTED_VALUE"""),1.0)</f>
        <v>1</v>
      </c>
      <c r="W272" s="763">
        <f>IFERROR(__xludf.DUMMYFUNCTION("""COMPUTED_VALUE"""),35.0)</f>
        <v>35</v>
      </c>
      <c r="X272" s="763">
        <f>IFERROR(__xludf.DUMMYFUNCTION("""COMPUTED_VALUE"""),35.0)</f>
        <v>35</v>
      </c>
      <c r="Y272" s="763"/>
      <c r="Z272" s="768" t="str">
        <f>IFERROR(__xludf.DUMMYFUNCTION("""COMPUTED_VALUE"""),"https://studio-gem.it/wp-admin/post.php?post=65136&amp;action=edit")</f>
        <v>https://studio-gem.it/wp-admin/post.php?post=65136&amp;action=edit</v>
      </c>
      <c r="AA272" s="763"/>
      <c r="AB272" s="763"/>
      <c r="AC272" s="763"/>
      <c r="AD272" s="763"/>
      <c r="AE272" s="763"/>
      <c r="AF272" s="763"/>
      <c r="AG272" s="763"/>
      <c r="AH272" s="763"/>
      <c r="AI272" s="763"/>
      <c r="AJ272" s="763"/>
      <c r="AK272" s="763"/>
      <c r="AL272" s="763"/>
      <c r="AM272" s="763"/>
      <c r="AN272" s="763"/>
      <c r="AO272" s="763"/>
      <c r="AP272" s="763"/>
      <c r="AQ272" s="763"/>
      <c r="AR272" s="763"/>
      <c r="AS272" s="763"/>
      <c r="AT272" s="763"/>
      <c r="AU272" s="763"/>
      <c r="AV272" s="763"/>
      <c r="AW272" s="763"/>
      <c r="AX272" s="763"/>
      <c r="AY272" s="763"/>
      <c r="AZ272" s="763"/>
      <c r="BA272" s="763"/>
      <c r="BB272" s="763"/>
      <c r="BC272" s="763"/>
      <c r="BD272" s="763"/>
      <c r="BE272" s="763"/>
      <c r="BF272" s="763"/>
      <c r="BG272" s="763" t="b">
        <f>IFERROR(__xludf.DUMMYFUNCTION("""COMPUTED_VALUE"""),TRUE)</f>
        <v>1</v>
      </c>
      <c r="BH272" s="763" t="b">
        <f>IFERROR(__xludf.DUMMYFUNCTION("""COMPUTED_VALUE"""),TRUE)</f>
        <v>1</v>
      </c>
      <c r="BI272" s="763" t="b">
        <f>IFERROR(__xludf.DUMMYFUNCTION("""COMPUTED_VALUE"""),TRUE)</f>
        <v>1</v>
      </c>
      <c r="BJ272" s="763" t="b">
        <f>IFERROR(__xludf.DUMMYFUNCTION("""COMPUTED_VALUE"""),TRUE)</f>
        <v>1</v>
      </c>
    </row>
    <row r="273">
      <c r="A273" s="763">
        <f>IFERROR(__xludf.DUMMYFUNCTION("""COMPUTED_VALUE"""),65138.0)</f>
        <v>65138</v>
      </c>
      <c r="B273" s="763">
        <f>IFERROR(__xludf.DUMMYFUNCTION("""COMPUTED_VALUE"""),65138.0)</f>
        <v>65138</v>
      </c>
      <c r="C273" s="763" t="str">
        <f>IFERROR(__xludf.DUMMYFUNCTION("""COMPUTED_VALUE"""),"2025-10-10 22:11:12")</f>
        <v>2025-10-10 22:11:12</v>
      </c>
      <c r="D273" s="763" t="str">
        <f>IFERROR(__xludf.DUMMYFUNCTION("""COMPUTED_VALUE"""),"pending")</f>
        <v>pending</v>
      </c>
      <c r="E273" s="763" t="str">
        <f>IFERROR(__xludf.DUMMYFUNCTION("""COMPUTED_VALUE"""),"Roberta")</f>
        <v>Roberta</v>
      </c>
      <c r="F273" s="763" t="str">
        <f>IFERROR(__xludf.DUMMYFUNCTION("""COMPUTED_VALUE"""),"Clarke")</f>
        <v>Clarke</v>
      </c>
      <c r="G273" s="763" t="str">
        <f>IFERROR(__xludf.DUMMYFUNCTION("""COMPUTED_VALUE"""),"robertasclarke@gmail.com")</f>
        <v>robertasclarke@gmail.com</v>
      </c>
      <c r="H273" s="763">
        <f>IFERROR(__xludf.DUMMYFUNCTION("""COMPUTED_VALUE"""),3.661280245E9)</f>
        <v>3661280245</v>
      </c>
      <c r="I273" s="763" t="str">
        <f>IFERROR(__xludf.DUMMYFUNCTION("""COMPUTED_VALUE"""),"Milano")</f>
        <v>Milano</v>
      </c>
      <c r="J273" s="763" t="str">
        <f>IFERROR(__xludf.DUMMYFUNCTION("""COMPUTED_VALUE"""),"Scala A Piano 4")</f>
        <v>Scala A Piano 4</v>
      </c>
      <c r="K273" s="763">
        <f>IFERROR(__xludf.DUMMYFUNCTION("""COMPUTED_VALUE"""),20123.0)</f>
        <v>20123</v>
      </c>
      <c r="L273" s="763" t="str">
        <f>IFERROR(__xludf.DUMMYFUNCTION("""COMPUTED_VALUE"""),"Google Pay")</f>
        <v>Google Pay</v>
      </c>
      <c r="M273" s="763"/>
      <c r="N273" s="763"/>
      <c r="O273" s="763">
        <f>IFERROR(__xludf.DUMMYFUNCTION("""COMPUTED_VALUE"""),0.0)</f>
        <v>0</v>
      </c>
      <c r="P273" s="767">
        <f>IFERROR(__xludf.DUMMYFUNCTION("""COMPUTED_VALUE"""),1.5416666666666667)</f>
        <v>1.541666667</v>
      </c>
      <c r="Q273" s="763" t="str">
        <f>IFERROR(__xludf.DUMMYFUNCTION("""COMPUTED_VALUE"""),"EUR")</f>
        <v>EUR</v>
      </c>
      <c r="R273" s="763">
        <f>IFERROR(__xludf.DUMMYFUNCTION("""COMPUTED_VALUE"""),682.0)</f>
        <v>682</v>
      </c>
      <c r="S273" s="763" t="str">
        <f>IFERROR(__xludf.DUMMYFUNCTION("""COMPUTED_VALUE"""),"Workshop Afrofusion con Banana 2025 - Workshop Banana afrofusion")</f>
        <v>Workshop Afrofusion con Banana 2025 - Workshop Banana afrofusion</v>
      </c>
      <c r="T273" s="763"/>
      <c r="U273" s="763"/>
      <c r="V273" s="763">
        <f>IFERROR(__xludf.DUMMYFUNCTION("""COMPUTED_VALUE"""),1.0)</f>
        <v>1</v>
      </c>
      <c r="W273" s="763">
        <f>IFERROR(__xludf.DUMMYFUNCTION("""COMPUTED_VALUE"""),37.0)</f>
        <v>37</v>
      </c>
      <c r="X273" s="763">
        <f>IFERROR(__xludf.DUMMYFUNCTION("""COMPUTED_VALUE"""),37.0)</f>
        <v>37</v>
      </c>
      <c r="Y273" s="763"/>
      <c r="Z273" s="768" t="str">
        <f>IFERROR(__xludf.DUMMYFUNCTION("""COMPUTED_VALUE"""),"https://studio-gem.it/wp-admin/post.php?post=65138&amp;action=edit")</f>
        <v>https://studio-gem.it/wp-admin/post.php?post=65138&amp;action=edit</v>
      </c>
      <c r="AA273" s="763"/>
      <c r="AB273" s="763"/>
      <c r="AC273" s="763"/>
      <c r="AD273" s="763"/>
      <c r="AE273" s="763"/>
      <c r="AF273" s="763"/>
      <c r="AG273" s="763"/>
      <c r="AH273" s="763"/>
      <c r="AI273" s="763"/>
      <c r="AJ273" s="763"/>
      <c r="AK273" s="763"/>
      <c r="AL273" s="763"/>
      <c r="AM273" s="763"/>
      <c r="AN273" s="763"/>
      <c r="AO273" s="763"/>
      <c r="AP273" s="763"/>
      <c r="AQ273" s="763"/>
      <c r="AR273" s="763"/>
      <c r="AS273" s="763"/>
      <c r="AT273" s="763"/>
      <c r="AU273" s="763"/>
      <c r="AV273" s="763"/>
      <c r="AW273" s="763"/>
      <c r="AX273" s="763"/>
      <c r="AY273" s="763"/>
      <c r="AZ273" s="763"/>
      <c r="BA273" s="763"/>
      <c r="BB273" s="763"/>
      <c r="BC273" s="763"/>
      <c r="BD273" s="763"/>
      <c r="BE273" s="763"/>
      <c r="BF273" s="763"/>
      <c r="BG273" s="763" t="b">
        <f>IFERROR(__xludf.DUMMYFUNCTION("""COMPUTED_VALUE"""),FALSE)</f>
        <v>0</v>
      </c>
      <c r="BH273" s="763" t="b">
        <f>IFERROR(__xludf.DUMMYFUNCTION("""COMPUTED_VALUE"""),FALSE)</f>
        <v>0</v>
      </c>
      <c r="BI273" s="763" t="b">
        <f>IFERROR(__xludf.DUMMYFUNCTION("""COMPUTED_VALUE"""),FALSE)</f>
        <v>0</v>
      </c>
      <c r="BJ273" s="763" t="b">
        <f>IFERROR(__xludf.DUMMYFUNCTION("""COMPUTED_VALUE"""),FALSE)</f>
        <v>0</v>
      </c>
    </row>
    <row r="274">
      <c r="A274" s="763">
        <f>IFERROR(__xludf.DUMMYFUNCTION("""COMPUTED_VALUE"""),65139.0)</f>
        <v>65139</v>
      </c>
      <c r="B274" s="763">
        <f>IFERROR(__xludf.DUMMYFUNCTION("""COMPUTED_VALUE"""),65139.0)</f>
        <v>65139</v>
      </c>
      <c r="C274" s="763" t="str">
        <f>IFERROR(__xludf.DUMMYFUNCTION("""COMPUTED_VALUE"""),"2025-10-10 22:15:48")</f>
        <v>2025-10-10 22:15:48</v>
      </c>
      <c r="D274" s="763" t="str">
        <f>IFERROR(__xludf.DUMMYFUNCTION("""COMPUTED_VALUE"""),"completed")</f>
        <v>completed</v>
      </c>
      <c r="E274" s="763" t="str">
        <f>IFERROR(__xludf.DUMMYFUNCTION("""COMPUTED_VALUE"""),"Roberta")</f>
        <v>Roberta</v>
      </c>
      <c r="F274" s="763" t="str">
        <f>IFERROR(__xludf.DUMMYFUNCTION("""COMPUTED_VALUE"""),"Clarke")</f>
        <v>Clarke</v>
      </c>
      <c r="G274" s="763" t="str">
        <f>IFERROR(__xludf.DUMMYFUNCTION("""COMPUTED_VALUE"""),"robertasclarke@gmail.com")</f>
        <v>robertasclarke@gmail.com</v>
      </c>
      <c r="H274" s="763">
        <f>IFERROR(__xludf.DUMMYFUNCTION("""COMPUTED_VALUE"""),3.661280245E9)</f>
        <v>3661280245</v>
      </c>
      <c r="I274" s="763" t="str">
        <f>IFERROR(__xludf.DUMMYFUNCTION("""COMPUTED_VALUE"""),"Milano")</f>
        <v>Milano</v>
      </c>
      <c r="J274" s="763" t="str">
        <f>IFERROR(__xludf.DUMMYFUNCTION("""COMPUTED_VALUE"""),"Corso di Porta Ticinese, 76")</f>
        <v>Corso di Porta Ticinese, 76</v>
      </c>
      <c r="K274" s="763">
        <f>IFERROR(__xludf.DUMMYFUNCTION("""COMPUTED_VALUE"""),20123.0)</f>
        <v>20123</v>
      </c>
      <c r="L274" s="763" t="str">
        <f>IFERROR(__xludf.DUMMYFUNCTION("""COMPUTED_VALUE"""),"Apple Pay")</f>
        <v>Apple Pay</v>
      </c>
      <c r="M274" s="763"/>
      <c r="N274" s="763" t="str">
        <f>IFERROR(__xludf.DUMMYFUNCTION("""COMPUTED_VALUE"""),"65139-1760134549")</f>
        <v>65139-1760134549</v>
      </c>
      <c r="O274" s="763">
        <f>IFERROR(__xludf.DUMMYFUNCTION("""COMPUTED_VALUE"""),0.0)</f>
        <v>0</v>
      </c>
      <c r="P274" s="767">
        <f>IFERROR(__xludf.DUMMYFUNCTION("""COMPUTED_VALUE"""),1.5416666666666667)</f>
        <v>1.541666667</v>
      </c>
      <c r="Q274" s="763" t="str">
        <f>IFERROR(__xludf.DUMMYFUNCTION("""COMPUTED_VALUE"""),"EUR")</f>
        <v>EUR</v>
      </c>
      <c r="R274" s="763">
        <f>IFERROR(__xludf.DUMMYFUNCTION("""COMPUTED_VALUE"""),683.0)</f>
        <v>683</v>
      </c>
      <c r="S274" s="763" t="str">
        <f>IFERROR(__xludf.DUMMYFUNCTION("""COMPUTED_VALUE"""),"Workshop Afrofusion con Banana 2025 - Workshop Banana afrofusion")</f>
        <v>Workshop Afrofusion con Banana 2025 - Workshop Banana afrofusion</v>
      </c>
      <c r="T274" s="763"/>
      <c r="U274" s="763"/>
      <c r="V274" s="763">
        <f>IFERROR(__xludf.DUMMYFUNCTION("""COMPUTED_VALUE"""),1.0)</f>
        <v>1</v>
      </c>
      <c r="W274" s="763">
        <f>IFERROR(__xludf.DUMMYFUNCTION("""COMPUTED_VALUE"""),37.0)</f>
        <v>37</v>
      </c>
      <c r="X274" s="763">
        <f>IFERROR(__xludf.DUMMYFUNCTION("""COMPUTED_VALUE"""),37.0)</f>
        <v>37</v>
      </c>
      <c r="Y274" s="763"/>
      <c r="Z274" s="768" t="str">
        <f>IFERROR(__xludf.DUMMYFUNCTION("""COMPUTED_VALUE"""),"https://studio-gem.it/wp-admin/post.php?post=65139&amp;action=edit")</f>
        <v>https://studio-gem.it/wp-admin/post.php?post=65139&amp;action=edit</v>
      </c>
      <c r="AA274" s="763"/>
      <c r="AB274" s="763"/>
      <c r="AC274" s="763"/>
      <c r="AD274" s="763"/>
      <c r="AE274" s="763"/>
      <c r="AF274" s="763"/>
      <c r="AG274" s="763"/>
      <c r="AH274" s="763"/>
      <c r="AI274" s="763"/>
      <c r="AJ274" s="763"/>
      <c r="AK274" s="763"/>
      <c r="AL274" s="763"/>
      <c r="AM274" s="763"/>
      <c r="AN274" s="763"/>
      <c r="AO274" s="763"/>
      <c r="AP274" s="763"/>
      <c r="AQ274" s="763"/>
      <c r="AR274" s="763"/>
      <c r="AS274" s="763"/>
      <c r="AT274" s="763"/>
      <c r="AU274" s="763"/>
      <c r="AV274" s="763"/>
      <c r="AW274" s="763"/>
      <c r="AX274" s="763"/>
      <c r="AY274" s="763"/>
      <c r="AZ274" s="763"/>
      <c r="BA274" s="763"/>
      <c r="BB274" s="763"/>
      <c r="BC274" s="763"/>
      <c r="BD274" s="763"/>
      <c r="BE274" s="763"/>
      <c r="BF274" s="763"/>
      <c r="BG274" s="763" t="b">
        <f>IFERROR(__xludf.DUMMYFUNCTION("""COMPUTED_VALUE"""),TRUE)</f>
        <v>1</v>
      </c>
      <c r="BH274" s="763" t="b">
        <f>IFERROR(__xludf.DUMMYFUNCTION("""COMPUTED_VALUE"""),TRUE)</f>
        <v>1</v>
      </c>
      <c r="BI274" s="763" t="b">
        <f>IFERROR(__xludf.DUMMYFUNCTION("""COMPUTED_VALUE"""),TRUE)</f>
        <v>1</v>
      </c>
      <c r="BJ274" s="763" t="b">
        <f>IFERROR(__xludf.DUMMYFUNCTION("""COMPUTED_VALUE"""),TRUE)</f>
        <v>1</v>
      </c>
    </row>
    <row r="275">
      <c r="A275" s="763">
        <f>IFERROR(__xludf.DUMMYFUNCTION("""COMPUTED_VALUE"""),65141.0)</f>
        <v>65141</v>
      </c>
      <c r="B275" s="763">
        <f>IFERROR(__xludf.DUMMYFUNCTION("""COMPUTED_VALUE"""),65141.0)</f>
        <v>65141</v>
      </c>
      <c r="C275" s="763" t="str">
        <f>IFERROR(__xludf.DUMMYFUNCTION("""COMPUTED_VALUE"""),"2025-10-10 23:59:37")</f>
        <v>2025-10-10 23:59:37</v>
      </c>
      <c r="D275" s="763" t="str">
        <f>IFERROR(__xludf.DUMMYFUNCTION("""COMPUTED_VALUE"""),"completed")</f>
        <v>completed</v>
      </c>
      <c r="E275" s="763" t="str">
        <f>IFERROR(__xludf.DUMMYFUNCTION("""COMPUTED_VALUE"""),"sofia")</f>
        <v>sofia</v>
      </c>
      <c r="F275" s="763" t="str">
        <f>IFERROR(__xludf.DUMMYFUNCTION("""COMPUTED_VALUE"""),"d'alessio")</f>
        <v>d'alessio</v>
      </c>
      <c r="G275" s="763" t="str">
        <f>IFERROR(__xludf.DUMMYFUNCTION("""COMPUTED_VALUE"""),"sofiadalessio89@gmail.com")</f>
        <v>sofiadalessio89@gmail.com</v>
      </c>
      <c r="H275" s="763">
        <f>IFERROR(__xludf.DUMMYFUNCTION("""COMPUTED_VALUE"""),3.476007757E9)</f>
        <v>3476007757</v>
      </c>
      <c r="I275" s="763" t="str">
        <f>IFERROR(__xludf.DUMMYFUNCTION("""COMPUTED_VALUE"""),"Monza")</f>
        <v>Monza</v>
      </c>
      <c r="J275" s="763" t="str">
        <f>IFERROR(__xludf.DUMMYFUNCTION("""COMPUTED_VALUE"""),"Boito 51")</f>
        <v>Boito 51</v>
      </c>
      <c r="K275" s="763">
        <f>IFERROR(__xludf.DUMMYFUNCTION("""COMPUTED_VALUE"""),20900.0)</f>
        <v>20900</v>
      </c>
      <c r="L275" s="763" t="str">
        <f>IFERROR(__xludf.DUMMYFUNCTION("""COMPUTED_VALUE"""),"Google Pay")</f>
        <v>Google Pay</v>
      </c>
      <c r="M275" s="763"/>
      <c r="N275" s="763" t="str">
        <f>IFERROR(__xludf.DUMMYFUNCTION("""COMPUTED_VALUE"""),"65141-1760140778")</f>
        <v>65141-1760140778</v>
      </c>
      <c r="O275" s="763">
        <f>IFERROR(__xludf.DUMMYFUNCTION("""COMPUTED_VALUE"""),0.0)</f>
        <v>0</v>
      </c>
      <c r="P275" s="767">
        <f>IFERROR(__xludf.DUMMYFUNCTION("""COMPUTED_VALUE"""),1.5416666666666667)</f>
        <v>1.541666667</v>
      </c>
      <c r="Q275" s="763" t="str">
        <f>IFERROR(__xludf.DUMMYFUNCTION("""COMPUTED_VALUE"""),"EUR")</f>
        <v>EUR</v>
      </c>
      <c r="R275" s="763">
        <f>IFERROR(__xludf.DUMMYFUNCTION("""COMPUTED_VALUE"""),684.0)</f>
        <v>684</v>
      </c>
      <c r="S275" s="763" t="str">
        <f>IFERROR(__xludf.DUMMYFUNCTION("""COMPUTED_VALUE"""),"Workshop Heels con Lulu Kulova - Workshop Lulu Heels")</f>
        <v>Workshop Heels con Lulu Kulova - Workshop Lulu Heels</v>
      </c>
      <c r="T275" s="763"/>
      <c r="U275" s="763"/>
      <c r="V275" s="763">
        <f>IFERROR(__xludf.DUMMYFUNCTION("""COMPUTED_VALUE"""),1.0)</f>
        <v>1</v>
      </c>
      <c r="W275" s="763">
        <f>IFERROR(__xludf.DUMMYFUNCTION("""COMPUTED_VALUE"""),37.0)</f>
        <v>37</v>
      </c>
      <c r="X275" s="763">
        <f>IFERROR(__xludf.DUMMYFUNCTION("""COMPUTED_VALUE"""),37.0)</f>
        <v>37</v>
      </c>
      <c r="Y275" s="763"/>
      <c r="Z275" s="768" t="str">
        <f>IFERROR(__xludf.DUMMYFUNCTION("""COMPUTED_VALUE"""),"https://studio-gem.it/wp-admin/post.php?post=65141&amp;action=edit")</f>
        <v>https://studio-gem.it/wp-admin/post.php?post=65141&amp;action=edit</v>
      </c>
      <c r="AA275" s="763"/>
      <c r="AB275" s="763"/>
      <c r="AC275" s="763"/>
      <c r="AD275" s="763"/>
      <c r="AE275" s="763"/>
      <c r="AF275" s="763"/>
      <c r="AG275" s="763"/>
      <c r="AH275" s="763"/>
      <c r="AI275" s="763"/>
      <c r="AJ275" s="763"/>
      <c r="AK275" s="763"/>
      <c r="AL275" s="763"/>
      <c r="AM275" s="763"/>
      <c r="AN275" s="763"/>
      <c r="AO275" s="763"/>
      <c r="AP275" s="763"/>
      <c r="AQ275" s="763"/>
      <c r="AR275" s="763"/>
      <c r="AS275" s="763"/>
      <c r="AT275" s="763"/>
      <c r="AU275" s="763"/>
      <c r="AV275" s="763"/>
      <c r="AW275" s="763"/>
      <c r="AX275" s="763"/>
      <c r="AY275" s="763"/>
      <c r="AZ275" s="763"/>
      <c r="BA275" s="763"/>
      <c r="BB275" s="763"/>
      <c r="BC275" s="763"/>
      <c r="BD275" s="763"/>
      <c r="BE275" s="763"/>
      <c r="BF275" s="763"/>
      <c r="BG275" s="763" t="b">
        <f>IFERROR(__xludf.DUMMYFUNCTION("""COMPUTED_VALUE"""),TRUE)</f>
        <v>1</v>
      </c>
      <c r="BH275" s="763" t="b">
        <f>IFERROR(__xludf.DUMMYFUNCTION("""COMPUTED_VALUE"""),TRUE)</f>
        <v>1</v>
      </c>
      <c r="BI275" s="763" t="b">
        <f>IFERROR(__xludf.DUMMYFUNCTION("""COMPUTED_VALUE"""),TRUE)</f>
        <v>1</v>
      </c>
      <c r="BJ275" s="763" t="b">
        <f>IFERROR(__xludf.DUMMYFUNCTION("""COMPUTED_VALUE"""),TRUE)</f>
        <v>1</v>
      </c>
    </row>
    <row r="276">
      <c r="A276" s="763">
        <f>IFERROR(__xludf.DUMMYFUNCTION("""COMPUTED_VALUE"""),65143.0)</f>
        <v>65143</v>
      </c>
      <c r="B276" s="763">
        <f>IFERROR(__xludf.DUMMYFUNCTION("""COMPUTED_VALUE"""),65143.0)</f>
        <v>65143</v>
      </c>
      <c r="C276" s="763" t="str">
        <f>IFERROR(__xludf.DUMMYFUNCTION("""COMPUTED_VALUE"""),"2025-10-11 06:04:55")</f>
        <v>2025-10-11 06:04:55</v>
      </c>
      <c r="D276" s="763" t="str">
        <f>IFERROR(__xludf.DUMMYFUNCTION("""COMPUTED_VALUE"""),"completed")</f>
        <v>completed</v>
      </c>
      <c r="E276" s="763" t="str">
        <f>IFERROR(__xludf.DUMMYFUNCTION("""COMPUTED_VALUE"""),"Chiara")</f>
        <v>Chiara</v>
      </c>
      <c r="F276" s="763" t="str">
        <f>IFERROR(__xludf.DUMMYFUNCTION("""COMPUTED_VALUE"""),"Vismara")</f>
        <v>Vismara</v>
      </c>
      <c r="G276" s="763" t="str">
        <f>IFERROR(__xludf.DUMMYFUNCTION("""COMPUTED_VALUE"""),"chiaramaria.vismara@gmail.com")</f>
        <v>chiaramaria.vismara@gmail.com</v>
      </c>
      <c r="H276" s="763">
        <f>IFERROR(__xludf.DUMMYFUNCTION("""COMPUTED_VALUE"""),3.336214065E9)</f>
        <v>3336214065</v>
      </c>
      <c r="I276" s="763" t="str">
        <f>IFERROR(__xludf.DUMMYFUNCTION("""COMPUTED_VALUE"""),"Milano")</f>
        <v>Milano</v>
      </c>
      <c r="J276" s="763" t="str">
        <f>IFERROR(__xludf.DUMMYFUNCTION("""COMPUTED_VALUE"""),"Via Quadronno 34")</f>
        <v>Via Quadronno 34</v>
      </c>
      <c r="K276" s="763">
        <f>IFERROR(__xludf.DUMMYFUNCTION("""COMPUTED_VALUE"""),20122.0)</f>
        <v>20122</v>
      </c>
      <c r="L276" s="763"/>
      <c r="M276" s="763"/>
      <c r="N276" s="763"/>
      <c r="O276" s="763">
        <f>IFERROR(__xludf.DUMMYFUNCTION("""COMPUTED_VALUE"""),0.0)</f>
        <v>0</v>
      </c>
      <c r="P276" s="767">
        <f>IFERROR(__xludf.DUMMYFUNCTION("""COMPUTED_VALUE"""),0.0)</f>
        <v>0</v>
      </c>
      <c r="Q276" s="763" t="str">
        <f>IFERROR(__xludf.DUMMYFUNCTION("""COMPUTED_VALUE"""),"EUR")</f>
        <v>EUR</v>
      </c>
      <c r="R276" s="763">
        <f>IFERROR(__xludf.DUMMYFUNCTION("""COMPUTED_VALUE"""),685.0)</f>
        <v>685</v>
      </c>
      <c r="S276" s="763" t="str">
        <f>IFERROR(__xludf.DUMMYFUNCTION("""COMPUTED_VALUE"""),"Domeniche in movimento - Gratuito per open fitness e open mattino 1 lezione dalle 10 alle 11.50")</f>
        <v>Domeniche in movimento - Gratuito per open fitness e open mattino 1 lezione dalle 10 alle 11.50</v>
      </c>
      <c r="T276" s="763"/>
      <c r="U276" s="763"/>
      <c r="V276" s="763">
        <f>IFERROR(__xludf.DUMMYFUNCTION("""COMPUTED_VALUE"""),1.0)</f>
        <v>1</v>
      </c>
      <c r="W276" s="763">
        <f>IFERROR(__xludf.DUMMYFUNCTION("""COMPUTED_VALUE"""),0.0)</f>
        <v>0</v>
      </c>
      <c r="X276" s="763">
        <f>IFERROR(__xludf.DUMMYFUNCTION("""COMPUTED_VALUE"""),0.0)</f>
        <v>0</v>
      </c>
      <c r="Y276" s="763"/>
      <c r="Z276" s="768" t="str">
        <f>IFERROR(__xludf.DUMMYFUNCTION("""COMPUTED_VALUE"""),"https://studio-gem.it/wp-admin/post.php?post=65143&amp;action=edit")</f>
        <v>https://studio-gem.it/wp-admin/post.php?post=65143&amp;action=edit</v>
      </c>
      <c r="AA276" s="763"/>
      <c r="AB276" s="763"/>
      <c r="AC276" s="763"/>
      <c r="AD276" s="763"/>
      <c r="AE276" s="763"/>
      <c r="AF276" s="763"/>
      <c r="AG276" s="763"/>
      <c r="AH276" s="763"/>
      <c r="AI276" s="763"/>
      <c r="AJ276" s="763"/>
      <c r="AK276" s="763"/>
      <c r="AL276" s="763"/>
      <c r="AM276" s="763"/>
      <c r="AN276" s="763"/>
      <c r="AO276" s="763"/>
      <c r="AP276" s="763"/>
      <c r="AQ276" s="763"/>
      <c r="AR276" s="763"/>
      <c r="AS276" s="763"/>
      <c r="AT276" s="763"/>
      <c r="AU276" s="763"/>
      <c r="AV276" s="763"/>
      <c r="AW276" s="763"/>
      <c r="AX276" s="763"/>
      <c r="AY276" s="763"/>
      <c r="AZ276" s="763"/>
      <c r="BA276" s="763"/>
      <c r="BB276" s="763"/>
      <c r="BC276" s="763"/>
      <c r="BD276" s="763"/>
      <c r="BE276" s="763"/>
      <c r="BF276" s="763"/>
      <c r="BG276" s="763" t="b">
        <f>IFERROR(__xludf.DUMMYFUNCTION("""COMPUTED_VALUE"""),TRUE)</f>
        <v>1</v>
      </c>
      <c r="BH276" s="763" t="b">
        <f>IFERROR(__xludf.DUMMYFUNCTION("""COMPUTED_VALUE"""),FALSE)</f>
        <v>0</v>
      </c>
      <c r="BI276" s="763" t="b">
        <f>IFERROR(__xludf.DUMMYFUNCTION("""COMPUTED_VALUE"""),TRUE)</f>
        <v>1</v>
      </c>
      <c r="BJ276" s="763" t="b">
        <f>IFERROR(__xludf.DUMMYFUNCTION("""COMPUTED_VALUE"""),FALSE)</f>
        <v>0</v>
      </c>
    </row>
    <row r="277">
      <c r="A277" s="763">
        <f>IFERROR(__xludf.DUMMYFUNCTION("""COMPUTED_VALUE"""),65145.0)</f>
        <v>65145</v>
      </c>
      <c r="B277" s="763">
        <f>IFERROR(__xludf.DUMMYFUNCTION("""COMPUTED_VALUE"""),65145.0)</f>
        <v>65145</v>
      </c>
      <c r="C277" s="763" t="str">
        <f>IFERROR(__xludf.DUMMYFUNCTION("""COMPUTED_VALUE"""),"2025-10-11 10:40:09")</f>
        <v>2025-10-11 10:40:09</v>
      </c>
      <c r="D277" s="763" t="str">
        <f>IFERROR(__xludf.DUMMYFUNCTION("""COMPUTED_VALUE"""),"processing")</f>
        <v>processing</v>
      </c>
      <c r="E277" s="763" t="str">
        <f>IFERROR(__xludf.DUMMYFUNCTION("""COMPUTED_VALUE"""),"Sophie soce")</f>
        <v>Sophie soce</v>
      </c>
      <c r="F277" s="763" t="str">
        <f>IFERROR(__xludf.DUMMYFUNCTION("""COMPUTED_VALUE"""),"Seck")</f>
        <v>Seck</v>
      </c>
      <c r="G277" s="763" t="str">
        <f>IFERROR(__xludf.DUMMYFUNCTION("""COMPUTED_VALUE"""),"venosiluisa@gmail.com")</f>
        <v>venosiluisa@gmail.com</v>
      </c>
      <c r="H277" s="763">
        <f>IFERROR(__xludf.DUMMYFUNCTION("""COMPUTED_VALUE"""),3.29328951E9)</f>
        <v>3293289510</v>
      </c>
      <c r="I277" s="763" t="str">
        <f>IFERROR(__xludf.DUMMYFUNCTION("""COMPUTED_VALUE"""),"Varese")</f>
        <v>Varese</v>
      </c>
      <c r="J277" s="763" t="str">
        <f>IFERROR(__xludf.DUMMYFUNCTION("""COMPUTED_VALUE"""),"Via tonale 24")</f>
        <v>Via tonale 24</v>
      </c>
      <c r="K277" s="763">
        <f>IFERROR(__xludf.DUMMYFUNCTION("""COMPUTED_VALUE"""),21100.0)</f>
        <v>21100</v>
      </c>
      <c r="L277" s="763" t="str">
        <f>IFERROR(__xludf.DUMMYFUNCTION("""COMPUTED_VALUE"""),"Carte di pagamento")</f>
        <v>Carte di pagamento</v>
      </c>
      <c r="M277" s="763"/>
      <c r="N277" s="763" t="str">
        <f>IFERROR(__xludf.DUMMYFUNCTION("""COMPUTED_VALUE"""),"65145-1760179210")</f>
        <v>65145-1760179210</v>
      </c>
      <c r="O277" s="763">
        <f>IFERROR(__xludf.DUMMYFUNCTION("""COMPUTED_VALUE"""),0.0)</f>
        <v>0</v>
      </c>
      <c r="P277" s="767">
        <f>IFERROR(__xludf.DUMMYFUNCTION("""COMPUTED_VALUE"""),1.5416666666666667)</f>
        <v>1.541666667</v>
      </c>
      <c r="Q277" s="763" t="str">
        <f>IFERROR(__xludf.DUMMYFUNCTION("""COMPUTED_VALUE"""),"EUR")</f>
        <v>EUR</v>
      </c>
      <c r="R277" s="763">
        <f>IFERROR(__xludf.DUMMYFUNCTION("""COMPUTED_VALUE"""),686.0)</f>
        <v>686</v>
      </c>
      <c r="S277" s="763" t="str">
        <f>IFERROR(__xludf.DUMMYFUNCTION("""COMPUTED_VALUE"""),"Workshop Afrofusion con Banana 2025 - Workshop Banana afrofusion")</f>
        <v>Workshop Afrofusion con Banana 2025 - Workshop Banana afrofusion</v>
      </c>
      <c r="T277" s="763"/>
      <c r="U277" s="763"/>
      <c r="V277" s="763">
        <f>IFERROR(__xludf.DUMMYFUNCTION("""COMPUTED_VALUE"""),1.0)</f>
        <v>1</v>
      </c>
      <c r="W277" s="763">
        <f>IFERROR(__xludf.DUMMYFUNCTION("""COMPUTED_VALUE"""),37.0)</f>
        <v>37</v>
      </c>
      <c r="X277" s="763">
        <f>IFERROR(__xludf.DUMMYFUNCTION("""COMPUTED_VALUE"""),37.0)</f>
        <v>37</v>
      </c>
      <c r="Y277" s="763"/>
      <c r="Z277" s="768" t="str">
        <f>IFERROR(__xludf.DUMMYFUNCTION("""COMPUTED_VALUE"""),"https://studio-gem.it/wp-admin/post.php?post=65145&amp;action=edit")</f>
        <v>https://studio-gem.it/wp-admin/post.php?post=65145&amp;action=edit</v>
      </c>
      <c r="AA277" s="763"/>
      <c r="AB277" s="763"/>
      <c r="AC277" s="763"/>
      <c r="AD277" s="763"/>
      <c r="AE277" s="763"/>
      <c r="AF277" s="763"/>
      <c r="AG277" s="763"/>
      <c r="AH277" s="763"/>
      <c r="AI277" s="763"/>
      <c r="AJ277" s="763"/>
      <c r="AK277" s="763"/>
      <c r="AL277" s="763"/>
      <c r="AM277" s="763"/>
      <c r="AN277" s="763"/>
      <c r="AO277" s="763"/>
      <c r="AP277" s="763"/>
      <c r="AQ277" s="763"/>
      <c r="AR277" s="763"/>
      <c r="AS277" s="763"/>
      <c r="AT277" s="763"/>
      <c r="AU277" s="763"/>
      <c r="AV277" s="763"/>
      <c r="AW277" s="763"/>
      <c r="AX277" s="763"/>
      <c r="AY277" s="763"/>
      <c r="AZ277" s="763"/>
      <c r="BA277" s="763"/>
      <c r="BB277" s="763"/>
      <c r="BC277" s="763"/>
      <c r="BD277" s="763"/>
      <c r="BE277" s="763"/>
      <c r="BF277" s="763"/>
      <c r="BG277" s="763" t="b">
        <f>IFERROR(__xludf.DUMMYFUNCTION("""COMPUTED_VALUE"""),TRUE)</f>
        <v>1</v>
      </c>
      <c r="BH277" s="763" t="b">
        <f>IFERROR(__xludf.DUMMYFUNCTION("""COMPUTED_VALUE"""),TRUE)</f>
        <v>1</v>
      </c>
      <c r="BI277" s="763" t="b">
        <f>IFERROR(__xludf.DUMMYFUNCTION("""COMPUTED_VALUE"""),TRUE)</f>
        <v>1</v>
      </c>
      <c r="BJ277" s="763" t="b">
        <f>IFERROR(__xludf.DUMMYFUNCTION("""COMPUTED_VALUE"""),TRUE)</f>
        <v>1</v>
      </c>
    </row>
    <row r="278">
      <c r="A278" s="763">
        <f>IFERROR(__xludf.DUMMYFUNCTION("""COMPUTED_VALUE"""),65146.0)</f>
        <v>65146</v>
      </c>
      <c r="B278" s="763">
        <f>IFERROR(__xludf.DUMMYFUNCTION("""COMPUTED_VALUE"""),65146.0)</f>
        <v>65146</v>
      </c>
      <c r="C278" s="763" t="str">
        <f>IFERROR(__xludf.DUMMYFUNCTION("""COMPUTED_VALUE"""),"2025-10-11 12:07:01")</f>
        <v>2025-10-11 12:07:01</v>
      </c>
      <c r="D278" s="763" t="str">
        <f>IFERROR(__xludf.DUMMYFUNCTION("""COMPUTED_VALUE"""),"failed")</f>
        <v>failed</v>
      </c>
      <c r="E278" s="763" t="str">
        <f>IFERROR(__xludf.DUMMYFUNCTION("""COMPUTED_VALUE"""),"Veronica")</f>
        <v>Veronica</v>
      </c>
      <c r="F278" s="763" t="str">
        <f>IFERROR(__xludf.DUMMYFUNCTION("""COMPUTED_VALUE"""),"Guzalian")</f>
        <v>Guzalian</v>
      </c>
      <c r="G278" s="763" t="str">
        <f>IFERROR(__xludf.DUMMYFUNCTION("""COMPUTED_VALUE"""),"veroshant@yahoo.com")</f>
        <v>veroshant@yahoo.com</v>
      </c>
      <c r="H278" s="763">
        <f>IFERROR(__xludf.DUMMYFUNCTION("""COMPUTED_VALUE"""),3.474849277E9)</f>
        <v>3474849277</v>
      </c>
      <c r="I278" s="763" t="str">
        <f>IFERROR(__xludf.DUMMYFUNCTION("""COMPUTED_VALUE"""),"Bergamo")</f>
        <v>Bergamo</v>
      </c>
      <c r="J278" s="763" t="str">
        <f>IFERROR(__xludf.DUMMYFUNCTION("""COMPUTED_VALUE"""),"Don carlo botta 11")</f>
        <v>Don carlo botta 11</v>
      </c>
      <c r="K278" s="763">
        <f>IFERROR(__xludf.DUMMYFUNCTION("""COMPUTED_VALUE"""),24122.0)</f>
        <v>24122</v>
      </c>
      <c r="L278" s="763" t="str">
        <f>IFERROR(__xludf.DUMMYFUNCTION("""COMPUTED_VALUE"""),"Apple Pay")</f>
        <v>Apple Pay</v>
      </c>
      <c r="M278" s="763"/>
      <c r="N278" s="763"/>
      <c r="O278" s="763">
        <f>IFERROR(__xludf.DUMMYFUNCTION("""COMPUTED_VALUE"""),0.0)</f>
        <v>0</v>
      </c>
      <c r="P278" s="767">
        <f>IFERROR(__xludf.DUMMYFUNCTION("""COMPUTED_VALUE"""),1.5416666666666667)</f>
        <v>1.541666667</v>
      </c>
      <c r="Q278" s="763" t="str">
        <f>IFERROR(__xludf.DUMMYFUNCTION("""COMPUTED_VALUE"""),"EUR")</f>
        <v>EUR</v>
      </c>
      <c r="R278" s="763">
        <f>IFERROR(__xludf.DUMMYFUNCTION("""COMPUTED_VALUE"""),687.0)</f>
        <v>687</v>
      </c>
      <c r="S278" s="763" t="str">
        <f>IFERROR(__xludf.DUMMYFUNCTION("""COMPUTED_VALUE"""),"Workshop Heels con Lulu Kulova - Workshop Lulu Heels")</f>
        <v>Workshop Heels con Lulu Kulova - Workshop Lulu Heels</v>
      </c>
      <c r="T278" s="763"/>
      <c r="U278" s="763"/>
      <c r="V278" s="763">
        <f>IFERROR(__xludf.DUMMYFUNCTION("""COMPUTED_VALUE"""),1.0)</f>
        <v>1</v>
      </c>
      <c r="W278" s="763">
        <f>IFERROR(__xludf.DUMMYFUNCTION("""COMPUTED_VALUE"""),37.0)</f>
        <v>37</v>
      </c>
      <c r="X278" s="763">
        <f>IFERROR(__xludf.DUMMYFUNCTION("""COMPUTED_VALUE"""),37.0)</f>
        <v>37</v>
      </c>
      <c r="Y278" s="763"/>
      <c r="Z278" s="768" t="str">
        <f>IFERROR(__xludf.DUMMYFUNCTION("""COMPUTED_VALUE"""),"https://studio-gem.it/wp-admin/post.php?post=65146&amp;action=edit")</f>
        <v>https://studio-gem.it/wp-admin/post.php?post=65146&amp;action=edit</v>
      </c>
      <c r="AA278" s="763"/>
      <c r="AB278" s="763"/>
      <c r="AC278" s="763"/>
      <c r="AD278" s="763"/>
      <c r="AE278" s="763"/>
      <c r="AF278" s="763"/>
      <c r="AG278" s="763"/>
      <c r="AH278" s="763"/>
      <c r="AI278" s="763"/>
      <c r="AJ278" s="763"/>
      <c r="AK278" s="763"/>
      <c r="AL278" s="763"/>
      <c r="AM278" s="763"/>
      <c r="AN278" s="763"/>
      <c r="AO278" s="763"/>
      <c r="AP278" s="763"/>
      <c r="AQ278" s="763"/>
      <c r="AR278" s="763"/>
      <c r="AS278" s="763"/>
      <c r="AT278" s="763"/>
      <c r="AU278" s="763"/>
      <c r="AV278" s="763"/>
      <c r="AW278" s="763"/>
      <c r="AX278" s="763"/>
      <c r="AY278" s="763"/>
      <c r="AZ278" s="763"/>
      <c r="BA278" s="763"/>
      <c r="BB278" s="763"/>
      <c r="BC278" s="763"/>
      <c r="BD278" s="763"/>
      <c r="BE278" s="763"/>
      <c r="BF278" s="763"/>
      <c r="BG278" s="763" t="b">
        <f>IFERROR(__xludf.DUMMYFUNCTION("""COMPUTED_VALUE"""),FALSE)</f>
        <v>0</v>
      </c>
      <c r="BH278" s="763" t="b">
        <f>IFERROR(__xludf.DUMMYFUNCTION("""COMPUTED_VALUE"""),FALSE)</f>
        <v>0</v>
      </c>
      <c r="BI278" s="763" t="b">
        <f>IFERROR(__xludf.DUMMYFUNCTION("""COMPUTED_VALUE"""),FALSE)</f>
        <v>0</v>
      </c>
      <c r="BJ278" s="763" t="b">
        <f>IFERROR(__xludf.DUMMYFUNCTION("""COMPUTED_VALUE"""),FALSE)</f>
        <v>0</v>
      </c>
    </row>
    <row r="279">
      <c r="A279" s="763">
        <f>IFERROR(__xludf.DUMMYFUNCTION("""COMPUTED_VALUE"""),65147.0)</f>
        <v>65147</v>
      </c>
      <c r="B279" s="763">
        <f>IFERROR(__xludf.DUMMYFUNCTION("""COMPUTED_VALUE"""),65147.0)</f>
        <v>65147</v>
      </c>
      <c r="C279" s="763" t="str">
        <f>IFERROR(__xludf.DUMMYFUNCTION("""COMPUTED_VALUE"""),"2025-10-11 12:49:41")</f>
        <v>2025-10-11 12:49:41</v>
      </c>
      <c r="D279" s="763" t="str">
        <f>IFERROR(__xludf.DUMMYFUNCTION("""COMPUTED_VALUE"""),"completed")</f>
        <v>completed</v>
      </c>
      <c r="E279" s="763" t="str">
        <f>IFERROR(__xludf.DUMMYFUNCTION("""COMPUTED_VALUE"""),"Clara")</f>
        <v>Clara</v>
      </c>
      <c r="F279" s="763" t="str">
        <f>IFERROR(__xludf.DUMMYFUNCTION("""COMPUTED_VALUE"""),"Pillitteri")</f>
        <v>Pillitteri</v>
      </c>
      <c r="G279" s="763" t="str">
        <f>IFERROR(__xludf.DUMMYFUNCTION("""COMPUTED_VALUE"""),"clarapilli42@gmail.com")</f>
        <v>clarapilli42@gmail.com</v>
      </c>
      <c r="H279" s="763">
        <f>IFERROR(__xludf.DUMMYFUNCTION("""COMPUTED_VALUE"""),3.480114118E9)</f>
        <v>3480114118</v>
      </c>
      <c r="I279" s="763" t="str">
        <f>IFERROR(__xludf.DUMMYFUNCTION("""COMPUTED_VALUE"""),"Milano")</f>
        <v>Milano</v>
      </c>
      <c r="J279" s="763" t="str">
        <f>IFERROR(__xludf.DUMMYFUNCTION("""COMPUTED_VALUE"""),"Giuseppe Ripamonti 30")</f>
        <v>Giuseppe Ripamonti 30</v>
      </c>
      <c r="K279" s="763">
        <f>IFERROR(__xludf.DUMMYFUNCTION("""COMPUTED_VALUE"""),20136.0)</f>
        <v>20136</v>
      </c>
      <c r="L279" s="763" t="str">
        <f>IFERROR(__xludf.DUMMYFUNCTION("""COMPUTED_VALUE"""),"Apple Pay")</f>
        <v>Apple Pay</v>
      </c>
      <c r="M279" s="763"/>
      <c r="N279" s="763" t="str">
        <f>IFERROR(__xludf.DUMMYFUNCTION("""COMPUTED_VALUE"""),"65147-1760187170")</f>
        <v>65147-1760187170</v>
      </c>
      <c r="O279" s="763">
        <f>IFERROR(__xludf.DUMMYFUNCTION("""COMPUTED_VALUE"""),0.0)</f>
        <v>0</v>
      </c>
      <c r="P279" s="767">
        <f>IFERROR(__xludf.DUMMYFUNCTION("""COMPUTED_VALUE"""),0.8333333333333334)</f>
        <v>0.8333333333</v>
      </c>
      <c r="Q279" s="763" t="str">
        <f>IFERROR(__xludf.DUMMYFUNCTION("""COMPUTED_VALUE"""),"EUR")</f>
        <v>EUR</v>
      </c>
      <c r="R279" s="763">
        <f>IFERROR(__xludf.DUMMYFUNCTION("""COMPUTED_VALUE"""),689.0)</f>
        <v>689</v>
      </c>
      <c r="S279" s="763" t="str">
        <f>IFERROR(__xludf.DUMMYFUNCTION("""COMPUTED_VALUE"""),"Domeniche in movimento - 2 lezioni - Dalle 10 alle 11.50 con Dorian Kuqi €20")</f>
        <v>Domeniche in movimento - 2 lezioni - Dalle 10 alle 11.50 con Dorian Kuqi €20</v>
      </c>
      <c r="T279" s="763"/>
      <c r="U279" s="763"/>
      <c r="V279" s="763">
        <f>IFERROR(__xludf.DUMMYFUNCTION("""COMPUTED_VALUE"""),1.0)</f>
        <v>1</v>
      </c>
      <c r="W279" s="763">
        <f>IFERROR(__xludf.DUMMYFUNCTION("""COMPUTED_VALUE"""),20.0)</f>
        <v>20</v>
      </c>
      <c r="X279" s="763">
        <f>IFERROR(__xludf.DUMMYFUNCTION("""COMPUTED_VALUE"""),20.0)</f>
        <v>20</v>
      </c>
      <c r="Y279" s="763"/>
      <c r="Z279" s="768" t="str">
        <f>IFERROR(__xludf.DUMMYFUNCTION("""COMPUTED_VALUE"""),"https://studio-gem.it/wp-admin/post.php?post=65147&amp;action=edit")</f>
        <v>https://studio-gem.it/wp-admin/post.php?post=65147&amp;action=edit</v>
      </c>
      <c r="AA279" s="763"/>
      <c r="AB279" s="763"/>
      <c r="AC279" s="763"/>
      <c r="AD279" s="763"/>
      <c r="AE279" s="763"/>
      <c r="AF279" s="763"/>
      <c r="AG279" s="763"/>
      <c r="AH279" s="763"/>
      <c r="AI279" s="763"/>
      <c r="AJ279" s="763"/>
      <c r="AK279" s="763"/>
      <c r="AL279" s="763"/>
      <c r="AM279" s="763"/>
      <c r="AN279" s="763"/>
      <c r="AO279" s="763"/>
      <c r="AP279" s="763"/>
      <c r="AQ279" s="763"/>
      <c r="AR279" s="763"/>
      <c r="AS279" s="763"/>
      <c r="AT279" s="763"/>
      <c r="AU279" s="763"/>
      <c r="AV279" s="763"/>
      <c r="AW279" s="763"/>
      <c r="AX279" s="763"/>
      <c r="AY279" s="763"/>
      <c r="AZ279" s="763"/>
      <c r="BA279" s="763"/>
      <c r="BB279" s="763"/>
      <c r="BC279" s="763"/>
      <c r="BD279" s="763"/>
      <c r="BE279" s="763"/>
      <c r="BF279" s="763"/>
      <c r="BG279" s="763" t="b">
        <f>IFERROR(__xludf.DUMMYFUNCTION("""COMPUTED_VALUE"""),FALSE)</f>
        <v>0</v>
      </c>
      <c r="BH279" s="763" t="b">
        <f>IFERROR(__xludf.DUMMYFUNCTION("""COMPUTED_VALUE"""),TRUE)</f>
        <v>1</v>
      </c>
      <c r="BI279" s="763" t="b">
        <f>IFERROR(__xludf.DUMMYFUNCTION("""COMPUTED_VALUE"""),TRUE)</f>
        <v>1</v>
      </c>
      <c r="BJ279" s="763" t="b">
        <f>IFERROR(__xludf.DUMMYFUNCTION("""COMPUTED_VALUE"""),FALSE)</f>
        <v>0</v>
      </c>
    </row>
    <row r="280">
      <c r="A280" s="763">
        <f>IFERROR(__xludf.DUMMYFUNCTION("""COMPUTED_VALUE"""),65149.0)</f>
        <v>65149</v>
      </c>
      <c r="B280" s="763">
        <f>IFERROR(__xludf.DUMMYFUNCTION("""COMPUTED_VALUE"""),65149.0)</f>
        <v>65149</v>
      </c>
      <c r="C280" s="763" t="str">
        <f>IFERROR(__xludf.DUMMYFUNCTION("""COMPUTED_VALUE"""),"2025-10-11 15:23:42")</f>
        <v>2025-10-11 15:23:42</v>
      </c>
      <c r="D280" s="763" t="str">
        <f>IFERROR(__xludf.DUMMYFUNCTION("""COMPUTED_VALUE"""),"completed")</f>
        <v>completed</v>
      </c>
      <c r="E280" s="763" t="str">
        <f>IFERROR(__xludf.DUMMYFUNCTION("""COMPUTED_VALUE"""),"Veronica")</f>
        <v>Veronica</v>
      </c>
      <c r="F280" s="763" t="str">
        <f>IFERROR(__xludf.DUMMYFUNCTION("""COMPUTED_VALUE"""),"Guzalian")</f>
        <v>Guzalian</v>
      </c>
      <c r="G280" s="763" t="str">
        <f>IFERROR(__xludf.DUMMYFUNCTION("""COMPUTED_VALUE"""),"veroshant@yahoo.com")</f>
        <v>veroshant@yahoo.com</v>
      </c>
      <c r="H280" s="763">
        <f>IFERROR(__xludf.DUMMYFUNCTION("""COMPUTED_VALUE"""),3.474849277E9)</f>
        <v>3474849277</v>
      </c>
      <c r="I280" s="763" t="str">
        <f>IFERROR(__xludf.DUMMYFUNCTION("""COMPUTED_VALUE"""),"Bergamo")</f>
        <v>Bergamo</v>
      </c>
      <c r="J280" s="763" t="str">
        <f>IFERROR(__xludf.DUMMYFUNCTION("""COMPUTED_VALUE"""),"Don carlo botta 11")</f>
        <v>Don carlo botta 11</v>
      </c>
      <c r="K280" s="763">
        <f>IFERROR(__xludf.DUMMYFUNCTION("""COMPUTED_VALUE"""),24122.0)</f>
        <v>24122</v>
      </c>
      <c r="L280" s="763" t="str">
        <f>IFERROR(__xludf.DUMMYFUNCTION("""COMPUTED_VALUE"""),"Apple Pay")</f>
        <v>Apple Pay</v>
      </c>
      <c r="M280" s="763" t="str">
        <f>IFERROR(__xludf.DUMMYFUNCTION("""COMPUTED_VALUE"""),"nura02ws")</f>
        <v>nura02ws</v>
      </c>
      <c r="N280" s="763" t="str">
        <f>IFERROR(__xludf.DUMMYFUNCTION("""COMPUTED_VALUE"""),"65149-1760196223")</f>
        <v>65149-1760196223</v>
      </c>
      <c r="O280" s="763">
        <f>IFERROR(__xludf.DUMMYFUNCTION("""COMPUTED_VALUE"""),0.0)</f>
        <v>0</v>
      </c>
      <c r="P280" s="767">
        <f>IFERROR(__xludf.DUMMYFUNCTION("""COMPUTED_VALUE"""),1.4583333333333333)</f>
        <v>1.458333333</v>
      </c>
      <c r="Q280" s="763" t="str">
        <f>IFERROR(__xludf.DUMMYFUNCTION("""COMPUTED_VALUE"""),"EUR")</f>
        <v>EUR</v>
      </c>
      <c r="R280" s="763">
        <f>IFERROR(__xludf.DUMMYFUNCTION("""COMPUTED_VALUE"""),690.0)</f>
        <v>690</v>
      </c>
      <c r="S280" s="763" t="str">
        <f>IFERROR(__xludf.DUMMYFUNCTION("""COMPUTED_VALUE"""),"Workshop Heels con Lulu Kulova - Workshop Lulu Heels")</f>
        <v>Workshop Heels con Lulu Kulova - Workshop Lulu Heels</v>
      </c>
      <c r="T280" s="763"/>
      <c r="U280" s="763"/>
      <c r="V280" s="763">
        <f>IFERROR(__xludf.DUMMYFUNCTION("""COMPUTED_VALUE"""),1.0)</f>
        <v>1</v>
      </c>
      <c r="W280" s="763">
        <f>IFERROR(__xludf.DUMMYFUNCTION("""COMPUTED_VALUE"""),35.0)</f>
        <v>35</v>
      </c>
      <c r="X280" s="763">
        <f>IFERROR(__xludf.DUMMYFUNCTION("""COMPUTED_VALUE"""),35.0)</f>
        <v>35</v>
      </c>
      <c r="Y280" s="763"/>
      <c r="Z280" s="768" t="str">
        <f>IFERROR(__xludf.DUMMYFUNCTION("""COMPUTED_VALUE"""),"https://studio-gem.it/wp-admin/post.php?post=65149&amp;action=edit")</f>
        <v>https://studio-gem.it/wp-admin/post.php?post=65149&amp;action=edit</v>
      </c>
      <c r="AA280" s="763"/>
      <c r="AB280" s="763"/>
      <c r="AC280" s="763"/>
      <c r="AD280" s="763"/>
      <c r="AE280" s="763"/>
      <c r="AF280" s="763"/>
      <c r="AG280" s="763"/>
      <c r="AH280" s="763"/>
      <c r="AI280" s="763"/>
      <c r="AJ280" s="763"/>
      <c r="AK280" s="763"/>
      <c r="AL280" s="763"/>
      <c r="AM280" s="763"/>
      <c r="AN280" s="763"/>
      <c r="AO280" s="763"/>
      <c r="AP280" s="763"/>
      <c r="AQ280" s="763"/>
      <c r="AR280" s="763"/>
      <c r="AS280" s="763"/>
      <c r="AT280" s="763"/>
      <c r="AU280" s="763"/>
      <c r="AV280" s="763"/>
      <c r="AW280" s="763"/>
      <c r="AX280" s="763"/>
      <c r="AY280" s="763"/>
      <c r="AZ280" s="763"/>
      <c r="BA280" s="763"/>
      <c r="BB280" s="763"/>
      <c r="BC280" s="763"/>
      <c r="BD280" s="763"/>
      <c r="BE280" s="763"/>
      <c r="BF280" s="763"/>
      <c r="BG280" s="763" t="b">
        <f>IFERROR(__xludf.DUMMYFUNCTION("""COMPUTED_VALUE"""),TRUE)</f>
        <v>1</v>
      </c>
      <c r="BH280" s="763" t="b">
        <f>IFERROR(__xludf.DUMMYFUNCTION("""COMPUTED_VALUE"""),TRUE)</f>
        <v>1</v>
      </c>
      <c r="BI280" s="763" t="b">
        <f>IFERROR(__xludf.DUMMYFUNCTION("""COMPUTED_VALUE"""),TRUE)</f>
        <v>1</v>
      </c>
      <c r="BJ280" s="763" t="b">
        <f>IFERROR(__xludf.DUMMYFUNCTION("""COMPUTED_VALUE"""),TRUE)</f>
        <v>1</v>
      </c>
    </row>
    <row r="281">
      <c r="A281" s="763">
        <f>IFERROR(__xludf.DUMMYFUNCTION("""COMPUTED_VALUE"""),65151.0)</f>
        <v>65151</v>
      </c>
      <c r="B281" s="763">
        <f>IFERROR(__xludf.DUMMYFUNCTION("""COMPUTED_VALUE"""),65151.0)</f>
        <v>65151</v>
      </c>
      <c r="C281" s="763" t="str">
        <f>IFERROR(__xludf.DUMMYFUNCTION("""COMPUTED_VALUE"""),"2025-10-11 15:32:33")</f>
        <v>2025-10-11 15:32:33</v>
      </c>
      <c r="D281" s="763" t="str">
        <f>IFERROR(__xludf.DUMMYFUNCTION("""COMPUTED_VALUE"""),"completed")</f>
        <v>completed</v>
      </c>
      <c r="E281" s="763" t="str">
        <f>IFERROR(__xludf.DUMMYFUNCTION("""COMPUTED_VALUE"""),"Rebecca")</f>
        <v>Rebecca</v>
      </c>
      <c r="F281" s="763" t="str">
        <f>IFERROR(__xludf.DUMMYFUNCTION("""COMPUTED_VALUE"""),"Muciaccia")</f>
        <v>Muciaccia</v>
      </c>
      <c r="G281" s="763" t="str">
        <f>IFERROR(__xludf.DUMMYFUNCTION("""COMPUTED_VALUE"""),"rebeccamuciaccia2096@gmail.com")</f>
        <v>rebeccamuciaccia2096@gmail.com</v>
      </c>
      <c r="H281" s="763">
        <f>IFERROR(__xludf.DUMMYFUNCTION("""COMPUTED_VALUE"""),3.475605123E9)</f>
        <v>3475605123</v>
      </c>
      <c r="I281" s="763" t="str">
        <f>IFERROR(__xludf.DUMMYFUNCTION("""COMPUTED_VALUE"""),"Milano")</f>
        <v>Milano</v>
      </c>
      <c r="J281" s="763" t="str">
        <f>IFERROR(__xludf.DUMMYFUNCTION("""COMPUTED_VALUE"""),"Via Gallura 7")</f>
        <v>Via Gallura 7</v>
      </c>
      <c r="K281" s="763">
        <f>IFERROR(__xludf.DUMMYFUNCTION("""COMPUTED_VALUE"""),20141.0)</f>
        <v>20141</v>
      </c>
      <c r="L281" s="763" t="str">
        <f>IFERROR(__xludf.DUMMYFUNCTION("""COMPUTED_VALUE"""),"Apple Pay")</f>
        <v>Apple Pay</v>
      </c>
      <c r="M281" s="763"/>
      <c r="N281" s="763" t="str">
        <f>IFERROR(__xludf.DUMMYFUNCTION("""COMPUTED_VALUE"""),"65151-1760196754")</f>
        <v>65151-1760196754</v>
      </c>
      <c r="O281" s="763">
        <f>IFERROR(__xludf.DUMMYFUNCTION("""COMPUTED_VALUE"""),0.0)</f>
        <v>0</v>
      </c>
      <c r="P281" s="767">
        <f>IFERROR(__xludf.DUMMYFUNCTION("""COMPUTED_VALUE"""),1.875)</f>
        <v>1.875</v>
      </c>
      <c r="Q281" s="763" t="str">
        <f>IFERROR(__xludf.DUMMYFUNCTION("""COMPUTED_VALUE"""),"EUR")</f>
        <v>EUR</v>
      </c>
      <c r="R281" s="763">
        <f>IFERROR(__xludf.DUMMYFUNCTION("""COMPUTED_VALUE"""),692.0)</f>
        <v>692</v>
      </c>
      <c r="S281" s="763" t="str">
        <f>IFERROR(__xludf.DUMMYFUNCTION("""COMPUTED_VALUE"""),"Workshop Commercial con Timor Steffens - Workshop Commercial con Timor Steffens")</f>
        <v>Workshop Commercial con Timor Steffens - Workshop Commercial con Timor Steffens</v>
      </c>
      <c r="T281" s="763"/>
      <c r="U281" s="763"/>
      <c r="V281" s="763">
        <f>IFERROR(__xludf.DUMMYFUNCTION("""COMPUTED_VALUE"""),1.0)</f>
        <v>1</v>
      </c>
      <c r="W281" s="763">
        <f>IFERROR(__xludf.DUMMYFUNCTION("""COMPUTED_VALUE"""),45.0)</f>
        <v>45</v>
      </c>
      <c r="X281" s="763">
        <f>IFERROR(__xludf.DUMMYFUNCTION("""COMPUTED_VALUE"""),45.0)</f>
        <v>45</v>
      </c>
      <c r="Y281" s="763"/>
      <c r="Z281" s="768" t="str">
        <f>IFERROR(__xludf.DUMMYFUNCTION("""COMPUTED_VALUE"""),"https://studio-gem.it/wp-admin/post.php?post=65151&amp;action=edit")</f>
        <v>https://studio-gem.it/wp-admin/post.php?post=65151&amp;action=edit</v>
      </c>
      <c r="AA281" s="763"/>
      <c r="AB281" s="763"/>
      <c r="AC281" s="763"/>
      <c r="AD281" s="763"/>
      <c r="AE281" s="763"/>
      <c r="AF281" s="763"/>
      <c r="AG281" s="763"/>
      <c r="AH281" s="763"/>
      <c r="AI281" s="763"/>
      <c r="AJ281" s="763"/>
      <c r="AK281" s="763"/>
      <c r="AL281" s="763"/>
      <c r="AM281" s="763"/>
      <c r="AN281" s="763"/>
      <c r="AO281" s="763"/>
      <c r="AP281" s="763"/>
      <c r="AQ281" s="763"/>
      <c r="AR281" s="763"/>
      <c r="AS281" s="763"/>
      <c r="AT281" s="763"/>
      <c r="AU281" s="763"/>
      <c r="AV281" s="763"/>
      <c r="AW281" s="763"/>
      <c r="AX281" s="763"/>
      <c r="AY281" s="763"/>
      <c r="AZ281" s="763"/>
      <c r="BA281" s="763"/>
      <c r="BB281" s="763"/>
      <c r="BC281" s="763"/>
      <c r="BD281" s="763"/>
      <c r="BE281" s="763"/>
      <c r="BF281" s="763"/>
      <c r="BG281" s="763" t="b">
        <f>IFERROR(__xludf.DUMMYFUNCTION("""COMPUTED_VALUE"""),TRUE)</f>
        <v>1</v>
      </c>
      <c r="BH281" s="763" t="b">
        <f>IFERROR(__xludf.DUMMYFUNCTION("""COMPUTED_VALUE"""),TRUE)</f>
        <v>1</v>
      </c>
      <c r="BI281" s="763" t="b">
        <f>IFERROR(__xludf.DUMMYFUNCTION("""COMPUTED_VALUE"""),TRUE)</f>
        <v>1</v>
      </c>
      <c r="BJ281" s="763" t="b">
        <f>IFERROR(__xludf.DUMMYFUNCTION("""COMPUTED_VALUE"""),TRUE)</f>
        <v>1</v>
      </c>
    </row>
    <row r="282">
      <c r="A282" s="763">
        <f>IFERROR(__xludf.DUMMYFUNCTION("""COMPUTED_VALUE"""),65153.0)</f>
        <v>65153</v>
      </c>
      <c r="B282" s="763">
        <f>IFERROR(__xludf.DUMMYFUNCTION("""COMPUTED_VALUE"""),65153.0)</f>
        <v>65153</v>
      </c>
      <c r="C282" s="763" t="str">
        <f>IFERROR(__xludf.DUMMYFUNCTION("""COMPUTED_VALUE"""),"2025-10-11 16:19:56")</f>
        <v>2025-10-11 16:19:56</v>
      </c>
      <c r="D282" s="763" t="str">
        <f>IFERROR(__xludf.DUMMYFUNCTION("""COMPUTED_VALUE"""),"pending")</f>
        <v>pending</v>
      </c>
      <c r="E282" s="763" t="str">
        <f>IFERROR(__xludf.DUMMYFUNCTION("""COMPUTED_VALUE"""),"Sara")</f>
        <v>Sara</v>
      </c>
      <c r="F282" s="763" t="str">
        <f>IFERROR(__xludf.DUMMYFUNCTION("""COMPUTED_VALUE"""),"Colucci")</f>
        <v>Colucci</v>
      </c>
      <c r="G282" s="763" t="str">
        <f>IFERROR(__xludf.DUMMYFUNCTION("""COMPUTED_VALUE"""),"saracolucci181208@gmail.com")</f>
        <v>saracolucci181208@gmail.com</v>
      </c>
      <c r="H282" s="763">
        <f>IFERROR(__xludf.DUMMYFUNCTION("""COMPUTED_VALUE"""),3.490884018E9)</f>
        <v>3490884018</v>
      </c>
      <c r="I282" s="763" t="str">
        <f>IFERROR(__xludf.DUMMYFUNCTION("""COMPUTED_VALUE"""),"Lavena Ponte Tresa")</f>
        <v>Lavena Ponte Tresa</v>
      </c>
      <c r="J282" s="763" t="str">
        <f>IFERROR(__xludf.DUMMYFUNCTION("""COMPUTED_VALUE"""),"via nolina 8/A")</f>
        <v>via nolina 8/A</v>
      </c>
      <c r="K282" s="763">
        <f>IFERROR(__xludf.DUMMYFUNCTION("""COMPUTED_VALUE"""),21037.0)</f>
        <v>21037</v>
      </c>
      <c r="L282" s="763" t="str">
        <f>IFERROR(__xludf.DUMMYFUNCTION("""COMPUTED_VALUE"""),"Carte di pagamento")</f>
        <v>Carte di pagamento</v>
      </c>
      <c r="M282" s="763"/>
      <c r="N282" s="763"/>
      <c r="O282" s="763">
        <f>IFERROR(__xludf.DUMMYFUNCTION("""COMPUTED_VALUE"""),0.0)</f>
        <v>0</v>
      </c>
      <c r="P282" s="767">
        <f>IFERROR(__xludf.DUMMYFUNCTION("""COMPUTED_VALUE"""),1.5416666666666667)</f>
        <v>1.541666667</v>
      </c>
      <c r="Q282" s="763" t="str">
        <f>IFERROR(__xludf.DUMMYFUNCTION("""COMPUTED_VALUE"""),"EUR")</f>
        <v>EUR</v>
      </c>
      <c r="R282" s="763">
        <f>IFERROR(__xludf.DUMMYFUNCTION("""COMPUTED_VALUE"""),693.0)</f>
        <v>693</v>
      </c>
      <c r="S282" s="763" t="str">
        <f>IFERROR(__xludf.DUMMYFUNCTION("""COMPUTED_VALUE"""),"Workshop Afrofusion con Banana 2025 - Workshop Banana afrofusion")</f>
        <v>Workshop Afrofusion con Banana 2025 - Workshop Banana afrofusion</v>
      </c>
      <c r="T282" s="763"/>
      <c r="U282" s="763"/>
      <c r="V282" s="763">
        <f>IFERROR(__xludf.DUMMYFUNCTION("""COMPUTED_VALUE"""),1.0)</f>
        <v>1</v>
      </c>
      <c r="W282" s="763">
        <f>IFERROR(__xludf.DUMMYFUNCTION("""COMPUTED_VALUE"""),37.0)</f>
        <v>37</v>
      </c>
      <c r="X282" s="763">
        <f>IFERROR(__xludf.DUMMYFUNCTION("""COMPUTED_VALUE"""),37.0)</f>
        <v>37</v>
      </c>
      <c r="Y282" s="763"/>
      <c r="Z282" s="768" t="str">
        <f>IFERROR(__xludf.DUMMYFUNCTION("""COMPUTED_VALUE"""),"https://studio-gem.it/wp-admin/post.php?post=65153&amp;action=edit")</f>
        <v>https://studio-gem.it/wp-admin/post.php?post=65153&amp;action=edit</v>
      </c>
      <c r="AA282" s="763"/>
      <c r="AB282" s="763"/>
      <c r="AC282" s="763"/>
      <c r="AD282" s="763"/>
      <c r="AE282" s="763"/>
      <c r="AF282" s="763"/>
      <c r="AG282" s="763"/>
      <c r="AH282" s="763"/>
      <c r="AI282" s="763"/>
      <c r="AJ282" s="763"/>
      <c r="AK282" s="763"/>
      <c r="AL282" s="763"/>
      <c r="AM282" s="763"/>
      <c r="AN282" s="763"/>
      <c r="AO282" s="763"/>
      <c r="AP282" s="763"/>
      <c r="AQ282" s="763"/>
      <c r="AR282" s="763"/>
      <c r="AS282" s="763"/>
      <c r="AT282" s="763"/>
      <c r="AU282" s="763"/>
      <c r="AV282" s="763"/>
      <c r="AW282" s="763"/>
      <c r="AX282" s="763"/>
      <c r="AY282" s="763"/>
      <c r="AZ282" s="763"/>
      <c r="BA282" s="763"/>
      <c r="BB282" s="763"/>
      <c r="BC282" s="763"/>
      <c r="BD282" s="763"/>
      <c r="BE282" s="763"/>
      <c r="BF282" s="763"/>
      <c r="BG282" s="763" t="b">
        <f>IFERROR(__xludf.DUMMYFUNCTION("""COMPUTED_VALUE"""),FALSE)</f>
        <v>0</v>
      </c>
      <c r="BH282" s="763" t="b">
        <f>IFERROR(__xludf.DUMMYFUNCTION("""COMPUTED_VALUE"""),FALSE)</f>
        <v>0</v>
      </c>
      <c r="BI282" s="763" t="b">
        <f>IFERROR(__xludf.DUMMYFUNCTION("""COMPUTED_VALUE"""),FALSE)</f>
        <v>0</v>
      </c>
      <c r="BJ282" s="763" t="b">
        <f>IFERROR(__xludf.DUMMYFUNCTION("""COMPUTED_VALUE"""),FALSE)</f>
        <v>0</v>
      </c>
    </row>
    <row r="283">
      <c r="A283" s="763">
        <f>IFERROR(__xludf.DUMMYFUNCTION("""COMPUTED_VALUE"""),65154.0)</f>
        <v>65154</v>
      </c>
      <c r="B283" s="763">
        <f>IFERROR(__xludf.DUMMYFUNCTION("""COMPUTED_VALUE"""),65154.0)</f>
        <v>65154</v>
      </c>
      <c r="C283" s="763" t="str">
        <f>IFERROR(__xludf.DUMMYFUNCTION("""COMPUTED_VALUE"""),"2025-10-11 17:53:26")</f>
        <v>2025-10-11 17:53:26</v>
      </c>
      <c r="D283" s="763" t="str">
        <f>IFERROR(__xludf.DUMMYFUNCTION("""COMPUTED_VALUE"""),"processing")</f>
        <v>processing</v>
      </c>
      <c r="E283" s="763" t="str">
        <f>IFERROR(__xludf.DUMMYFUNCTION("""COMPUTED_VALUE"""),"Sara")</f>
        <v>Sara</v>
      </c>
      <c r="F283" s="763" t="str">
        <f>IFERROR(__xludf.DUMMYFUNCTION("""COMPUTED_VALUE"""),"Colucci")</f>
        <v>Colucci</v>
      </c>
      <c r="G283" s="763" t="str">
        <f>IFERROR(__xludf.DUMMYFUNCTION("""COMPUTED_VALUE"""),"chiaraac@hotmail.it")</f>
        <v>chiaraac@hotmail.it</v>
      </c>
      <c r="H283" s="763">
        <f>IFERROR(__xludf.DUMMYFUNCTION("""COMPUTED_VALUE"""),3.339639833E9)</f>
        <v>3339639833</v>
      </c>
      <c r="I283" s="763" t="str">
        <f>IFERROR(__xludf.DUMMYFUNCTION("""COMPUTED_VALUE"""),"lavena ponte tresa")</f>
        <v>lavena ponte tresa</v>
      </c>
      <c r="J283" s="763" t="str">
        <f>IFERROR(__xludf.DUMMYFUNCTION("""COMPUTED_VALUE"""),"Nolina 8a")</f>
        <v>Nolina 8a</v>
      </c>
      <c r="K283" s="763">
        <f>IFERROR(__xludf.DUMMYFUNCTION("""COMPUTED_VALUE"""),21037.0)</f>
        <v>21037</v>
      </c>
      <c r="L283" s="763" t="str">
        <f>IFERROR(__xludf.DUMMYFUNCTION("""COMPUTED_VALUE"""),"Carte di pagamento")</f>
        <v>Carte di pagamento</v>
      </c>
      <c r="M283" s="763"/>
      <c r="N283" s="763" t="str">
        <f>IFERROR(__xludf.DUMMYFUNCTION("""COMPUTED_VALUE"""),"65154-1760205208")</f>
        <v>65154-1760205208</v>
      </c>
      <c r="O283" s="763">
        <f>IFERROR(__xludf.DUMMYFUNCTION("""COMPUTED_VALUE"""),0.0)</f>
        <v>0</v>
      </c>
      <c r="P283" s="767">
        <f>IFERROR(__xludf.DUMMYFUNCTION("""COMPUTED_VALUE"""),1.5416666666666667)</f>
        <v>1.541666667</v>
      </c>
      <c r="Q283" s="763" t="str">
        <f>IFERROR(__xludf.DUMMYFUNCTION("""COMPUTED_VALUE"""),"EUR")</f>
        <v>EUR</v>
      </c>
      <c r="R283" s="763">
        <f>IFERROR(__xludf.DUMMYFUNCTION("""COMPUTED_VALUE"""),694.0)</f>
        <v>694</v>
      </c>
      <c r="S283" s="763" t="str">
        <f>IFERROR(__xludf.DUMMYFUNCTION("""COMPUTED_VALUE"""),"Workshop Afrofusion con Banana 2025 - Workshop Banana afrofusion")</f>
        <v>Workshop Afrofusion con Banana 2025 - Workshop Banana afrofusion</v>
      </c>
      <c r="T283" s="763"/>
      <c r="U283" s="763"/>
      <c r="V283" s="763">
        <f>IFERROR(__xludf.DUMMYFUNCTION("""COMPUTED_VALUE"""),1.0)</f>
        <v>1</v>
      </c>
      <c r="W283" s="763">
        <f>IFERROR(__xludf.DUMMYFUNCTION("""COMPUTED_VALUE"""),37.0)</f>
        <v>37</v>
      </c>
      <c r="X283" s="763">
        <f>IFERROR(__xludf.DUMMYFUNCTION("""COMPUTED_VALUE"""),37.0)</f>
        <v>37</v>
      </c>
      <c r="Y283" s="763"/>
      <c r="Z283" s="768" t="str">
        <f>IFERROR(__xludf.DUMMYFUNCTION("""COMPUTED_VALUE"""),"https://studio-gem.it/wp-admin/post.php?post=65154&amp;action=edit")</f>
        <v>https://studio-gem.it/wp-admin/post.php?post=65154&amp;action=edit</v>
      </c>
      <c r="AA283" s="763"/>
      <c r="AB283" s="763"/>
      <c r="AC283" s="763"/>
      <c r="AD283" s="763"/>
      <c r="AE283" s="763"/>
      <c r="AF283" s="763"/>
      <c r="AG283" s="763"/>
      <c r="AH283" s="763"/>
      <c r="AI283" s="763"/>
      <c r="AJ283" s="763"/>
      <c r="AK283" s="763"/>
      <c r="AL283" s="763"/>
      <c r="AM283" s="763"/>
      <c r="AN283" s="763"/>
      <c r="AO283" s="763"/>
      <c r="AP283" s="763"/>
      <c r="AQ283" s="763"/>
      <c r="AR283" s="763"/>
      <c r="AS283" s="763"/>
      <c r="AT283" s="763"/>
      <c r="AU283" s="763"/>
      <c r="AV283" s="763"/>
      <c r="AW283" s="763"/>
      <c r="AX283" s="763"/>
      <c r="AY283" s="763"/>
      <c r="AZ283" s="763"/>
      <c r="BA283" s="763"/>
      <c r="BB283" s="763"/>
      <c r="BC283" s="763"/>
      <c r="BD283" s="763"/>
      <c r="BE283" s="763"/>
      <c r="BF283" s="763"/>
      <c r="BG283" s="763" t="b">
        <f>IFERROR(__xludf.DUMMYFUNCTION("""COMPUTED_VALUE"""),TRUE)</f>
        <v>1</v>
      </c>
      <c r="BH283" s="763" t="b">
        <f>IFERROR(__xludf.DUMMYFUNCTION("""COMPUTED_VALUE"""),TRUE)</f>
        <v>1</v>
      </c>
      <c r="BI283" s="763" t="b">
        <f>IFERROR(__xludf.DUMMYFUNCTION("""COMPUTED_VALUE"""),TRUE)</f>
        <v>1</v>
      </c>
      <c r="BJ283" s="763" t="b">
        <f>IFERROR(__xludf.DUMMYFUNCTION("""COMPUTED_VALUE"""),TRUE)</f>
        <v>1</v>
      </c>
    </row>
    <row r="284">
      <c r="A284" s="763">
        <f>IFERROR(__xludf.DUMMYFUNCTION("""COMPUTED_VALUE"""),65156.0)</f>
        <v>65156</v>
      </c>
      <c r="B284" s="763">
        <f>IFERROR(__xludf.DUMMYFUNCTION("""COMPUTED_VALUE"""),65156.0)</f>
        <v>65156</v>
      </c>
      <c r="C284" s="763" t="str">
        <f>IFERROR(__xludf.DUMMYFUNCTION("""COMPUTED_VALUE"""),"2025-10-11 20:30:10")</f>
        <v>2025-10-11 20:30:10</v>
      </c>
      <c r="D284" s="763" t="str">
        <f>IFERROR(__xludf.DUMMYFUNCTION("""COMPUTED_VALUE"""),"completed")</f>
        <v>completed</v>
      </c>
      <c r="E284" s="763" t="str">
        <f>IFERROR(__xludf.DUMMYFUNCTION("""COMPUTED_VALUE"""),"Cristina")</f>
        <v>Cristina</v>
      </c>
      <c r="F284" s="763" t="str">
        <f>IFERROR(__xludf.DUMMYFUNCTION("""COMPUTED_VALUE"""),"Bazzaro")</f>
        <v>Bazzaro</v>
      </c>
      <c r="G284" s="763" t="str">
        <f>IFERROR(__xludf.DUMMYFUNCTION("""COMPUTED_VALUE"""),"Cribazar@yahoo.com")</f>
        <v>Cribazar@yahoo.com</v>
      </c>
      <c r="H284" s="763">
        <f>IFERROR(__xludf.DUMMYFUNCTION("""COMPUTED_VALUE"""),3.346236628E9)</f>
        <v>3346236628</v>
      </c>
      <c r="I284" s="763" t="str">
        <f>IFERROR(__xludf.DUMMYFUNCTION("""COMPUTED_VALUE"""),"Milano")</f>
        <v>Milano</v>
      </c>
      <c r="J284" s="763" t="str">
        <f>IFERROR(__xludf.DUMMYFUNCTION("""COMPUTED_VALUE"""),"Piazza del Rosario")</f>
        <v>Piazza del Rosario</v>
      </c>
      <c r="K284" s="763">
        <f>IFERROR(__xludf.DUMMYFUNCTION("""COMPUTED_VALUE"""),20144.0)</f>
        <v>20144</v>
      </c>
      <c r="L284" s="763"/>
      <c r="M284" s="763"/>
      <c r="N284" s="763"/>
      <c r="O284" s="763">
        <f>IFERROR(__xludf.DUMMYFUNCTION("""COMPUTED_VALUE"""),0.0)</f>
        <v>0</v>
      </c>
      <c r="P284" s="767">
        <f>IFERROR(__xludf.DUMMYFUNCTION("""COMPUTED_VALUE"""),0.0)</f>
        <v>0</v>
      </c>
      <c r="Q284" s="763" t="str">
        <f>IFERROR(__xludf.DUMMYFUNCTION("""COMPUTED_VALUE"""),"EUR")</f>
        <v>EUR</v>
      </c>
      <c r="R284" s="763">
        <f>IFERROR(__xludf.DUMMYFUNCTION("""COMPUTED_VALUE"""),695.0)</f>
        <v>695</v>
      </c>
      <c r="S284" s="763" t="str">
        <f>IFERROR(__xludf.DUMMYFUNCTION("""COMPUTED_VALUE"""),"Domeniche in movimento - Gratuito per open fitness e open mattino 1 lezione dalle 10 alle 11.50")</f>
        <v>Domeniche in movimento - Gratuito per open fitness e open mattino 1 lezione dalle 10 alle 11.50</v>
      </c>
      <c r="T284" s="763"/>
      <c r="U284" s="763"/>
      <c r="V284" s="763">
        <f>IFERROR(__xludf.DUMMYFUNCTION("""COMPUTED_VALUE"""),1.0)</f>
        <v>1</v>
      </c>
      <c r="W284" s="763">
        <f>IFERROR(__xludf.DUMMYFUNCTION("""COMPUTED_VALUE"""),0.0)</f>
        <v>0</v>
      </c>
      <c r="X284" s="763">
        <f>IFERROR(__xludf.DUMMYFUNCTION("""COMPUTED_VALUE"""),0.0)</f>
        <v>0</v>
      </c>
      <c r="Y284" s="763"/>
      <c r="Z284" s="768" t="str">
        <f>IFERROR(__xludf.DUMMYFUNCTION("""COMPUTED_VALUE"""),"https://studio-gem.it/wp-admin/post.php?post=65156&amp;action=edit")</f>
        <v>https://studio-gem.it/wp-admin/post.php?post=65156&amp;action=edit</v>
      </c>
      <c r="AA284" s="763"/>
      <c r="AB284" s="763"/>
      <c r="AC284" s="763"/>
      <c r="AD284" s="763"/>
      <c r="AE284" s="763"/>
      <c r="AF284" s="763"/>
      <c r="AG284" s="763"/>
      <c r="AH284" s="763"/>
      <c r="AI284" s="763"/>
      <c r="AJ284" s="763"/>
      <c r="AK284" s="763"/>
      <c r="AL284" s="763"/>
      <c r="AM284" s="763"/>
      <c r="AN284" s="763"/>
      <c r="AO284" s="763"/>
      <c r="AP284" s="763"/>
      <c r="AQ284" s="763"/>
      <c r="AR284" s="763"/>
      <c r="AS284" s="763"/>
      <c r="AT284" s="763"/>
      <c r="AU284" s="763"/>
      <c r="AV284" s="763"/>
      <c r="AW284" s="763"/>
      <c r="AX284" s="763"/>
      <c r="AY284" s="763"/>
      <c r="AZ284" s="763"/>
      <c r="BA284" s="763"/>
      <c r="BB284" s="763"/>
      <c r="BC284" s="763"/>
      <c r="BD284" s="763"/>
      <c r="BE284" s="763"/>
      <c r="BF284" s="763"/>
      <c r="BG284" s="763" t="b">
        <f>IFERROR(__xludf.DUMMYFUNCTION("""COMPUTED_VALUE"""),FALSE)</f>
        <v>0</v>
      </c>
      <c r="BH284" s="763" t="b">
        <f>IFERROR(__xludf.DUMMYFUNCTION("""COMPUTED_VALUE"""),FALSE)</f>
        <v>0</v>
      </c>
      <c r="BI284" s="763" t="b">
        <f>IFERROR(__xludf.DUMMYFUNCTION("""COMPUTED_VALUE"""),TRUE)</f>
        <v>1</v>
      </c>
      <c r="BJ284" s="763" t="b">
        <f>IFERROR(__xludf.DUMMYFUNCTION("""COMPUTED_VALUE"""),FALSE)</f>
        <v>0</v>
      </c>
    </row>
    <row r="285">
      <c r="A285" s="763">
        <f>IFERROR(__xludf.DUMMYFUNCTION("""COMPUTED_VALUE"""),65158.0)</f>
        <v>65158</v>
      </c>
      <c r="B285" s="763">
        <f>IFERROR(__xludf.DUMMYFUNCTION("""COMPUTED_VALUE"""),65158.0)</f>
        <v>65158</v>
      </c>
      <c r="C285" s="763" t="str">
        <f>IFERROR(__xludf.DUMMYFUNCTION("""COMPUTED_VALUE"""),"2025-10-11 20:33:18")</f>
        <v>2025-10-11 20:33:18</v>
      </c>
      <c r="D285" s="763" t="str">
        <f>IFERROR(__xludf.DUMMYFUNCTION("""COMPUTED_VALUE"""),"completed")</f>
        <v>completed</v>
      </c>
      <c r="E285" s="763" t="str">
        <f>IFERROR(__xludf.DUMMYFUNCTION("""COMPUTED_VALUE"""),"Luigi")</f>
        <v>Luigi</v>
      </c>
      <c r="F285" s="763" t="str">
        <f>IFERROR(__xludf.DUMMYFUNCTION("""COMPUTED_VALUE"""),"Neri")</f>
        <v>Neri</v>
      </c>
      <c r="G285" s="763" t="str">
        <f>IFERROR(__xludf.DUMMYFUNCTION("""COMPUTED_VALUE"""),"luigi.neri.67@gmail.com")</f>
        <v>luigi.neri.67@gmail.com</v>
      </c>
      <c r="H285" s="763">
        <f>IFERROR(__xludf.DUMMYFUNCTION("""COMPUTED_VALUE"""),3.358072949E9)</f>
        <v>3358072949</v>
      </c>
      <c r="I285" s="763" t="str">
        <f>IFERROR(__xludf.DUMMYFUNCTION("""COMPUTED_VALUE"""),"Milano")</f>
        <v>Milano</v>
      </c>
      <c r="J285" s="763" t="str">
        <f>IFERROR(__xludf.DUMMYFUNCTION("""COMPUTED_VALUE"""),"Piazza del Rosario")</f>
        <v>Piazza del Rosario</v>
      </c>
      <c r="K285" s="763">
        <f>IFERROR(__xludf.DUMMYFUNCTION("""COMPUTED_VALUE"""),20144.0)</f>
        <v>20144</v>
      </c>
      <c r="L285" s="763"/>
      <c r="M285" s="763"/>
      <c r="N285" s="763"/>
      <c r="O285" s="763">
        <f>IFERROR(__xludf.DUMMYFUNCTION("""COMPUTED_VALUE"""),0.0)</f>
        <v>0</v>
      </c>
      <c r="P285" s="767">
        <f>IFERROR(__xludf.DUMMYFUNCTION("""COMPUTED_VALUE"""),0.0)</f>
        <v>0</v>
      </c>
      <c r="Q285" s="763" t="str">
        <f>IFERROR(__xludf.DUMMYFUNCTION("""COMPUTED_VALUE"""),"EUR")</f>
        <v>EUR</v>
      </c>
      <c r="R285" s="763">
        <f>IFERROR(__xludf.DUMMYFUNCTION("""COMPUTED_VALUE"""),696.0)</f>
        <v>696</v>
      </c>
      <c r="S285" s="763" t="str">
        <f>IFERROR(__xludf.DUMMYFUNCTION("""COMPUTED_VALUE"""),"Domeniche in movimento - Gratuito per open fitness e open mattino 1 lezione dalle 10 alle 11.50")</f>
        <v>Domeniche in movimento - Gratuito per open fitness e open mattino 1 lezione dalle 10 alle 11.50</v>
      </c>
      <c r="T285" s="763"/>
      <c r="U285" s="763"/>
      <c r="V285" s="763">
        <f>IFERROR(__xludf.DUMMYFUNCTION("""COMPUTED_VALUE"""),1.0)</f>
        <v>1</v>
      </c>
      <c r="W285" s="763">
        <f>IFERROR(__xludf.DUMMYFUNCTION("""COMPUTED_VALUE"""),0.0)</f>
        <v>0</v>
      </c>
      <c r="X285" s="763">
        <f>IFERROR(__xludf.DUMMYFUNCTION("""COMPUTED_VALUE"""),0.0)</f>
        <v>0</v>
      </c>
      <c r="Y285" s="763"/>
      <c r="Z285" s="768" t="str">
        <f>IFERROR(__xludf.DUMMYFUNCTION("""COMPUTED_VALUE"""),"https://studio-gem.it/wp-admin/post.php?post=65158&amp;action=edit")</f>
        <v>https://studio-gem.it/wp-admin/post.php?post=65158&amp;action=edit</v>
      </c>
      <c r="AA285" s="763"/>
      <c r="AB285" s="763"/>
      <c r="AC285" s="763"/>
      <c r="AD285" s="763"/>
      <c r="AE285" s="763"/>
      <c r="AF285" s="763"/>
      <c r="AG285" s="763"/>
      <c r="AH285" s="763"/>
      <c r="AI285" s="763"/>
      <c r="AJ285" s="763"/>
      <c r="AK285" s="763"/>
      <c r="AL285" s="763"/>
      <c r="AM285" s="763"/>
      <c r="AN285" s="763"/>
      <c r="AO285" s="763"/>
      <c r="AP285" s="763"/>
      <c r="AQ285" s="763"/>
      <c r="AR285" s="763"/>
      <c r="AS285" s="763"/>
      <c r="AT285" s="763"/>
      <c r="AU285" s="763"/>
      <c r="AV285" s="763"/>
      <c r="AW285" s="763"/>
      <c r="AX285" s="763"/>
      <c r="AY285" s="763"/>
      <c r="AZ285" s="763"/>
      <c r="BA285" s="763"/>
      <c r="BB285" s="763"/>
      <c r="BC285" s="763"/>
      <c r="BD285" s="763"/>
      <c r="BE285" s="763"/>
      <c r="BF285" s="763"/>
      <c r="BG285" s="763" t="b">
        <f>IFERROR(__xludf.DUMMYFUNCTION("""COMPUTED_VALUE"""),FALSE)</f>
        <v>0</v>
      </c>
      <c r="BH285" s="763" t="b">
        <f>IFERROR(__xludf.DUMMYFUNCTION("""COMPUTED_VALUE"""),FALSE)</f>
        <v>0</v>
      </c>
      <c r="BI285" s="763" t="b">
        <f>IFERROR(__xludf.DUMMYFUNCTION("""COMPUTED_VALUE"""),TRUE)</f>
        <v>1</v>
      </c>
      <c r="BJ285" s="763" t="b">
        <f>IFERROR(__xludf.DUMMYFUNCTION("""COMPUTED_VALUE"""),FALSE)</f>
        <v>0</v>
      </c>
    </row>
    <row r="286">
      <c r="A286" s="763">
        <f>IFERROR(__xludf.DUMMYFUNCTION("""COMPUTED_VALUE"""),65160.0)</f>
        <v>65160</v>
      </c>
      <c r="B286" s="763">
        <f>IFERROR(__xludf.DUMMYFUNCTION("""COMPUTED_VALUE"""),65160.0)</f>
        <v>65160</v>
      </c>
      <c r="C286" s="763" t="str">
        <f>IFERROR(__xludf.DUMMYFUNCTION("""COMPUTED_VALUE"""),"2025-10-12 13:51:53")</f>
        <v>2025-10-12 13:51:53</v>
      </c>
      <c r="D286" s="763" t="str">
        <f>IFERROR(__xludf.DUMMYFUNCTION("""COMPUTED_VALUE"""),"completed")</f>
        <v>completed</v>
      </c>
      <c r="E286" s="763" t="str">
        <f>IFERROR(__xludf.DUMMYFUNCTION("""COMPUTED_VALUE"""),"Nazyma")</f>
        <v>Nazyma</v>
      </c>
      <c r="F286" s="763" t="str">
        <f>IFERROR(__xludf.DUMMYFUNCTION("""COMPUTED_VALUE"""),"Zhambyl")</f>
        <v>Zhambyl</v>
      </c>
      <c r="G286" s="763" t="str">
        <f>IFERROR(__xludf.DUMMYFUNCTION("""COMPUTED_VALUE"""),"nazyma1207@gmail.com")</f>
        <v>nazyma1207@gmail.com</v>
      </c>
      <c r="H286" s="763" t="str">
        <f>IFERROR(__xludf.DUMMYFUNCTION("""COMPUTED_VALUE"""),"+77780005673")</f>
        <v>+77780005673</v>
      </c>
      <c r="I286" s="763" t="str">
        <f>IFERROR(__xludf.DUMMYFUNCTION("""COMPUTED_VALUE"""),"Milano")</f>
        <v>Milano</v>
      </c>
      <c r="J286" s="763" t="str">
        <f>IFERROR(__xludf.DUMMYFUNCTION("""COMPUTED_VALUE"""),"+77780005673")</f>
        <v>+77780005673</v>
      </c>
      <c r="K286" s="763">
        <f>IFERROR(__xludf.DUMMYFUNCTION("""COMPUTED_VALUE"""),20100.0)</f>
        <v>20100</v>
      </c>
      <c r="L286" s="763" t="str">
        <f>IFERROR(__xludf.DUMMYFUNCTION("""COMPUTED_VALUE"""),"Apple Pay")</f>
        <v>Apple Pay</v>
      </c>
      <c r="M286" s="763"/>
      <c r="N286" s="763" t="str">
        <f>IFERROR(__xludf.DUMMYFUNCTION("""COMPUTED_VALUE"""),"65160-1760277115")</f>
        <v>65160-1760277115</v>
      </c>
      <c r="O286" s="763">
        <f>IFERROR(__xludf.DUMMYFUNCTION("""COMPUTED_VALUE"""),0.0)</f>
        <v>0</v>
      </c>
      <c r="P286" s="767">
        <f>IFERROR(__xludf.DUMMYFUNCTION("""COMPUTED_VALUE"""),1.5416666666666667)</f>
        <v>1.541666667</v>
      </c>
      <c r="Q286" s="763" t="str">
        <f>IFERROR(__xludf.DUMMYFUNCTION("""COMPUTED_VALUE"""),"EUR")</f>
        <v>EUR</v>
      </c>
      <c r="R286" s="763">
        <f>IFERROR(__xludf.DUMMYFUNCTION("""COMPUTED_VALUE"""),697.0)</f>
        <v>697</v>
      </c>
      <c r="S286" s="763" t="str">
        <f>IFERROR(__xludf.DUMMYFUNCTION("""COMPUTED_VALUE"""),"Workshop Heels con Lulu Kulova - Workshop Lulu Heels")</f>
        <v>Workshop Heels con Lulu Kulova - Workshop Lulu Heels</v>
      </c>
      <c r="T286" s="763"/>
      <c r="U286" s="763"/>
      <c r="V286" s="763">
        <f>IFERROR(__xludf.DUMMYFUNCTION("""COMPUTED_VALUE"""),1.0)</f>
        <v>1</v>
      </c>
      <c r="W286" s="763">
        <f>IFERROR(__xludf.DUMMYFUNCTION("""COMPUTED_VALUE"""),37.0)</f>
        <v>37</v>
      </c>
      <c r="X286" s="763">
        <f>IFERROR(__xludf.DUMMYFUNCTION("""COMPUTED_VALUE"""),37.0)</f>
        <v>37</v>
      </c>
      <c r="Y286" s="763"/>
      <c r="Z286" s="768" t="str">
        <f>IFERROR(__xludf.DUMMYFUNCTION("""COMPUTED_VALUE"""),"https://studio-gem.it/wp-admin/post.php?post=65160&amp;action=edit")</f>
        <v>https://studio-gem.it/wp-admin/post.php?post=65160&amp;action=edit</v>
      </c>
      <c r="AA286" s="763"/>
      <c r="AB286" s="763"/>
      <c r="AC286" s="763"/>
      <c r="AD286" s="763"/>
      <c r="AE286" s="763"/>
      <c r="AF286" s="763"/>
      <c r="AG286" s="763"/>
      <c r="AH286" s="763"/>
      <c r="AI286" s="763"/>
      <c r="AJ286" s="763"/>
      <c r="AK286" s="763"/>
      <c r="AL286" s="763"/>
      <c r="AM286" s="763"/>
      <c r="AN286" s="763"/>
      <c r="AO286" s="763"/>
      <c r="AP286" s="763"/>
      <c r="AQ286" s="763"/>
      <c r="AR286" s="763"/>
      <c r="AS286" s="763"/>
      <c r="AT286" s="763"/>
      <c r="AU286" s="763"/>
      <c r="AV286" s="763"/>
      <c r="AW286" s="763"/>
      <c r="AX286" s="763"/>
      <c r="AY286" s="763"/>
      <c r="AZ286" s="763"/>
      <c r="BA286" s="763"/>
      <c r="BB286" s="763"/>
      <c r="BC286" s="763"/>
      <c r="BD286" s="763"/>
      <c r="BE286" s="763"/>
      <c r="BF286" s="763"/>
      <c r="BG286" s="763" t="b">
        <f>IFERROR(__xludf.DUMMYFUNCTION("""COMPUTED_VALUE"""),TRUE)</f>
        <v>1</v>
      </c>
      <c r="BH286" s="763" t="b">
        <f>IFERROR(__xludf.DUMMYFUNCTION("""COMPUTED_VALUE"""),TRUE)</f>
        <v>1</v>
      </c>
      <c r="BI286" s="763" t="b">
        <f>IFERROR(__xludf.DUMMYFUNCTION("""COMPUTED_VALUE"""),TRUE)</f>
        <v>1</v>
      </c>
      <c r="BJ286" s="763" t="b">
        <f>IFERROR(__xludf.DUMMYFUNCTION("""COMPUTED_VALUE"""),TRUE)</f>
        <v>1</v>
      </c>
    </row>
    <row r="287">
      <c r="A287" s="763">
        <f>IFERROR(__xludf.DUMMYFUNCTION("""COMPUTED_VALUE"""),65162.0)</f>
        <v>65162</v>
      </c>
      <c r="B287" s="763">
        <f>IFERROR(__xludf.DUMMYFUNCTION("""COMPUTED_VALUE"""),65162.0)</f>
        <v>65162</v>
      </c>
      <c r="C287" s="763" t="str">
        <f>IFERROR(__xludf.DUMMYFUNCTION("""COMPUTED_VALUE"""),"2025-10-12 14:28:40")</f>
        <v>2025-10-12 14:28:40</v>
      </c>
      <c r="D287" s="763" t="str">
        <f>IFERROR(__xludf.DUMMYFUNCTION("""COMPUTED_VALUE"""),"processing")</f>
        <v>processing</v>
      </c>
      <c r="E287" s="763" t="str">
        <f>IFERROR(__xludf.DUMMYFUNCTION("""COMPUTED_VALUE"""),"Lara")</f>
        <v>Lara</v>
      </c>
      <c r="F287" s="763" t="str">
        <f>IFERROR(__xludf.DUMMYFUNCTION("""COMPUTED_VALUE"""),"Manno")</f>
        <v>Manno</v>
      </c>
      <c r="G287" s="763" t="str">
        <f>IFERROR(__xludf.DUMMYFUNCTION("""COMPUTED_VALUE"""),"Lara.manno@libero.it")</f>
        <v>Lara.manno@libero.it</v>
      </c>
      <c r="H287" s="763">
        <f>IFERROR(__xludf.DUMMYFUNCTION("""COMPUTED_VALUE"""),3.358290614E9)</f>
        <v>3358290614</v>
      </c>
      <c r="I287" s="763" t="str">
        <f>IFERROR(__xludf.DUMMYFUNCTION("""COMPUTED_VALUE"""),"Pinerolo")</f>
        <v>Pinerolo</v>
      </c>
      <c r="J287" s="763" t="str">
        <f>IFERROR(__xludf.DUMMYFUNCTION("""COMPUTED_VALUE"""),"Einaudi 79")</f>
        <v>Einaudi 79</v>
      </c>
      <c r="K287" s="763">
        <f>IFERROR(__xludf.DUMMYFUNCTION("""COMPUTED_VALUE"""),10064.0)</f>
        <v>10064</v>
      </c>
      <c r="L287" s="763" t="str">
        <f>IFERROR(__xludf.DUMMYFUNCTION("""COMPUTED_VALUE"""),"Carte di pagamento")</f>
        <v>Carte di pagamento</v>
      </c>
      <c r="M287" s="763"/>
      <c r="N287" s="763" t="str">
        <f>IFERROR(__xludf.DUMMYFUNCTION("""COMPUTED_VALUE"""),"65162-1760279322")</f>
        <v>65162-1760279322</v>
      </c>
      <c r="O287" s="763">
        <f>IFERROR(__xludf.DUMMYFUNCTION("""COMPUTED_VALUE"""),0.0)</f>
        <v>0</v>
      </c>
      <c r="P287" s="767">
        <f>IFERROR(__xludf.DUMMYFUNCTION("""COMPUTED_VALUE"""),3.0833333333333335)</f>
        <v>3.083333333</v>
      </c>
      <c r="Q287" s="763" t="str">
        <f>IFERROR(__xludf.DUMMYFUNCTION("""COMPUTED_VALUE"""),"EUR")</f>
        <v>EUR</v>
      </c>
      <c r="R287" s="763">
        <f>IFERROR(__xludf.DUMMYFUNCTION("""COMPUTED_VALUE"""),698.0)</f>
        <v>698</v>
      </c>
      <c r="S287" s="763" t="str">
        <f>IFERROR(__xludf.DUMMYFUNCTION("""COMPUTED_VALUE"""),"Workshop Urban con Kumo - Workshop Kumo Urban")</f>
        <v>Workshop Urban con Kumo - Workshop Kumo Urban</v>
      </c>
      <c r="T287" s="763"/>
      <c r="U287" s="763"/>
      <c r="V287" s="763">
        <f>IFERROR(__xludf.DUMMYFUNCTION("""COMPUTED_VALUE"""),2.0)</f>
        <v>2</v>
      </c>
      <c r="W287" s="763">
        <f>IFERROR(__xludf.DUMMYFUNCTION("""COMPUTED_VALUE"""),37.0)</f>
        <v>37</v>
      </c>
      <c r="X287" s="763">
        <f>IFERROR(__xludf.DUMMYFUNCTION("""COMPUTED_VALUE"""),74.0)</f>
        <v>74</v>
      </c>
      <c r="Y287" s="763"/>
      <c r="Z287" s="768" t="str">
        <f>IFERROR(__xludf.DUMMYFUNCTION("""COMPUTED_VALUE"""),"https://studio-gem.it/wp-admin/post.php?post=65162&amp;action=edit")</f>
        <v>https://studio-gem.it/wp-admin/post.php?post=65162&amp;action=edit</v>
      </c>
      <c r="AA287" s="763"/>
      <c r="AB287" s="763"/>
      <c r="AC287" s="763"/>
      <c r="AD287" s="763"/>
      <c r="AE287" s="763"/>
      <c r="AF287" s="763"/>
      <c r="AG287" s="763"/>
      <c r="AH287" s="763"/>
      <c r="AI287" s="763"/>
      <c r="AJ287" s="763"/>
      <c r="AK287" s="763"/>
      <c r="AL287" s="763"/>
      <c r="AM287" s="763"/>
      <c r="AN287" s="763"/>
      <c r="AO287" s="763"/>
      <c r="AP287" s="763"/>
      <c r="AQ287" s="763"/>
      <c r="AR287" s="763"/>
      <c r="AS287" s="763"/>
      <c r="AT287" s="763"/>
      <c r="AU287" s="763"/>
      <c r="AV287" s="763"/>
      <c r="AW287" s="763"/>
      <c r="AX287" s="763"/>
      <c r="AY287" s="763"/>
      <c r="AZ287" s="763"/>
      <c r="BA287" s="763"/>
      <c r="BB287" s="763"/>
      <c r="BC287" s="763"/>
      <c r="BD287" s="763"/>
      <c r="BE287" s="763"/>
      <c r="BF287" s="763"/>
      <c r="BG287" s="763" t="b">
        <f>IFERROR(__xludf.DUMMYFUNCTION("""COMPUTED_VALUE"""),TRUE)</f>
        <v>1</v>
      </c>
      <c r="BH287" s="763" t="b">
        <f>IFERROR(__xludf.DUMMYFUNCTION("""COMPUTED_VALUE"""),TRUE)</f>
        <v>1</v>
      </c>
      <c r="BI287" s="763" t="b">
        <f>IFERROR(__xludf.DUMMYFUNCTION("""COMPUTED_VALUE"""),TRUE)</f>
        <v>1</v>
      </c>
      <c r="BJ287" s="763" t="b">
        <f>IFERROR(__xludf.DUMMYFUNCTION("""COMPUTED_VALUE"""),TRUE)</f>
        <v>1</v>
      </c>
    </row>
    <row r="288">
      <c r="A288" s="763">
        <f>IFERROR(__xludf.DUMMYFUNCTION("""COMPUTED_VALUE"""),65164.0)</f>
        <v>65164</v>
      </c>
      <c r="B288" s="763">
        <f>IFERROR(__xludf.DUMMYFUNCTION("""COMPUTED_VALUE"""),65164.0)</f>
        <v>65164</v>
      </c>
      <c r="C288" s="763" t="str">
        <f>IFERROR(__xludf.DUMMYFUNCTION("""COMPUTED_VALUE"""),"2025-10-13 09:47:41")</f>
        <v>2025-10-13 09:47:41</v>
      </c>
      <c r="D288" s="763" t="str">
        <f>IFERROR(__xludf.DUMMYFUNCTION("""COMPUTED_VALUE"""),"completed")</f>
        <v>completed</v>
      </c>
      <c r="E288" s="763" t="str">
        <f>IFERROR(__xludf.DUMMYFUNCTION("""COMPUTED_VALUE"""),"massimiliano")</f>
        <v>massimiliano</v>
      </c>
      <c r="F288" s="763" t="str">
        <f>IFERROR(__xludf.DUMMYFUNCTION("""COMPUTED_VALUE"""),"nembri")</f>
        <v>nembri</v>
      </c>
      <c r="G288" s="763" t="str">
        <f>IFERROR(__xludf.DUMMYFUNCTION("""COMPUTED_VALUE"""),"massimiliano@studio-gem.it")</f>
        <v>massimiliano@studio-gem.it</v>
      </c>
      <c r="H288" s="763">
        <f>IFERROR(__xludf.DUMMYFUNCTION("""COMPUTED_VALUE"""),3.382646927E9)</f>
        <v>3382646927</v>
      </c>
      <c r="I288" s="763" t="str">
        <f>IFERROR(__xludf.DUMMYFUNCTION("""COMPUTED_VALUE"""),"Milano")</f>
        <v>Milano</v>
      </c>
      <c r="J288" s="763" t="str">
        <f>IFERROR(__xludf.DUMMYFUNCTION("""COMPUTED_VALUE"""),"corso porta vigentina 35")</f>
        <v>corso porta vigentina 35</v>
      </c>
      <c r="K288" s="763">
        <f>IFERROR(__xludf.DUMMYFUNCTION("""COMPUTED_VALUE"""),20122.0)</f>
        <v>20122</v>
      </c>
      <c r="L288" s="763"/>
      <c r="M288" s="763"/>
      <c r="N288" s="763"/>
      <c r="O288" s="763">
        <f>IFERROR(__xludf.DUMMYFUNCTION("""COMPUTED_VALUE"""),0.0)</f>
        <v>0</v>
      </c>
      <c r="P288" s="767">
        <f>IFERROR(__xludf.DUMMYFUNCTION("""COMPUTED_VALUE"""),0.0)</f>
        <v>0</v>
      </c>
      <c r="Q288" s="763" t="str">
        <f>IFERROR(__xludf.DUMMYFUNCTION("""COMPUTED_VALUE"""),"EUR")</f>
        <v>EUR</v>
      </c>
      <c r="R288" s="763">
        <f>IFERROR(__xludf.DUMMYFUNCTION("""COMPUTED_VALUE"""),699.0)</f>
        <v>699</v>
      </c>
      <c r="S288" s="763" t="str">
        <f>IFERROR(__xludf.DUMMYFUNCTION("""COMPUTED_VALUE"""),"Domeniche in movimento - Gratuito per open fitness e open mattino 1 lezione dalle 11 alle 11.50")</f>
        <v>Domeniche in movimento - Gratuito per open fitness e open mattino 1 lezione dalle 11 alle 11.50</v>
      </c>
      <c r="T288" s="763"/>
      <c r="U288" s="763"/>
      <c r="V288" s="763">
        <f>IFERROR(__xludf.DUMMYFUNCTION("""COMPUTED_VALUE"""),1.0)</f>
        <v>1</v>
      </c>
      <c r="W288" s="763">
        <f>IFERROR(__xludf.DUMMYFUNCTION("""COMPUTED_VALUE"""),0.0)</f>
        <v>0</v>
      </c>
      <c r="X288" s="763">
        <f>IFERROR(__xludf.DUMMYFUNCTION("""COMPUTED_VALUE"""),0.0)</f>
        <v>0</v>
      </c>
      <c r="Y288" s="763"/>
      <c r="Z288" s="768" t="str">
        <f>IFERROR(__xludf.DUMMYFUNCTION("""COMPUTED_VALUE"""),"https://studio-gem.it/wp-admin/post.php?post=65164&amp;action=edit")</f>
        <v>https://studio-gem.it/wp-admin/post.php?post=65164&amp;action=edit</v>
      </c>
      <c r="AA288" s="763"/>
      <c r="AB288" s="763"/>
      <c r="AC288" s="763"/>
      <c r="AD288" s="763"/>
      <c r="AE288" s="763"/>
      <c r="AF288" s="763"/>
      <c r="AG288" s="763"/>
      <c r="AH288" s="763"/>
      <c r="AI288" s="763"/>
      <c r="AJ288" s="763"/>
      <c r="AK288" s="763"/>
      <c r="AL288" s="763"/>
      <c r="AM288" s="763"/>
      <c r="AN288" s="763"/>
      <c r="AO288" s="763"/>
      <c r="AP288" s="763"/>
      <c r="AQ288" s="763"/>
      <c r="AR288" s="763"/>
      <c r="AS288" s="763"/>
      <c r="AT288" s="763"/>
      <c r="AU288" s="763"/>
      <c r="AV288" s="763"/>
      <c r="AW288" s="763"/>
      <c r="AX288" s="763"/>
      <c r="AY288" s="763"/>
      <c r="AZ288" s="763"/>
      <c r="BA288" s="763"/>
      <c r="BB288" s="763"/>
      <c r="BC288" s="763"/>
      <c r="BD288" s="763"/>
      <c r="BE288" s="763"/>
      <c r="BF288" s="763"/>
      <c r="BG288" s="763" t="b">
        <f>IFERROR(__xludf.DUMMYFUNCTION("""COMPUTED_VALUE"""),FALSE)</f>
        <v>0</v>
      </c>
      <c r="BH288" s="763" t="b">
        <f>IFERROR(__xludf.DUMMYFUNCTION("""COMPUTED_VALUE"""),FALSE)</f>
        <v>0</v>
      </c>
      <c r="BI288" s="763" t="b">
        <f>IFERROR(__xludf.DUMMYFUNCTION("""COMPUTED_VALUE"""),TRUE)</f>
        <v>1</v>
      </c>
      <c r="BJ288" s="763" t="b">
        <f>IFERROR(__xludf.DUMMYFUNCTION("""COMPUTED_VALUE"""),FALSE)</f>
        <v>0</v>
      </c>
    </row>
    <row r="289">
      <c r="A289" s="763">
        <f>IFERROR(__xludf.DUMMYFUNCTION("""COMPUTED_VALUE"""),65167.0)</f>
        <v>65167</v>
      </c>
      <c r="B289" s="763">
        <f>IFERROR(__xludf.DUMMYFUNCTION("""COMPUTED_VALUE"""),65167.0)</f>
        <v>65167</v>
      </c>
      <c r="C289" s="763" t="str">
        <f>IFERROR(__xludf.DUMMYFUNCTION("""COMPUTED_VALUE"""),"2025-10-13 13:21:51")</f>
        <v>2025-10-13 13:21:51</v>
      </c>
      <c r="D289" s="763" t="str">
        <f>IFERROR(__xludf.DUMMYFUNCTION("""COMPUTED_VALUE"""),"processing")</f>
        <v>processing</v>
      </c>
      <c r="E289" s="763" t="str">
        <f>IFERROR(__xludf.DUMMYFUNCTION("""COMPUTED_VALUE"""),"SARA")</f>
        <v>SARA</v>
      </c>
      <c r="F289" s="763" t="str">
        <f>IFERROR(__xludf.DUMMYFUNCTION("""COMPUTED_VALUE"""),"ALFIERI")</f>
        <v>ALFIERI</v>
      </c>
      <c r="G289" s="763" t="str">
        <f>IFERROR(__xludf.DUMMYFUNCTION("""COMPUTED_VALUE"""),"sara.alfieri181192@gmail.com")</f>
        <v>sara.alfieri181192@gmail.com</v>
      </c>
      <c r="H289" s="763">
        <f>IFERROR(__xludf.DUMMYFUNCTION("""COMPUTED_VALUE"""),3.460219105E9)</f>
        <v>3460219105</v>
      </c>
      <c r="I289" s="763" t="str">
        <f>IFERROR(__xludf.DUMMYFUNCTION("""COMPUTED_VALUE"""),"Verona")</f>
        <v>Verona</v>
      </c>
      <c r="J289" s="763" t="str">
        <f>IFERROR(__xludf.DUMMYFUNCTION("""COMPUTED_VALUE"""),"Via Emilio Piccono della Valle, 15 A")</f>
        <v>Via Emilio Piccono della Valle, 15 A</v>
      </c>
      <c r="K289" s="763">
        <f>IFERROR(__xludf.DUMMYFUNCTION("""COMPUTED_VALUE"""),37136.0)</f>
        <v>37136</v>
      </c>
      <c r="L289" s="763" t="str">
        <f>IFERROR(__xludf.DUMMYFUNCTION("""COMPUTED_VALUE"""),"Carte di pagamento")</f>
        <v>Carte di pagamento</v>
      </c>
      <c r="M289" s="763" t="str">
        <f>IFERROR(__xludf.DUMMYFUNCTION("""COMPUTED_VALUE"""),"estefany02ws")</f>
        <v>estefany02ws</v>
      </c>
      <c r="N289" s="763" t="str">
        <f>IFERROR(__xludf.DUMMYFUNCTION("""COMPUTED_VALUE"""),"65167-1760361712")</f>
        <v>65167-1760361712</v>
      </c>
      <c r="O289" s="763">
        <f>IFERROR(__xludf.DUMMYFUNCTION("""COMPUTED_VALUE"""),0.0)</f>
        <v>0</v>
      </c>
      <c r="P289" s="767">
        <f>IFERROR(__xludf.DUMMYFUNCTION("""COMPUTED_VALUE"""),1.7916666666666667)</f>
        <v>1.791666667</v>
      </c>
      <c r="Q289" s="763" t="str">
        <f>IFERROR(__xludf.DUMMYFUNCTION("""COMPUTED_VALUE"""),"EUR")</f>
        <v>EUR</v>
      </c>
      <c r="R289" s="763">
        <f>IFERROR(__xludf.DUMMYFUNCTION("""COMPUTED_VALUE"""),700.0)</f>
        <v>700</v>
      </c>
      <c r="S289" s="763" t="str">
        <f>IFERROR(__xludf.DUMMYFUNCTION("""COMPUTED_VALUE"""),"Workshop Commercial con Timor Steffens - Workshop Commercial con Timor Steffens")</f>
        <v>Workshop Commercial con Timor Steffens - Workshop Commercial con Timor Steffens</v>
      </c>
      <c r="T289" s="763"/>
      <c r="U289" s="763"/>
      <c r="V289" s="763">
        <f>IFERROR(__xludf.DUMMYFUNCTION("""COMPUTED_VALUE"""),1.0)</f>
        <v>1</v>
      </c>
      <c r="W289" s="763">
        <f>IFERROR(__xludf.DUMMYFUNCTION("""COMPUTED_VALUE"""),43.0)</f>
        <v>43</v>
      </c>
      <c r="X289" s="763">
        <f>IFERROR(__xludf.DUMMYFUNCTION("""COMPUTED_VALUE"""),43.0)</f>
        <v>43</v>
      </c>
      <c r="Y289" s="763"/>
      <c r="Z289" s="768" t="str">
        <f>IFERROR(__xludf.DUMMYFUNCTION("""COMPUTED_VALUE"""),"https://studio-gem.it/wp-admin/post.php?post=65167&amp;action=edit")</f>
        <v>https://studio-gem.it/wp-admin/post.php?post=65167&amp;action=edit</v>
      </c>
      <c r="AA289" s="763"/>
      <c r="AB289" s="763"/>
      <c r="AC289" s="763"/>
      <c r="AD289" s="763"/>
      <c r="AE289" s="763"/>
      <c r="AF289" s="763"/>
      <c r="AG289" s="763"/>
      <c r="AH289" s="763"/>
      <c r="AI289" s="763"/>
      <c r="AJ289" s="763"/>
      <c r="AK289" s="763"/>
      <c r="AL289" s="763"/>
      <c r="AM289" s="763"/>
      <c r="AN289" s="763"/>
      <c r="AO289" s="763"/>
      <c r="AP289" s="763"/>
      <c r="AQ289" s="763"/>
      <c r="AR289" s="763"/>
      <c r="AS289" s="763"/>
      <c r="AT289" s="763"/>
      <c r="AU289" s="763"/>
      <c r="AV289" s="763"/>
      <c r="AW289" s="763"/>
      <c r="AX289" s="763"/>
      <c r="AY289" s="763"/>
      <c r="AZ289" s="763"/>
      <c r="BA289" s="763"/>
      <c r="BB289" s="763"/>
      <c r="BC289" s="763"/>
      <c r="BD289" s="763"/>
      <c r="BE289" s="763"/>
      <c r="BF289" s="763"/>
      <c r="BG289" s="763" t="b">
        <f>IFERROR(__xludf.DUMMYFUNCTION("""COMPUTED_VALUE"""),TRUE)</f>
        <v>1</v>
      </c>
      <c r="BH289" s="763" t="b">
        <f>IFERROR(__xludf.DUMMYFUNCTION("""COMPUTED_VALUE"""),TRUE)</f>
        <v>1</v>
      </c>
      <c r="BI289" s="763" t="b">
        <f>IFERROR(__xludf.DUMMYFUNCTION("""COMPUTED_VALUE"""),TRUE)</f>
        <v>1</v>
      </c>
      <c r="BJ289" s="763" t="b">
        <f>IFERROR(__xludf.DUMMYFUNCTION("""COMPUTED_VALUE"""),TRUE)</f>
        <v>1</v>
      </c>
    </row>
    <row r="290">
      <c r="A290" s="763">
        <f>IFERROR(__xludf.DUMMYFUNCTION("""COMPUTED_VALUE"""),65168.0)</f>
        <v>65168</v>
      </c>
      <c r="B290" s="763">
        <f>IFERROR(__xludf.DUMMYFUNCTION("""COMPUTED_VALUE"""),65168.0)</f>
        <v>65168</v>
      </c>
      <c r="C290" s="763" t="str">
        <f>IFERROR(__xludf.DUMMYFUNCTION("""COMPUTED_VALUE"""),"2025-10-13 14:45:00")</f>
        <v>2025-10-13 14:45:00</v>
      </c>
      <c r="D290" s="763" t="str">
        <f>IFERROR(__xludf.DUMMYFUNCTION("""COMPUTED_VALUE"""),"completed")</f>
        <v>completed</v>
      </c>
      <c r="E290" s="763" t="str">
        <f>IFERROR(__xludf.DUMMYFUNCTION("""COMPUTED_VALUE"""),"Jade Lisa")</f>
        <v>Jade Lisa</v>
      </c>
      <c r="F290" s="763" t="str">
        <f>IFERROR(__xludf.DUMMYFUNCTION("""COMPUTED_VALUE"""),"Redfern")</f>
        <v>Redfern</v>
      </c>
      <c r="G290" s="763" t="str">
        <f>IFERROR(__xludf.DUMMYFUNCTION("""COMPUTED_VALUE"""),"jadelisaredfern@gmail.com")</f>
        <v>jadelisaredfern@gmail.com</v>
      </c>
      <c r="H290" s="763" t="str">
        <f>IFERROR(__xludf.DUMMYFUNCTION("""COMPUTED_VALUE"""),"+447497200127")</f>
        <v>+447497200127</v>
      </c>
      <c r="I290" s="763" t="str">
        <f>IFERROR(__xludf.DUMMYFUNCTION("""COMPUTED_VALUE"""),"Milano")</f>
        <v>Milano</v>
      </c>
      <c r="J290" s="763" t="str">
        <f>IFERROR(__xludf.DUMMYFUNCTION("""COMPUTED_VALUE"""),"Via Emilio Caldara 22")</f>
        <v>Via Emilio Caldara 22</v>
      </c>
      <c r="K290" s="763">
        <f>IFERROR(__xludf.DUMMYFUNCTION("""COMPUTED_VALUE"""),20122.0)</f>
        <v>20122</v>
      </c>
      <c r="L290" s="763" t="str">
        <f>IFERROR(__xludf.DUMMYFUNCTION("""COMPUTED_VALUE"""),"Apple Pay")</f>
        <v>Apple Pay</v>
      </c>
      <c r="M290" s="763"/>
      <c r="N290" s="763" t="str">
        <f>IFERROR(__xludf.DUMMYFUNCTION("""COMPUTED_VALUE"""),"65168-1760366702")</f>
        <v>65168-1760366702</v>
      </c>
      <c r="O290" s="763">
        <f>IFERROR(__xludf.DUMMYFUNCTION("""COMPUTED_VALUE"""),0.0)</f>
        <v>0</v>
      </c>
      <c r="P290" s="767">
        <f>IFERROR(__xludf.DUMMYFUNCTION("""COMPUTED_VALUE"""),1.125)</f>
        <v>1.125</v>
      </c>
      <c r="Q290" s="763" t="str">
        <f>IFERROR(__xludf.DUMMYFUNCTION("""COMPUTED_VALUE"""),"EUR")</f>
        <v>EUR</v>
      </c>
      <c r="R290" s="763">
        <f>IFERROR(__xludf.DUMMYFUNCTION("""COMPUTED_VALUE"""),702.0)</f>
        <v>702</v>
      </c>
      <c r="S290" s="763" t="str">
        <f>IFERROR(__xludf.DUMMYFUNCTION("""COMPUTED_VALUE"""),"Workshop Salsa Musicality con Nicolò De Angelis - Workshop Nicolò Salsa Musicality")</f>
        <v>Workshop Salsa Musicality con Nicolò De Angelis - Workshop Nicolò Salsa Musicality</v>
      </c>
      <c r="T290" s="763"/>
      <c r="U290" s="763"/>
      <c r="V290" s="763">
        <f>IFERROR(__xludf.DUMMYFUNCTION("""COMPUTED_VALUE"""),1.0)</f>
        <v>1</v>
      </c>
      <c r="W290" s="763">
        <f>IFERROR(__xludf.DUMMYFUNCTION("""COMPUTED_VALUE"""),27.0)</f>
        <v>27</v>
      </c>
      <c r="X290" s="763">
        <f>IFERROR(__xludf.DUMMYFUNCTION("""COMPUTED_VALUE"""),27.0)</f>
        <v>27</v>
      </c>
      <c r="Y290" s="763"/>
      <c r="Z290" s="768" t="str">
        <f>IFERROR(__xludf.DUMMYFUNCTION("""COMPUTED_VALUE"""),"https://studio-gem.it/wp-admin/post.php?post=65168&amp;action=edit")</f>
        <v>https://studio-gem.it/wp-admin/post.php?post=65168&amp;action=edit</v>
      </c>
      <c r="AA290" s="763"/>
      <c r="AB290" s="763"/>
      <c r="AC290" s="763"/>
      <c r="AD290" s="763"/>
      <c r="AE290" s="763"/>
      <c r="AF290" s="763"/>
      <c r="AG290" s="763"/>
      <c r="AH290" s="763"/>
      <c r="AI290" s="763"/>
      <c r="AJ290" s="763"/>
      <c r="AK290" s="763"/>
      <c r="AL290" s="763"/>
      <c r="AM290" s="763"/>
      <c r="AN290" s="763"/>
      <c r="AO290" s="763"/>
      <c r="AP290" s="763"/>
      <c r="AQ290" s="763"/>
      <c r="AR290" s="763"/>
      <c r="AS290" s="763"/>
      <c r="AT290" s="763"/>
      <c r="AU290" s="763"/>
      <c r="AV290" s="763"/>
      <c r="AW290" s="763"/>
      <c r="AX290" s="763"/>
      <c r="AY290" s="763"/>
      <c r="AZ290" s="763"/>
      <c r="BA290" s="763"/>
      <c r="BB290" s="763"/>
      <c r="BC290" s="763"/>
      <c r="BD290" s="763"/>
      <c r="BE290" s="763"/>
      <c r="BF290" s="763"/>
      <c r="BG290" s="763" t="b">
        <f>IFERROR(__xludf.DUMMYFUNCTION("""COMPUTED_VALUE"""),TRUE)</f>
        <v>1</v>
      </c>
      <c r="BH290" s="763" t="b">
        <f>IFERROR(__xludf.DUMMYFUNCTION("""COMPUTED_VALUE"""),TRUE)</f>
        <v>1</v>
      </c>
      <c r="BI290" s="763" t="b">
        <f>IFERROR(__xludf.DUMMYFUNCTION("""COMPUTED_VALUE"""),TRUE)</f>
        <v>1</v>
      </c>
      <c r="BJ290" s="763" t="b">
        <f>IFERROR(__xludf.DUMMYFUNCTION("""COMPUTED_VALUE"""),TRUE)</f>
        <v>1</v>
      </c>
    </row>
    <row r="291">
      <c r="A291" s="763">
        <f>IFERROR(__xludf.DUMMYFUNCTION("""COMPUTED_VALUE"""),65170.0)</f>
        <v>65170</v>
      </c>
      <c r="B291" s="763">
        <f>IFERROR(__xludf.DUMMYFUNCTION("""COMPUTED_VALUE"""),65170.0)</f>
        <v>65170</v>
      </c>
      <c r="C291" s="763" t="str">
        <f>IFERROR(__xludf.DUMMYFUNCTION("""COMPUTED_VALUE"""),"2025-10-13 15:17:44")</f>
        <v>2025-10-13 15:17:44</v>
      </c>
      <c r="D291" s="763" t="str">
        <f>IFERROR(__xludf.DUMMYFUNCTION("""COMPUTED_VALUE"""),"completed")</f>
        <v>completed</v>
      </c>
      <c r="E291" s="763" t="str">
        <f>IFERROR(__xludf.DUMMYFUNCTION("""COMPUTED_VALUE"""),"Laura")</f>
        <v>Laura</v>
      </c>
      <c r="F291" s="763" t="str">
        <f>IFERROR(__xludf.DUMMYFUNCTION("""COMPUTED_VALUE"""),"Gaudioso")</f>
        <v>Gaudioso</v>
      </c>
      <c r="G291" s="763" t="str">
        <f>IFERROR(__xludf.DUMMYFUNCTION("""COMPUTED_VALUE"""),"laura.gaudioso96@gmail.com")</f>
        <v>laura.gaudioso96@gmail.com</v>
      </c>
      <c r="H291" s="763">
        <f>IFERROR(__xludf.DUMMYFUNCTION("""COMPUTED_VALUE"""),3.331167649E9)</f>
        <v>3331167649</v>
      </c>
      <c r="I291" s="763" t="str">
        <f>IFERROR(__xludf.DUMMYFUNCTION("""COMPUTED_VALUE"""),"Albignasego")</f>
        <v>Albignasego</v>
      </c>
      <c r="J291" s="763" t="str">
        <f>IFERROR(__xludf.DUMMYFUNCTION("""COMPUTED_VALUE"""),"Via Vecellio 34")</f>
        <v>Via Vecellio 34</v>
      </c>
      <c r="K291" s="763">
        <f>IFERROR(__xludf.DUMMYFUNCTION("""COMPUTED_VALUE"""),35020.0)</f>
        <v>35020</v>
      </c>
      <c r="L291" s="763" t="str">
        <f>IFERROR(__xludf.DUMMYFUNCTION("""COMPUTED_VALUE"""),"Apple Pay")</f>
        <v>Apple Pay</v>
      </c>
      <c r="M291" s="763"/>
      <c r="N291" s="763" t="str">
        <f>IFERROR(__xludf.DUMMYFUNCTION("""COMPUTED_VALUE"""),"65170-1760368666")</f>
        <v>65170-1760368666</v>
      </c>
      <c r="O291" s="763">
        <f>IFERROR(__xludf.DUMMYFUNCTION("""COMPUTED_VALUE"""),0.0)</f>
        <v>0</v>
      </c>
      <c r="P291" s="767">
        <f>IFERROR(__xludf.DUMMYFUNCTION("""COMPUTED_VALUE"""),1.125)</f>
        <v>1.125</v>
      </c>
      <c r="Q291" s="763" t="str">
        <f>IFERROR(__xludf.DUMMYFUNCTION("""COMPUTED_VALUE"""),"EUR")</f>
        <v>EUR</v>
      </c>
      <c r="R291" s="763">
        <f>IFERROR(__xludf.DUMMYFUNCTION("""COMPUTED_VALUE"""),703.0)</f>
        <v>703</v>
      </c>
      <c r="S291" s="763" t="str">
        <f>IFERROR(__xludf.DUMMYFUNCTION("""COMPUTED_VALUE"""),"Workshop Salsa Musicality con Nicolò De Angelis - Workshop Nicolò Salsa Musicality")</f>
        <v>Workshop Salsa Musicality con Nicolò De Angelis - Workshop Nicolò Salsa Musicality</v>
      </c>
      <c r="T291" s="763"/>
      <c r="U291" s="763"/>
      <c r="V291" s="763">
        <f>IFERROR(__xludf.DUMMYFUNCTION("""COMPUTED_VALUE"""),1.0)</f>
        <v>1</v>
      </c>
      <c r="W291" s="763">
        <f>IFERROR(__xludf.DUMMYFUNCTION("""COMPUTED_VALUE"""),27.0)</f>
        <v>27</v>
      </c>
      <c r="X291" s="763">
        <f>IFERROR(__xludf.DUMMYFUNCTION("""COMPUTED_VALUE"""),27.0)</f>
        <v>27</v>
      </c>
      <c r="Y291" s="763"/>
      <c r="Z291" s="768" t="str">
        <f>IFERROR(__xludf.DUMMYFUNCTION("""COMPUTED_VALUE"""),"https://studio-gem.it/wp-admin/post.php?post=65170&amp;action=edit")</f>
        <v>https://studio-gem.it/wp-admin/post.php?post=65170&amp;action=edit</v>
      </c>
      <c r="AA291" s="763"/>
      <c r="AB291" s="763"/>
      <c r="AC291" s="763"/>
      <c r="AD291" s="763"/>
      <c r="AE291" s="763"/>
      <c r="AF291" s="763"/>
      <c r="AG291" s="763"/>
      <c r="AH291" s="763"/>
      <c r="AI291" s="763"/>
      <c r="AJ291" s="763"/>
      <c r="AK291" s="763"/>
      <c r="AL291" s="763"/>
      <c r="AM291" s="763"/>
      <c r="AN291" s="763"/>
      <c r="AO291" s="763"/>
      <c r="AP291" s="763"/>
      <c r="AQ291" s="763"/>
      <c r="AR291" s="763"/>
      <c r="AS291" s="763"/>
      <c r="AT291" s="763"/>
      <c r="AU291" s="763"/>
      <c r="AV291" s="763"/>
      <c r="AW291" s="763"/>
      <c r="AX291" s="763"/>
      <c r="AY291" s="763"/>
      <c r="AZ291" s="763"/>
      <c r="BA291" s="763"/>
      <c r="BB291" s="763"/>
      <c r="BC291" s="763"/>
      <c r="BD291" s="763"/>
      <c r="BE291" s="763"/>
      <c r="BF291" s="763"/>
      <c r="BG291" s="763" t="b">
        <f>IFERROR(__xludf.DUMMYFUNCTION("""COMPUTED_VALUE"""),TRUE)</f>
        <v>1</v>
      </c>
      <c r="BH291" s="763" t="b">
        <f>IFERROR(__xludf.DUMMYFUNCTION("""COMPUTED_VALUE"""),TRUE)</f>
        <v>1</v>
      </c>
      <c r="BI291" s="763" t="b">
        <f>IFERROR(__xludf.DUMMYFUNCTION("""COMPUTED_VALUE"""),TRUE)</f>
        <v>1</v>
      </c>
      <c r="BJ291" s="763" t="b">
        <f>IFERROR(__xludf.DUMMYFUNCTION("""COMPUTED_VALUE"""),TRUE)</f>
        <v>1</v>
      </c>
    </row>
    <row r="292">
      <c r="A292" s="763">
        <f>IFERROR(__xludf.DUMMYFUNCTION("""COMPUTED_VALUE"""),65172.0)</f>
        <v>65172</v>
      </c>
      <c r="B292" s="763">
        <f>IFERROR(__xludf.DUMMYFUNCTION("""COMPUTED_VALUE"""),65172.0)</f>
        <v>65172</v>
      </c>
      <c r="C292" s="763" t="str">
        <f>IFERROR(__xludf.DUMMYFUNCTION("""COMPUTED_VALUE"""),"2025-10-13 15:58:27")</f>
        <v>2025-10-13 15:58:27</v>
      </c>
      <c r="D292" s="763" t="str">
        <f>IFERROR(__xludf.DUMMYFUNCTION("""COMPUTED_VALUE"""),"pending")</f>
        <v>pending</v>
      </c>
      <c r="E292" s="763" t="str">
        <f>IFERROR(__xludf.DUMMYFUNCTION("""COMPUTED_VALUE"""),"Gaia")</f>
        <v>Gaia</v>
      </c>
      <c r="F292" s="763" t="str">
        <f>IFERROR(__xludf.DUMMYFUNCTION("""COMPUTED_VALUE"""),"Schiavon")</f>
        <v>Schiavon</v>
      </c>
      <c r="G292" s="763" t="str">
        <f>IFERROR(__xludf.DUMMYFUNCTION("""COMPUTED_VALUE"""),"g3101.schiavon@gmail.com")</f>
        <v>g3101.schiavon@gmail.com</v>
      </c>
      <c r="H292" s="763">
        <f>IFERROR(__xludf.DUMMYFUNCTION("""COMPUTED_VALUE"""),3.801381542E9)</f>
        <v>3801381542</v>
      </c>
      <c r="I292" s="763" t="str">
        <f>IFERROR(__xludf.DUMMYFUNCTION("""COMPUTED_VALUE"""),"Verona")</f>
        <v>Verona</v>
      </c>
      <c r="J292" s="763" t="str">
        <f>IFERROR(__xludf.DUMMYFUNCTION("""COMPUTED_VALUE"""),"via pietro nenni 7")</f>
        <v>via pietro nenni 7</v>
      </c>
      <c r="K292" s="763">
        <f>IFERROR(__xludf.DUMMYFUNCTION("""COMPUTED_VALUE"""),37066.0)</f>
        <v>37066</v>
      </c>
      <c r="L292" s="763" t="str">
        <f>IFERROR(__xludf.DUMMYFUNCTION("""COMPUTED_VALUE"""),"Apple Pay")</f>
        <v>Apple Pay</v>
      </c>
      <c r="M292" s="763" t="str">
        <f>IFERROR(__xludf.DUMMYFUNCTION("""COMPUTED_VALUE"""),"estefany02ws")</f>
        <v>estefany02ws</v>
      </c>
      <c r="N292" s="763" t="str">
        <f>IFERROR(__xludf.DUMMYFUNCTION("""COMPUTED_VALUE"""),"65172-1760371577")</f>
        <v>65172-1760371577</v>
      </c>
      <c r="O292" s="763">
        <f>IFERROR(__xludf.DUMMYFUNCTION("""COMPUTED_VALUE"""),0.0)</f>
        <v>0</v>
      </c>
      <c r="P292" s="767">
        <f>IFERROR(__xludf.DUMMYFUNCTION("""COMPUTED_VALUE"""),1.7916666666666667)</f>
        <v>1.791666667</v>
      </c>
      <c r="Q292" s="763" t="str">
        <f>IFERROR(__xludf.DUMMYFUNCTION("""COMPUTED_VALUE"""),"EUR")</f>
        <v>EUR</v>
      </c>
      <c r="R292" s="763">
        <f>IFERROR(__xludf.DUMMYFUNCTION("""COMPUTED_VALUE"""),704.0)</f>
        <v>704</v>
      </c>
      <c r="S292" s="763" t="str">
        <f>IFERROR(__xludf.DUMMYFUNCTION("""COMPUTED_VALUE"""),"Workshop Commercial con Timor Steffens - Workshop Commercial con Timor Steffens")</f>
        <v>Workshop Commercial con Timor Steffens - Workshop Commercial con Timor Steffens</v>
      </c>
      <c r="T292" s="763"/>
      <c r="U292" s="763"/>
      <c r="V292" s="763">
        <f>IFERROR(__xludf.DUMMYFUNCTION("""COMPUTED_VALUE"""),1.0)</f>
        <v>1</v>
      </c>
      <c r="W292" s="763">
        <f>IFERROR(__xludf.DUMMYFUNCTION("""COMPUTED_VALUE"""),43.0)</f>
        <v>43</v>
      </c>
      <c r="X292" s="763">
        <f>IFERROR(__xludf.DUMMYFUNCTION("""COMPUTED_VALUE"""),43.0)</f>
        <v>43</v>
      </c>
      <c r="Y292" s="763"/>
      <c r="Z292" s="768" t="str">
        <f>IFERROR(__xludf.DUMMYFUNCTION("""COMPUTED_VALUE"""),"https://studio-gem.it/wp-admin/post.php?post=65172&amp;action=edit")</f>
        <v>https://studio-gem.it/wp-admin/post.php?post=65172&amp;action=edit</v>
      </c>
      <c r="AA292" s="763"/>
      <c r="AB292" s="763"/>
      <c r="AC292" s="763"/>
      <c r="AD292" s="763"/>
      <c r="AE292" s="763"/>
      <c r="AF292" s="763"/>
      <c r="AG292" s="763"/>
      <c r="AH292" s="763"/>
      <c r="AI292" s="763"/>
      <c r="AJ292" s="763"/>
      <c r="AK292" s="763"/>
      <c r="AL292" s="763"/>
      <c r="AM292" s="763"/>
      <c r="AN292" s="763"/>
      <c r="AO292" s="763"/>
      <c r="AP292" s="763"/>
      <c r="AQ292" s="763"/>
      <c r="AR292" s="763"/>
      <c r="AS292" s="763"/>
      <c r="AT292" s="763"/>
      <c r="AU292" s="763"/>
      <c r="AV292" s="763"/>
      <c r="AW292" s="763"/>
      <c r="AX292" s="763"/>
      <c r="AY292" s="763"/>
      <c r="AZ292" s="763"/>
      <c r="BA292" s="763"/>
      <c r="BB292" s="763"/>
      <c r="BC292" s="763"/>
      <c r="BD292" s="763"/>
      <c r="BE292" s="763"/>
      <c r="BF292" s="763"/>
      <c r="BG292" s="763" t="b">
        <f>IFERROR(__xludf.DUMMYFUNCTION("""COMPUTED_VALUE"""),FALSE)</f>
        <v>0</v>
      </c>
      <c r="BH292" s="763" t="b">
        <f>IFERROR(__xludf.DUMMYFUNCTION("""COMPUTED_VALUE"""),TRUE)</f>
        <v>1</v>
      </c>
      <c r="BI292" s="763" t="b">
        <f>IFERROR(__xludf.DUMMYFUNCTION("""COMPUTED_VALUE"""),FALSE)</f>
        <v>0</v>
      </c>
      <c r="BJ292" s="763" t="b">
        <f>IFERROR(__xludf.DUMMYFUNCTION("""COMPUTED_VALUE"""),FALSE)</f>
        <v>0</v>
      </c>
    </row>
    <row r="293">
      <c r="A293" s="763">
        <f>IFERROR(__xludf.DUMMYFUNCTION("""COMPUTED_VALUE"""),65172.0)</f>
        <v>65172</v>
      </c>
      <c r="B293" s="763">
        <f>IFERROR(__xludf.DUMMYFUNCTION("""COMPUTED_VALUE"""),65172.0)</f>
        <v>65172</v>
      </c>
      <c r="C293" s="763" t="str">
        <f>IFERROR(__xludf.DUMMYFUNCTION("""COMPUTED_VALUE"""),"2025-10-13 15:58:27")</f>
        <v>2025-10-13 15:58:27</v>
      </c>
      <c r="D293" s="763" t="str">
        <f>IFERROR(__xludf.DUMMYFUNCTION("""COMPUTED_VALUE"""),"processing")</f>
        <v>processing</v>
      </c>
      <c r="E293" s="763" t="str">
        <f>IFERROR(__xludf.DUMMYFUNCTION("""COMPUTED_VALUE"""),"Gaia")</f>
        <v>Gaia</v>
      </c>
      <c r="F293" s="763" t="str">
        <f>IFERROR(__xludf.DUMMYFUNCTION("""COMPUTED_VALUE"""),"Schiavon")</f>
        <v>Schiavon</v>
      </c>
      <c r="G293" s="763" t="str">
        <f>IFERROR(__xludf.DUMMYFUNCTION("""COMPUTED_VALUE"""),"g3101.schiavon@gmail.com")</f>
        <v>g3101.schiavon@gmail.com</v>
      </c>
      <c r="H293" s="763">
        <f>IFERROR(__xludf.DUMMYFUNCTION("""COMPUTED_VALUE"""),3.801381542E9)</f>
        <v>3801381542</v>
      </c>
      <c r="I293" s="763" t="str">
        <f>IFERROR(__xludf.DUMMYFUNCTION("""COMPUTED_VALUE"""),"Verona")</f>
        <v>Verona</v>
      </c>
      <c r="J293" s="763" t="str">
        <f>IFERROR(__xludf.DUMMYFUNCTION("""COMPUTED_VALUE"""),"via pietro nenni 7")</f>
        <v>via pietro nenni 7</v>
      </c>
      <c r="K293" s="763">
        <f>IFERROR(__xludf.DUMMYFUNCTION("""COMPUTED_VALUE"""),37066.0)</f>
        <v>37066</v>
      </c>
      <c r="L293" s="763" t="str">
        <f>IFERROR(__xludf.DUMMYFUNCTION("""COMPUTED_VALUE"""),"Carte di pagamento")</f>
        <v>Carte di pagamento</v>
      </c>
      <c r="M293" s="763" t="str">
        <f>IFERROR(__xludf.DUMMYFUNCTION("""COMPUTED_VALUE"""),"estefany02ws")</f>
        <v>estefany02ws</v>
      </c>
      <c r="N293" s="763" t="str">
        <f>IFERROR(__xludf.DUMMYFUNCTION("""COMPUTED_VALUE"""),"65172-1760371577")</f>
        <v>65172-1760371577</v>
      </c>
      <c r="O293" s="763">
        <f>IFERROR(__xludf.DUMMYFUNCTION("""COMPUTED_VALUE"""),0.0)</f>
        <v>0</v>
      </c>
      <c r="P293" s="767">
        <f>IFERROR(__xludf.DUMMYFUNCTION("""COMPUTED_VALUE"""),1.7916666666666667)</f>
        <v>1.791666667</v>
      </c>
      <c r="Q293" s="763" t="str">
        <f>IFERROR(__xludf.DUMMYFUNCTION("""COMPUTED_VALUE"""),"EUR")</f>
        <v>EUR</v>
      </c>
      <c r="R293" s="763">
        <f>IFERROR(__xludf.DUMMYFUNCTION("""COMPUTED_VALUE"""),706.0)</f>
        <v>706</v>
      </c>
      <c r="S293" s="763" t="str">
        <f>IFERROR(__xludf.DUMMYFUNCTION("""COMPUTED_VALUE"""),"Workshop Commercial con Timor Steffens - Workshop Commercial con Timor Steffens")</f>
        <v>Workshop Commercial con Timor Steffens - Workshop Commercial con Timor Steffens</v>
      </c>
      <c r="T293" s="763"/>
      <c r="U293" s="763"/>
      <c r="V293" s="763">
        <f>IFERROR(__xludf.DUMMYFUNCTION("""COMPUTED_VALUE"""),1.0)</f>
        <v>1</v>
      </c>
      <c r="W293" s="763">
        <f>IFERROR(__xludf.DUMMYFUNCTION("""COMPUTED_VALUE"""),43.0)</f>
        <v>43</v>
      </c>
      <c r="X293" s="763">
        <f>IFERROR(__xludf.DUMMYFUNCTION("""COMPUTED_VALUE"""),43.0)</f>
        <v>43</v>
      </c>
      <c r="Y293" s="763"/>
      <c r="Z293" s="768" t="str">
        <f>IFERROR(__xludf.DUMMYFUNCTION("""COMPUTED_VALUE"""),"https://studio-gem.it/wp-admin/post.php?post=65172&amp;action=edit")</f>
        <v>https://studio-gem.it/wp-admin/post.php?post=65172&amp;action=edit</v>
      </c>
      <c r="AA293" s="763"/>
      <c r="AB293" s="763"/>
      <c r="AC293" s="763"/>
      <c r="AD293" s="763"/>
      <c r="AE293" s="763"/>
      <c r="AF293" s="763"/>
      <c r="AG293" s="763"/>
      <c r="AH293" s="763"/>
      <c r="AI293" s="763"/>
      <c r="AJ293" s="763"/>
      <c r="AK293" s="763"/>
      <c r="AL293" s="763"/>
      <c r="AM293" s="763"/>
      <c r="AN293" s="763"/>
      <c r="AO293" s="763"/>
      <c r="AP293" s="763"/>
      <c r="AQ293" s="763"/>
      <c r="AR293" s="763"/>
      <c r="AS293" s="763"/>
      <c r="AT293" s="763"/>
      <c r="AU293" s="763"/>
      <c r="AV293" s="763"/>
      <c r="AW293" s="763"/>
      <c r="AX293" s="763"/>
      <c r="AY293" s="763"/>
      <c r="AZ293" s="763"/>
      <c r="BA293" s="763"/>
      <c r="BB293" s="763"/>
      <c r="BC293" s="763"/>
      <c r="BD293" s="763"/>
      <c r="BE293" s="763"/>
      <c r="BF293" s="763"/>
      <c r="BG293" s="763" t="b">
        <f>IFERROR(__xludf.DUMMYFUNCTION("""COMPUTED_VALUE"""),TRUE)</f>
        <v>1</v>
      </c>
      <c r="BH293" s="763" t="b">
        <f>IFERROR(__xludf.DUMMYFUNCTION("""COMPUTED_VALUE"""),TRUE)</f>
        <v>1</v>
      </c>
      <c r="BI293" s="763" t="b">
        <f>IFERROR(__xludf.DUMMYFUNCTION("""COMPUTED_VALUE"""),TRUE)</f>
        <v>1</v>
      </c>
      <c r="BJ293" s="763" t="b">
        <f>IFERROR(__xludf.DUMMYFUNCTION("""COMPUTED_VALUE"""),TRUE)</f>
        <v>1</v>
      </c>
    </row>
    <row r="294">
      <c r="A294" s="763">
        <f>IFERROR(__xludf.DUMMYFUNCTION("""COMPUTED_VALUE"""),65173.0)</f>
        <v>65173</v>
      </c>
      <c r="B294" s="763">
        <f>IFERROR(__xludf.DUMMYFUNCTION("""COMPUTED_VALUE"""),65173.0)</f>
        <v>65173</v>
      </c>
      <c r="C294" s="763" t="str">
        <f>IFERROR(__xludf.DUMMYFUNCTION("""COMPUTED_VALUE"""),"2025-10-13 21:18:30")</f>
        <v>2025-10-13 21:18:30</v>
      </c>
      <c r="D294" s="763" t="str">
        <f>IFERROR(__xludf.DUMMYFUNCTION("""COMPUTED_VALUE"""),"completed")</f>
        <v>completed</v>
      </c>
      <c r="E294" s="763" t="str">
        <f>IFERROR(__xludf.DUMMYFUNCTION("""COMPUTED_VALUE"""),"Camila")</f>
        <v>Camila</v>
      </c>
      <c r="F294" s="763" t="str">
        <f>IFERROR(__xludf.DUMMYFUNCTION("""COMPUTED_VALUE"""),"Adum")</f>
        <v>Adum</v>
      </c>
      <c r="G294" s="763" t="str">
        <f>IFERROR(__xludf.DUMMYFUNCTION("""COMPUTED_VALUE"""),"camilaadumcoello@yahoo.com")</f>
        <v>camilaadumcoello@yahoo.com</v>
      </c>
      <c r="H294" s="763">
        <f>IFERROR(__xludf.DUMMYFUNCTION("""COMPUTED_VALUE"""),3.452212579E9)</f>
        <v>3452212579</v>
      </c>
      <c r="I294" s="763" t="str">
        <f>IFERROR(__xludf.DUMMYFUNCTION("""COMPUTED_VALUE"""),"Milano")</f>
        <v>Milano</v>
      </c>
      <c r="J294" s="763" t="str">
        <f>IFERROR(__xludf.DUMMYFUNCTION("""COMPUTED_VALUE"""),"Piano 3")</f>
        <v>Piano 3</v>
      </c>
      <c r="K294" s="763">
        <f>IFERROR(__xludf.DUMMYFUNCTION("""COMPUTED_VALUE"""),20122.0)</f>
        <v>20122</v>
      </c>
      <c r="L294" s="763" t="str">
        <f>IFERROR(__xludf.DUMMYFUNCTION("""COMPUTED_VALUE"""),"Carte di pagamento")</f>
        <v>Carte di pagamento</v>
      </c>
      <c r="M294" s="763"/>
      <c r="N294" s="763" t="str">
        <f>IFERROR(__xludf.DUMMYFUNCTION("""COMPUTED_VALUE"""),"65173-1760390311")</f>
        <v>65173-1760390311</v>
      </c>
      <c r="O294" s="763">
        <f>IFERROR(__xludf.DUMMYFUNCTION("""COMPUTED_VALUE"""),0.0)</f>
        <v>0</v>
      </c>
      <c r="P294" s="767">
        <f>IFERROR(__xludf.DUMMYFUNCTION("""COMPUTED_VALUE"""),1.5416666666666667)</f>
        <v>1.541666667</v>
      </c>
      <c r="Q294" s="763" t="str">
        <f>IFERROR(__xludf.DUMMYFUNCTION("""COMPUTED_VALUE"""),"EUR")</f>
        <v>EUR</v>
      </c>
      <c r="R294" s="763">
        <f>IFERROR(__xludf.DUMMYFUNCTION("""COMPUTED_VALUE"""),708.0)</f>
        <v>708</v>
      </c>
      <c r="S294" s="763" t="str">
        <f>IFERROR(__xludf.DUMMYFUNCTION("""COMPUTED_VALUE"""),"Workshop Urban con Kumo - Workshop Kumo Urban")</f>
        <v>Workshop Urban con Kumo - Workshop Kumo Urban</v>
      </c>
      <c r="T294" s="763"/>
      <c r="U294" s="763"/>
      <c r="V294" s="763">
        <f>IFERROR(__xludf.DUMMYFUNCTION("""COMPUTED_VALUE"""),1.0)</f>
        <v>1</v>
      </c>
      <c r="W294" s="763">
        <f>IFERROR(__xludf.DUMMYFUNCTION("""COMPUTED_VALUE"""),37.0)</f>
        <v>37</v>
      </c>
      <c r="X294" s="763">
        <f>IFERROR(__xludf.DUMMYFUNCTION("""COMPUTED_VALUE"""),37.0)</f>
        <v>37</v>
      </c>
      <c r="Y294" s="763"/>
      <c r="Z294" s="768" t="str">
        <f>IFERROR(__xludf.DUMMYFUNCTION("""COMPUTED_VALUE"""),"https://studio-gem.it/wp-admin/post.php?post=65173&amp;action=edit")</f>
        <v>https://studio-gem.it/wp-admin/post.php?post=65173&amp;action=edit</v>
      </c>
      <c r="AA294" s="763"/>
      <c r="AB294" s="763"/>
      <c r="AC294" s="763"/>
      <c r="AD294" s="763"/>
      <c r="AE294" s="763"/>
      <c r="AF294" s="763"/>
      <c r="AG294" s="763"/>
      <c r="AH294" s="763"/>
      <c r="AI294" s="763"/>
      <c r="AJ294" s="763"/>
      <c r="AK294" s="763"/>
      <c r="AL294" s="763"/>
      <c r="AM294" s="763"/>
      <c r="AN294" s="763"/>
      <c r="AO294" s="763"/>
      <c r="AP294" s="763"/>
      <c r="AQ294" s="763"/>
      <c r="AR294" s="763"/>
      <c r="AS294" s="763"/>
      <c r="AT294" s="763"/>
      <c r="AU294" s="763"/>
      <c r="AV294" s="763"/>
      <c r="AW294" s="763"/>
      <c r="AX294" s="763"/>
      <c r="AY294" s="763"/>
      <c r="AZ294" s="763"/>
      <c r="BA294" s="763"/>
      <c r="BB294" s="763"/>
      <c r="BC294" s="763"/>
      <c r="BD294" s="763"/>
      <c r="BE294" s="763"/>
      <c r="BF294" s="763"/>
      <c r="BG294" s="763" t="b">
        <f>IFERROR(__xludf.DUMMYFUNCTION("""COMPUTED_VALUE"""),TRUE)</f>
        <v>1</v>
      </c>
      <c r="BH294" s="763" t="b">
        <f>IFERROR(__xludf.DUMMYFUNCTION("""COMPUTED_VALUE"""),TRUE)</f>
        <v>1</v>
      </c>
      <c r="BI294" s="763" t="b">
        <f>IFERROR(__xludf.DUMMYFUNCTION("""COMPUTED_VALUE"""),TRUE)</f>
        <v>1</v>
      </c>
      <c r="BJ294" s="763" t="b">
        <f>IFERROR(__xludf.DUMMYFUNCTION("""COMPUTED_VALUE"""),TRUE)</f>
        <v>1</v>
      </c>
    </row>
    <row r="295">
      <c r="A295" s="763">
        <f>IFERROR(__xludf.DUMMYFUNCTION("""COMPUTED_VALUE"""),65177.0)</f>
        <v>65177</v>
      </c>
      <c r="B295" s="763">
        <f>IFERROR(__xludf.DUMMYFUNCTION("""COMPUTED_VALUE"""),65177.0)</f>
        <v>65177</v>
      </c>
      <c r="C295" s="763" t="str">
        <f>IFERROR(__xludf.DUMMYFUNCTION("""COMPUTED_VALUE"""),"2025-10-14 07:31:13")</f>
        <v>2025-10-14 07:31:13</v>
      </c>
      <c r="D295" s="763" t="str">
        <f>IFERROR(__xludf.DUMMYFUNCTION("""COMPUTED_VALUE"""),"completed")</f>
        <v>completed</v>
      </c>
      <c r="E295" s="763" t="str">
        <f>IFERROR(__xludf.DUMMYFUNCTION("""COMPUTED_VALUE"""),"Laetitia Nathalie")</f>
        <v>Laetitia Nathalie</v>
      </c>
      <c r="F295" s="763" t="str">
        <f>IFERROR(__xludf.DUMMYFUNCTION("""COMPUTED_VALUE"""),"Farellacci")</f>
        <v>Farellacci</v>
      </c>
      <c r="G295" s="763" t="str">
        <f>IFERROR(__xludf.DUMMYFUNCTION("""COMPUTED_VALUE"""),"laetitiafarellacci@gmail.com")</f>
        <v>laetitiafarellacci@gmail.com</v>
      </c>
      <c r="H295" s="763">
        <f>IFERROR(__xludf.DUMMYFUNCTION("""COMPUTED_VALUE"""),3.470122644E9)</f>
        <v>3470122644</v>
      </c>
      <c r="I295" s="763" t="str">
        <f>IFERROR(__xludf.DUMMYFUNCTION("""COMPUTED_VALUE"""),"Milano")</f>
        <v>Milano</v>
      </c>
      <c r="J295" s="763" t="str">
        <f>IFERROR(__xludf.DUMMYFUNCTION("""COMPUTED_VALUE"""),"Viale Molise")</f>
        <v>Viale Molise</v>
      </c>
      <c r="K295" s="763">
        <f>IFERROR(__xludf.DUMMYFUNCTION("""COMPUTED_VALUE"""),20137.0)</f>
        <v>20137</v>
      </c>
      <c r="L295" s="763" t="str">
        <f>IFERROR(__xludf.DUMMYFUNCTION("""COMPUTED_VALUE"""),"Carte di pagamento")</f>
        <v>Carte di pagamento</v>
      </c>
      <c r="M295" s="763"/>
      <c r="N295" s="763" t="str">
        <f>IFERROR(__xludf.DUMMYFUNCTION("""COMPUTED_VALUE"""),"65177-1760427253")</f>
        <v>65177-1760427253</v>
      </c>
      <c r="O295" s="763">
        <f>IFERROR(__xludf.DUMMYFUNCTION("""COMPUTED_VALUE"""),0.0)</f>
        <v>0</v>
      </c>
      <c r="P295" s="767">
        <f>IFERROR(__xludf.DUMMYFUNCTION("""COMPUTED_VALUE"""),1.5416666666666667)</f>
        <v>1.541666667</v>
      </c>
      <c r="Q295" s="763" t="str">
        <f>IFERROR(__xludf.DUMMYFUNCTION("""COMPUTED_VALUE"""),"EUR")</f>
        <v>EUR</v>
      </c>
      <c r="R295" s="763">
        <f>IFERROR(__xludf.DUMMYFUNCTION("""COMPUTED_VALUE"""),709.0)</f>
        <v>709</v>
      </c>
      <c r="S295" s="763" t="str">
        <f>IFERROR(__xludf.DUMMYFUNCTION("""COMPUTED_VALUE"""),"Workshop Afrofusion con Banana 2025 - Workshop Banana afrofusion")</f>
        <v>Workshop Afrofusion con Banana 2025 - Workshop Banana afrofusion</v>
      </c>
      <c r="T295" s="763"/>
      <c r="U295" s="763"/>
      <c r="V295" s="763">
        <f>IFERROR(__xludf.DUMMYFUNCTION("""COMPUTED_VALUE"""),1.0)</f>
        <v>1</v>
      </c>
      <c r="W295" s="763">
        <f>IFERROR(__xludf.DUMMYFUNCTION("""COMPUTED_VALUE"""),37.0)</f>
        <v>37</v>
      </c>
      <c r="X295" s="763">
        <f>IFERROR(__xludf.DUMMYFUNCTION("""COMPUTED_VALUE"""),37.0)</f>
        <v>37</v>
      </c>
      <c r="Y295" s="763"/>
      <c r="Z295" s="768" t="str">
        <f>IFERROR(__xludf.DUMMYFUNCTION("""COMPUTED_VALUE"""),"https://studio-gem.it/wp-admin/post.php?post=65177&amp;action=edit")</f>
        <v>https://studio-gem.it/wp-admin/post.php?post=65177&amp;action=edit</v>
      </c>
      <c r="AA295" s="763"/>
      <c r="AB295" s="763"/>
      <c r="AC295" s="763"/>
      <c r="AD295" s="763"/>
      <c r="AE295" s="763"/>
      <c r="AF295" s="763"/>
      <c r="AG295" s="763"/>
      <c r="AH295" s="763"/>
      <c r="AI295" s="763"/>
      <c r="AJ295" s="763"/>
      <c r="AK295" s="763"/>
      <c r="AL295" s="763"/>
      <c r="AM295" s="763"/>
      <c r="AN295" s="763"/>
      <c r="AO295" s="763"/>
      <c r="AP295" s="763"/>
      <c r="AQ295" s="763"/>
      <c r="AR295" s="763"/>
      <c r="AS295" s="763"/>
      <c r="AT295" s="763"/>
      <c r="AU295" s="763"/>
      <c r="AV295" s="763"/>
      <c r="AW295" s="763"/>
      <c r="AX295" s="763"/>
      <c r="AY295" s="763"/>
      <c r="AZ295" s="763"/>
      <c r="BA295" s="763"/>
      <c r="BB295" s="763"/>
      <c r="BC295" s="763"/>
      <c r="BD295" s="763"/>
      <c r="BE295" s="763"/>
      <c r="BF295" s="763"/>
      <c r="BG295" s="763" t="b">
        <f>IFERROR(__xludf.DUMMYFUNCTION("""COMPUTED_VALUE"""),TRUE)</f>
        <v>1</v>
      </c>
      <c r="BH295" s="763" t="b">
        <f>IFERROR(__xludf.DUMMYFUNCTION("""COMPUTED_VALUE"""),TRUE)</f>
        <v>1</v>
      </c>
      <c r="BI295" s="763" t="b">
        <f>IFERROR(__xludf.DUMMYFUNCTION("""COMPUTED_VALUE"""),TRUE)</f>
        <v>1</v>
      </c>
      <c r="BJ295" s="763" t="b">
        <f>IFERROR(__xludf.DUMMYFUNCTION("""COMPUTED_VALUE"""),TRUE)</f>
        <v>1</v>
      </c>
    </row>
    <row r="296">
      <c r="A296" s="763">
        <f>IFERROR(__xludf.DUMMYFUNCTION("""COMPUTED_VALUE"""),65179.0)</f>
        <v>65179</v>
      </c>
      <c r="B296" s="763">
        <f>IFERROR(__xludf.DUMMYFUNCTION("""COMPUTED_VALUE"""),65179.0)</f>
        <v>65179</v>
      </c>
      <c r="C296" s="763" t="str">
        <f>IFERROR(__xludf.DUMMYFUNCTION("""COMPUTED_VALUE"""),"2025-10-14 08:33:02")</f>
        <v>2025-10-14 08:33:02</v>
      </c>
      <c r="D296" s="763" t="str">
        <f>IFERROR(__xludf.DUMMYFUNCTION("""COMPUTED_VALUE"""),"pending")</f>
        <v>pending</v>
      </c>
      <c r="E296" s="763" t="str">
        <f>IFERROR(__xludf.DUMMYFUNCTION("""COMPUTED_VALUE"""),"Nicole")</f>
        <v>Nicole</v>
      </c>
      <c r="F296" s="763" t="str">
        <f>IFERROR(__xludf.DUMMYFUNCTION("""COMPUTED_VALUE"""),"Poppa")</f>
        <v>Poppa</v>
      </c>
      <c r="G296" s="763" t="str">
        <f>IFERROR(__xludf.DUMMYFUNCTION("""COMPUTED_VALUE"""),"nicolepoppa03@gmail.com")</f>
        <v>nicolepoppa03@gmail.com</v>
      </c>
      <c r="H296" s="763">
        <f>IFERROR(__xludf.DUMMYFUNCTION("""COMPUTED_VALUE"""),3.921397327E9)</f>
        <v>3921397327</v>
      </c>
      <c r="I296" s="763" t="str">
        <f>IFERROR(__xludf.DUMMYFUNCTION("""COMPUTED_VALUE"""),"Pinerolo")</f>
        <v>Pinerolo</v>
      </c>
      <c r="J296" s="763" t="str">
        <f>IFERROR(__xludf.DUMMYFUNCTION("""COMPUTED_VALUE"""),"Via santorre di santarosa 18")</f>
        <v>Via santorre di santarosa 18</v>
      </c>
      <c r="K296" s="763">
        <f>IFERROR(__xludf.DUMMYFUNCTION("""COMPUTED_VALUE"""),10064.0)</f>
        <v>10064</v>
      </c>
      <c r="L296" s="763" t="str">
        <f>IFERROR(__xludf.DUMMYFUNCTION("""COMPUTED_VALUE"""),"Carte di pagamento")</f>
        <v>Carte di pagamento</v>
      </c>
      <c r="M296" s="763"/>
      <c r="N296" s="763"/>
      <c r="O296" s="763">
        <f>IFERROR(__xludf.DUMMYFUNCTION("""COMPUTED_VALUE"""),0.0)</f>
        <v>0</v>
      </c>
      <c r="P296" s="767">
        <f>IFERROR(__xludf.DUMMYFUNCTION("""COMPUTED_VALUE"""),1.3333333333333333)</f>
        <v>1.333333333</v>
      </c>
      <c r="Q296" s="763" t="str">
        <f>IFERROR(__xludf.DUMMYFUNCTION("""COMPUTED_VALUE"""),"EUR")</f>
        <v>EUR</v>
      </c>
      <c r="R296" s="763">
        <f>IFERROR(__xludf.DUMMYFUNCTION("""COMPUTED_VALUE"""),711.0)</f>
        <v>711</v>
      </c>
      <c r="S296" s="763" t="str">
        <f>IFERROR(__xludf.DUMMYFUNCTION("""COMPUTED_VALUE"""),"Workshop Afrofusion con Banana 2025 - Workshop Banana afrofusion")</f>
        <v>Workshop Afrofusion con Banana 2025 - Workshop Banana afrofusion</v>
      </c>
      <c r="T296" s="763"/>
      <c r="U296" s="763"/>
      <c r="V296" s="763">
        <f>IFERROR(__xludf.DUMMYFUNCTION("""COMPUTED_VALUE"""),1.0)</f>
        <v>1</v>
      </c>
      <c r="W296" s="763">
        <f>IFERROR(__xludf.DUMMYFUNCTION("""COMPUTED_VALUE"""),32.0)</f>
        <v>32</v>
      </c>
      <c r="X296" s="763">
        <f>IFERROR(__xludf.DUMMYFUNCTION("""COMPUTED_VALUE"""),32.0)</f>
        <v>32</v>
      </c>
      <c r="Y296" s="763"/>
      <c r="Z296" s="768" t="str">
        <f>IFERROR(__xludf.DUMMYFUNCTION("""COMPUTED_VALUE"""),"https://studio-gem.it/wp-admin/post.php?post=65179&amp;action=edit")</f>
        <v>https://studio-gem.it/wp-admin/post.php?post=65179&amp;action=edit</v>
      </c>
      <c r="AA296" s="763"/>
      <c r="AB296" s="763"/>
      <c r="AC296" s="763"/>
      <c r="AD296" s="763"/>
      <c r="AE296" s="763"/>
      <c r="AF296" s="763"/>
      <c r="AG296" s="763"/>
      <c r="AH296" s="763"/>
      <c r="AI296" s="763"/>
      <c r="AJ296" s="763"/>
      <c r="AK296" s="763"/>
      <c r="AL296" s="763"/>
      <c r="AM296" s="763"/>
      <c r="AN296" s="763"/>
      <c r="AO296" s="763"/>
      <c r="AP296" s="763"/>
      <c r="AQ296" s="763"/>
      <c r="AR296" s="763"/>
      <c r="AS296" s="763"/>
      <c r="AT296" s="763"/>
      <c r="AU296" s="763"/>
      <c r="AV296" s="763"/>
      <c r="AW296" s="763"/>
      <c r="AX296" s="763"/>
      <c r="AY296" s="763"/>
      <c r="AZ296" s="763"/>
      <c r="BA296" s="763"/>
      <c r="BB296" s="763"/>
      <c r="BC296" s="763"/>
      <c r="BD296" s="763"/>
      <c r="BE296" s="763"/>
      <c r="BF296" s="763"/>
      <c r="BG296" s="763" t="b">
        <f>IFERROR(__xludf.DUMMYFUNCTION("""COMPUTED_VALUE"""),FALSE)</f>
        <v>0</v>
      </c>
      <c r="BH296" s="763" t="b">
        <f>IFERROR(__xludf.DUMMYFUNCTION("""COMPUTED_VALUE"""),FALSE)</f>
        <v>0</v>
      </c>
      <c r="BI296" s="763" t="b">
        <f>IFERROR(__xludf.DUMMYFUNCTION("""COMPUTED_VALUE"""),FALSE)</f>
        <v>0</v>
      </c>
      <c r="BJ296" s="763" t="b">
        <f>IFERROR(__xludf.DUMMYFUNCTION("""COMPUTED_VALUE"""),FALSE)</f>
        <v>0</v>
      </c>
    </row>
    <row r="297">
      <c r="A297" s="763">
        <f>IFERROR(__xludf.DUMMYFUNCTION("""COMPUTED_VALUE"""),65179.0)</f>
        <v>65179</v>
      </c>
      <c r="B297" s="763">
        <f>IFERROR(__xludf.DUMMYFUNCTION("""COMPUTED_VALUE"""),65179.0)</f>
        <v>65179</v>
      </c>
      <c r="C297" s="763" t="str">
        <f>IFERROR(__xludf.DUMMYFUNCTION("""COMPUTED_VALUE"""),"2025-10-14 08:33:02")</f>
        <v>2025-10-14 08:33:02</v>
      </c>
      <c r="D297" s="763" t="str">
        <f>IFERROR(__xludf.DUMMYFUNCTION("""COMPUTED_VALUE"""),"pending")</f>
        <v>pending</v>
      </c>
      <c r="E297" s="763" t="str">
        <f>IFERROR(__xludf.DUMMYFUNCTION("""COMPUTED_VALUE"""),"Nicole")</f>
        <v>Nicole</v>
      </c>
      <c r="F297" s="763" t="str">
        <f>IFERROR(__xludf.DUMMYFUNCTION("""COMPUTED_VALUE"""),"Poppa")</f>
        <v>Poppa</v>
      </c>
      <c r="G297" s="763" t="str">
        <f>IFERROR(__xludf.DUMMYFUNCTION("""COMPUTED_VALUE"""),"nicolepoppa03@gmail.com")</f>
        <v>nicolepoppa03@gmail.com</v>
      </c>
      <c r="H297" s="763">
        <f>IFERROR(__xludf.DUMMYFUNCTION("""COMPUTED_VALUE"""),3.921397327E9)</f>
        <v>3921397327</v>
      </c>
      <c r="I297" s="763" t="str">
        <f>IFERROR(__xludf.DUMMYFUNCTION("""COMPUTED_VALUE"""),"Pinerolo")</f>
        <v>Pinerolo</v>
      </c>
      <c r="J297" s="763" t="str">
        <f>IFERROR(__xludf.DUMMYFUNCTION("""COMPUTED_VALUE"""),"Via santorre di santarosa 18")</f>
        <v>Via santorre di santarosa 18</v>
      </c>
      <c r="K297" s="763">
        <f>IFERROR(__xludf.DUMMYFUNCTION("""COMPUTED_VALUE"""),10064.0)</f>
        <v>10064</v>
      </c>
      <c r="L297" s="763" t="str">
        <f>IFERROR(__xludf.DUMMYFUNCTION("""COMPUTED_VALUE"""),"Carte di pagamento")</f>
        <v>Carte di pagamento</v>
      </c>
      <c r="M297" s="763"/>
      <c r="N297" s="763"/>
      <c r="O297" s="763">
        <f>IFERROR(__xludf.DUMMYFUNCTION("""COMPUTED_VALUE"""),0.0)</f>
        <v>0</v>
      </c>
      <c r="P297" s="767">
        <f>IFERROR(__xludf.DUMMYFUNCTION("""COMPUTED_VALUE"""),1.3333333333333333)</f>
        <v>1.333333333</v>
      </c>
      <c r="Q297" s="763" t="str">
        <f>IFERROR(__xludf.DUMMYFUNCTION("""COMPUTED_VALUE"""),"EUR")</f>
        <v>EUR</v>
      </c>
      <c r="R297" s="763">
        <f>IFERROR(__xludf.DUMMYFUNCTION("""COMPUTED_VALUE"""),712.0)</f>
        <v>712</v>
      </c>
      <c r="S297" s="763" t="str">
        <f>IFERROR(__xludf.DUMMYFUNCTION("""COMPUTED_VALUE"""),"Workshop Afrofusion con Banana 2025 - Workshop Banana afrofusion")</f>
        <v>Workshop Afrofusion con Banana 2025 - Workshop Banana afrofusion</v>
      </c>
      <c r="T297" s="763"/>
      <c r="U297" s="763"/>
      <c r="V297" s="763">
        <f>IFERROR(__xludf.DUMMYFUNCTION("""COMPUTED_VALUE"""),1.0)</f>
        <v>1</v>
      </c>
      <c r="W297" s="763">
        <f>IFERROR(__xludf.DUMMYFUNCTION("""COMPUTED_VALUE"""),32.0)</f>
        <v>32</v>
      </c>
      <c r="X297" s="763">
        <f>IFERROR(__xludf.DUMMYFUNCTION("""COMPUTED_VALUE"""),32.0)</f>
        <v>32</v>
      </c>
      <c r="Y297" s="763"/>
      <c r="Z297" s="768" t="str">
        <f>IFERROR(__xludf.DUMMYFUNCTION("""COMPUTED_VALUE"""),"https://studio-gem.it/wp-admin/post.php?post=65179&amp;action=edit")</f>
        <v>https://studio-gem.it/wp-admin/post.php?post=65179&amp;action=edit</v>
      </c>
      <c r="AA297" s="763"/>
      <c r="AB297" s="763"/>
      <c r="AC297" s="763"/>
      <c r="AD297" s="763"/>
      <c r="AE297" s="763"/>
      <c r="AF297" s="763"/>
      <c r="AG297" s="763"/>
      <c r="AH297" s="763"/>
      <c r="AI297" s="763"/>
      <c r="AJ297" s="763"/>
      <c r="AK297" s="763"/>
      <c r="AL297" s="763"/>
      <c r="AM297" s="763"/>
      <c r="AN297" s="763"/>
      <c r="AO297" s="763"/>
      <c r="AP297" s="763"/>
      <c r="AQ297" s="763"/>
      <c r="AR297" s="763"/>
      <c r="AS297" s="763"/>
      <c r="AT297" s="763"/>
      <c r="AU297" s="763"/>
      <c r="AV297" s="763"/>
      <c r="AW297" s="763"/>
      <c r="AX297" s="763"/>
      <c r="AY297" s="763"/>
      <c r="AZ297" s="763"/>
      <c r="BA297" s="763"/>
      <c r="BB297" s="763"/>
      <c r="BC297" s="763"/>
      <c r="BD297" s="763"/>
      <c r="BE297" s="763"/>
      <c r="BF297" s="763"/>
      <c r="BG297" s="763" t="b">
        <f>IFERROR(__xludf.DUMMYFUNCTION("""COMPUTED_VALUE"""),FALSE)</f>
        <v>0</v>
      </c>
      <c r="BH297" s="763" t="b">
        <f>IFERROR(__xludf.DUMMYFUNCTION("""COMPUTED_VALUE"""),FALSE)</f>
        <v>0</v>
      </c>
      <c r="BI297" s="763" t="b">
        <f>IFERROR(__xludf.DUMMYFUNCTION("""COMPUTED_VALUE"""),FALSE)</f>
        <v>0</v>
      </c>
      <c r="BJ297" s="763" t="b">
        <f>IFERROR(__xludf.DUMMYFUNCTION("""COMPUTED_VALUE"""),FALSE)</f>
        <v>0</v>
      </c>
    </row>
    <row r="298">
      <c r="A298" s="763">
        <f>IFERROR(__xludf.DUMMYFUNCTION("""COMPUTED_VALUE"""),65184.0)</f>
        <v>65184</v>
      </c>
      <c r="B298" s="763">
        <f>IFERROR(__xludf.DUMMYFUNCTION("""COMPUTED_VALUE"""),65184.0)</f>
        <v>65184</v>
      </c>
      <c r="C298" s="763" t="str">
        <f>IFERROR(__xludf.DUMMYFUNCTION("""COMPUTED_VALUE"""),"2025-10-14 11:52:15")</f>
        <v>2025-10-14 11:52:15</v>
      </c>
      <c r="D298" s="763" t="str">
        <f>IFERROR(__xludf.DUMMYFUNCTION("""COMPUTED_VALUE"""),"pending")</f>
        <v>pending</v>
      </c>
      <c r="E298" s="763" t="str">
        <f>IFERROR(__xludf.DUMMYFUNCTION("""COMPUTED_VALUE"""),"Nicole")</f>
        <v>Nicole</v>
      </c>
      <c r="F298" s="763" t="str">
        <f>IFERROR(__xludf.DUMMYFUNCTION("""COMPUTED_VALUE"""),"Poppa")</f>
        <v>Poppa</v>
      </c>
      <c r="G298" s="763" t="str">
        <f>IFERROR(__xludf.DUMMYFUNCTION("""COMPUTED_VALUE"""),"nicolepoppa03@gmail.com")</f>
        <v>nicolepoppa03@gmail.com</v>
      </c>
      <c r="H298" s="763">
        <f>IFERROR(__xludf.DUMMYFUNCTION("""COMPUTED_VALUE"""),3.921397327E9)</f>
        <v>3921397327</v>
      </c>
      <c r="I298" s="763" t="str">
        <f>IFERROR(__xludf.DUMMYFUNCTION("""COMPUTED_VALUE"""),"Pinerolo")</f>
        <v>Pinerolo</v>
      </c>
      <c r="J298" s="763" t="str">
        <f>IFERROR(__xludf.DUMMYFUNCTION("""COMPUTED_VALUE"""),"Via santorre di santarosa 18")</f>
        <v>Via santorre di santarosa 18</v>
      </c>
      <c r="K298" s="763">
        <f>IFERROR(__xludf.DUMMYFUNCTION("""COMPUTED_VALUE"""),10064.0)</f>
        <v>10064</v>
      </c>
      <c r="L298" s="763" t="str">
        <f>IFERROR(__xludf.DUMMYFUNCTION("""COMPUTED_VALUE"""),"Carte di pagamento")</f>
        <v>Carte di pagamento</v>
      </c>
      <c r="M298" s="763"/>
      <c r="N298" s="763"/>
      <c r="O298" s="763">
        <f>IFERROR(__xludf.DUMMYFUNCTION("""COMPUTED_VALUE"""),0.0)</f>
        <v>0</v>
      </c>
      <c r="P298" s="767">
        <f>IFERROR(__xludf.DUMMYFUNCTION("""COMPUTED_VALUE"""),1.5416666666666667)</f>
        <v>1.541666667</v>
      </c>
      <c r="Q298" s="763" t="str">
        <f>IFERROR(__xludf.DUMMYFUNCTION("""COMPUTED_VALUE"""),"EUR")</f>
        <v>EUR</v>
      </c>
      <c r="R298" s="763">
        <f>IFERROR(__xludf.DUMMYFUNCTION("""COMPUTED_VALUE"""),713.0)</f>
        <v>713</v>
      </c>
      <c r="S298" s="763" t="str">
        <f>IFERROR(__xludf.DUMMYFUNCTION("""COMPUTED_VALUE"""),"Workshop Afrofusion con Banana 2025 - Workshop Banana afrofusion")</f>
        <v>Workshop Afrofusion con Banana 2025 - Workshop Banana afrofusion</v>
      </c>
      <c r="T298" s="763"/>
      <c r="U298" s="763"/>
      <c r="V298" s="763">
        <f>IFERROR(__xludf.DUMMYFUNCTION("""COMPUTED_VALUE"""),1.0)</f>
        <v>1</v>
      </c>
      <c r="W298" s="763">
        <f>IFERROR(__xludf.DUMMYFUNCTION("""COMPUTED_VALUE"""),37.0)</f>
        <v>37</v>
      </c>
      <c r="X298" s="763">
        <f>IFERROR(__xludf.DUMMYFUNCTION("""COMPUTED_VALUE"""),37.0)</f>
        <v>37</v>
      </c>
      <c r="Y298" s="763"/>
      <c r="Z298" s="768" t="str">
        <f>IFERROR(__xludf.DUMMYFUNCTION("""COMPUTED_VALUE"""),"https://studio-gem.it/wp-admin/post.php?post=65184&amp;action=edit")</f>
        <v>https://studio-gem.it/wp-admin/post.php?post=65184&amp;action=edit</v>
      </c>
      <c r="AA298" s="763"/>
      <c r="AB298" s="763"/>
      <c r="AC298" s="763"/>
      <c r="AD298" s="763"/>
      <c r="AE298" s="763"/>
      <c r="AF298" s="763"/>
      <c r="AG298" s="763"/>
      <c r="AH298" s="763"/>
      <c r="AI298" s="763"/>
      <c r="AJ298" s="763"/>
      <c r="AK298" s="763"/>
      <c r="AL298" s="763"/>
      <c r="AM298" s="763"/>
      <c r="AN298" s="763"/>
      <c r="AO298" s="763"/>
      <c r="AP298" s="763"/>
      <c r="AQ298" s="763"/>
      <c r="AR298" s="763"/>
      <c r="AS298" s="763"/>
      <c r="AT298" s="763"/>
      <c r="AU298" s="763"/>
      <c r="AV298" s="763"/>
      <c r="AW298" s="763"/>
      <c r="AX298" s="763"/>
      <c r="AY298" s="763"/>
      <c r="AZ298" s="763"/>
      <c r="BA298" s="763"/>
      <c r="BB298" s="763"/>
      <c r="BC298" s="763"/>
      <c r="BD298" s="763"/>
      <c r="BE298" s="763"/>
      <c r="BF298" s="763"/>
      <c r="BG298" s="763" t="b">
        <f>IFERROR(__xludf.DUMMYFUNCTION("""COMPUTED_VALUE"""),FALSE)</f>
        <v>0</v>
      </c>
      <c r="BH298" s="763" t="b">
        <f>IFERROR(__xludf.DUMMYFUNCTION("""COMPUTED_VALUE"""),FALSE)</f>
        <v>0</v>
      </c>
      <c r="BI298" s="763" t="b">
        <f>IFERROR(__xludf.DUMMYFUNCTION("""COMPUTED_VALUE"""),FALSE)</f>
        <v>0</v>
      </c>
      <c r="BJ298" s="763" t="b">
        <f>IFERROR(__xludf.DUMMYFUNCTION("""COMPUTED_VALUE"""),FALSE)</f>
        <v>0</v>
      </c>
    </row>
    <row r="299">
      <c r="A299" s="763">
        <f>IFERROR(__xludf.DUMMYFUNCTION("""COMPUTED_VALUE"""),65185.0)</f>
        <v>65185</v>
      </c>
      <c r="B299" s="763">
        <f>IFERROR(__xludf.DUMMYFUNCTION("""COMPUTED_VALUE"""),65185.0)</f>
        <v>65185</v>
      </c>
      <c r="C299" s="763" t="str">
        <f>IFERROR(__xludf.DUMMYFUNCTION("""COMPUTED_VALUE"""),"2025-10-14 12:14:48")</f>
        <v>2025-10-14 12:14:48</v>
      </c>
      <c r="D299" s="763" t="str">
        <f>IFERROR(__xludf.DUMMYFUNCTION("""COMPUTED_VALUE"""),"pending")</f>
        <v>pending</v>
      </c>
      <c r="E299" s="763" t="str">
        <f>IFERROR(__xludf.DUMMYFUNCTION("""COMPUTED_VALUE"""),"Nicole")</f>
        <v>Nicole</v>
      </c>
      <c r="F299" s="763" t="str">
        <f>IFERROR(__xludf.DUMMYFUNCTION("""COMPUTED_VALUE"""),"Poppa")</f>
        <v>Poppa</v>
      </c>
      <c r="G299" s="763" t="str">
        <f>IFERROR(__xludf.DUMMYFUNCTION("""COMPUTED_VALUE"""),"nicolepoppa03@gmail.com")</f>
        <v>nicolepoppa03@gmail.com</v>
      </c>
      <c r="H299" s="763">
        <f>IFERROR(__xludf.DUMMYFUNCTION("""COMPUTED_VALUE"""),3.921397327E9)</f>
        <v>3921397327</v>
      </c>
      <c r="I299" s="763" t="str">
        <f>IFERROR(__xludf.DUMMYFUNCTION("""COMPUTED_VALUE"""),"Pinerolo")</f>
        <v>Pinerolo</v>
      </c>
      <c r="J299" s="763" t="str">
        <f>IFERROR(__xludf.DUMMYFUNCTION("""COMPUTED_VALUE"""),"Via santorre di santarosa 18")</f>
        <v>Via santorre di santarosa 18</v>
      </c>
      <c r="K299" s="763">
        <f>IFERROR(__xludf.DUMMYFUNCTION("""COMPUTED_VALUE"""),10064.0)</f>
        <v>10064</v>
      </c>
      <c r="L299" s="763" t="str">
        <f>IFERROR(__xludf.DUMMYFUNCTION("""COMPUTED_VALUE"""),"Carte di pagamento")</f>
        <v>Carte di pagamento</v>
      </c>
      <c r="M299" s="763" t="str">
        <f>IFERROR(__xludf.DUMMYFUNCTION("""COMPUTED_VALUE"""),"estefany02ws")</f>
        <v>estefany02ws</v>
      </c>
      <c r="N299" s="763"/>
      <c r="O299" s="763">
        <f>IFERROR(__xludf.DUMMYFUNCTION("""COMPUTED_VALUE"""),0.0)</f>
        <v>0</v>
      </c>
      <c r="P299" s="767">
        <f>IFERROR(__xludf.DUMMYFUNCTION("""COMPUTED_VALUE"""),1.4583333333333333)</f>
        <v>1.458333333</v>
      </c>
      <c r="Q299" s="763" t="str">
        <f>IFERROR(__xludf.DUMMYFUNCTION("""COMPUTED_VALUE"""),"EUR")</f>
        <v>EUR</v>
      </c>
      <c r="R299" s="763">
        <f>IFERROR(__xludf.DUMMYFUNCTION("""COMPUTED_VALUE"""),714.0)</f>
        <v>714</v>
      </c>
      <c r="S299" s="763" t="str">
        <f>IFERROR(__xludf.DUMMYFUNCTION("""COMPUTED_VALUE"""),"Workshop Afrofusion con Banana 2025 - Workshop Banana afrofusion")</f>
        <v>Workshop Afrofusion con Banana 2025 - Workshop Banana afrofusion</v>
      </c>
      <c r="T299" s="763"/>
      <c r="U299" s="763"/>
      <c r="V299" s="763">
        <f>IFERROR(__xludf.DUMMYFUNCTION("""COMPUTED_VALUE"""),1.0)</f>
        <v>1</v>
      </c>
      <c r="W299" s="763">
        <f>IFERROR(__xludf.DUMMYFUNCTION("""COMPUTED_VALUE"""),35.0)</f>
        <v>35</v>
      </c>
      <c r="X299" s="763">
        <f>IFERROR(__xludf.DUMMYFUNCTION("""COMPUTED_VALUE"""),35.0)</f>
        <v>35</v>
      </c>
      <c r="Y299" s="763"/>
      <c r="Z299" s="768" t="str">
        <f>IFERROR(__xludf.DUMMYFUNCTION("""COMPUTED_VALUE"""),"https://studio-gem.it/wp-admin/post.php?post=65185&amp;action=edit")</f>
        <v>https://studio-gem.it/wp-admin/post.php?post=65185&amp;action=edit</v>
      </c>
      <c r="AA299" s="763"/>
      <c r="AB299" s="763"/>
      <c r="AC299" s="763"/>
      <c r="AD299" s="763"/>
      <c r="AE299" s="763"/>
      <c r="AF299" s="763"/>
      <c r="AG299" s="763"/>
      <c r="AH299" s="763"/>
      <c r="AI299" s="763"/>
      <c r="AJ299" s="763"/>
      <c r="AK299" s="763"/>
      <c r="AL299" s="763"/>
      <c r="AM299" s="763"/>
      <c r="AN299" s="763"/>
      <c r="AO299" s="763"/>
      <c r="AP299" s="763"/>
      <c r="AQ299" s="763"/>
      <c r="AR299" s="763"/>
      <c r="AS299" s="763"/>
      <c r="AT299" s="763"/>
      <c r="AU299" s="763"/>
      <c r="AV299" s="763"/>
      <c r="AW299" s="763"/>
      <c r="AX299" s="763"/>
      <c r="AY299" s="763"/>
      <c r="AZ299" s="763"/>
      <c r="BA299" s="763"/>
      <c r="BB299" s="763"/>
      <c r="BC299" s="763"/>
      <c r="BD299" s="763"/>
      <c r="BE299" s="763"/>
      <c r="BF299" s="763"/>
      <c r="BG299" s="763" t="b">
        <f>IFERROR(__xludf.DUMMYFUNCTION("""COMPUTED_VALUE"""),FALSE)</f>
        <v>0</v>
      </c>
      <c r="BH299" s="763" t="b">
        <f>IFERROR(__xludf.DUMMYFUNCTION("""COMPUTED_VALUE"""),FALSE)</f>
        <v>0</v>
      </c>
      <c r="BI299" s="763" t="b">
        <f>IFERROR(__xludf.DUMMYFUNCTION("""COMPUTED_VALUE"""),TRUE)</f>
        <v>1</v>
      </c>
      <c r="BJ299" s="763" t="b">
        <f>IFERROR(__xludf.DUMMYFUNCTION("""COMPUTED_VALUE"""),FALSE)</f>
        <v>0</v>
      </c>
    </row>
    <row r="300">
      <c r="A300" s="763">
        <f>IFERROR(__xludf.DUMMYFUNCTION("""COMPUTED_VALUE"""),65187.0)</f>
        <v>65187</v>
      </c>
      <c r="B300" s="763">
        <f>IFERROR(__xludf.DUMMYFUNCTION("""COMPUTED_VALUE"""),65187.0)</f>
        <v>65187</v>
      </c>
      <c r="C300" s="763" t="str">
        <f>IFERROR(__xludf.DUMMYFUNCTION("""COMPUTED_VALUE"""),"2025-10-14 13:37:09")</f>
        <v>2025-10-14 13:37:09</v>
      </c>
      <c r="D300" s="763" t="str">
        <f>IFERROR(__xludf.DUMMYFUNCTION("""COMPUTED_VALUE"""),"completed")</f>
        <v>completed</v>
      </c>
      <c r="E300" s="763" t="str">
        <f>IFERROR(__xludf.DUMMYFUNCTION("""COMPUTED_VALUE"""),"Ginevra")</f>
        <v>Ginevra</v>
      </c>
      <c r="F300" s="763" t="str">
        <f>IFERROR(__xludf.DUMMYFUNCTION("""COMPUTED_VALUE"""),"Scajola")</f>
        <v>Scajola</v>
      </c>
      <c r="G300" s="763" t="str">
        <f>IFERROR(__xludf.DUMMYFUNCTION("""COMPUTED_VALUE"""),"scajolaginevra@gmail.com")</f>
        <v>scajolaginevra@gmail.com</v>
      </c>
      <c r="H300" s="763">
        <f>IFERROR(__xludf.DUMMYFUNCTION("""COMPUTED_VALUE"""),3.466942756E9)</f>
        <v>3466942756</v>
      </c>
      <c r="I300" s="763" t="str">
        <f>IFERROR(__xludf.DUMMYFUNCTION("""COMPUTED_VALUE"""),"Milano")</f>
        <v>Milano</v>
      </c>
      <c r="J300" s="763" t="str">
        <f>IFERROR(__xludf.DUMMYFUNCTION("""COMPUTED_VALUE"""),"via vivaio")</f>
        <v>via vivaio</v>
      </c>
      <c r="K300" s="763">
        <f>IFERROR(__xludf.DUMMYFUNCTION("""COMPUTED_VALUE"""),20122.0)</f>
        <v>20122</v>
      </c>
      <c r="L300" s="763" t="str">
        <f>IFERROR(__xludf.DUMMYFUNCTION("""COMPUTED_VALUE"""),"Apple Pay")</f>
        <v>Apple Pay</v>
      </c>
      <c r="M300" s="763"/>
      <c r="N300" s="763" t="str">
        <f>IFERROR(__xludf.DUMMYFUNCTION("""COMPUTED_VALUE"""),"65187-1760449274")</f>
        <v>65187-1760449274</v>
      </c>
      <c r="O300" s="763">
        <f>IFERROR(__xludf.DUMMYFUNCTION("""COMPUTED_VALUE"""),0.0)</f>
        <v>0</v>
      </c>
      <c r="P300" s="767">
        <f>IFERROR(__xludf.DUMMYFUNCTION("""COMPUTED_VALUE"""),1.875)</f>
        <v>1.875</v>
      </c>
      <c r="Q300" s="763" t="str">
        <f>IFERROR(__xludf.DUMMYFUNCTION("""COMPUTED_VALUE"""),"EUR")</f>
        <v>EUR</v>
      </c>
      <c r="R300" s="763">
        <f>IFERROR(__xludf.DUMMYFUNCTION("""COMPUTED_VALUE"""),717.0)</f>
        <v>717</v>
      </c>
      <c r="S300" s="763" t="str">
        <f>IFERROR(__xludf.DUMMYFUNCTION("""COMPUTED_VALUE"""),"Workshop Commercial con Timor Steffens - Workshop Commercial con Timor Steffens")</f>
        <v>Workshop Commercial con Timor Steffens - Workshop Commercial con Timor Steffens</v>
      </c>
      <c r="T300" s="763"/>
      <c r="U300" s="763"/>
      <c r="V300" s="763">
        <f>IFERROR(__xludf.DUMMYFUNCTION("""COMPUTED_VALUE"""),1.0)</f>
        <v>1</v>
      </c>
      <c r="W300" s="763">
        <f>IFERROR(__xludf.DUMMYFUNCTION("""COMPUTED_VALUE"""),45.0)</f>
        <v>45</v>
      </c>
      <c r="X300" s="763">
        <f>IFERROR(__xludf.DUMMYFUNCTION("""COMPUTED_VALUE"""),45.0)</f>
        <v>45</v>
      </c>
      <c r="Y300" s="763"/>
      <c r="Z300" s="768" t="str">
        <f>IFERROR(__xludf.DUMMYFUNCTION("""COMPUTED_VALUE"""),"https://studio-gem.it/wp-admin/post.php?post=65187&amp;action=edit")</f>
        <v>https://studio-gem.it/wp-admin/post.php?post=65187&amp;action=edit</v>
      </c>
      <c r="AA300" s="763"/>
      <c r="AB300" s="763"/>
      <c r="AC300" s="763"/>
      <c r="AD300" s="763"/>
      <c r="AE300" s="763"/>
      <c r="AF300" s="763"/>
      <c r="AG300" s="763"/>
      <c r="AH300" s="763"/>
      <c r="AI300" s="763"/>
      <c r="AJ300" s="763"/>
      <c r="AK300" s="763"/>
      <c r="AL300" s="763"/>
      <c r="AM300" s="763"/>
      <c r="AN300" s="763"/>
      <c r="AO300" s="763"/>
      <c r="AP300" s="763"/>
      <c r="AQ300" s="763"/>
      <c r="AR300" s="763"/>
      <c r="AS300" s="763"/>
      <c r="AT300" s="763"/>
      <c r="AU300" s="763"/>
      <c r="AV300" s="763"/>
      <c r="AW300" s="763"/>
      <c r="AX300" s="763"/>
      <c r="AY300" s="763"/>
      <c r="AZ300" s="763"/>
      <c r="BA300" s="763"/>
      <c r="BB300" s="763"/>
      <c r="BC300" s="763"/>
      <c r="BD300" s="763"/>
      <c r="BE300" s="763"/>
      <c r="BF300" s="763"/>
      <c r="BG300" s="763" t="b">
        <f>IFERROR(__xludf.DUMMYFUNCTION("""COMPUTED_VALUE"""),TRUE)</f>
        <v>1</v>
      </c>
      <c r="BH300" s="763" t="b">
        <f>IFERROR(__xludf.DUMMYFUNCTION("""COMPUTED_VALUE"""),TRUE)</f>
        <v>1</v>
      </c>
      <c r="BI300" s="763" t="b">
        <f>IFERROR(__xludf.DUMMYFUNCTION("""COMPUTED_VALUE"""),TRUE)</f>
        <v>1</v>
      </c>
      <c r="BJ300" s="763" t="b">
        <f>IFERROR(__xludf.DUMMYFUNCTION("""COMPUTED_VALUE"""),TRUE)</f>
        <v>1</v>
      </c>
    </row>
    <row r="301">
      <c r="A301" s="763">
        <f>IFERROR(__xludf.DUMMYFUNCTION("""COMPUTED_VALUE"""),65190.0)</f>
        <v>65190</v>
      </c>
      <c r="B301" s="763">
        <f>IFERROR(__xludf.DUMMYFUNCTION("""COMPUTED_VALUE"""),65190.0)</f>
        <v>65190</v>
      </c>
      <c r="C301" s="763" t="str">
        <f>IFERROR(__xludf.DUMMYFUNCTION("""COMPUTED_VALUE"""),"2025-10-14 14:03:59")</f>
        <v>2025-10-14 14:03:59</v>
      </c>
      <c r="D301" s="763" t="str">
        <f>IFERROR(__xludf.DUMMYFUNCTION("""COMPUTED_VALUE"""),"pending")</f>
        <v>pending</v>
      </c>
      <c r="E301" s="763" t="str">
        <f>IFERROR(__xludf.DUMMYFUNCTION("""COMPUTED_VALUE"""),"Nicole")</f>
        <v>Nicole</v>
      </c>
      <c r="F301" s="763" t="str">
        <f>IFERROR(__xludf.DUMMYFUNCTION("""COMPUTED_VALUE"""),"Poppa")</f>
        <v>Poppa</v>
      </c>
      <c r="G301" s="763" t="str">
        <f>IFERROR(__xludf.DUMMYFUNCTION("""COMPUTED_VALUE"""),"nicolepoppa03@gmail.com")</f>
        <v>nicolepoppa03@gmail.com</v>
      </c>
      <c r="H301" s="763">
        <f>IFERROR(__xludf.DUMMYFUNCTION("""COMPUTED_VALUE"""),3.921397327E9)</f>
        <v>3921397327</v>
      </c>
      <c r="I301" s="763" t="str">
        <f>IFERROR(__xludf.DUMMYFUNCTION("""COMPUTED_VALUE"""),"Pinerolo")</f>
        <v>Pinerolo</v>
      </c>
      <c r="J301" s="763" t="str">
        <f>IFERROR(__xludf.DUMMYFUNCTION("""COMPUTED_VALUE"""),"Via santorre di santarosa 18")</f>
        <v>Via santorre di santarosa 18</v>
      </c>
      <c r="K301" s="763">
        <f>IFERROR(__xludf.DUMMYFUNCTION("""COMPUTED_VALUE"""),10064.0)</f>
        <v>10064</v>
      </c>
      <c r="L301" s="763" t="str">
        <f>IFERROR(__xludf.DUMMYFUNCTION("""COMPUTED_VALUE"""),"Carte di pagamento")</f>
        <v>Carte di pagamento</v>
      </c>
      <c r="M301" s="763" t="str">
        <f>IFERROR(__xludf.DUMMYFUNCTION("""COMPUTED_VALUE"""),"estefany02ws")</f>
        <v>estefany02ws</v>
      </c>
      <c r="N301" s="763"/>
      <c r="O301" s="763">
        <f>IFERROR(__xludf.DUMMYFUNCTION("""COMPUTED_VALUE"""),0.0)</f>
        <v>0</v>
      </c>
      <c r="P301" s="767">
        <f>IFERROR(__xludf.DUMMYFUNCTION("""COMPUTED_VALUE"""),1.7916666666666667)</f>
        <v>1.791666667</v>
      </c>
      <c r="Q301" s="763" t="str">
        <f>IFERROR(__xludf.DUMMYFUNCTION("""COMPUTED_VALUE"""),"EUR")</f>
        <v>EUR</v>
      </c>
      <c r="R301" s="763">
        <f>IFERROR(__xludf.DUMMYFUNCTION("""COMPUTED_VALUE"""),718.0)</f>
        <v>718</v>
      </c>
      <c r="S301" s="763" t="str">
        <f>IFERROR(__xludf.DUMMYFUNCTION("""COMPUTED_VALUE"""),"Workshop Commercial con Timor Steffens - Workshop Commercial con Timor Steffens")</f>
        <v>Workshop Commercial con Timor Steffens - Workshop Commercial con Timor Steffens</v>
      </c>
      <c r="T301" s="763"/>
      <c r="U301" s="763"/>
      <c r="V301" s="763">
        <f>IFERROR(__xludf.DUMMYFUNCTION("""COMPUTED_VALUE"""),1.0)</f>
        <v>1</v>
      </c>
      <c r="W301" s="763">
        <f>IFERROR(__xludf.DUMMYFUNCTION("""COMPUTED_VALUE"""),43.0)</f>
        <v>43</v>
      </c>
      <c r="X301" s="763">
        <f>IFERROR(__xludf.DUMMYFUNCTION("""COMPUTED_VALUE"""),43.0)</f>
        <v>43</v>
      </c>
      <c r="Y301" s="763"/>
      <c r="Z301" s="768" t="str">
        <f>IFERROR(__xludf.DUMMYFUNCTION("""COMPUTED_VALUE"""),"https://studio-gem.it/wp-admin/post.php?post=65190&amp;action=edit")</f>
        <v>https://studio-gem.it/wp-admin/post.php?post=65190&amp;action=edit</v>
      </c>
      <c r="AA301" s="763"/>
      <c r="AB301" s="763"/>
      <c r="AC301" s="763"/>
      <c r="AD301" s="763"/>
      <c r="AE301" s="763"/>
      <c r="AF301" s="763"/>
      <c r="AG301" s="763"/>
      <c r="AH301" s="763"/>
      <c r="AI301" s="763"/>
      <c r="AJ301" s="763"/>
      <c r="AK301" s="763"/>
      <c r="AL301" s="763"/>
      <c r="AM301" s="763"/>
      <c r="AN301" s="763"/>
      <c r="AO301" s="763"/>
      <c r="AP301" s="763"/>
      <c r="AQ301" s="763"/>
      <c r="AR301" s="763"/>
      <c r="AS301" s="763"/>
      <c r="AT301" s="763"/>
      <c r="AU301" s="763"/>
      <c r="AV301" s="763"/>
      <c r="AW301" s="763"/>
      <c r="AX301" s="763"/>
      <c r="AY301" s="763"/>
      <c r="AZ301" s="763"/>
      <c r="BA301" s="763"/>
      <c r="BB301" s="763"/>
      <c r="BC301" s="763"/>
      <c r="BD301" s="763"/>
      <c r="BE301" s="763"/>
      <c r="BF301" s="763"/>
      <c r="BG301" s="763" t="b">
        <f>IFERROR(__xludf.DUMMYFUNCTION("""COMPUTED_VALUE"""),FALSE)</f>
        <v>0</v>
      </c>
      <c r="BH301" s="763" t="b">
        <f>IFERROR(__xludf.DUMMYFUNCTION("""COMPUTED_VALUE"""),FALSE)</f>
        <v>0</v>
      </c>
      <c r="BI301" s="763" t="b">
        <f>IFERROR(__xludf.DUMMYFUNCTION("""COMPUTED_VALUE"""),FALSE)</f>
        <v>0</v>
      </c>
      <c r="BJ301" s="763" t="b">
        <f>IFERROR(__xludf.DUMMYFUNCTION("""COMPUTED_VALUE"""),FALSE)</f>
        <v>0</v>
      </c>
    </row>
    <row r="302">
      <c r="A302" s="763">
        <f>IFERROR(__xludf.DUMMYFUNCTION("""COMPUTED_VALUE"""),65191.0)</f>
        <v>65191</v>
      </c>
      <c r="B302" s="763">
        <f>IFERROR(__xludf.DUMMYFUNCTION("""COMPUTED_VALUE"""),65191.0)</f>
        <v>65191</v>
      </c>
      <c r="C302" s="763" t="str">
        <f>IFERROR(__xludf.DUMMYFUNCTION("""COMPUTED_VALUE"""),"2025-10-14 14:07:05")</f>
        <v>2025-10-14 14:07:05</v>
      </c>
      <c r="D302" s="763" t="str">
        <f>IFERROR(__xludf.DUMMYFUNCTION("""COMPUTED_VALUE"""),"completed")</f>
        <v>completed</v>
      </c>
      <c r="E302" s="763" t="str">
        <f>IFERROR(__xludf.DUMMYFUNCTION("""COMPUTED_VALUE"""),"Beatrice")</f>
        <v>Beatrice</v>
      </c>
      <c r="F302" s="763" t="str">
        <f>IFERROR(__xludf.DUMMYFUNCTION("""COMPUTED_VALUE"""),"Bastianello")</f>
        <v>Bastianello</v>
      </c>
      <c r="G302" s="763" t="str">
        <f>IFERROR(__xludf.DUMMYFUNCTION("""COMPUTED_VALUE"""),"beatricebastianello@gmail.com")</f>
        <v>beatricebastianello@gmail.com</v>
      </c>
      <c r="H302" s="763">
        <f>IFERROR(__xludf.DUMMYFUNCTION("""COMPUTED_VALUE"""),3.406844852E9)</f>
        <v>3406844852</v>
      </c>
      <c r="I302" s="763" t="str">
        <f>IFERROR(__xludf.DUMMYFUNCTION("""COMPUTED_VALUE"""),"Vergiate")</f>
        <v>Vergiate</v>
      </c>
      <c r="J302" s="763" t="str">
        <f>IFERROR(__xludf.DUMMYFUNCTION("""COMPUTED_VALUE"""),"Via Mercallo 48")</f>
        <v>Via Mercallo 48</v>
      </c>
      <c r="K302" s="763">
        <f>IFERROR(__xludf.DUMMYFUNCTION("""COMPUTED_VALUE"""),21029.0)</f>
        <v>21029</v>
      </c>
      <c r="L302" s="763" t="str">
        <f>IFERROR(__xludf.DUMMYFUNCTION("""COMPUTED_VALUE"""),"Carte di pagamento")</f>
        <v>Carte di pagamento</v>
      </c>
      <c r="M302" s="763"/>
      <c r="N302" s="763" t="str">
        <f>IFERROR(__xludf.DUMMYFUNCTION("""COMPUTED_VALUE"""),"65191-1760450826")</f>
        <v>65191-1760450826</v>
      </c>
      <c r="O302" s="763">
        <f>IFERROR(__xludf.DUMMYFUNCTION("""COMPUTED_VALUE"""),0.0)</f>
        <v>0</v>
      </c>
      <c r="P302" s="767">
        <f>IFERROR(__xludf.DUMMYFUNCTION("""COMPUTED_VALUE"""),1.875)</f>
        <v>1.875</v>
      </c>
      <c r="Q302" s="763" t="str">
        <f>IFERROR(__xludf.DUMMYFUNCTION("""COMPUTED_VALUE"""),"EUR")</f>
        <v>EUR</v>
      </c>
      <c r="R302" s="763">
        <f>IFERROR(__xludf.DUMMYFUNCTION("""COMPUTED_VALUE"""),720.0)</f>
        <v>720</v>
      </c>
      <c r="S302" s="763" t="str">
        <f>IFERROR(__xludf.DUMMYFUNCTION("""COMPUTED_VALUE"""),"Workshop Commercial con Timor Steffens - Workshop Commercial con Timor Steffens")</f>
        <v>Workshop Commercial con Timor Steffens - Workshop Commercial con Timor Steffens</v>
      </c>
      <c r="T302" s="763"/>
      <c r="U302" s="763"/>
      <c r="V302" s="763">
        <f>IFERROR(__xludf.DUMMYFUNCTION("""COMPUTED_VALUE"""),1.0)</f>
        <v>1</v>
      </c>
      <c r="W302" s="763">
        <f>IFERROR(__xludf.DUMMYFUNCTION("""COMPUTED_VALUE"""),45.0)</f>
        <v>45</v>
      </c>
      <c r="X302" s="763">
        <f>IFERROR(__xludf.DUMMYFUNCTION("""COMPUTED_VALUE"""),45.0)</f>
        <v>45</v>
      </c>
      <c r="Y302" s="763"/>
      <c r="Z302" s="768" t="str">
        <f>IFERROR(__xludf.DUMMYFUNCTION("""COMPUTED_VALUE"""),"https://studio-gem.it/wp-admin/post.php?post=65191&amp;action=edit")</f>
        <v>https://studio-gem.it/wp-admin/post.php?post=65191&amp;action=edit</v>
      </c>
      <c r="AA302" s="763"/>
      <c r="AB302" s="763"/>
      <c r="AC302" s="763"/>
      <c r="AD302" s="763"/>
      <c r="AE302" s="763"/>
      <c r="AF302" s="763"/>
      <c r="AG302" s="763"/>
      <c r="AH302" s="763"/>
      <c r="AI302" s="763"/>
      <c r="AJ302" s="763"/>
      <c r="AK302" s="763"/>
      <c r="AL302" s="763"/>
      <c r="AM302" s="763"/>
      <c r="AN302" s="763"/>
      <c r="AO302" s="763"/>
      <c r="AP302" s="763"/>
      <c r="AQ302" s="763"/>
      <c r="AR302" s="763"/>
      <c r="AS302" s="763"/>
      <c r="AT302" s="763"/>
      <c r="AU302" s="763"/>
      <c r="AV302" s="763"/>
      <c r="AW302" s="763"/>
      <c r="AX302" s="763"/>
      <c r="AY302" s="763"/>
      <c r="AZ302" s="763"/>
      <c r="BA302" s="763"/>
      <c r="BB302" s="763"/>
      <c r="BC302" s="763"/>
      <c r="BD302" s="763"/>
      <c r="BE302" s="763"/>
      <c r="BF302" s="763"/>
      <c r="BG302" s="763" t="b">
        <f>IFERROR(__xludf.DUMMYFUNCTION("""COMPUTED_VALUE"""),TRUE)</f>
        <v>1</v>
      </c>
      <c r="BH302" s="763" t="b">
        <f>IFERROR(__xludf.DUMMYFUNCTION("""COMPUTED_VALUE"""),TRUE)</f>
        <v>1</v>
      </c>
      <c r="BI302" s="763" t="b">
        <f>IFERROR(__xludf.DUMMYFUNCTION("""COMPUTED_VALUE"""),TRUE)</f>
        <v>1</v>
      </c>
      <c r="BJ302" s="763" t="b">
        <f>IFERROR(__xludf.DUMMYFUNCTION("""COMPUTED_VALUE"""),TRUE)</f>
        <v>1</v>
      </c>
    </row>
    <row r="303">
      <c r="A303" s="763">
        <f>IFERROR(__xludf.DUMMYFUNCTION("""COMPUTED_VALUE"""),65194.0)</f>
        <v>65194</v>
      </c>
      <c r="B303" s="763">
        <f>IFERROR(__xludf.DUMMYFUNCTION("""COMPUTED_VALUE"""),65194.0)</f>
        <v>65194</v>
      </c>
      <c r="C303" s="763" t="str">
        <f>IFERROR(__xludf.DUMMYFUNCTION("""COMPUTED_VALUE"""),"2025-10-14 16:33:38")</f>
        <v>2025-10-14 16:33:38</v>
      </c>
      <c r="D303" s="763" t="str">
        <f>IFERROR(__xludf.DUMMYFUNCTION("""COMPUTED_VALUE"""),"completed")</f>
        <v>completed</v>
      </c>
      <c r="E303" s="763" t="str">
        <f>IFERROR(__xludf.DUMMYFUNCTION("""COMPUTED_VALUE"""),"Gaia")</f>
        <v>Gaia</v>
      </c>
      <c r="F303" s="763" t="str">
        <f>IFERROR(__xludf.DUMMYFUNCTION("""COMPUTED_VALUE"""),"Cappuccino")</f>
        <v>Cappuccino</v>
      </c>
      <c r="G303" s="763" t="str">
        <f>IFERROR(__xludf.DUMMYFUNCTION("""COMPUTED_VALUE"""),"gaia.cappuccino@hotmail.it")</f>
        <v>gaia.cappuccino@hotmail.it</v>
      </c>
      <c r="H303" s="763">
        <f>IFERROR(__xludf.DUMMYFUNCTION("""COMPUTED_VALUE"""),3.496239749E9)</f>
        <v>3496239749</v>
      </c>
      <c r="I303" s="763" t="str">
        <f>IFERROR(__xludf.DUMMYFUNCTION("""COMPUTED_VALUE"""),"Milano")</f>
        <v>Milano</v>
      </c>
      <c r="J303" s="763" t="str">
        <f>IFERROR(__xludf.DUMMYFUNCTION("""COMPUTED_VALUE"""),"Via Crema 2")</f>
        <v>Via Crema 2</v>
      </c>
      <c r="K303" s="763">
        <f>IFERROR(__xludf.DUMMYFUNCTION("""COMPUTED_VALUE"""),20135.0)</f>
        <v>20135</v>
      </c>
      <c r="L303" s="763"/>
      <c r="M303" s="763"/>
      <c r="N303" s="763"/>
      <c r="O303" s="763">
        <f>IFERROR(__xludf.DUMMYFUNCTION("""COMPUTED_VALUE"""),0.0)</f>
        <v>0</v>
      </c>
      <c r="P303" s="767">
        <f>IFERROR(__xludf.DUMMYFUNCTION("""COMPUTED_VALUE"""),0.0)</f>
        <v>0</v>
      </c>
      <c r="Q303" s="763" t="str">
        <f>IFERROR(__xludf.DUMMYFUNCTION("""COMPUTED_VALUE"""),"EUR")</f>
        <v>EUR</v>
      </c>
      <c r="R303" s="763">
        <f>IFERROR(__xludf.DUMMYFUNCTION("""COMPUTED_VALUE"""),721.0)</f>
        <v>721</v>
      </c>
      <c r="S303" s="763" t="str">
        <f>IFERROR(__xludf.DUMMYFUNCTION("""COMPUTED_VALUE"""),"Domeniche in movimento - Gratuito per open fitness e open mattino 1 lezione dalle 11 alle 11.50")</f>
        <v>Domeniche in movimento - Gratuito per open fitness e open mattino 1 lezione dalle 11 alle 11.50</v>
      </c>
      <c r="T303" s="763"/>
      <c r="U303" s="763"/>
      <c r="V303" s="763">
        <f>IFERROR(__xludf.DUMMYFUNCTION("""COMPUTED_VALUE"""),1.0)</f>
        <v>1</v>
      </c>
      <c r="W303" s="763">
        <f>IFERROR(__xludf.DUMMYFUNCTION("""COMPUTED_VALUE"""),0.0)</f>
        <v>0</v>
      </c>
      <c r="X303" s="763">
        <f>IFERROR(__xludf.DUMMYFUNCTION("""COMPUTED_VALUE"""),0.0)</f>
        <v>0</v>
      </c>
      <c r="Y303" s="763"/>
      <c r="Z303" s="768" t="str">
        <f>IFERROR(__xludf.DUMMYFUNCTION("""COMPUTED_VALUE"""),"https://studio-gem.it/wp-admin/post.php?post=65194&amp;action=edit")</f>
        <v>https://studio-gem.it/wp-admin/post.php?post=65194&amp;action=edit</v>
      </c>
      <c r="AA303" s="763"/>
      <c r="AB303" s="763"/>
      <c r="AC303" s="763"/>
      <c r="AD303" s="763"/>
      <c r="AE303" s="763"/>
      <c r="AF303" s="763"/>
      <c r="AG303" s="763"/>
      <c r="AH303" s="763"/>
      <c r="AI303" s="763"/>
      <c r="AJ303" s="763"/>
      <c r="AK303" s="763"/>
      <c r="AL303" s="763"/>
      <c r="AM303" s="763"/>
      <c r="AN303" s="763"/>
      <c r="AO303" s="763"/>
      <c r="AP303" s="763"/>
      <c r="AQ303" s="763"/>
      <c r="AR303" s="763"/>
      <c r="AS303" s="763"/>
      <c r="AT303" s="763"/>
      <c r="AU303" s="763"/>
      <c r="AV303" s="763"/>
      <c r="AW303" s="763"/>
      <c r="AX303" s="763"/>
      <c r="AY303" s="763"/>
      <c r="AZ303" s="763"/>
      <c r="BA303" s="763"/>
      <c r="BB303" s="763"/>
      <c r="BC303" s="763"/>
      <c r="BD303" s="763"/>
      <c r="BE303" s="763"/>
      <c r="BF303" s="763"/>
      <c r="BG303" s="763" t="b">
        <f>IFERROR(__xludf.DUMMYFUNCTION("""COMPUTED_VALUE"""),FALSE)</f>
        <v>0</v>
      </c>
      <c r="BH303" s="763" t="b">
        <f>IFERROR(__xludf.DUMMYFUNCTION("""COMPUTED_VALUE"""),FALSE)</f>
        <v>0</v>
      </c>
      <c r="BI303" s="763" t="b">
        <f>IFERROR(__xludf.DUMMYFUNCTION("""COMPUTED_VALUE"""),TRUE)</f>
        <v>1</v>
      </c>
      <c r="BJ303" s="763" t="b">
        <f>IFERROR(__xludf.DUMMYFUNCTION("""COMPUTED_VALUE"""),FALSE)</f>
        <v>0</v>
      </c>
    </row>
    <row r="304">
      <c r="A304" s="763">
        <f>IFERROR(__xludf.DUMMYFUNCTION("""COMPUTED_VALUE"""),65197.0)</f>
        <v>65197</v>
      </c>
      <c r="B304" s="763">
        <f>IFERROR(__xludf.DUMMYFUNCTION("""COMPUTED_VALUE"""),65197.0)</f>
        <v>65197</v>
      </c>
      <c r="C304" s="763" t="str">
        <f>IFERROR(__xludf.DUMMYFUNCTION("""COMPUTED_VALUE"""),"2025-10-14 18:35:25")</f>
        <v>2025-10-14 18:35:25</v>
      </c>
      <c r="D304" s="763" t="str">
        <f>IFERROR(__xludf.DUMMYFUNCTION("""COMPUTED_VALUE"""),"pending")</f>
        <v>pending</v>
      </c>
      <c r="E304" s="763" t="str">
        <f>IFERROR(__xludf.DUMMYFUNCTION("""COMPUTED_VALUE"""),"Riccardo")</f>
        <v>Riccardo</v>
      </c>
      <c r="F304" s="763" t="str">
        <f>IFERROR(__xludf.DUMMYFUNCTION("""COMPUTED_VALUE"""),"Riganelli")</f>
        <v>Riganelli</v>
      </c>
      <c r="G304" s="763" t="str">
        <f>IFERROR(__xludf.DUMMYFUNCTION("""COMPUTED_VALUE"""),"riccardoriganelli@icloud.com")</f>
        <v>riccardoriganelli@icloud.com</v>
      </c>
      <c r="H304" s="763">
        <f>IFERROR(__xludf.DUMMYFUNCTION("""COMPUTED_VALUE"""),3.371235304E9)</f>
        <v>3371235304</v>
      </c>
      <c r="I304" s="763" t="str">
        <f>IFERROR(__xludf.DUMMYFUNCTION("""COMPUTED_VALUE"""),"Cerreto D'Esi")</f>
        <v>Cerreto D'Esi</v>
      </c>
      <c r="J304" s="763" t="str">
        <f>IFERROR(__xludf.DUMMYFUNCTION("""COMPUTED_VALUE"""),"Aldo moro 1")</f>
        <v>Aldo moro 1</v>
      </c>
      <c r="K304" s="763">
        <f>IFERROR(__xludf.DUMMYFUNCTION("""COMPUTED_VALUE"""),60043.0)</f>
        <v>60043</v>
      </c>
      <c r="L304" s="763" t="str">
        <f>IFERROR(__xludf.DUMMYFUNCTION("""COMPUTED_VALUE"""),"Apple Pay")</f>
        <v>Apple Pay</v>
      </c>
      <c r="M304" s="763"/>
      <c r="N304" s="763"/>
      <c r="O304" s="763">
        <f>IFERROR(__xludf.DUMMYFUNCTION("""COMPUTED_VALUE"""),0.0)</f>
        <v>0</v>
      </c>
      <c r="P304" s="767">
        <f>IFERROR(__xludf.DUMMYFUNCTION("""COMPUTED_VALUE"""),1.875)</f>
        <v>1.875</v>
      </c>
      <c r="Q304" s="763" t="str">
        <f>IFERROR(__xludf.DUMMYFUNCTION("""COMPUTED_VALUE"""),"EUR")</f>
        <v>EUR</v>
      </c>
      <c r="R304" s="763">
        <f>IFERROR(__xludf.DUMMYFUNCTION("""COMPUTED_VALUE"""),722.0)</f>
        <v>722</v>
      </c>
      <c r="S304" s="763" t="str">
        <f>IFERROR(__xludf.DUMMYFUNCTION("""COMPUTED_VALUE"""),"Workshop Commercial con Timor Steffens - Workshop Commercial con Timor Steffens")</f>
        <v>Workshop Commercial con Timor Steffens - Workshop Commercial con Timor Steffens</v>
      </c>
      <c r="T304" s="763"/>
      <c r="U304" s="763"/>
      <c r="V304" s="763">
        <f>IFERROR(__xludf.DUMMYFUNCTION("""COMPUTED_VALUE"""),1.0)</f>
        <v>1</v>
      </c>
      <c r="W304" s="763">
        <f>IFERROR(__xludf.DUMMYFUNCTION("""COMPUTED_VALUE"""),45.0)</f>
        <v>45</v>
      </c>
      <c r="X304" s="763">
        <f>IFERROR(__xludf.DUMMYFUNCTION("""COMPUTED_VALUE"""),45.0)</f>
        <v>45</v>
      </c>
      <c r="Y304" s="763"/>
      <c r="Z304" s="768" t="str">
        <f>IFERROR(__xludf.DUMMYFUNCTION("""COMPUTED_VALUE"""),"https://studio-gem.it/wp-admin/post.php?post=65197&amp;action=edit")</f>
        <v>https://studio-gem.it/wp-admin/post.php?post=65197&amp;action=edit</v>
      </c>
      <c r="AA304" s="763"/>
      <c r="AB304" s="763"/>
      <c r="AC304" s="763"/>
      <c r="AD304" s="763"/>
      <c r="AE304" s="763"/>
      <c r="AF304" s="763"/>
      <c r="AG304" s="763"/>
      <c r="AH304" s="763"/>
      <c r="AI304" s="763"/>
      <c r="AJ304" s="763"/>
      <c r="AK304" s="763"/>
      <c r="AL304" s="763"/>
      <c r="AM304" s="763"/>
      <c r="AN304" s="763"/>
      <c r="AO304" s="763"/>
      <c r="AP304" s="763"/>
      <c r="AQ304" s="763"/>
      <c r="AR304" s="763"/>
      <c r="AS304" s="763"/>
      <c r="AT304" s="763"/>
      <c r="AU304" s="763"/>
      <c r="AV304" s="763"/>
      <c r="AW304" s="763"/>
      <c r="AX304" s="763"/>
      <c r="AY304" s="763"/>
      <c r="AZ304" s="763"/>
      <c r="BA304" s="763"/>
      <c r="BB304" s="763"/>
      <c r="BC304" s="763"/>
      <c r="BD304" s="763"/>
      <c r="BE304" s="763"/>
      <c r="BF304" s="763"/>
      <c r="BG304" s="763" t="b">
        <f>IFERROR(__xludf.DUMMYFUNCTION("""COMPUTED_VALUE"""),FALSE)</f>
        <v>0</v>
      </c>
      <c r="BH304" s="763" t="b">
        <f>IFERROR(__xludf.DUMMYFUNCTION("""COMPUTED_VALUE"""),FALSE)</f>
        <v>0</v>
      </c>
      <c r="BI304" s="763" t="b">
        <f>IFERROR(__xludf.DUMMYFUNCTION("""COMPUTED_VALUE"""),FALSE)</f>
        <v>0</v>
      </c>
      <c r="BJ304" s="763" t="b">
        <f>IFERROR(__xludf.DUMMYFUNCTION("""COMPUTED_VALUE"""),FALSE)</f>
        <v>0</v>
      </c>
    </row>
    <row r="305">
      <c r="A305" s="763">
        <f>IFERROR(__xludf.DUMMYFUNCTION("""COMPUTED_VALUE"""),65198.0)</f>
        <v>65198</v>
      </c>
      <c r="B305" s="763">
        <f>IFERROR(__xludf.DUMMYFUNCTION("""COMPUTED_VALUE"""),65198.0)</f>
        <v>65198</v>
      </c>
      <c r="C305" s="763" t="str">
        <f>IFERROR(__xludf.DUMMYFUNCTION("""COMPUTED_VALUE"""),"2025-10-14 19:38:20")</f>
        <v>2025-10-14 19:38:20</v>
      </c>
      <c r="D305" s="763" t="str">
        <f>IFERROR(__xludf.DUMMYFUNCTION("""COMPUTED_VALUE"""),"completed")</f>
        <v>completed</v>
      </c>
      <c r="E305" s="763" t="str">
        <f>IFERROR(__xludf.DUMMYFUNCTION("""COMPUTED_VALUE"""),"Giorgia")</f>
        <v>Giorgia</v>
      </c>
      <c r="F305" s="763" t="str">
        <f>IFERROR(__xludf.DUMMYFUNCTION("""COMPUTED_VALUE"""),"Cusentino")</f>
        <v>Cusentino</v>
      </c>
      <c r="G305" s="763" t="str">
        <f>IFERROR(__xludf.DUMMYFUNCTION("""COMPUTED_VALUE"""),"cusentino.g@gmail.com")</f>
        <v>cusentino.g@gmail.com</v>
      </c>
      <c r="H305" s="763">
        <f>IFERROR(__xludf.DUMMYFUNCTION("""COMPUTED_VALUE"""),3.932302006E9)</f>
        <v>3932302006</v>
      </c>
      <c r="I305" s="763" t="str">
        <f>IFERROR(__xludf.DUMMYFUNCTION("""COMPUTED_VALUE"""),"Pantigliate")</f>
        <v>Pantigliate</v>
      </c>
      <c r="J305" s="763" t="str">
        <f>IFERROR(__xludf.DUMMYFUNCTION("""COMPUTED_VALUE"""),"Via Giuseppe di Vittorio 25")</f>
        <v>Via Giuseppe di Vittorio 25</v>
      </c>
      <c r="K305" s="763">
        <f>IFERROR(__xludf.DUMMYFUNCTION("""COMPUTED_VALUE"""),20048.0)</f>
        <v>20048</v>
      </c>
      <c r="L305" s="763" t="str">
        <f>IFERROR(__xludf.DUMMYFUNCTION("""COMPUTED_VALUE"""),"Carte di pagamento")</f>
        <v>Carte di pagamento</v>
      </c>
      <c r="M305" s="763"/>
      <c r="N305" s="763" t="str">
        <f>IFERROR(__xludf.DUMMYFUNCTION("""COMPUTED_VALUE"""),"65198-1760470907")</f>
        <v>65198-1760470907</v>
      </c>
      <c r="O305" s="763">
        <f>IFERROR(__xludf.DUMMYFUNCTION("""COMPUTED_VALUE"""),0.0)</f>
        <v>0</v>
      </c>
      <c r="P305" s="767">
        <f>IFERROR(__xludf.DUMMYFUNCTION("""COMPUTED_VALUE"""),1.875)</f>
        <v>1.875</v>
      </c>
      <c r="Q305" s="763" t="str">
        <f>IFERROR(__xludf.DUMMYFUNCTION("""COMPUTED_VALUE"""),"EUR")</f>
        <v>EUR</v>
      </c>
      <c r="R305" s="763">
        <f>IFERROR(__xludf.DUMMYFUNCTION("""COMPUTED_VALUE"""),724.0)</f>
        <v>724</v>
      </c>
      <c r="S305" s="763" t="str">
        <f>IFERROR(__xludf.DUMMYFUNCTION("""COMPUTED_VALUE"""),"Workshop Commercial con Timor Steffens - Workshop Commercial con Timor Steffens")</f>
        <v>Workshop Commercial con Timor Steffens - Workshop Commercial con Timor Steffens</v>
      </c>
      <c r="T305" s="763"/>
      <c r="U305" s="763"/>
      <c r="V305" s="763">
        <f>IFERROR(__xludf.DUMMYFUNCTION("""COMPUTED_VALUE"""),1.0)</f>
        <v>1</v>
      </c>
      <c r="W305" s="763">
        <f>IFERROR(__xludf.DUMMYFUNCTION("""COMPUTED_VALUE"""),45.0)</f>
        <v>45</v>
      </c>
      <c r="X305" s="763">
        <f>IFERROR(__xludf.DUMMYFUNCTION("""COMPUTED_VALUE"""),45.0)</f>
        <v>45</v>
      </c>
      <c r="Y305" s="763"/>
      <c r="Z305" s="768" t="str">
        <f>IFERROR(__xludf.DUMMYFUNCTION("""COMPUTED_VALUE"""),"https://studio-gem.it/wp-admin/post.php?post=65198&amp;action=edit")</f>
        <v>https://studio-gem.it/wp-admin/post.php?post=65198&amp;action=edit</v>
      </c>
      <c r="AA305" s="763"/>
      <c r="AB305" s="763"/>
      <c r="AC305" s="763"/>
      <c r="AD305" s="763"/>
      <c r="AE305" s="763"/>
      <c r="AF305" s="763"/>
      <c r="AG305" s="763"/>
      <c r="AH305" s="763"/>
      <c r="AI305" s="763"/>
      <c r="AJ305" s="763"/>
      <c r="AK305" s="763"/>
      <c r="AL305" s="763"/>
      <c r="AM305" s="763"/>
      <c r="AN305" s="763"/>
      <c r="AO305" s="763"/>
      <c r="AP305" s="763"/>
      <c r="AQ305" s="763"/>
      <c r="AR305" s="763"/>
      <c r="AS305" s="763"/>
      <c r="AT305" s="763"/>
      <c r="AU305" s="763"/>
      <c r="AV305" s="763"/>
      <c r="AW305" s="763"/>
      <c r="AX305" s="763"/>
      <c r="AY305" s="763"/>
      <c r="AZ305" s="763"/>
      <c r="BA305" s="763"/>
      <c r="BB305" s="763"/>
      <c r="BC305" s="763"/>
      <c r="BD305" s="763"/>
      <c r="BE305" s="763"/>
      <c r="BF305" s="763"/>
      <c r="BG305" s="763" t="b">
        <f>IFERROR(__xludf.DUMMYFUNCTION("""COMPUTED_VALUE"""),TRUE)</f>
        <v>1</v>
      </c>
      <c r="BH305" s="763" t="b">
        <f>IFERROR(__xludf.DUMMYFUNCTION("""COMPUTED_VALUE"""),TRUE)</f>
        <v>1</v>
      </c>
      <c r="BI305" s="763" t="b">
        <f>IFERROR(__xludf.DUMMYFUNCTION("""COMPUTED_VALUE"""),TRUE)</f>
        <v>1</v>
      </c>
      <c r="BJ305" s="763" t="b">
        <f>IFERROR(__xludf.DUMMYFUNCTION("""COMPUTED_VALUE"""),TRUE)</f>
        <v>1</v>
      </c>
    </row>
    <row r="306">
      <c r="A306" s="763">
        <f>IFERROR(__xludf.DUMMYFUNCTION("""COMPUTED_VALUE"""),65201.0)</f>
        <v>65201</v>
      </c>
      <c r="B306" s="763">
        <f>IFERROR(__xludf.DUMMYFUNCTION("""COMPUTED_VALUE"""),65201.0)</f>
        <v>65201</v>
      </c>
      <c r="C306" s="763" t="str">
        <f>IFERROR(__xludf.DUMMYFUNCTION("""COMPUTED_VALUE"""),"2025-10-14 21:27:08")</f>
        <v>2025-10-14 21:27:08</v>
      </c>
      <c r="D306" s="763" t="str">
        <f>IFERROR(__xludf.DUMMYFUNCTION("""COMPUTED_VALUE"""),"completed")</f>
        <v>completed</v>
      </c>
      <c r="E306" s="763" t="str">
        <f>IFERROR(__xludf.DUMMYFUNCTION("""COMPUTED_VALUE"""),"Jade Lisa")</f>
        <v>Jade Lisa</v>
      </c>
      <c r="F306" s="763" t="str">
        <f>IFERROR(__xludf.DUMMYFUNCTION("""COMPUTED_VALUE"""),"Redfern")</f>
        <v>Redfern</v>
      </c>
      <c r="G306" s="763" t="str">
        <f>IFERROR(__xludf.DUMMYFUNCTION("""COMPUTED_VALUE"""),"jadelisaredfern@gmail.com")</f>
        <v>jadelisaredfern@gmail.com</v>
      </c>
      <c r="H306" s="763" t="str">
        <f>IFERROR(__xludf.DUMMYFUNCTION("""COMPUTED_VALUE"""),"+447497200127")</f>
        <v>+447497200127</v>
      </c>
      <c r="I306" s="763" t="str">
        <f>IFERROR(__xludf.DUMMYFUNCTION("""COMPUTED_VALUE"""),"Milano")</f>
        <v>Milano</v>
      </c>
      <c r="J306" s="763" t="str">
        <f>IFERROR(__xludf.DUMMYFUNCTION("""COMPUTED_VALUE"""),"Via Emilio Caldara 22")</f>
        <v>Via Emilio Caldara 22</v>
      </c>
      <c r="K306" s="763">
        <f>IFERROR(__xludf.DUMMYFUNCTION("""COMPUTED_VALUE"""),20122.0)</f>
        <v>20122</v>
      </c>
      <c r="L306" s="763" t="str">
        <f>IFERROR(__xludf.DUMMYFUNCTION("""COMPUTED_VALUE"""),"Apple Pay")</f>
        <v>Apple Pay</v>
      </c>
      <c r="M306" s="763"/>
      <c r="N306" s="763" t="str">
        <f>IFERROR(__xludf.DUMMYFUNCTION("""COMPUTED_VALUE"""),"65201-1760477381")</f>
        <v>65201-1760477381</v>
      </c>
      <c r="O306" s="763">
        <f>IFERROR(__xludf.DUMMYFUNCTION("""COMPUTED_VALUE"""),0.0)</f>
        <v>0</v>
      </c>
      <c r="P306" s="767">
        <f>IFERROR(__xludf.DUMMYFUNCTION("""COMPUTED_VALUE"""),0.8333333333333334)</f>
        <v>0.8333333333</v>
      </c>
      <c r="Q306" s="763" t="str">
        <f>IFERROR(__xludf.DUMMYFUNCTION("""COMPUTED_VALUE"""),"EUR")</f>
        <v>EUR</v>
      </c>
      <c r="R306" s="763">
        <f>IFERROR(__xludf.DUMMYFUNCTION("""COMPUTED_VALUE"""),726.0)</f>
        <v>726</v>
      </c>
      <c r="S306" s="763" t="str">
        <f>IFERROR(__xludf.DUMMYFUNCTION("""COMPUTED_VALUE"""),"Domeniche in movimento - Gestualità afro cubana Raffaella Russo €20")</f>
        <v>Domeniche in movimento - Gestualità afro cubana Raffaella Russo €20</v>
      </c>
      <c r="T306" s="763"/>
      <c r="U306" s="763"/>
      <c r="V306" s="763">
        <f>IFERROR(__xludf.DUMMYFUNCTION("""COMPUTED_VALUE"""),1.0)</f>
        <v>1</v>
      </c>
      <c r="W306" s="763">
        <f>IFERROR(__xludf.DUMMYFUNCTION("""COMPUTED_VALUE"""),20.0)</f>
        <v>20</v>
      </c>
      <c r="X306" s="763">
        <f>IFERROR(__xludf.DUMMYFUNCTION("""COMPUTED_VALUE"""),20.0)</f>
        <v>20</v>
      </c>
      <c r="Y306" s="763"/>
      <c r="Z306" s="768" t="str">
        <f>IFERROR(__xludf.DUMMYFUNCTION("""COMPUTED_VALUE"""),"https://studio-gem.it/wp-admin/post.php?post=65201&amp;action=edit")</f>
        <v>https://studio-gem.it/wp-admin/post.php?post=65201&amp;action=edit</v>
      </c>
      <c r="AA306" s="763"/>
      <c r="AB306" s="763"/>
      <c r="AC306" s="763"/>
      <c r="AD306" s="763"/>
      <c r="AE306" s="763"/>
      <c r="AF306" s="763"/>
      <c r="AG306" s="763"/>
      <c r="AH306" s="763"/>
      <c r="AI306" s="763"/>
      <c r="AJ306" s="763"/>
      <c r="AK306" s="763"/>
      <c r="AL306" s="763"/>
      <c r="AM306" s="763"/>
      <c r="AN306" s="763"/>
      <c r="AO306" s="763"/>
      <c r="AP306" s="763"/>
      <c r="AQ306" s="763"/>
      <c r="AR306" s="763"/>
      <c r="AS306" s="763"/>
      <c r="AT306" s="763"/>
      <c r="AU306" s="763"/>
      <c r="AV306" s="763"/>
      <c r="AW306" s="763"/>
      <c r="AX306" s="763"/>
      <c r="AY306" s="763"/>
      <c r="AZ306" s="763"/>
      <c r="BA306" s="763"/>
      <c r="BB306" s="763"/>
      <c r="BC306" s="763"/>
      <c r="BD306" s="763"/>
      <c r="BE306" s="763"/>
      <c r="BF306" s="763"/>
      <c r="BG306" s="763" t="b">
        <f>IFERROR(__xludf.DUMMYFUNCTION("""COMPUTED_VALUE"""),TRUE)</f>
        <v>1</v>
      </c>
      <c r="BH306" s="763" t="b">
        <f>IFERROR(__xludf.DUMMYFUNCTION("""COMPUTED_VALUE"""),FALSE)</f>
        <v>0</v>
      </c>
      <c r="BI306" s="763" t="b">
        <f>IFERROR(__xludf.DUMMYFUNCTION("""COMPUTED_VALUE"""),TRUE)</f>
        <v>1</v>
      </c>
      <c r="BJ306" s="763" t="b">
        <f>IFERROR(__xludf.DUMMYFUNCTION("""COMPUTED_VALUE"""),TRUE)</f>
        <v>1</v>
      </c>
    </row>
    <row r="307">
      <c r="A307" s="763">
        <f>IFERROR(__xludf.DUMMYFUNCTION("""COMPUTED_VALUE"""),65204.0)</f>
        <v>65204</v>
      </c>
      <c r="B307" s="763">
        <f>IFERROR(__xludf.DUMMYFUNCTION("""COMPUTED_VALUE"""),65204.0)</f>
        <v>65204</v>
      </c>
      <c r="C307" s="763" t="str">
        <f>IFERROR(__xludf.DUMMYFUNCTION("""COMPUTED_VALUE"""),"2025-10-15 10:22:27")</f>
        <v>2025-10-15 10:22:27</v>
      </c>
      <c r="D307" s="763" t="str">
        <f>IFERROR(__xludf.DUMMYFUNCTION("""COMPUTED_VALUE"""),"completed")</f>
        <v>completed</v>
      </c>
      <c r="E307" s="763" t="str">
        <f>IFERROR(__xludf.DUMMYFUNCTION("""COMPUTED_VALUE"""),"Riane")</f>
        <v>Riane</v>
      </c>
      <c r="F307" s="763" t="str">
        <f>IFERROR(__xludf.DUMMYFUNCTION("""COMPUTED_VALUE"""),"Mignoli")</f>
        <v>Mignoli</v>
      </c>
      <c r="G307" s="763" t="str">
        <f>IFERROR(__xludf.DUMMYFUNCTION("""COMPUTED_VALUE"""),"mignoliriane@gmail.com")</f>
        <v>mignoliriane@gmail.com</v>
      </c>
      <c r="H307" s="763">
        <f>IFERROR(__xludf.DUMMYFUNCTION("""COMPUTED_VALUE"""),3.932608617E9)</f>
        <v>3932608617</v>
      </c>
      <c r="I307" s="763" t="str">
        <f>IFERROR(__xludf.DUMMYFUNCTION("""COMPUTED_VALUE"""),"Gallarate")</f>
        <v>Gallarate</v>
      </c>
      <c r="J307" s="763" t="str">
        <f>IFERROR(__xludf.DUMMYFUNCTION("""COMPUTED_VALUE"""),"Via valle nuova 21")</f>
        <v>Via valle nuova 21</v>
      </c>
      <c r="K307" s="763">
        <f>IFERROR(__xludf.DUMMYFUNCTION("""COMPUTED_VALUE"""),21013.0)</f>
        <v>21013</v>
      </c>
      <c r="L307" s="763" t="str">
        <f>IFERROR(__xludf.DUMMYFUNCTION("""COMPUTED_VALUE"""),"Apple Pay")</f>
        <v>Apple Pay</v>
      </c>
      <c r="M307" s="763"/>
      <c r="N307" s="763" t="str">
        <f>IFERROR(__xludf.DUMMYFUNCTION("""COMPUTED_VALUE"""),"65204-1760523922")</f>
        <v>65204-1760523922</v>
      </c>
      <c r="O307" s="763">
        <f>IFERROR(__xludf.DUMMYFUNCTION("""COMPUTED_VALUE"""),0.0)</f>
        <v>0</v>
      </c>
      <c r="P307" s="767">
        <f>IFERROR(__xludf.DUMMYFUNCTION("""COMPUTED_VALUE"""),1.5416666666666667)</f>
        <v>1.541666667</v>
      </c>
      <c r="Q307" s="763" t="str">
        <f>IFERROR(__xludf.DUMMYFUNCTION("""COMPUTED_VALUE"""),"EUR")</f>
        <v>EUR</v>
      </c>
      <c r="R307" s="763">
        <f>IFERROR(__xludf.DUMMYFUNCTION("""COMPUTED_VALUE"""),728.0)</f>
        <v>728</v>
      </c>
      <c r="S307" s="763" t="str">
        <f>IFERROR(__xludf.DUMMYFUNCTION("""COMPUTED_VALUE"""),"Workshop Afrofusion con Banana 2025 - Workshop Banana afrofusion")</f>
        <v>Workshop Afrofusion con Banana 2025 - Workshop Banana afrofusion</v>
      </c>
      <c r="T307" s="763"/>
      <c r="U307" s="763"/>
      <c r="V307" s="763">
        <f>IFERROR(__xludf.DUMMYFUNCTION("""COMPUTED_VALUE"""),1.0)</f>
        <v>1</v>
      </c>
      <c r="W307" s="763">
        <f>IFERROR(__xludf.DUMMYFUNCTION("""COMPUTED_VALUE"""),37.0)</f>
        <v>37</v>
      </c>
      <c r="X307" s="763">
        <f>IFERROR(__xludf.DUMMYFUNCTION("""COMPUTED_VALUE"""),37.0)</f>
        <v>37</v>
      </c>
      <c r="Y307" s="763"/>
      <c r="Z307" s="768" t="str">
        <f>IFERROR(__xludf.DUMMYFUNCTION("""COMPUTED_VALUE"""),"https://studio-gem.it/wp-admin/post.php?post=65204&amp;action=edit")</f>
        <v>https://studio-gem.it/wp-admin/post.php?post=65204&amp;action=edit</v>
      </c>
      <c r="AA307" s="763"/>
      <c r="AB307" s="763"/>
      <c r="AC307" s="763"/>
      <c r="AD307" s="763"/>
      <c r="AE307" s="763"/>
      <c r="AF307" s="763"/>
      <c r="AG307" s="763"/>
      <c r="AH307" s="763"/>
      <c r="AI307" s="763"/>
      <c r="AJ307" s="763"/>
      <c r="AK307" s="763"/>
      <c r="AL307" s="763"/>
      <c r="AM307" s="763"/>
      <c r="AN307" s="763"/>
      <c r="AO307" s="763"/>
      <c r="AP307" s="763"/>
      <c r="AQ307" s="763"/>
      <c r="AR307" s="763"/>
      <c r="AS307" s="763"/>
      <c r="AT307" s="763"/>
      <c r="AU307" s="763"/>
      <c r="AV307" s="763"/>
      <c r="AW307" s="763"/>
      <c r="AX307" s="763"/>
      <c r="AY307" s="763"/>
      <c r="AZ307" s="763"/>
      <c r="BA307" s="763"/>
      <c r="BB307" s="763"/>
      <c r="BC307" s="763"/>
      <c r="BD307" s="763"/>
      <c r="BE307" s="763"/>
      <c r="BF307" s="763"/>
      <c r="BG307" s="763" t="b">
        <f>IFERROR(__xludf.DUMMYFUNCTION("""COMPUTED_VALUE"""),TRUE)</f>
        <v>1</v>
      </c>
      <c r="BH307" s="763" t="b">
        <f>IFERROR(__xludf.DUMMYFUNCTION("""COMPUTED_VALUE"""),TRUE)</f>
        <v>1</v>
      </c>
      <c r="BI307" s="763" t="b">
        <f>IFERROR(__xludf.DUMMYFUNCTION("""COMPUTED_VALUE"""),TRUE)</f>
        <v>1</v>
      </c>
      <c r="BJ307" s="763" t="b">
        <f>IFERROR(__xludf.DUMMYFUNCTION("""COMPUTED_VALUE"""),TRUE)</f>
        <v>1</v>
      </c>
    </row>
    <row r="308">
      <c r="A308" s="763">
        <f>IFERROR(__xludf.DUMMYFUNCTION("""COMPUTED_VALUE"""),65206.0)</f>
        <v>65206</v>
      </c>
      <c r="B308" s="763">
        <f>IFERROR(__xludf.DUMMYFUNCTION("""COMPUTED_VALUE"""),65206.0)</f>
        <v>65206</v>
      </c>
      <c r="C308" s="763" t="str">
        <f>IFERROR(__xludf.DUMMYFUNCTION("""COMPUTED_VALUE"""),"2025-10-15 13:56:51")</f>
        <v>2025-10-15 13:56:51</v>
      </c>
      <c r="D308" s="763" t="str">
        <f>IFERROR(__xludf.DUMMYFUNCTION("""COMPUTED_VALUE"""),"completed")</f>
        <v>completed</v>
      </c>
      <c r="E308" s="763" t="str">
        <f>IFERROR(__xludf.DUMMYFUNCTION("""COMPUTED_VALUE"""),"Alessia")</f>
        <v>Alessia</v>
      </c>
      <c r="F308" s="763" t="str">
        <f>IFERROR(__xludf.DUMMYFUNCTION("""COMPUTED_VALUE"""),"Aiello")</f>
        <v>Aiello</v>
      </c>
      <c r="G308" s="763" t="str">
        <f>IFERROR(__xludf.DUMMYFUNCTION("""COMPUTED_VALUE"""),"alessiaaiello11@gmail.com")</f>
        <v>alessiaaiello11@gmail.com</v>
      </c>
      <c r="H308" s="763">
        <f>IFERROR(__xludf.DUMMYFUNCTION("""COMPUTED_VALUE"""),3.348564949E9)</f>
        <v>3348564949</v>
      </c>
      <c r="I308" s="763" t="str">
        <f>IFERROR(__xludf.DUMMYFUNCTION("""COMPUTED_VALUE"""),"Milano")</f>
        <v>Milano</v>
      </c>
      <c r="J308" s="763" t="str">
        <f>IFERROR(__xludf.DUMMYFUNCTION("""COMPUTED_VALUE"""),"Via Fratelli Bronzetti 16")</f>
        <v>Via Fratelli Bronzetti 16</v>
      </c>
      <c r="K308" s="763">
        <f>IFERROR(__xludf.DUMMYFUNCTION("""COMPUTED_VALUE"""),20129.0)</f>
        <v>20129</v>
      </c>
      <c r="L308" s="763" t="str">
        <f>IFERROR(__xludf.DUMMYFUNCTION("""COMPUTED_VALUE"""),"Apple Pay")</f>
        <v>Apple Pay</v>
      </c>
      <c r="M308" s="763"/>
      <c r="N308" s="763" t="str">
        <f>IFERROR(__xludf.DUMMYFUNCTION("""COMPUTED_VALUE"""),"65206-1760536612")</f>
        <v>65206-1760536612</v>
      </c>
      <c r="O308" s="763">
        <f>IFERROR(__xludf.DUMMYFUNCTION("""COMPUTED_VALUE"""),0.0)</f>
        <v>0</v>
      </c>
      <c r="P308" s="767">
        <f>IFERROR(__xludf.DUMMYFUNCTION("""COMPUTED_VALUE"""),1.125)</f>
        <v>1.125</v>
      </c>
      <c r="Q308" s="763" t="str">
        <f>IFERROR(__xludf.DUMMYFUNCTION("""COMPUTED_VALUE"""),"EUR")</f>
        <v>EUR</v>
      </c>
      <c r="R308" s="763">
        <f>IFERROR(__xludf.DUMMYFUNCTION("""COMPUTED_VALUE"""),729.0)</f>
        <v>729</v>
      </c>
      <c r="S308" s="763" t="str">
        <f>IFERROR(__xludf.DUMMYFUNCTION("""COMPUTED_VALUE"""),"Workshop Salsa Musicality con Nicolò De Angelis - Workshop Nicolò Salsa Musicality")</f>
        <v>Workshop Salsa Musicality con Nicolò De Angelis - Workshop Nicolò Salsa Musicality</v>
      </c>
      <c r="T308" s="763"/>
      <c r="U308" s="763"/>
      <c r="V308" s="763">
        <f>IFERROR(__xludf.DUMMYFUNCTION("""COMPUTED_VALUE"""),1.0)</f>
        <v>1</v>
      </c>
      <c r="W308" s="763">
        <f>IFERROR(__xludf.DUMMYFUNCTION("""COMPUTED_VALUE"""),27.0)</f>
        <v>27</v>
      </c>
      <c r="X308" s="763">
        <f>IFERROR(__xludf.DUMMYFUNCTION("""COMPUTED_VALUE"""),27.0)</f>
        <v>27</v>
      </c>
      <c r="Y308" s="763"/>
      <c r="Z308" s="768" t="str">
        <f>IFERROR(__xludf.DUMMYFUNCTION("""COMPUTED_VALUE"""),"https://studio-gem.it/wp-admin/post.php?post=65206&amp;action=edit")</f>
        <v>https://studio-gem.it/wp-admin/post.php?post=65206&amp;action=edit</v>
      </c>
      <c r="AA308" s="763"/>
      <c r="AB308" s="763"/>
      <c r="AC308" s="763"/>
      <c r="AD308" s="763"/>
      <c r="AE308" s="763"/>
      <c r="AF308" s="763"/>
      <c r="AG308" s="763"/>
      <c r="AH308" s="763"/>
      <c r="AI308" s="763"/>
      <c r="AJ308" s="763"/>
      <c r="AK308" s="763"/>
      <c r="AL308" s="763"/>
      <c r="AM308" s="763"/>
      <c r="AN308" s="763"/>
      <c r="AO308" s="763"/>
      <c r="AP308" s="763"/>
      <c r="AQ308" s="763"/>
      <c r="AR308" s="763"/>
      <c r="AS308" s="763"/>
      <c r="AT308" s="763"/>
      <c r="AU308" s="763"/>
      <c r="AV308" s="763"/>
      <c r="AW308" s="763"/>
      <c r="AX308" s="763"/>
      <c r="AY308" s="763"/>
      <c r="AZ308" s="763"/>
      <c r="BA308" s="763"/>
      <c r="BB308" s="763"/>
      <c r="BC308" s="763"/>
      <c r="BD308" s="763"/>
      <c r="BE308" s="763"/>
      <c r="BF308" s="763"/>
      <c r="BG308" s="763" t="b">
        <f>IFERROR(__xludf.DUMMYFUNCTION("""COMPUTED_VALUE"""),TRUE)</f>
        <v>1</v>
      </c>
      <c r="BH308" s="763" t="b">
        <f>IFERROR(__xludf.DUMMYFUNCTION("""COMPUTED_VALUE"""),FALSE)</f>
        <v>0</v>
      </c>
      <c r="BI308" s="763" t="b">
        <f>IFERROR(__xludf.DUMMYFUNCTION("""COMPUTED_VALUE"""),TRUE)</f>
        <v>1</v>
      </c>
      <c r="BJ308" s="763" t="b">
        <f>IFERROR(__xludf.DUMMYFUNCTION("""COMPUTED_VALUE"""),TRUE)</f>
        <v>1</v>
      </c>
    </row>
    <row r="309">
      <c r="A309" s="763">
        <f>IFERROR(__xludf.DUMMYFUNCTION("""COMPUTED_VALUE"""),65208.0)</f>
        <v>65208</v>
      </c>
      <c r="B309" s="763">
        <f>IFERROR(__xludf.DUMMYFUNCTION("""COMPUTED_VALUE"""),65208.0)</f>
        <v>65208</v>
      </c>
      <c r="C309" s="763" t="str">
        <f>IFERROR(__xludf.DUMMYFUNCTION("""COMPUTED_VALUE"""),"2025-10-15 14:02:21")</f>
        <v>2025-10-15 14:02:21</v>
      </c>
      <c r="D309" s="763" t="str">
        <f>IFERROR(__xludf.DUMMYFUNCTION("""COMPUTED_VALUE"""),"completed")</f>
        <v>completed</v>
      </c>
      <c r="E309" s="763" t="str">
        <f>IFERROR(__xludf.DUMMYFUNCTION("""COMPUTED_VALUE"""),"Serena")</f>
        <v>Serena</v>
      </c>
      <c r="F309" s="763" t="str">
        <f>IFERROR(__xludf.DUMMYFUNCTION("""COMPUTED_VALUE"""),"Fernando")</f>
        <v>Fernando</v>
      </c>
      <c r="G309" s="763" t="str">
        <f>IFERROR(__xludf.DUMMYFUNCTION("""COMPUTED_VALUE"""),"melany_serena@hotmail.it")</f>
        <v>melany_serena@hotmail.it</v>
      </c>
      <c r="H309" s="763">
        <f>IFERROR(__xludf.DUMMYFUNCTION("""COMPUTED_VALUE"""),3.517619123E9)</f>
        <v>3517619123</v>
      </c>
      <c r="I309" s="763" t="str">
        <f>IFERROR(__xludf.DUMMYFUNCTION("""COMPUTED_VALUE"""),"Milano")</f>
        <v>Milano</v>
      </c>
      <c r="J309" s="763" t="str">
        <f>IFERROR(__xludf.DUMMYFUNCTION("""COMPUTED_VALUE"""),"Stendhal 57")</f>
        <v>Stendhal 57</v>
      </c>
      <c r="K309" s="763">
        <f>IFERROR(__xludf.DUMMYFUNCTION("""COMPUTED_VALUE"""),20144.0)</f>
        <v>20144</v>
      </c>
      <c r="L309" s="763" t="str">
        <f>IFERROR(__xludf.DUMMYFUNCTION("""COMPUTED_VALUE"""),"Carte di pagamento")</f>
        <v>Carte di pagamento</v>
      </c>
      <c r="M309" s="763"/>
      <c r="N309" s="763" t="str">
        <f>IFERROR(__xludf.DUMMYFUNCTION("""COMPUTED_VALUE"""),"65208-1760536943")</f>
        <v>65208-1760536943</v>
      </c>
      <c r="O309" s="763">
        <f>IFERROR(__xludf.DUMMYFUNCTION("""COMPUTED_VALUE"""),0.0)</f>
        <v>0</v>
      </c>
      <c r="P309" s="767">
        <f>IFERROR(__xludf.DUMMYFUNCTION("""COMPUTED_VALUE"""),1.125)</f>
        <v>1.125</v>
      </c>
      <c r="Q309" s="763" t="str">
        <f>IFERROR(__xludf.DUMMYFUNCTION("""COMPUTED_VALUE"""),"EUR")</f>
        <v>EUR</v>
      </c>
      <c r="R309" s="763">
        <f>IFERROR(__xludf.DUMMYFUNCTION("""COMPUTED_VALUE"""),730.0)</f>
        <v>730</v>
      </c>
      <c r="S309" s="763" t="str">
        <f>IFERROR(__xludf.DUMMYFUNCTION("""COMPUTED_VALUE"""),"Workshop Salsa Musicality con Nicolò De Angelis - Workshop Nicolò Salsa Musicality")</f>
        <v>Workshop Salsa Musicality con Nicolò De Angelis - Workshop Nicolò Salsa Musicality</v>
      </c>
      <c r="T309" s="763"/>
      <c r="U309" s="763"/>
      <c r="V309" s="763">
        <f>IFERROR(__xludf.DUMMYFUNCTION("""COMPUTED_VALUE"""),1.0)</f>
        <v>1</v>
      </c>
      <c r="W309" s="763">
        <f>IFERROR(__xludf.DUMMYFUNCTION("""COMPUTED_VALUE"""),27.0)</f>
        <v>27</v>
      </c>
      <c r="X309" s="763">
        <f>IFERROR(__xludf.DUMMYFUNCTION("""COMPUTED_VALUE"""),27.0)</f>
        <v>27</v>
      </c>
      <c r="Y309" s="763"/>
      <c r="Z309" s="768" t="str">
        <f>IFERROR(__xludf.DUMMYFUNCTION("""COMPUTED_VALUE"""),"https://studio-gem.it/wp-admin/post.php?post=65208&amp;action=edit")</f>
        <v>https://studio-gem.it/wp-admin/post.php?post=65208&amp;action=edit</v>
      </c>
      <c r="AA309" s="763"/>
      <c r="AB309" s="763"/>
      <c r="AC309" s="763"/>
      <c r="AD309" s="763"/>
      <c r="AE309" s="763"/>
      <c r="AF309" s="763"/>
      <c r="AG309" s="763"/>
      <c r="AH309" s="763"/>
      <c r="AI309" s="763"/>
      <c r="AJ309" s="763"/>
      <c r="AK309" s="763"/>
      <c r="AL309" s="763"/>
      <c r="AM309" s="763"/>
      <c r="AN309" s="763"/>
      <c r="AO309" s="763"/>
      <c r="AP309" s="763"/>
      <c r="AQ309" s="763"/>
      <c r="AR309" s="763"/>
      <c r="AS309" s="763"/>
      <c r="AT309" s="763"/>
      <c r="AU309" s="763"/>
      <c r="AV309" s="763"/>
      <c r="AW309" s="763"/>
      <c r="AX309" s="763"/>
      <c r="AY309" s="763"/>
      <c r="AZ309" s="763"/>
      <c r="BA309" s="763"/>
      <c r="BB309" s="763"/>
      <c r="BC309" s="763"/>
      <c r="BD309" s="763"/>
      <c r="BE309" s="763"/>
      <c r="BF309" s="763"/>
      <c r="BG309" s="763" t="b">
        <f>IFERROR(__xludf.DUMMYFUNCTION("""COMPUTED_VALUE"""),TRUE)</f>
        <v>1</v>
      </c>
      <c r="BH309" s="763" t="b">
        <f>IFERROR(__xludf.DUMMYFUNCTION("""COMPUTED_VALUE"""),FALSE)</f>
        <v>0</v>
      </c>
      <c r="BI309" s="763" t="b">
        <f>IFERROR(__xludf.DUMMYFUNCTION("""COMPUTED_VALUE"""),TRUE)</f>
        <v>1</v>
      </c>
      <c r="BJ309" s="763" t="b">
        <f>IFERROR(__xludf.DUMMYFUNCTION("""COMPUTED_VALUE"""),TRUE)</f>
        <v>1</v>
      </c>
    </row>
    <row r="310">
      <c r="A310" s="763">
        <f>IFERROR(__xludf.DUMMYFUNCTION("""COMPUTED_VALUE"""),65211.0)</f>
        <v>65211</v>
      </c>
      <c r="B310" s="763">
        <f>IFERROR(__xludf.DUMMYFUNCTION("""COMPUTED_VALUE"""),65211.0)</f>
        <v>65211</v>
      </c>
      <c r="C310" s="763" t="str">
        <f>IFERROR(__xludf.DUMMYFUNCTION("""COMPUTED_VALUE"""),"2025-10-15 14:53:58")</f>
        <v>2025-10-15 14:53:58</v>
      </c>
      <c r="D310" s="763" t="str">
        <f>IFERROR(__xludf.DUMMYFUNCTION("""COMPUTED_VALUE"""),"processing")</f>
        <v>processing</v>
      </c>
      <c r="E310" s="763" t="str">
        <f>IFERROR(__xludf.DUMMYFUNCTION("""COMPUTED_VALUE"""),"Nikoo")</f>
        <v>Nikoo</v>
      </c>
      <c r="F310" s="763" t="str">
        <f>IFERROR(__xludf.DUMMYFUNCTION("""COMPUTED_VALUE"""),"Eini")</f>
        <v>Eini</v>
      </c>
      <c r="G310" s="763" t="str">
        <f>IFERROR(__xludf.DUMMYFUNCTION("""COMPUTED_VALUE"""),"nikoo.eini.88@gmail.com")</f>
        <v>nikoo.eini.88@gmail.com</v>
      </c>
      <c r="H310" s="763">
        <f>IFERROR(__xludf.DUMMYFUNCTION("""COMPUTED_VALUE"""),3.911312943E9)</f>
        <v>3911312943</v>
      </c>
      <c r="I310" s="763" t="str">
        <f>IFERROR(__xludf.DUMMYFUNCTION("""COMPUTED_VALUE"""),"Segrate")</f>
        <v>Segrate</v>
      </c>
      <c r="J310" s="763" t="str">
        <f>IFERROR(__xludf.DUMMYFUNCTION("""COMPUTED_VALUE"""),"Strada Anulare")</f>
        <v>Strada Anulare</v>
      </c>
      <c r="K310" s="763">
        <f>IFERROR(__xludf.DUMMYFUNCTION("""COMPUTED_VALUE"""),20054.0)</f>
        <v>20054</v>
      </c>
      <c r="L310" s="763" t="str">
        <f>IFERROR(__xludf.DUMMYFUNCTION("""COMPUTED_VALUE"""),"Carte di pagamento")</f>
        <v>Carte di pagamento</v>
      </c>
      <c r="M310" s="763"/>
      <c r="N310" s="763" t="str">
        <f>IFERROR(__xludf.DUMMYFUNCTION("""COMPUTED_VALUE"""),"65211-1760540364")</f>
        <v>65211-1760540364</v>
      </c>
      <c r="O310" s="763">
        <f>IFERROR(__xludf.DUMMYFUNCTION("""COMPUTED_VALUE"""),0.0)</f>
        <v>0</v>
      </c>
      <c r="P310" s="767">
        <f>IFERROR(__xludf.DUMMYFUNCTION("""COMPUTED_VALUE"""),1.5416666666666667)</f>
        <v>1.541666667</v>
      </c>
      <c r="Q310" s="763" t="str">
        <f>IFERROR(__xludf.DUMMYFUNCTION("""COMPUTED_VALUE"""),"EUR")</f>
        <v>EUR</v>
      </c>
      <c r="R310" s="763">
        <f>IFERROR(__xludf.DUMMYFUNCTION("""COMPUTED_VALUE"""),733.0)</f>
        <v>733</v>
      </c>
      <c r="S310" s="763" t="str">
        <f>IFERROR(__xludf.DUMMYFUNCTION("""COMPUTED_VALUE"""),"Workshop Afrofusion con Banana 2025 - Workshop Banana afrofusion")</f>
        <v>Workshop Afrofusion con Banana 2025 - Workshop Banana afrofusion</v>
      </c>
      <c r="T310" s="763"/>
      <c r="U310" s="763"/>
      <c r="V310" s="763">
        <f>IFERROR(__xludf.DUMMYFUNCTION("""COMPUTED_VALUE"""),1.0)</f>
        <v>1</v>
      </c>
      <c r="W310" s="763">
        <f>IFERROR(__xludf.DUMMYFUNCTION("""COMPUTED_VALUE"""),37.0)</f>
        <v>37</v>
      </c>
      <c r="X310" s="763">
        <f>IFERROR(__xludf.DUMMYFUNCTION("""COMPUTED_VALUE"""),37.0)</f>
        <v>37</v>
      </c>
      <c r="Y310" s="763"/>
      <c r="Z310" s="768" t="str">
        <f>IFERROR(__xludf.DUMMYFUNCTION("""COMPUTED_VALUE"""),"https://studio-gem.it/wp-admin/post.php?post=65211&amp;action=edit")</f>
        <v>https://studio-gem.it/wp-admin/post.php?post=65211&amp;action=edit</v>
      </c>
      <c r="AA310" s="763"/>
      <c r="AB310" s="763"/>
      <c r="AC310" s="763"/>
      <c r="AD310" s="763"/>
      <c r="AE310" s="763"/>
      <c r="AF310" s="763"/>
      <c r="AG310" s="763"/>
      <c r="AH310" s="763"/>
      <c r="AI310" s="763"/>
      <c r="AJ310" s="763"/>
      <c r="AK310" s="763"/>
      <c r="AL310" s="763"/>
      <c r="AM310" s="763"/>
      <c r="AN310" s="763"/>
      <c r="AO310" s="763"/>
      <c r="AP310" s="763"/>
      <c r="AQ310" s="763"/>
      <c r="AR310" s="763"/>
      <c r="AS310" s="763"/>
      <c r="AT310" s="763"/>
      <c r="AU310" s="763"/>
      <c r="AV310" s="763"/>
      <c r="AW310" s="763"/>
      <c r="AX310" s="763"/>
      <c r="AY310" s="763"/>
      <c r="AZ310" s="763"/>
      <c r="BA310" s="763"/>
      <c r="BB310" s="763"/>
      <c r="BC310" s="763"/>
      <c r="BD310" s="763"/>
      <c r="BE310" s="763"/>
      <c r="BF310" s="763"/>
      <c r="BG310" s="763" t="b">
        <f>IFERROR(__xludf.DUMMYFUNCTION("""COMPUTED_VALUE"""),TRUE)</f>
        <v>1</v>
      </c>
      <c r="BH310" s="763" t="b">
        <f>IFERROR(__xludf.DUMMYFUNCTION("""COMPUTED_VALUE"""),FALSE)</f>
        <v>0</v>
      </c>
      <c r="BI310" s="763" t="b">
        <f>IFERROR(__xludf.DUMMYFUNCTION("""COMPUTED_VALUE"""),TRUE)</f>
        <v>1</v>
      </c>
      <c r="BJ310" s="763" t="b">
        <f>IFERROR(__xludf.DUMMYFUNCTION("""COMPUTED_VALUE"""),TRUE)</f>
        <v>1</v>
      </c>
    </row>
    <row r="311">
      <c r="A311" s="763">
        <f>IFERROR(__xludf.DUMMYFUNCTION("""COMPUTED_VALUE"""),65213.0)</f>
        <v>65213</v>
      </c>
      <c r="B311" s="763">
        <f>IFERROR(__xludf.DUMMYFUNCTION("""COMPUTED_VALUE"""),65213.0)</f>
        <v>65213</v>
      </c>
      <c r="C311" s="763" t="str">
        <f>IFERROR(__xludf.DUMMYFUNCTION("""COMPUTED_VALUE"""),"2025-10-15 16:55:40")</f>
        <v>2025-10-15 16:55:40</v>
      </c>
      <c r="D311" s="763" t="str">
        <f>IFERROR(__xludf.DUMMYFUNCTION("""COMPUTED_VALUE"""),"processing")</f>
        <v>processing</v>
      </c>
      <c r="E311" s="763" t="str">
        <f>IFERROR(__xludf.DUMMYFUNCTION("""COMPUTED_VALUE"""),"Serena")</f>
        <v>Serena</v>
      </c>
      <c r="F311" s="763" t="str">
        <f>IFERROR(__xludf.DUMMYFUNCTION("""COMPUTED_VALUE"""),"Di Vito")</f>
        <v>Di Vito</v>
      </c>
      <c r="G311" s="763" t="str">
        <f>IFERROR(__xludf.DUMMYFUNCTION("""COMPUTED_VALUE"""),"Enadivito@gmail.com")</f>
        <v>Enadivito@gmail.com</v>
      </c>
      <c r="H311" s="763">
        <f>IFERROR(__xludf.DUMMYFUNCTION("""COMPUTED_VALUE"""),3.458837665E9)</f>
        <v>3458837665</v>
      </c>
      <c r="I311" s="763" t="str">
        <f>IFERROR(__xludf.DUMMYFUNCTION("""COMPUTED_VALUE"""),"Lainate")</f>
        <v>Lainate</v>
      </c>
      <c r="J311" s="763" t="str">
        <f>IFERROR(__xludf.DUMMYFUNCTION("""COMPUTED_VALUE"""),"Via Tevere 7")</f>
        <v>Via Tevere 7</v>
      </c>
      <c r="K311" s="763">
        <f>IFERROR(__xludf.DUMMYFUNCTION("""COMPUTED_VALUE"""),20045.0)</f>
        <v>20045</v>
      </c>
      <c r="L311" s="763" t="str">
        <f>IFERROR(__xludf.DUMMYFUNCTION("""COMPUTED_VALUE"""),"Carte di pagamento")</f>
        <v>Carte di pagamento</v>
      </c>
      <c r="M311" s="763"/>
      <c r="N311" s="763" t="str">
        <f>IFERROR(__xludf.DUMMYFUNCTION("""COMPUTED_VALUE"""),"65213-1760547341")</f>
        <v>65213-1760547341</v>
      </c>
      <c r="O311" s="763">
        <f>IFERROR(__xludf.DUMMYFUNCTION("""COMPUTED_VALUE"""),0.0)</f>
        <v>0</v>
      </c>
      <c r="P311" s="767">
        <f>IFERROR(__xludf.DUMMYFUNCTION("""COMPUTED_VALUE"""),4.625)</f>
        <v>4.625</v>
      </c>
      <c r="Q311" s="763" t="str">
        <f>IFERROR(__xludf.DUMMYFUNCTION("""COMPUTED_VALUE"""),"EUR")</f>
        <v>EUR</v>
      </c>
      <c r="R311" s="763">
        <f>IFERROR(__xludf.DUMMYFUNCTION("""COMPUTED_VALUE"""),734.0)</f>
        <v>734</v>
      </c>
      <c r="S311" s="763" t="str">
        <f>IFERROR(__xludf.DUMMYFUNCTION("""COMPUTED_VALUE"""),"Workshop Afrofusion con Banana 2025 - Workshop Banana afrofusion")</f>
        <v>Workshop Afrofusion con Banana 2025 - Workshop Banana afrofusion</v>
      </c>
      <c r="T311" s="763"/>
      <c r="U311" s="763"/>
      <c r="V311" s="763">
        <f>IFERROR(__xludf.DUMMYFUNCTION("""COMPUTED_VALUE"""),3.0)</f>
        <v>3</v>
      </c>
      <c r="W311" s="763">
        <f>IFERROR(__xludf.DUMMYFUNCTION("""COMPUTED_VALUE"""),37.0)</f>
        <v>37</v>
      </c>
      <c r="X311" s="763">
        <f>IFERROR(__xludf.DUMMYFUNCTION("""COMPUTED_VALUE"""),111.0)</f>
        <v>111</v>
      </c>
      <c r="Y311" s="763"/>
      <c r="Z311" s="768" t="str">
        <f>IFERROR(__xludf.DUMMYFUNCTION("""COMPUTED_VALUE"""),"https://studio-gem.it/wp-admin/post.php?post=65213&amp;action=edit")</f>
        <v>https://studio-gem.it/wp-admin/post.php?post=65213&amp;action=edit</v>
      </c>
      <c r="AA311" s="763"/>
      <c r="AB311" s="763"/>
      <c r="AC311" s="763"/>
      <c r="AD311" s="763"/>
      <c r="AE311" s="763"/>
      <c r="AF311" s="763"/>
      <c r="AG311" s="763"/>
      <c r="AH311" s="763"/>
      <c r="AI311" s="763"/>
      <c r="AJ311" s="763"/>
      <c r="AK311" s="763"/>
      <c r="AL311" s="763"/>
      <c r="AM311" s="763"/>
      <c r="AN311" s="763"/>
      <c r="AO311" s="763"/>
      <c r="AP311" s="763"/>
      <c r="AQ311" s="763"/>
      <c r="AR311" s="763"/>
      <c r="AS311" s="763"/>
      <c r="AT311" s="763"/>
      <c r="AU311" s="763"/>
      <c r="AV311" s="763"/>
      <c r="AW311" s="763"/>
      <c r="AX311" s="763"/>
      <c r="AY311" s="763"/>
      <c r="AZ311" s="763"/>
      <c r="BA311" s="763"/>
      <c r="BB311" s="763"/>
      <c r="BC311" s="763"/>
      <c r="BD311" s="763"/>
      <c r="BE311" s="763"/>
      <c r="BF311" s="763"/>
      <c r="BG311" s="763" t="b">
        <f>IFERROR(__xludf.DUMMYFUNCTION("""COMPUTED_VALUE"""),TRUE)</f>
        <v>1</v>
      </c>
      <c r="BH311" s="763" t="b">
        <f>IFERROR(__xludf.DUMMYFUNCTION("""COMPUTED_VALUE"""),FALSE)</f>
        <v>0</v>
      </c>
      <c r="BI311" s="763" t="b">
        <f>IFERROR(__xludf.DUMMYFUNCTION("""COMPUTED_VALUE"""),TRUE)</f>
        <v>1</v>
      </c>
      <c r="BJ311" s="763" t="b">
        <f>IFERROR(__xludf.DUMMYFUNCTION("""COMPUTED_VALUE"""),TRUE)</f>
        <v>1</v>
      </c>
    </row>
    <row r="312">
      <c r="A312" s="763">
        <f>IFERROR(__xludf.DUMMYFUNCTION("""COMPUTED_VALUE"""),65214.0)</f>
        <v>65214</v>
      </c>
      <c r="B312" s="763">
        <f>IFERROR(__xludf.DUMMYFUNCTION("""COMPUTED_VALUE"""),65214.0)</f>
        <v>65214</v>
      </c>
      <c r="C312" s="763" t="str">
        <f>IFERROR(__xludf.DUMMYFUNCTION("""COMPUTED_VALUE"""),"2025-10-15 18:11:52")</f>
        <v>2025-10-15 18:11:52</v>
      </c>
      <c r="D312" s="763" t="str">
        <f>IFERROR(__xludf.DUMMYFUNCTION("""COMPUTED_VALUE"""),"pending")</f>
        <v>pending</v>
      </c>
      <c r="E312" s="763" t="str">
        <f>IFERROR(__xludf.DUMMYFUNCTION("""COMPUTED_VALUE"""),"Flavio")</f>
        <v>Flavio</v>
      </c>
      <c r="F312" s="763" t="str">
        <f>IFERROR(__xludf.DUMMYFUNCTION("""COMPUTED_VALUE"""),"Proietto")</f>
        <v>Proietto</v>
      </c>
      <c r="G312" s="763" t="str">
        <f>IFERROR(__xludf.DUMMYFUNCTION("""COMPUTED_VALUE"""),"flavioproiettosalanitri@gmail.com")</f>
        <v>flavioproiettosalanitri@gmail.com</v>
      </c>
      <c r="H312" s="763">
        <f>IFERROR(__xludf.DUMMYFUNCTION("""COMPUTED_VALUE"""),3.397304705E9)</f>
        <v>3397304705</v>
      </c>
      <c r="I312" s="763" t="str">
        <f>IFERROR(__xludf.DUMMYFUNCTION("""COMPUTED_VALUE"""),"Milano")</f>
        <v>Milano</v>
      </c>
      <c r="J312" s="763" t="str">
        <f>IFERROR(__xludf.DUMMYFUNCTION("""COMPUTED_VALUE"""),"Via salasco 7")</f>
        <v>Via salasco 7</v>
      </c>
      <c r="K312" s="763">
        <f>IFERROR(__xludf.DUMMYFUNCTION("""COMPUTED_VALUE"""),20136.0)</f>
        <v>20136</v>
      </c>
      <c r="L312" s="763" t="str">
        <f>IFERROR(__xludf.DUMMYFUNCTION("""COMPUTED_VALUE"""),"Carte di pagamento")</f>
        <v>Carte di pagamento</v>
      </c>
      <c r="M312" s="763"/>
      <c r="N312" s="763"/>
      <c r="O312" s="763">
        <f>IFERROR(__xludf.DUMMYFUNCTION("""COMPUTED_VALUE"""),0.0)</f>
        <v>0</v>
      </c>
      <c r="P312" s="767">
        <f>IFERROR(__xludf.DUMMYFUNCTION("""COMPUTED_VALUE"""),1.875)</f>
        <v>1.875</v>
      </c>
      <c r="Q312" s="763" t="str">
        <f>IFERROR(__xludf.DUMMYFUNCTION("""COMPUTED_VALUE"""),"EUR")</f>
        <v>EUR</v>
      </c>
      <c r="R312" s="763">
        <f>IFERROR(__xludf.DUMMYFUNCTION("""COMPUTED_VALUE"""),735.0)</f>
        <v>735</v>
      </c>
      <c r="S312" s="763" t="str">
        <f>IFERROR(__xludf.DUMMYFUNCTION("""COMPUTED_VALUE"""),"Workshop Commercial con Timor Steffens - Workshop Commercial con Timor Steffens")</f>
        <v>Workshop Commercial con Timor Steffens - Workshop Commercial con Timor Steffens</v>
      </c>
      <c r="T312" s="763"/>
      <c r="U312" s="763"/>
      <c r="V312" s="763">
        <f>IFERROR(__xludf.DUMMYFUNCTION("""COMPUTED_VALUE"""),1.0)</f>
        <v>1</v>
      </c>
      <c r="W312" s="763">
        <f>IFERROR(__xludf.DUMMYFUNCTION("""COMPUTED_VALUE"""),45.0)</f>
        <v>45</v>
      </c>
      <c r="X312" s="763">
        <f>IFERROR(__xludf.DUMMYFUNCTION("""COMPUTED_VALUE"""),45.0)</f>
        <v>45</v>
      </c>
      <c r="Y312" s="763"/>
      <c r="Z312" s="768" t="str">
        <f>IFERROR(__xludf.DUMMYFUNCTION("""COMPUTED_VALUE"""),"https://studio-gem.it/wp-admin/post.php?post=65214&amp;action=edit")</f>
        <v>https://studio-gem.it/wp-admin/post.php?post=65214&amp;action=edit</v>
      </c>
      <c r="AA312" s="763"/>
      <c r="AB312" s="763"/>
      <c r="AC312" s="763"/>
      <c r="AD312" s="763"/>
      <c r="AE312" s="763"/>
      <c r="AF312" s="763"/>
      <c r="AG312" s="763"/>
      <c r="AH312" s="763"/>
      <c r="AI312" s="763"/>
      <c r="AJ312" s="763"/>
      <c r="AK312" s="763"/>
      <c r="AL312" s="763"/>
      <c r="AM312" s="763"/>
      <c r="AN312" s="763"/>
      <c r="AO312" s="763"/>
      <c r="AP312" s="763"/>
      <c r="AQ312" s="763"/>
      <c r="AR312" s="763"/>
      <c r="AS312" s="763"/>
      <c r="AT312" s="763"/>
      <c r="AU312" s="763"/>
      <c r="AV312" s="763"/>
      <c r="AW312" s="763"/>
      <c r="AX312" s="763"/>
      <c r="AY312" s="763"/>
      <c r="AZ312" s="763"/>
      <c r="BA312" s="763"/>
      <c r="BB312" s="763"/>
      <c r="BC312" s="763"/>
      <c r="BD312" s="763"/>
      <c r="BE312" s="763"/>
      <c r="BF312" s="763"/>
      <c r="BG312" s="763" t="b">
        <f>IFERROR(__xludf.DUMMYFUNCTION("""COMPUTED_VALUE"""),TRUE)</f>
        <v>1</v>
      </c>
      <c r="BH312" s="763" t="b">
        <f>IFERROR(__xludf.DUMMYFUNCTION("""COMPUTED_VALUE"""),FALSE)</f>
        <v>0</v>
      </c>
      <c r="BI312" s="763" t="b">
        <f>IFERROR(__xludf.DUMMYFUNCTION("""COMPUTED_VALUE"""),TRUE)</f>
        <v>1</v>
      </c>
      <c r="BJ312" s="763" t="b">
        <f>IFERROR(__xludf.DUMMYFUNCTION("""COMPUTED_VALUE"""),TRUE)</f>
        <v>1</v>
      </c>
    </row>
    <row r="313">
      <c r="A313" s="763">
        <f>IFERROR(__xludf.DUMMYFUNCTION("""COMPUTED_VALUE"""),65216.0)</f>
        <v>65216</v>
      </c>
      <c r="B313" s="763">
        <f>IFERROR(__xludf.DUMMYFUNCTION("""COMPUTED_VALUE"""),65216.0)</f>
        <v>65216</v>
      </c>
      <c r="C313" s="763" t="str">
        <f>IFERROR(__xludf.DUMMYFUNCTION("""COMPUTED_VALUE"""),"2025-10-15 19:00:43")</f>
        <v>2025-10-15 19:00:43</v>
      </c>
      <c r="D313" s="763" t="str">
        <f>IFERROR(__xludf.DUMMYFUNCTION("""COMPUTED_VALUE"""),"processing")</f>
        <v>processing</v>
      </c>
      <c r="E313" s="763" t="str">
        <f>IFERROR(__xludf.DUMMYFUNCTION("""COMPUTED_VALUE"""),"Aurora")</f>
        <v>Aurora</v>
      </c>
      <c r="F313" s="763" t="str">
        <f>IFERROR(__xludf.DUMMYFUNCTION("""COMPUTED_VALUE"""),"Maccagnola")</f>
        <v>Maccagnola</v>
      </c>
      <c r="G313" s="763" t="str">
        <f>IFERROR(__xludf.DUMMYFUNCTION("""COMPUTED_VALUE"""),"lauraborgia@yahoo.it")</f>
        <v>lauraborgia@yahoo.it</v>
      </c>
      <c r="H313" s="763">
        <f>IFERROR(__xludf.DUMMYFUNCTION("""COMPUTED_VALUE"""),3.392875919E9)</f>
        <v>3392875919</v>
      </c>
      <c r="I313" s="763" t="str">
        <f>IFERROR(__xludf.DUMMYFUNCTION("""COMPUTED_VALUE"""),"Varese")</f>
        <v>Varese</v>
      </c>
      <c r="J313" s="763" t="str">
        <f>IFERROR(__xludf.DUMMYFUNCTION("""COMPUTED_VALUE"""),"Centenate,5")</f>
        <v>Centenate,5</v>
      </c>
      <c r="K313" s="763">
        <f>IFERROR(__xludf.DUMMYFUNCTION("""COMPUTED_VALUE"""),21100.0)</f>
        <v>21100</v>
      </c>
      <c r="L313" s="763" t="str">
        <f>IFERROR(__xludf.DUMMYFUNCTION("""COMPUTED_VALUE"""),"Carte di pagamento")</f>
        <v>Carte di pagamento</v>
      </c>
      <c r="M313" s="763"/>
      <c r="N313" s="763" t="str">
        <f>IFERROR(__xludf.DUMMYFUNCTION("""COMPUTED_VALUE"""),"65216-1760554846")</f>
        <v>65216-1760554846</v>
      </c>
      <c r="O313" s="763">
        <f>IFERROR(__xludf.DUMMYFUNCTION("""COMPUTED_VALUE"""),0.0)</f>
        <v>0</v>
      </c>
      <c r="P313" s="767">
        <f>IFERROR(__xludf.DUMMYFUNCTION("""COMPUTED_VALUE"""),1.5416666666666667)</f>
        <v>1.541666667</v>
      </c>
      <c r="Q313" s="763" t="str">
        <f>IFERROR(__xludf.DUMMYFUNCTION("""COMPUTED_VALUE"""),"EUR")</f>
        <v>EUR</v>
      </c>
      <c r="R313" s="763">
        <f>IFERROR(__xludf.DUMMYFUNCTION("""COMPUTED_VALUE"""),736.0)</f>
        <v>736</v>
      </c>
      <c r="S313" s="763" t="str">
        <f>IFERROR(__xludf.DUMMYFUNCTION("""COMPUTED_VALUE"""),"Workshop Afrofusion con Banana 2025 - Workshop Banana afrofusion")</f>
        <v>Workshop Afrofusion con Banana 2025 - Workshop Banana afrofusion</v>
      </c>
      <c r="T313" s="763"/>
      <c r="U313" s="763"/>
      <c r="V313" s="763">
        <f>IFERROR(__xludf.DUMMYFUNCTION("""COMPUTED_VALUE"""),1.0)</f>
        <v>1</v>
      </c>
      <c r="W313" s="763">
        <f>IFERROR(__xludf.DUMMYFUNCTION("""COMPUTED_VALUE"""),37.0)</f>
        <v>37</v>
      </c>
      <c r="X313" s="763">
        <f>IFERROR(__xludf.DUMMYFUNCTION("""COMPUTED_VALUE"""),37.0)</f>
        <v>37</v>
      </c>
      <c r="Y313" s="763"/>
      <c r="Z313" s="768" t="str">
        <f>IFERROR(__xludf.DUMMYFUNCTION("""COMPUTED_VALUE"""),"https://studio-gem.it/wp-admin/post.php?post=65216&amp;action=edit")</f>
        <v>https://studio-gem.it/wp-admin/post.php?post=65216&amp;action=edit</v>
      </c>
      <c r="AA313" s="763"/>
      <c r="AB313" s="763"/>
      <c r="AC313" s="763"/>
      <c r="AD313" s="763"/>
      <c r="AE313" s="763"/>
      <c r="AF313" s="763"/>
      <c r="AG313" s="763"/>
      <c r="AH313" s="763"/>
      <c r="AI313" s="763"/>
      <c r="AJ313" s="763"/>
      <c r="AK313" s="763"/>
      <c r="AL313" s="763"/>
      <c r="AM313" s="763"/>
      <c r="AN313" s="763"/>
      <c r="AO313" s="763"/>
      <c r="AP313" s="763"/>
      <c r="AQ313" s="763"/>
      <c r="AR313" s="763"/>
      <c r="AS313" s="763"/>
      <c r="AT313" s="763"/>
      <c r="AU313" s="763"/>
      <c r="AV313" s="763"/>
      <c r="AW313" s="763"/>
      <c r="AX313" s="763"/>
      <c r="AY313" s="763"/>
      <c r="AZ313" s="763"/>
      <c r="BA313" s="763"/>
      <c r="BB313" s="763"/>
      <c r="BC313" s="763"/>
      <c r="BD313" s="763"/>
      <c r="BE313" s="763"/>
      <c r="BF313" s="763"/>
      <c r="BG313" s="763" t="b">
        <f>IFERROR(__xludf.DUMMYFUNCTION("""COMPUTED_VALUE"""),TRUE)</f>
        <v>1</v>
      </c>
      <c r="BH313" s="763" t="b">
        <f>IFERROR(__xludf.DUMMYFUNCTION("""COMPUTED_VALUE"""),FALSE)</f>
        <v>0</v>
      </c>
      <c r="BI313" s="763" t="b">
        <f>IFERROR(__xludf.DUMMYFUNCTION("""COMPUTED_VALUE"""),TRUE)</f>
        <v>1</v>
      </c>
      <c r="BJ313" s="763" t="b">
        <f>IFERROR(__xludf.DUMMYFUNCTION("""COMPUTED_VALUE"""),TRUE)</f>
        <v>1</v>
      </c>
    </row>
    <row r="314">
      <c r="A314" s="763">
        <f>IFERROR(__xludf.DUMMYFUNCTION("""COMPUTED_VALUE"""),65217.0)</f>
        <v>65217</v>
      </c>
      <c r="B314" s="763">
        <f>IFERROR(__xludf.DUMMYFUNCTION("""COMPUTED_VALUE"""),65217.0)</f>
        <v>65217</v>
      </c>
      <c r="C314" s="763" t="str">
        <f>IFERROR(__xludf.DUMMYFUNCTION("""COMPUTED_VALUE"""),"2025-10-15 20:26:18")</f>
        <v>2025-10-15 20:26:18</v>
      </c>
      <c r="D314" s="763" t="str">
        <f>IFERROR(__xludf.DUMMYFUNCTION("""COMPUTED_VALUE"""),"completed")</f>
        <v>completed</v>
      </c>
      <c r="E314" s="763" t="str">
        <f>IFERROR(__xludf.DUMMYFUNCTION("""COMPUTED_VALUE"""),"Claudia")</f>
        <v>Claudia</v>
      </c>
      <c r="F314" s="763" t="str">
        <f>IFERROR(__xludf.DUMMYFUNCTION("""COMPUTED_VALUE"""),"Bertone")</f>
        <v>Bertone</v>
      </c>
      <c r="G314" s="763" t="str">
        <f>IFERROR(__xludf.DUMMYFUNCTION("""COMPUTED_VALUE"""),"claudia.bertone@yahoo.it")</f>
        <v>claudia.bertone@yahoo.it</v>
      </c>
      <c r="H314" s="763">
        <f>IFERROR(__xludf.DUMMYFUNCTION("""COMPUTED_VALUE"""),3.478289569E9)</f>
        <v>3478289569</v>
      </c>
      <c r="I314" s="763" t="str">
        <f>IFERROR(__xludf.DUMMYFUNCTION("""COMPUTED_VALUE"""),"Volpiano")</f>
        <v>Volpiano</v>
      </c>
      <c r="J314" s="763" t="str">
        <f>IFERROR(__xludf.DUMMYFUNCTION("""COMPUTED_VALUE"""),"via Genova 41")</f>
        <v>via Genova 41</v>
      </c>
      <c r="K314" s="763">
        <f>IFERROR(__xludf.DUMMYFUNCTION("""COMPUTED_VALUE"""),10088.0)</f>
        <v>10088</v>
      </c>
      <c r="L314" s="763" t="str">
        <f>IFERROR(__xludf.DUMMYFUNCTION("""COMPUTED_VALUE"""),"Carte di pagamento")</f>
        <v>Carte di pagamento</v>
      </c>
      <c r="M314" s="763" t="str">
        <f>IFERROR(__xludf.DUMMYFUNCTION("""COMPUTED_VALUE"""),"alexandra02ws")</f>
        <v>alexandra02ws</v>
      </c>
      <c r="N314" s="763" t="str">
        <f>IFERROR(__xludf.DUMMYFUNCTION("""COMPUTED_VALUE"""),"65217-1760559979")</f>
        <v>65217-1760559979</v>
      </c>
      <c r="O314" s="763">
        <f>IFERROR(__xludf.DUMMYFUNCTION("""COMPUTED_VALUE"""),0.0)</f>
        <v>0</v>
      </c>
      <c r="P314" s="767">
        <f>IFERROR(__xludf.DUMMYFUNCTION("""COMPUTED_VALUE"""),1.7916666666666667)</f>
        <v>1.791666667</v>
      </c>
      <c r="Q314" s="763" t="str">
        <f>IFERROR(__xludf.DUMMYFUNCTION("""COMPUTED_VALUE"""),"EUR")</f>
        <v>EUR</v>
      </c>
      <c r="R314" s="763">
        <f>IFERROR(__xludf.DUMMYFUNCTION("""COMPUTED_VALUE"""),737.0)</f>
        <v>737</v>
      </c>
      <c r="S314" s="763" t="str">
        <f>IFERROR(__xludf.DUMMYFUNCTION("""COMPUTED_VALUE"""),"Workshop Commercial con Timor Steffens - Workshop Commercial con Timor Steffens")</f>
        <v>Workshop Commercial con Timor Steffens - Workshop Commercial con Timor Steffens</v>
      </c>
      <c r="T314" s="763"/>
      <c r="U314" s="763"/>
      <c r="V314" s="763">
        <f>IFERROR(__xludf.DUMMYFUNCTION("""COMPUTED_VALUE"""),1.0)</f>
        <v>1</v>
      </c>
      <c r="W314" s="763">
        <f>IFERROR(__xludf.DUMMYFUNCTION("""COMPUTED_VALUE"""),43.0)</f>
        <v>43</v>
      </c>
      <c r="X314" s="763">
        <f>IFERROR(__xludf.DUMMYFUNCTION("""COMPUTED_VALUE"""),43.0)</f>
        <v>43</v>
      </c>
      <c r="Y314" s="763"/>
      <c r="Z314" s="768" t="str">
        <f>IFERROR(__xludf.DUMMYFUNCTION("""COMPUTED_VALUE"""),"https://studio-gem.it/wp-admin/post.php?post=65217&amp;action=edit")</f>
        <v>https://studio-gem.it/wp-admin/post.php?post=65217&amp;action=edit</v>
      </c>
      <c r="AA314" s="763"/>
      <c r="AB314" s="763"/>
      <c r="AC314" s="763"/>
      <c r="AD314" s="763"/>
      <c r="AE314" s="763"/>
      <c r="AF314" s="763"/>
      <c r="AG314" s="763"/>
      <c r="AH314" s="763"/>
      <c r="AI314" s="763"/>
      <c r="AJ314" s="763"/>
      <c r="AK314" s="763"/>
      <c r="AL314" s="763"/>
      <c r="AM314" s="763"/>
      <c r="AN314" s="763"/>
      <c r="AO314" s="763"/>
      <c r="AP314" s="763"/>
      <c r="AQ314" s="763"/>
      <c r="AR314" s="763"/>
      <c r="AS314" s="763"/>
      <c r="AT314" s="763"/>
      <c r="AU314" s="763"/>
      <c r="AV314" s="763"/>
      <c r="AW314" s="763"/>
      <c r="AX314" s="763"/>
      <c r="AY314" s="763"/>
      <c r="AZ314" s="763"/>
      <c r="BA314" s="763"/>
      <c r="BB314" s="763"/>
      <c r="BC314" s="763"/>
      <c r="BD314" s="763"/>
      <c r="BE314" s="763"/>
      <c r="BF314" s="763"/>
      <c r="BG314" s="763" t="b">
        <f>IFERROR(__xludf.DUMMYFUNCTION("""COMPUTED_VALUE"""),TRUE)</f>
        <v>1</v>
      </c>
      <c r="BH314" s="763" t="b">
        <f>IFERROR(__xludf.DUMMYFUNCTION("""COMPUTED_VALUE"""),FALSE)</f>
        <v>0</v>
      </c>
      <c r="BI314" s="763" t="b">
        <f>IFERROR(__xludf.DUMMYFUNCTION("""COMPUTED_VALUE"""),TRUE)</f>
        <v>1</v>
      </c>
      <c r="BJ314" s="763" t="b">
        <f>IFERROR(__xludf.DUMMYFUNCTION("""COMPUTED_VALUE"""),TRUE)</f>
        <v>1</v>
      </c>
    </row>
    <row r="315">
      <c r="A315" s="763">
        <f>IFERROR(__xludf.DUMMYFUNCTION("""COMPUTED_VALUE"""),65219.0)</f>
        <v>65219</v>
      </c>
      <c r="B315" s="763">
        <f>IFERROR(__xludf.DUMMYFUNCTION("""COMPUTED_VALUE"""),65219.0)</f>
        <v>65219</v>
      </c>
      <c r="C315" s="763" t="str">
        <f>IFERROR(__xludf.DUMMYFUNCTION("""COMPUTED_VALUE"""),"2025-10-16 06:48:36")</f>
        <v>2025-10-16 06:48:36</v>
      </c>
      <c r="D315" s="763" t="str">
        <f>IFERROR(__xludf.DUMMYFUNCTION("""COMPUTED_VALUE"""),"completed")</f>
        <v>completed</v>
      </c>
      <c r="E315" s="763" t="str">
        <f>IFERROR(__xludf.DUMMYFUNCTION("""COMPUTED_VALUE"""),"Elenora")</f>
        <v>Elenora</v>
      </c>
      <c r="F315" s="763" t="str">
        <f>IFERROR(__xludf.DUMMYFUNCTION("""COMPUTED_VALUE"""),"Molin")</f>
        <v>Molin</v>
      </c>
      <c r="G315" s="763" t="str">
        <f>IFERROR(__xludf.DUMMYFUNCTION("""COMPUTED_VALUE"""),"eleonora.molin@gmail.com")</f>
        <v>eleonora.molin@gmail.com</v>
      </c>
      <c r="H315" s="763">
        <f>IFERROR(__xludf.DUMMYFUNCTION("""COMPUTED_VALUE"""),3.498184947E9)</f>
        <v>3498184947</v>
      </c>
      <c r="I315" s="763" t="str">
        <f>IFERROR(__xludf.DUMMYFUNCTION("""COMPUTED_VALUE"""),"Milano")</f>
        <v>Milano</v>
      </c>
      <c r="J315" s="763" t="str">
        <f>IFERROR(__xludf.DUMMYFUNCTION("""COMPUTED_VALUE"""),"Messina 20")</f>
        <v>Messina 20</v>
      </c>
      <c r="K315" s="763">
        <f>IFERROR(__xludf.DUMMYFUNCTION("""COMPUTED_VALUE"""),20154.0)</f>
        <v>20154</v>
      </c>
      <c r="L315" s="763" t="str">
        <f>IFERROR(__xludf.DUMMYFUNCTION("""COMPUTED_VALUE"""),"Satispay")</f>
        <v>Satispay</v>
      </c>
      <c r="M315" s="763"/>
      <c r="N315" s="763" t="str">
        <f>IFERROR(__xludf.DUMMYFUNCTION("""COMPUTED_VALUE"""),"0199ebc7-1376-78a3-96aa-b78818745b54")</f>
        <v>0199ebc7-1376-78a3-96aa-b78818745b54</v>
      </c>
      <c r="O315" s="763">
        <f>IFERROR(__xludf.DUMMYFUNCTION("""COMPUTED_VALUE"""),0.0)</f>
        <v>0</v>
      </c>
      <c r="P315" s="767">
        <f>IFERROR(__xludf.DUMMYFUNCTION("""COMPUTED_VALUE"""),0.8333333333333334)</f>
        <v>0.8333333333</v>
      </c>
      <c r="Q315" s="763" t="str">
        <f>IFERROR(__xludf.DUMMYFUNCTION("""COMPUTED_VALUE"""),"EUR")</f>
        <v>EUR</v>
      </c>
      <c r="R315" s="763">
        <f>IFERROR(__xludf.DUMMYFUNCTION("""COMPUTED_VALUE"""),739.0)</f>
        <v>739</v>
      </c>
      <c r="S315" s="763" t="str">
        <f>IFERROR(__xludf.DUMMYFUNCTION("""COMPUTED_VALUE"""),"Domeniche in movimento - 2 lezioni - Dalle 10 alle 11.50 con Dorian Kuqi €20")</f>
        <v>Domeniche in movimento - 2 lezioni - Dalle 10 alle 11.50 con Dorian Kuqi €20</v>
      </c>
      <c r="T315" s="763"/>
      <c r="U315" s="763"/>
      <c r="V315" s="763">
        <f>IFERROR(__xludf.DUMMYFUNCTION("""COMPUTED_VALUE"""),1.0)</f>
        <v>1</v>
      </c>
      <c r="W315" s="763">
        <f>IFERROR(__xludf.DUMMYFUNCTION("""COMPUTED_VALUE"""),20.0)</f>
        <v>20</v>
      </c>
      <c r="X315" s="763">
        <f>IFERROR(__xludf.DUMMYFUNCTION("""COMPUTED_VALUE"""),20.0)</f>
        <v>20</v>
      </c>
      <c r="Y315" s="763"/>
      <c r="Z315" s="768" t="str">
        <f>IFERROR(__xludf.DUMMYFUNCTION("""COMPUTED_VALUE"""),"https://studio-gem.it/wp-admin/post.php?post=65219&amp;action=edit")</f>
        <v>https://studio-gem.it/wp-admin/post.php?post=65219&amp;action=edit</v>
      </c>
      <c r="AA315" s="763"/>
      <c r="AB315" s="763"/>
      <c r="AC315" s="763"/>
      <c r="AD315" s="763"/>
      <c r="AE315" s="763"/>
      <c r="AF315" s="763"/>
      <c r="AG315" s="763"/>
      <c r="AH315" s="763"/>
      <c r="AI315" s="763"/>
      <c r="AJ315" s="763"/>
      <c r="AK315" s="763"/>
      <c r="AL315" s="763"/>
      <c r="AM315" s="763"/>
      <c r="AN315" s="763"/>
      <c r="AO315" s="763"/>
      <c r="AP315" s="763"/>
      <c r="AQ315" s="763"/>
      <c r="AR315" s="763"/>
      <c r="AS315" s="763"/>
      <c r="AT315" s="763"/>
      <c r="AU315" s="763"/>
      <c r="AV315" s="763"/>
      <c r="AW315" s="763"/>
      <c r="AX315" s="763"/>
      <c r="AY315" s="763"/>
      <c r="AZ315" s="763"/>
      <c r="BA315" s="763"/>
      <c r="BB315" s="763"/>
      <c r="BC315" s="763"/>
      <c r="BD315" s="763"/>
      <c r="BE315" s="763"/>
      <c r="BF315" s="763"/>
      <c r="BG315" s="763" t="b">
        <f>IFERROR(__xludf.DUMMYFUNCTION("""COMPUTED_VALUE"""),TRUE)</f>
        <v>1</v>
      </c>
      <c r="BH315" s="763" t="b">
        <f>IFERROR(__xludf.DUMMYFUNCTION("""COMPUTED_VALUE"""),FALSE)</f>
        <v>0</v>
      </c>
      <c r="BI315" s="763" t="b">
        <f>IFERROR(__xludf.DUMMYFUNCTION("""COMPUTED_VALUE"""),TRUE)</f>
        <v>1</v>
      </c>
      <c r="BJ315" s="763" t="b">
        <f>IFERROR(__xludf.DUMMYFUNCTION("""COMPUTED_VALUE"""),TRUE)</f>
        <v>1</v>
      </c>
    </row>
    <row r="316">
      <c r="A316" s="763">
        <f>IFERROR(__xludf.DUMMYFUNCTION("""COMPUTED_VALUE"""),65221.0)</f>
        <v>65221</v>
      </c>
      <c r="B316" s="763">
        <f>IFERROR(__xludf.DUMMYFUNCTION("""COMPUTED_VALUE"""),65221.0)</f>
        <v>65221</v>
      </c>
      <c r="C316" s="763" t="str">
        <f>IFERROR(__xludf.DUMMYFUNCTION("""COMPUTED_VALUE"""),"2025-10-16 07:49:50")</f>
        <v>2025-10-16 07:49:50</v>
      </c>
      <c r="D316" s="763" t="str">
        <f>IFERROR(__xludf.DUMMYFUNCTION("""COMPUTED_VALUE"""),"completed")</f>
        <v>completed</v>
      </c>
      <c r="E316" s="763" t="str">
        <f>IFERROR(__xludf.DUMMYFUNCTION("""COMPUTED_VALUE"""),"Miriam")</f>
        <v>Miriam</v>
      </c>
      <c r="F316" s="763" t="str">
        <f>IFERROR(__xludf.DUMMYFUNCTION("""COMPUTED_VALUE"""),"Torsello")</f>
        <v>Torsello</v>
      </c>
      <c r="G316" s="763" t="str">
        <f>IFERROR(__xludf.DUMMYFUNCTION("""COMPUTED_VALUE"""),"miriamtorsello2005@gmail.com")</f>
        <v>miriamtorsello2005@gmail.com</v>
      </c>
      <c r="H316" s="763">
        <f>IFERROR(__xludf.DUMMYFUNCTION("""COMPUTED_VALUE"""),3.922143888E9)</f>
        <v>3922143888</v>
      </c>
      <c r="I316" s="763" t="str">
        <f>IFERROR(__xludf.DUMMYFUNCTION("""COMPUTED_VALUE"""),"Milano")</f>
        <v>Milano</v>
      </c>
      <c r="J316" s="763" t="str">
        <f>IFERROR(__xludf.DUMMYFUNCTION("""COMPUTED_VALUE"""),"Vizzola, 5")</f>
        <v>Vizzola, 5</v>
      </c>
      <c r="K316" s="763">
        <f>IFERROR(__xludf.DUMMYFUNCTION("""COMPUTED_VALUE"""),20126.0)</f>
        <v>20126</v>
      </c>
      <c r="L316" s="763" t="str">
        <f>IFERROR(__xludf.DUMMYFUNCTION("""COMPUTED_VALUE"""),"Apple Pay")</f>
        <v>Apple Pay</v>
      </c>
      <c r="M316" s="763"/>
      <c r="N316" s="763" t="str">
        <f>IFERROR(__xludf.DUMMYFUNCTION("""COMPUTED_VALUE"""),"65221-1760600991")</f>
        <v>65221-1760600991</v>
      </c>
      <c r="O316" s="763">
        <f>IFERROR(__xludf.DUMMYFUNCTION("""COMPUTED_VALUE"""),0.0)</f>
        <v>0</v>
      </c>
      <c r="P316" s="767">
        <f>IFERROR(__xludf.DUMMYFUNCTION("""COMPUTED_VALUE"""),1.875)</f>
        <v>1.875</v>
      </c>
      <c r="Q316" s="763" t="str">
        <f>IFERROR(__xludf.DUMMYFUNCTION("""COMPUTED_VALUE"""),"EUR")</f>
        <v>EUR</v>
      </c>
      <c r="R316" s="763">
        <f>IFERROR(__xludf.DUMMYFUNCTION("""COMPUTED_VALUE"""),740.0)</f>
        <v>740</v>
      </c>
      <c r="S316" s="763" t="str">
        <f>IFERROR(__xludf.DUMMYFUNCTION("""COMPUTED_VALUE"""),"Workshop Commercial con Timor Steffens - Workshop Commercial con Timor Steffens")</f>
        <v>Workshop Commercial con Timor Steffens - Workshop Commercial con Timor Steffens</v>
      </c>
      <c r="T316" s="763"/>
      <c r="U316" s="763"/>
      <c r="V316" s="763">
        <f>IFERROR(__xludf.DUMMYFUNCTION("""COMPUTED_VALUE"""),1.0)</f>
        <v>1</v>
      </c>
      <c r="W316" s="763">
        <f>IFERROR(__xludf.DUMMYFUNCTION("""COMPUTED_VALUE"""),45.0)</f>
        <v>45</v>
      </c>
      <c r="X316" s="763">
        <f>IFERROR(__xludf.DUMMYFUNCTION("""COMPUTED_VALUE"""),45.0)</f>
        <v>45</v>
      </c>
      <c r="Y316" s="763"/>
      <c r="Z316" s="768" t="str">
        <f>IFERROR(__xludf.DUMMYFUNCTION("""COMPUTED_VALUE"""),"https://studio-gem.it/wp-admin/post.php?post=65221&amp;action=edit")</f>
        <v>https://studio-gem.it/wp-admin/post.php?post=65221&amp;action=edit</v>
      </c>
      <c r="AA316" s="763"/>
      <c r="AB316" s="763"/>
      <c r="AC316" s="763"/>
      <c r="AD316" s="763"/>
      <c r="AE316" s="763"/>
      <c r="AF316" s="763"/>
      <c r="AG316" s="763"/>
      <c r="AH316" s="763"/>
      <c r="AI316" s="763"/>
      <c r="AJ316" s="763"/>
      <c r="AK316" s="763"/>
      <c r="AL316" s="763"/>
      <c r="AM316" s="763"/>
      <c r="AN316" s="763"/>
      <c r="AO316" s="763"/>
      <c r="AP316" s="763"/>
      <c r="AQ316" s="763"/>
      <c r="AR316" s="763"/>
      <c r="AS316" s="763"/>
      <c r="AT316" s="763"/>
      <c r="AU316" s="763"/>
      <c r="AV316" s="763"/>
      <c r="AW316" s="763"/>
      <c r="AX316" s="763"/>
      <c r="AY316" s="763"/>
      <c r="AZ316" s="763"/>
      <c r="BA316" s="763"/>
      <c r="BB316" s="763"/>
      <c r="BC316" s="763"/>
      <c r="BD316" s="763"/>
      <c r="BE316" s="763"/>
      <c r="BF316" s="763"/>
      <c r="BG316" s="763" t="b">
        <f>IFERROR(__xludf.DUMMYFUNCTION("""COMPUTED_VALUE"""),TRUE)</f>
        <v>1</v>
      </c>
      <c r="BH316" s="763" t="b">
        <f>IFERROR(__xludf.DUMMYFUNCTION("""COMPUTED_VALUE"""),FALSE)</f>
        <v>0</v>
      </c>
      <c r="BI316" s="763" t="b">
        <f>IFERROR(__xludf.DUMMYFUNCTION("""COMPUTED_VALUE"""),TRUE)</f>
        <v>1</v>
      </c>
      <c r="BJ316" s="763" t="b">
        <f>IFERROR(__xludf.DUMMYFUNCTION("""COMPUTED_VALUE"""),TRUE)</f>
        <v>1</v>
      </c>
    </row>
    <row r="317">
      <c r="A317" s="763">
        <f>IFERROR(__xludf.DUMMYFUNCTION("""COMPUTED_VALUE"""),65224.0)</f>
        <v>65224</v>
      </c>
      <c r="B317" s="763">
        <f>IFERROR(__xludf.DUMMYFUNCTION("""COMPUTED_VALUE"""),65224.0)</f>
        <v>65224</v>
      </c>
      <c r="C317" s="763" t="str">
        <f>IFERROR(__xludf.DUMMYFUNCTION("""COMPUTED_VALUE"""),"2025-10-16 08:43:18")</f>
        <v>2025-10-16 08:43:18</v>
      </c>
      <c r="D317" s="763" t="str">
        <f>IFERROR(__xludf.DUMMYFUNCTION("""COMPUTED_VALUE"""),"completed")</f>
        <v>completed</v>
      </c>
      <c r="E317" s="763" t="str">
        <f>IFERROR(__xludf.DUMMYFUNCTION("""COMPUTED_VALUE"""),"Giulia")</f>
        <v>Giulia</v>
      </c>
      <c r="F317" s="763" t="str">
        <f>IFERROR(__xludf.DUMMYFUNCTION("""COMPUTED_VALUE"""),"Bertolotti")</f>
        <v>Bertolotti</v>
      </c>
      <c r="G317" s="763" t="str">
        <f>IFERROR(__xludf.DUMMYFUNCTION("""COMPUTED_VALUE"""),"giuliabertolottipink@gmail.com")</f>
        <v>giuliabertolottipink@gmail.com</v>
      </c>
      <c r="H317" s="763">
        <f>IFERROR(__xludf.DUMMYFUNCTION("""COMPUTED_VALUE"""),3.240755954E9)</f>
        <v>3240755954</v>
      </c>
      <c r="I317" s="763" t="str">
        <f>IFERROR(__xludf.DUMMYFUNCTION("""COMPUTED_VALUE"""),"Locate Di Triulzi")</f>
        <v>Locate Di Triulzi</v>
      </c>
      <c r="J317" s="763" t="str">
        <f>IFERROR(__xludf.DUMMYFUNCTION("""COMPUTED_VALUE"""),"Giuseppe Verdi 18")</f>
        <v>Giuseppe Verdi 18</v>
      </c>
      <c r="K317" s="763">
        <f>IFERROR(__xludf.DUMMYFUNCTION("""COMPUTED_VALUE"""),20085.0)</f>
        <v>20085</v>
      </c>
      <c r="L317" s="763" t="str">
        <f>IFERROR(__xludf.DUMMYFUNCTION("""COMPUTED_VALUE"""),"Carte di pagamento")</f>
        <v>Carte di pagamento</v>
      </c>
      <c r="M317" s="763" t="str">
        <f>IFERROR(__xludf.DUMMYFUNCTION("""COMPUTED_VALUE"""),"nura02ws")</f>
        <v>nura02ws</v>
      </c>
      <c r="N317" s="763" t="str">
        <f>IFERROR(__xludf.DUMMYFUNCTION("""COMPUTED_VALUE"""),"65224-1760604199")</f>
        <v>65224-1760604199</v>
      </c>
      <c r="O317" s="763">
        <f>IFERROR(__xludf.DUMMYFUNCTION("""COMPUTED_VALUE"""),0.0)</f>
        <v>0</v>
      </c>
      <c r="P317" s="767">
        <f>IFERROR(__xludf.DUMMYFUNCTION("""COMPUTED_VALUE"""),1.7916666666666667)</f>
        <v>1.791666667</v>
      </c>
      <c r="Q317" s="763" t="str">
        <f>IFERROR(__xludf.DUMMYFUNCTION("""COMPUTED_VALUE"""),"EUR")</f>
        <v>EUR</v>
      </c>
      <c r="R317" s="763">
        <f>IFERROR(__xludf.DUMMYFUNCTION("""COMPUTED_VALUE"""),741.0)</f>
        <v>741</v>
      </c>
      <c r="S317" s="763" t="str">
        <f>IFERROR(__xludf.DUMMYFUNCTION("""COMPUTED_VALUE"""),"Workshop Commercial con Timor Steffens - Workshop Commercial con Timor Steffens")</f>
        <v>Workshop Commercial con Timor Steffens - Workshop Commercial con Timor Steffens</v>
      </c>
      <c r="T317" s="763"/>
      <c r="U317" s="763"/>
      <c r="V317" s="763">
        <f>IFERROR(__xludf.DUMMYFUNCTION("""COMPUTED_VALUE"""),1.0)</f>
        <v>1</v>
      </c>
      <c r="W317" s="763">
        <f>IFERROR(__xludf.DUMMYFUNCTION("""COMPUTED_VALUE"""),43.0)</f>
        <v>43</v>
      </c>
      <c r="X317" s="763">
        <f>IFERROR(__xludf.DUMMYFUNCTION("""COMPUTED_VALUE"""),43.0)</f>
        <v>43</v>
      </c>
      <c r="Y317" s="763"/>
      <c r="Z317" s="768" t="str">
        <f>IFERROR(__xludf.DUMMYFUNCTION("""COMPUTED_VALUE"""),"https://studio-gem.it/wp-admin/post.php?post=65224&amp;action=edit")</f>
        <v>https://studio-gem.it/wp-admin/post.php?post=65224&amp;action=edit</v>
      </c>
      <c r="AA317" s="763"/>
      <c r="AB317" s="763"/>
      <c r="AC317" s="763"/>
      <c r="AD317" s="763"/>
      <c r="AE317" s="763"/>
      <c r="AF317" s="763"/>
      <c r="AG317" s="763"/>
      <c r="AH317" s="763"/>
      <c r="AI317" s="763"/>
      <c r="AJ317" s="763"/>
      <c r="AK317" s="763"/>
      <c r="AL317" s="763"/>
      <c r="AM317" s="763"/>
      <c r="AN317" s="763"/>
      <c r="AO317" s="763"/>
      <c r="AP317" s="763"/>
      <c r="AQ317" s="763"/>
      <c r="AR317" s="763"/>
      <c r="AS317" s="763"/>
      <c r="AT317" s="763"/>
      <c r="AU317" s="763"/>
      <c r="AV317" s="763"/>
      <c r="AW317" s="763"/>
      <c r="AX317" s="763"/>
      <c r="AY317" s="763"/>
      <c r="AZ317" s="763"/>
      <c r="BA317" s="763"/>
      <c r="BB317" s="763"/>
      <c r="BC317" s="763"/>
      <c r="BD317" s="763"/>
      <c r="BE317" s="763"/>
      <c r="BF317" s="763"/>
      <c r="BG317" s="763" t="b">
        <f>IFERROR(__xludf.DUMMYFUNCTION("""COMPUTED_VALUE"""),TRUE)</f>
        <v>1</v>
      </c>
      <c r="BH317" s="763" t="b">
        <f>IFERROR(__xludf.DUMMYFUNCTION("""COMPUTED_VALUE"""),FALSE)</f>
        <v>0</v>
      </c>
      <c r="BI317" s="763" t="b">
        <f>IFERROR(__xludf.DUMMYFUNCTION("""COMPUTED_VALUE"""),TRUE)</f>
        <v>1</v>
      </c>
      <c r="BJ317" s="763" t="b">
        <f>IFERROR(__xludf.DUMMYFUNCTION("""COMPUTED_VALUE"""),TRUE)</f>
        <v>1</v>
      </c>
    </row>
    <row r="318">
      <c r="A318" s="763">
        <f>IFERROR(__xludf.DUMMYFUNCTION("""COMPUTED_VALUE"""),65227.0)</f>
        <v>65227</v>
      </c>
      <c r="B318" s="763">
        <f>IFERROR(__xludf.DUMMYFUNCTION("""COMPUTED_VALUE"""),65227.0)</f>
        <v>65227</v>
      </c>
      <c r="C318" s="763" t="str">
        <f>IFERROR(__xludf.DUMMYFUNCTION("""COMPUTED_VALUE"""),"2025-10-16 19:23:47")</f>
        <v>2025-10-16 19:23:47</v>
      </c>
      <c r="D318" s="763" t="str">
        <f>IFERROR(__xludf.DUMMYFUNCTION("""COMPUTED_VALUE"""),"completed")</f>
        <v>completed</v>
      </c>
      <c r="E318" s="763" t="str">
        <f>IFERROR(__xludf.DUMMYFUNCTION("""COMPUTED_VALUE"""),"giulia")</f>
        <v>giulia</v>
      </c>
      <c r="F318" s="763" t="str">
        <f>IFERROR(__xludf.DUMMYFUNCTION("""COMPUTED_VALUE"""),"Eleuteri")</f>
        <v>Eleuteri</v>
      </c>
      <c r="G318" s="763" t="str">
        <f>IFERROR(__xludf.DUMMYFUNCTION("""COMPUTED_VALUE"""),"giulia.eleuteri06@gmail.com")</f>
        <v>giulia.eleuteri06@gmail.com</v>
      </c>
      <c r="H318" s="763">
        <f>IFERROR(__xludf.DUMMYFUNCTION("""COMPUTED_VALUE"""),3.486480889E9)</f>
        <v>3486480889</v>
      </c>
      <c r="I318" s="763" t="str">
        <f>IFERROR(__xludf.DUMMYFUNCTION("""COMPUTED_VALUE"""),"Casalecchio di Reno")</f>
        <v>Casalecchio di Reno</v>
      </c>
      <c r="J318" s="763" t="str">
        <f>IFERROR(__xludf.DUMMYFUNCTION("""COMPUTED_VALUE"""),"Via Porrettana 446")</f>
        <v>Via Porrettana 446</v>
      </c>
      <c r="K318" s="763">
        <f>IFERROR(__xludf.DUMMYFUNCTION("""COMPUTED_VALUE"""),40033.0)</f>
        <v>40033</v>
      </c>
      <c r="L318" s="763" t="str">
        <f>IFERROR(__xludf.DUMMYFUNCTION("""COMPUTED_VALUE"""),"Apple Pay")</f>
        <v>Apple Pay</v>
      </c>
      <c r="M318" s="763"/>
      <c r="N318" s="763" t="str">
        <f>IFERROR(__xludf.DUMMYFUNCTION("""COMPUTED_VALUE"""),"65227-1760642628")</f>
        <v>65227-1760642628</v>
      </c>
      <c r="O318" s="763">
        <f>IFERROR(__xludf.DUMMYFUNCTION("""COMPUTED_VALUE"""),0.0)</f>
        <v>0</v>
      </c>
      <c r="P318" s="767">
        <f>IFERROR(__xludf.DUMMYFUNCTION("""COMPUTED_VALUE"""),0.8333333333333334)</f>
        <v>0.8333333333</v>
      </c>
      <c r="Q318" s="763" t="str">
        <f>IFERROR(__xludf.DUMMYFUNCTION("""COMPUTED_VALUE"""),"EUR")</f>
        <v>EUR</v>
      </c>
      <c r="R318" s="763">
        <f>IFERROR(__xludf.DUMMYFUNCTION("""COMPUTED_VALUE"""),743.0)</f>
        <v>743</v>
      </c>
      <c r="S318" s="763" t="str">
        <f>IFERROR(__xludf.DUMMYFUNCTION("""COMPUTED_VALUE"""),"Domeniche in movimento - Gestualità afro cubana Raffaella Russo €20")</f>
        <v>Domeniche in movimento - Gestualità afro cubana Raffaella Russo €20</v>
      </c>
      <c r="T318" s="763"/>
      <c r="U318" s="763"/>
      <c r="V318" s="763">
        <f>IFERROR(__xludf.DUMMYFUNCTION("""COMPUTED_VALUE"""),1.0)</f>
        <v>1</v>
      </c>
      <c r="W318" s="763">
        <f>IFERROR(__xludf.DUMMYFUNCTION("""COMPUTED_VALUE"""),20.0)</f>
        <v>20</v>
      </c>
      <c r="X318" s="763">
        <f>IFERROR(__xludf.DUMMYFUNCTION("""COMPUTED_VALUE"""),20.0)</f>
        <v>20</v>
      </c>
      <c r="Y318" s="763"/>
      <c r="Z318" s="768" t="str">
        <f>IFERROR(__xludf.DUMMYFUNCTION("""COMPUTED_VALUE"""),"https://studio-gem.it/wp-admin/post.php?post=65227&amp;action=edit")</f>
        <v>https://studio-gem.it/wp-admin/post.php?post=65227&amp;action=edit</v>
      </c>
      <c r="AA318" s="763"/>
      <c r="AB318" s="763"/>
      <c r="AC318" s="763"/>
      <c r="AD318" s="763"/>
      <c r="AE318" s="763"/>
      <c r="AF318" s="763"/>
      <c r="AG318" s="763"/>
      <c r="AH318" s="763"/>
      <c r="AI318" s="763"/>
      <c r="AJ318" s="763"/>
      <c r="AK318" s="763"/>
      <c r="AL318" s="763"/>
      <c r="AM318" s="763"/>
      <c r="AN318" s="763"/>
      <c r="AO318" s="763"/>
      <c r="AP318" s="763"/>
      <c r="AQ318" s="763"/>
      <c r="AR318" s="763"/>
      <c r="AS318" s="763"/>
      <c r="AT318" s="763"/>
      <c r="AU318" s="763"/>
      <c r="AV318" s="763"/>
      <c r="AW318" s="763"/>
      <c r="AX318" s="763"/>
      <c r="AY318" s="763"/>
      <c r="AZ318" s="763"/>
      <c r="BA318" s="763"/>
      <c r="BB318" s="763"/>
      <c r="BC318" s="763"/>
      <c r="BD318" s="763"/>
      <c r="BE318" s="763"/>
      <c r="BF318" s="763"/>
      <c r="BG318" s="763" t="b">
        <f>IFERROR(__xludf.DUMMYFUNCTION("""COMPUTED_VALUE"""),TRUE)</f>
        <v>1</v>
      </c>
      <c r="BH318" s="763" t="b">
        <f>IFERROR(__xludf.DUMMYFUNCTION("""COMPUTED_VALUE"""),FALSE)</f>
        <v>0</v>
      </c>
      <c r="BI318" s="763" t="b">
        <f>IFERROR(__xludf.DUMMYFUNCTION("""COMPUTED_VALUE"""),TRUE)</f>
        <v>1</v>
      </c>
      <c r="BJ318" s="763" t="b">
        <f>IFERROR(__xludf.DUMMYFUNCTION("""COMPUTED_VALUE"""),TRUE)</f>
        <v>1</v>
      </c>
    </row>
    <row r="319">
      <c r="A319" s="763">
        <f>IFERROR(__xludf.DUMMYFUNCTION("""COMPUTED_VALUE"""),65229.0)</f>
        <v>65229</v>
      </c>
      <c r="B319" s="763">
        <f>IFERROR(__xludf.DUMMYFUNCTION("""COMPUTED_VALUE"""),65229.0)</f>
        <v>65229</v>
      </c>
      <c r="C319" s="763" t="str">
        <f>IFERROR(__xludf.DUMMYFUNCTION("""COMPUTED_VALUE"""),"2025-10-16 19:56:35")</f>
        <v>2025-10-16 19:56:35</v>
      </c>
      <c r="D319" s="763" t="str">
        <f>IFERROR(__xludf.DUMMYFUNCTION("""COMPUTED_VALUE"""),"completed")</f>
        <v>completed</v>
      </c>
      <c r="E319" s="763" t="str">
        <f>IFERROR(__xludf.DUMMYFUNCTION("""COMPUTED_VALUE"""),"Greta")</f>
        <v>Greta</v>
      </c>
      <c r="F319" s="763" t="str">
        <f>IFERROR(__xludf.DUMMYFUNCTION("""COMPUTED_VALUE"""),"Castellini")</f>
        <v>Castellini</v>
      </c>
      <c r="G319" s="763" t="str">
        <f>IFERROR(__xludf.DUMMYFUNCTION("""COMPUTED_VALUE"""),"greta.castellini44@gmail.com")</f>
        <v>greta.castellini44@gmail.com</v>
      </c>
      <c r="H319" s="763">
        <f>IFERROR(__xludf.DUMMYFUNCTION("""COMPUTED_VALUE"""),3.462543582E9)</f>
        <v>3462543582</v>
      </c>
      <c r="I319" s="763" t="str">
        <f>IFERROR(__xludf.DUMMYFUNCTION("""COMPUTED_VALUE"""),"Cesano Boscone")</f>
        <v>Cesano Boscone</v>
      </c>
      <c r="J319" s="763" t="str">
        <f>IFERROR(__xludf.DUMMYFUNCTION("""COMPUTED_VALUE"""),"Piazza Papa Giovanni XXIII")</f>
        <v>Piazza Papa Giovanni XXIII</v>
      </c>
      <c r="K319" s="763">
        <f>IFERROR(__xludf.DUMMYFUNCTION("""COMPUTED_VALUE"""),20090.0)</f>
        <v>20090</v>
      </c>
      <c r="L319" s="763" t="str">
        <f>IFERROR(__xludf.DUMMYFUNCTION("""COMPUTED_VALUE"""),"Carte di pagamento")</f>
        <v>Carte di pagamento</v>
      </c>
      <c r="M319" s="763"/>
      <c r="N319" s="763" t="str">
        <f>IFERROR(__xludf.DUMMYFUNCTION("""COMPUTED_VALUE"""),"65229-1760644596")</f>
        <v>65229-1760644596</v>
      </c>
      <c r="O319" s="763">
        <f>IFERROR(__xludf.DUMMYFUNCTION("""COMPUTED_VALUE"""),0.0)</f>
        <v>0</v>
      </c>
      <c r="P319" s="767">
        <f>IFERROR(__xludf.DUMMYFUNCTION("""COMPUTED_VALUE"""),1.5416666666666667)</f>
        <v>1.541666667</v>
      </c>
      <c r="Q319" s="763" t="str">
        <f>IFERROR(__xludf.DUMMYFUNCTION("""COMPUTED_VALUE"""),"EUR")</f>
        <v>EUR</v>
      </c>
      <c r="R319" s="763">
        <f>IFERROR(__xludf.DUMMYFUNCTION("""COMPUTED_VALUE"""),744.0)</f>
        <v>744</v>
      </c>
      <c r="S319" s="763" t="str">
        <f>IFERROR(__xludf.DUMMYFUNCTION("""COMPUTED_VALUE"""),"Workshop Afrofusion con Banana 2025 - Workshop Banana afrofusion")</f>
        <v>Workshop Afrofusion con Banana 2025 - Workshop Banana afrofusion</v>
      </c>
      <c r="T319" s="763"/>
      <c r="U319" s="763"/>
      <c r="V319" s="763">
        <f>IFERROR(__xludf.DUMMYFUNCTION("""COMPUTED_VALUE"""),1.0)</f>
        <v>1</v>
      </c>
      <c r="W319" s="763">
        <f>IFERROR(__xludf.DUMMYFUNCTION("""COMPUTED_VALUE"""),37.0)</f>
        <v>37</v>
      </c>
      <c r="X319" s="763">
        <f>IFERROR(__xludf.DUMMYFUNCTION("""COMPUTED_VALUE"""),37.0)</f>
        <v>37</v>
      </c>
      <c r="Y319" s="763"/>
      <c r="Z319" s="768" t="str">
        <f>IFERROR(__xludf.DUMMYFUNCTION("""COMPUTED_VALUE"""),"https://studio-gem.it/wp-admin/post.php?post=65229&amp;action=edit")</f>
        <v>https://studio-gem.it/wp-admin/post.php?post=65229&amp;action=edit</v>
      </c>
      <c r="AA319" s="763"/>
      <c r="AB319" s="763"/>
      <c r="AC319" s="763"/>
      <c r="AD319" s="763"/>
      <c r="AE319" s="763"/>
      <c r="AF319" s="763"/>
      <c r="AG319" s="763"/>
      <c r="AH319" s="763"/>
      <c r="AI319" s="763"/>
      <c r="AJ319" s="763"/>
      <c r="AK319" s="763"/>
      <c r="AL319" s="763"/>
      <c r="AM319" s="763"/>
      <c r="AN319" s="763"/>
      <c r="AO319" s="763"/>
      <c r="AP319" s="763"/>
      <c r="AQ319" s="763"/>
      <c r="AR319" s="763"/>
      <c r="AS319" s="763"/>
      <c r="AT319" s="763"/>
      <c r="AU319" s="763"/>
      <c r="AV319" s="763"/>
      <c r="AW319" s="763"/>
      <c r="AX319" s="763"/>
      <c r="AY319" s="763"/>
      <c r="AZ319" s="763"/>
      <c r="BA319" s="763"/>
      <c r="BB319" s="763"/>
      <c r="BC319" s="763"/>
      <c r="BD319" s="763"/>
      <c r="BE319" s="763"/>
      <c r="BF319" s="763"/>
      <c r="BG319" s="763" t="b">
        <f>IFERROR(__xludf.DUMMYFUNCTION("""COMPUTED_VALUE"""),TRUE)</f>
        <v>1</v>
      </c>
      <c r="BH319" s="763" t="b">
        <f>IFERROR(__xludf.DUMMYFUNCTION("""COMPUTED_VALUE"""),FALSE)</f>
        <v>0</v>
      </c>
      <c r="BI319" s="763" t="b">
        <f>IFERROR(__xludf.DUMMYFUNCTION("""COMPUTED_VALUE"""),TRUE)</f>
        <v>1</v>
      </c>
      <c r="BJ319" s="763" t="b">
        <f>IFERROR(__xludf.DUMMYFUNCTION("""COMPUTED_VALUE"""),TRUE)</f>
        <v>1</v>
      </c>
    </row>
    <row r="320">
      <c r="A320" s="763">
        <f>IFERROR(__xludf.DUMMYFUNCTION("""COMPUTED_VALUE"""),65231.0)</f>
        <v>65231</v>
      </c>
      <c r="B320" s="763">
        <f>IFERROR(__xludf.DUMMYFUNCTION("""COMPUTED_VALUE"""),65231.0)</f>
        <v>65231</v>
      </c>
      <c r="C320" s="763" t="str">
        <f>IFERROR(__xludf.DUMMYFUNCTION("""COMPUTED_VALUE"""),"2025-10-16 21:06:30")</f>
        <v>2025-10-16 21:06:30</v>
      </c>
      <c r="D320" s="763" t="str">
        <f>IFERROR(__xludf.DUMMYFUNCTION("""COMPUTED_VALUE"""),"completed")</f>
        <v>completed</v>
      </c>
      <c r="E320" s="763" t="str">
        <f>IFERROR(__xludf.DUMMYFUNCTION("""COMPUTED_VALUE"""),"Beatrice")</f>
        <v>Beatrice</v>
      </c>
      <c r="F320" s="763" t="str">
        <f>IFERROR(__xludf.DUMMYFUNCTION("""COMPUTED_VALUE"""),"Bastianello")</f>
        <v>Bastianello</v>
      </c>
      <c r="G320" s="763" t="str">
        <f>IFERROR(__xludf.DUMMYFUNCTION("""COMPUTED_VALUE"""),"beatricebastianello@gmail.com")</f>
        <v>beatricebastianello@gmail.com</v>
      </c>
      <c r="H320" s="763">
        <f>IFERROR(__xludf.DUMMYFUNCTION("""COMPUTED_VALUE"""),3.406844852E9)</f>
        <v>3406844852</v>
      </c>
      <c r="I320" s="763" t="str">
        <f>IFERROR(__xludf.DUMMYFUNCTION("""COMPUTED_VALUE"""),"Vergiate")</f>
        <v>Vergiate</v>
      </c>
      <c r="J320" s="763" t="str">
        <f>IFERROR(__xludf.DUMMYFUNCTION("""COMPUTED_VALUE"""),"Via Mercallo 48")</f>
        <v>Via Mercallo 48</v>
      </c>
      <c r="K320" s="763">
        <f>IFERROR(__xludf.DUMMYFUNCTION("""COMPUTED_VALUE"""),21029.0)</f>
        <v>21029</v>
      </c>
      <c r="L320" s="763" t="str">
        <f>IFERROR(__xludf.DUMMYFUNCTION("""COMPUTED_VALUE"""),"Carte di pagamento")</f>
        <v>Carte di pagamento</v>
      </c>
      <c r="M320" s="763"/>
      <c r="N320" s="763" t="str">
        <f>IFERROR(__xludf.DUMMYFUNCTION("""COMPUTED_VALUE"""),"65231-1760648836")</f>
        <v>65231-1760648836</v>
      </c>
      <c r="O320" s="763">
        <f>IFERROR(__xludf.DUMMYFUNCTION("""COMPUTED_VALUE"""),0.0)</f>
        <v>0</v>
      </c>
      <c r="P320" s="767">
        <f>IFERROR(__xludf.DUMMYFUNCTION("""COMPUTED_VALUE"""),1.5416666666666667)</f>
        <v>1.541666667</v>
      </c>
      <c r="Q320" s="763" t="str">
        <f>IFERROR(__xludf.DUMMYFUNCTION("""COMPUTED_VALUE"""),"EUR")</f>
        <v>EUR</v>
      </c>
      <c r="R320" s="763">
        <f>IFERROR(__xludf.DUMMYFUNCTION("""COMPUTED_VALUE"""),746.0)</f>
        <v>746</v>
      </c>
      <c r="S320" s="763" t="str">
        <f>IFERROR(__xludf.DUMMYFUNCTION("""COMPUTED_VALUE"""),"Workshop Urban con Kumo - Workshop Kumo Urban")</f>
        <v>Workshop Urban con Kumo - Workshop Kumo Urban</v>
      </c>
      <c r="T320" s="763"/>
      <c r="U320" s="763"/>
      <c r="V320" s="763">
        <f>IFERROR(__xludf.DUMMYFUNCTION("""COMPUTED_VALUE"""),1.0)</f>
        <v>1</v>
      </c>
      <c r="W320" s="763">
        <f>IFERROR(__xludf.DUMMYFUNCTION("""COMPUTED_VALUE"""),37.0)</f>
        <v>37</v>
      </c>
      <c r="X320" s="763">
        <f>IFERROR(__xludf.DUMMYFUNCTION("""COMPUTED_VALUE"""),37.0)</f>
        <v>37</v>
      </c>
      <c r="Y320" s="763"/>
      <c r="Z320" s="768" t="str">
        <f>IFERROR(__xludf.DUMMYFUNCTION("""COMPUTED_VALUE"""),"https://studio-gem.it/wp-admin/post.php?post=65231&amp;action=edit")</f>
        <v>https://studio-gem.it/wp-admin/post.php?post=65231&amp;action=edit</v>
      </c>
      <c r="AA320" s="763"/>
      <c r="AB320" s="763"/>
      <c r="AC320" s="763"/>
      <c r="AD320" s="763"/>
      <c r="AE320" s="763"/>
      <c r="AF320" s="763"/>
      <c r="AG320" s="763"/>
      <c r="AH320" s="763"/>
      <c r="AI320" s="763"/>
      <c r="AJ320" s="763"/>
      <c r="AK320" s="763"/>
      <c r="AL320" s="763"/>
      <c r="AM320" s="763"/>
      <c r="AN320" s="763"/>
      <c r="AO320" s="763"/>
      <c r="AP320" s="763"/>
      <c r="AQ320" s="763"/>
      <c r="AR320" s="763"/>
      <c r="AS320" s="763"/>
      <c r="AT320" s="763"/>
      <c r="AU320" s="763"/>
      <c r="AV320" s="763"/>
      <c r="AW320" s="763"/>
      <c r="AX320" s="763"/>
      <c r="AY320" s="763"/>
      <c r="AZ320" s="763"/>
      <c r="BA320" s="763"/>
      <c r="BB320" s="763"/>
      <c r="BC320" s="763"/>
      <c r="BD320" s="763"/>
      <c r="BE320" s="763"/>
      <c r="BF320" s="763"/>
      <c r="BG320" s="763" t="b">
        <f>IFERROR(__xludf.DUMMYFUNCTION("""COMPUTED_VALUE"""),TRUE)</f>
        <v>1</v>
      </c>
      <c r="BH320" s="763" t="b">
        <f>IFERROR(__xludf.DUMMYFUNCTION("""COMPUTED_VALUE"""),FALSE)</f>
        <v>0</v>
      </c>
      <c r="BI320" s="763" t="b">
        <f>IFERROR(__xludf.DUMMYFUNCTION("""COMPUTED_VALUE"""),TRUE)</f>
        <v>1</v>
      </c>
      <c r="BJ320" s="763" t="b">
        <f>IFERROR(__xludf.DUMMYFUNCTION("""COMPUTED_VALUE"""),TRUE)</f>
        <v>1</v>
      </c>
    </row>
    <row r="321">
      <c r="A321" s="763">
        <f>IFERROR(__xludf.DUMMYFUNCTION("""COMPUTED_VALUE"""),65235.0)</f>
        <v>65235</v>
      </c>
      <c r="B321" s="763">
        <f>IFERROR(__xludf.DUMMYFUNCTION("""COMPUTED_VALUE"""),65235.0)</f>
        <v>65235</v>
      </c>
      <c r="C321" s="763" t="str">
        <f>IFERROR(__xludf.DUMMYFUNCTION("""COMPUTED_VALUE"""),"2025-10-17 09:37:15")</f>
        <v>2025-10-17 09:37:15</v>
      </c>
      <c r="D321" s="763" t="str">
        <f>IFERROR(__xludf.DUMMYFUNCTION("""COMPUTED_VALUE"""),"completed")</f>
        <v>completed</v>
      </c>
      <c r="E321" s="763" t="str">
        <f>IFERROR(__xludf.DUMMYFUNCTION("""COMPUTED_VALUE"""),"Giorgia")</f>
        <v>Giorgia</v>
      </c>
      <c r="F321" s="763" t="str">
        <f>IFERROR(__xludf.DUMMYFUNCTION("""COMPUTED_VALUE"""),"Di Pietro")</f>
        <v>Di Pietro</v>
      </c>
      <c r="G321" s="763" t="str">
        <f>IFERROR(__xludf.DUMMYFUNCTION("""COMPUTED_VALUE"""),"giorgia.dipietro369@gmail.com")</f>
        <v>giorgia.dipietro369@gmail.com</v>
      </c>
      <c r="H321" s="763">
        <f>IFERROR(__xludf.DUMMYFUNCTION("""COMPUTED_VALUE"""),3.249868551E9)</f>
        <v>3249868551</v>
      </c>
      <c r="I321" s="763" t="str">
        <f>IFERROR(__xludf.DUMMYFUNCTION("""COMPUTED_VALUE"""),"Parma")</f>
        <v>Parma</v>
      </c>
      <c r="J321" s="763" t="str">
        <f>IFERROR(__xludf.DUMMYFUNCTION("""COMPUTED_VALUE"""),"Largo Flaminio Piccoli, 5")</f>
        <v>Largo Flaminio Piccoli, 5</v>
      </c>
      <c r="K321" s="763">
        <f>IFERROR(__xludf.DUMMYFUNCTION("""COMPUTED_VALUE"""),43123.0)</f>
        <v>43123</v>
      </c>
      <c r="L321" s="763" t="str">
        <f>IFERROR(__xludf.DUMMYFUNCTION("""COMPUTED_VALUE"""),"Apple Pay")</f>
        <v>Apple Pay</v>
      </c>
      <c r="M321" s="763" t="str">
        <f>IFERROR(__xludf.DUMMYFUNCTION("""COMPUTED_VALUE"""),"nura02ws")</f>
        <v>nura02ws</v>
      </c>
      <c r="N321" s="763" t="str">
        <f>IFERROR(__xludf.DUMMYFUNCTION("""COMPUTED_VALUE"""),"65235-1760694201")</f>
        <v>65235-1760694201</v>
      </c>
      <c r="O321" s="763">
        <f>IFERROR(__xludf.DUMMYFUNCTION("""COMPUTED_VALUE"""),0.0)</f>
        <v>0</v>
      </c>
      <c r="P321" s="767">
        <f>IFERROR(__xludf.DUMMYFUNCTION("""COMPUTED_VALUE"""),1.4583333333333333)</f>
        <v>1.458333333</v>
      </c>
      <c r="Q321" s="763" t="str">
        <f>IFERROR(__xludf.DUMMYFUNCTION("""COMPUTED_VALUE"""),"EUR")</f>
        <v>EUR</v>
      </c>
      <c r="R321" s="763">
        <f>IFERROR(__xludf.DUMMYFUNCTION("""COMPUTED_VALUE"""),749.0)</f>
        <v>749</v>
      </c>
      <c r="S321" s="763" t="str">
        <f>IFERROR(__xludf.DUMMYFUNCTION("""COMPUTED_VALUE"""),"Workshop Afrofusion con Banana 2025 - Workshop Banana afrofusion")</f>
        <v>Workshop Afrofusion con Banana 2025 - Workshop Banana afrofusion</v>
      </c>
      <c r="T321" s="763"/>
      <c r="U321" s="763"/>
      <c r="V321" s="763">
        <f>IFERROR(__xludf.DUMMYFUNCTION("""COMPUTED_VALUE"""),1.0)</f>
        <v>1</v>
      </c>
      <c r="W321" s="763">
        <f>IFERROR(__xludf.DUMMYFUNCTION("""COMPUTED_VALUE"""),35.0)</f>
        <v>35</v>
      </c>
      <c r="X321" s="763">
        <f>IFERROR(__xludf.DUMMYFUNCTION("""COMPUTED_VALUE"""),35.0)</f>
        <v>35</v>
      </c>
      <c r="Y321" s="763"/>
      <c r="Z321" s="768" t="str">
        <f>IFERROR(__xludf.DUMMYFUNCTION("""COMPUTED_VALUE"""),"https://studio-gem.it/wp-admin/post.php?post=65235&amp;action=edit")</f>
        <v>https://studio-gem.it/wp-admin/post.php?post=65235&amp;action=edit</v>
      </c>
      <c r="AA321" s="763"/>
      <c r="AB321" s="763"/>
      <c r="AC321" s="763"/>
      <c r="AD321" s="763"/>
      <c r="AE321" s="763"/>
      <c r="AF321" s="763"/>
      <c r="AG321" s="763"/>
      <c r="AH321" s="763"/>
      <c r="AI321" s="763"/>
      <c r="AJ321" s="763"/>
      <c r="AK321" s="763"/>
      <c r="AL321" s="763"/>
      <c r="AM321" s="763"/>
      <c r="AN321" s="763"/>
      <c r="AO321" s="763"/>
      <c r="AP321" s="763"/>
      <c r="AQ321" s="763"/>
      <c r="AR321" s="763"/>
      <c r="AS321" s="763"/>
      <c r="AT321" s="763"/>
      <c r="AU321" s="763"/>
      <c r="AV321" s="763"/>
      <c r="AW321" s="763"/>
      <c r="AX321" s="763"/>
      <c r="AY321" s="763"/>
      <c r="AZ321" s="763"/>
      <c r="BA321" s="763"/>
      <c r="BB321" s="763"/>
      <c r="BC321" s="763"/>
      <c r="BD321" s="763"/>
      <c r="BE321" s="763"/>
      <c r="BF321" s="763"/>
      <c r="BG321" s="763" t="b">
        <f>IFERROR(__xludf.DUMMYFUNCTION("""COMPUTED_VALUE"""),FALSE)</f>
        <v>0</v>
      </c>
      <c r="BH321" s="763" t="b">
        <f>IFERROR(__xludf.DUMMYFUNCTION("""COMPUTED_VALUE"""),FALSE)</f>
        <v>0</v>
      </c>
      <c r="BI321" s="763" t="b">
        <f>IFERROR(__xludf.DUMMYFUNCTION("""COMPUTED_VALUE"""),TRUE)</f>
        <v>1</v>
      </c>
      <c r="BJ321" s="763" t="b">
        <f>IFERROR(__xludf.DUMMYFUNCTION("""COMPUTED_VALUE"""),FALSE)</f>
        <v>0</v>
      </c>
    </row>
    <row r="322">
      <c r="A322" s="763">
        <f>IFERROR(__xludf.DUMMYFUNCTION("""COMPUTED_VALUE"""),65274.0)</f>
        <v>65274</v>
      </c>
      <c r="B322" s="763">
        <f>IFERROR(__xludf.DUMMYFUNCTION("""COMPUTED_VALUE"""),65274.0)</f>
        <v>65274</v>
      </c>
      <c r="C322" s="763" t="str">
        <f>IFERROR(__xludf.DUMMYFUNCTION("""COMPUTED_VALUE"""),"2025-10-17 13:18:59")</f>
        <v>2025-10-17 13:18:59</v>
      </c>
      <c r="D322" s="763" t="str">
        <f>IFERROR(__xludf.DUMMYFUNCTION("""COMPUTED_VALUE"""),"completed")</f>
        <v>completed</v>
      </c>
      <c r="E322" s="763" t="str">
        <f>IFERROR(__xludf.DUMMYFUNCTION("""COMPUTED_VALUE"""),"AnnaPina")</f>
        <v>AnnaPina</v>
      </c>
      <c r="F322" s="763" t="str">
        <f>IFERROR(__xludf.DUMMYFUNCTION("""COMPUTED_VALUE"""),"Paolino")</f>
        <v>Paolino</v>
      </c>
      <c r="G322" s="763" t="str">
        <f>IFERROR(__xludf.DUMMYFUNCTION("""COMPUTED_VALUE"""),"apaolino@mitteimmobiliare.it")</f>
        <v>apaolino@mitteimmobiliare.it</v>
      </c>
      <c r="H322" s="763">
        <f>IFERROR(__xludf.DUMMYFUNCTION("""COMPUTED_VALUE"""),3.387818598E9)</f>
        <v>3387818598</v>
      </c>
      <c r="I322" s="763" t="str">
        <f>IFERROR(__xludf.DUMMYFUNCTION("""COMPUTED_VALUE"""),"Pieve Emanuele")</f>
        <v>Pieve Emanuele</v>
      </c>
      <c r="J322" s="763" t="str">
        <f>IFERROR(__xludf.DUMMYFUNCTION("""COMPUTED_VALUE"""),"Cascina di Tolcinasco")</f>
        <v>Cascina di Tolcinasco</v>
      </c>
      <c r="K322" s="763">
        <f>IFERROR(__xludf.DUMMYFUNCTION("""COMPUTED_VALUE"""),20072.0)</f>
        <v>20072</v>
      </c>
      <c r="L322" s="763"/>
      <c r="M322" s="763"/>
      <c r="N322" s="763"/>
      <c r="O322" s="763">
        <f>IFERROR(__xludf.DUMMYFUNCTION("""COMPUTED_VALUE"""),0.0)</f>
        <v>0</v>
      </c>
      <c r="P322" s="767">
        <f>IFERROR(__xludf.DUMMYFUNCTION("""COMPUTED_VALUE"""),0.0)</f>
        <v>0</v>
      </c>
      <c r="Q322" s="763" t="str">
        <f>IFERROR(__xludf.DUMMYFUNCTION("""COMPUTED_VALUE"""),"EUR")</f>
        <v>EUR</v>
      </c>
      <c r="R322" s="763">
        <f>IFERROR(__xludf.DUMMYFUNCTION("""COMPUTED_VALUE"""),751.0)</f>
        <v>751</v>
      </c>
      <c r="S322" s="763" t="str">
        <f>IFERROR(__xludf.DUMMYFUNCTION("""COMPUTED_VALUE"""),"Domeniche in movimento - Gratuito per open fitness e open mattino 2 lezioni dalle 10 alle 11.50")</f>
        <v>Domeniche in movimento - Gratuito per open fitness e open mattino 2 lezioni dalle 10 alle 11.50</v>
      </c>
      <c r="T322" s="763"/>
      <c r="U322" s="763"/>
      <c r="V322" s="763">
        <f>IFERROR(__xludf.DUMMYFUNCTION("""COMPUTED_VALUE"""),2.0)</f>
        <v>2</v>
      </c>
      <c r="W322" s="763">
        <f>IFERROR(__xludf.DUMMYFUNCTION("""COMPUTED_VALUE"""),0.0)</f>
        <v>0</v>
      </c>
      <c r="X322" s="763">
        <f>IFERROR(__xludf.DUMMYFUNCTION("""COMPUTED_VALUE"""),0.0)</f>
        <v>0</v>
      </c>
      <c r="Y322" s="763"/>
      <c r="Z322" s="768" t="str">
        <f>IFERROR(__xludf.DUMMYFUNCTION("""COMPUTED_VALUE"""),"https://studio-gem.it/wp-admin/post.php?post=65274&amp;action=edit")</f>
        <v>https://studio-gem.it/wp-admin/post.php?post=65274&amp;action=edit</v>
      </c>
      <c r="AA322" s="763"/>
      <c r="AB322" s="763"/>
      <c r="AC322" s="763"/>
      <c r="AD322" s="763"/>
      <c r="AE322" s="763"/>
      <c r="AF322" s="763"/>
      <c r="AG322" s="763"/>
      <c r="AH322" s="763"/>
      <c r="AI322" s="763"/>
      <c r="AJ322" s="763"/>
      <c r="AK322" s="763"/>
      <c r="AL322" s="763"/>
      <c r="AM322" s="763"/>
      <c r="AN322" s="763"/>
      <c r="AO322" s="763"/>
      <c r="AP322" s="763"/>
      <c r="AQ322" s="763"/>
      <c r="AR322" s="763"/>
      <c r="AS322" s="763"/>
      <c r="AT322" s="763"/>
      <c r="AU322" s="763"/>
      <c r="AV322" s="763"/>
      <c r="AW322" s="763"/>
      <c r="AX322" s="763"/>
      <c r="AY322" s="763"/>
      <c r="AZ322" s="763"/>
      <c r="BA322" s="763"/>
      <c r="BB322" s="763"/>
      <c r="BC322" s="763"/>
      <c r="BD322" s="763"/>
      <c r="BE322" s="763"/>
      <c r="BF322" s="763"/>
      <c r="BG322" s="763" t="b">
        <f>IFERROR(__xludf.DUMMYFUNCTION("""COMPUTED_VALUE"""),FALSE)</f>
        <v>0</v>
      </c>
      <c r="BH322" s="763" t="b">
        <f>IFERROR(__xludf.DUMMYFUNCTION("""COMPUTED_VALUE"""),FALSE)</f>
        <v>0</v>
      </c>
      <c r="BI322" s="763" t="b">
        <f>IFERROR(__xludf.DUMMYFUNCTION("""COMPUTED_VALUE"""),TRUE)</f>
        <v>1</v>
      </c>
      <c r="BJ322" s="763" t="b">
        <f>IFERROR(__xludf.DUMMYFUNCTION("""COMPUTED_VALUE"""),FALSE)</f>
        <v>0</v>
      </c>
    </row>
    <row r="323">
      <c r="A323" s="763">
        <f>IFERROR(__xludf.DUMMYFUNCTION("""COMPUTED_VALUE"""),65276.0)</f>
        <v>65276</v>
      </c>
      <c r="B323" s="763">
        <f>IFERROR(__xludf.DUMMYFUNCTION("""COMPUTED_VALUE"""),65276.0)</f>
        <v>65276</v>
      </c>
      <c r="C323" s="763" t="str">
        <f>IFERROR(__xludf.DUMMYFUNCTION("""COMPUTED_VALUE"""),"2025-10-17 14:29:50")</f>
        <v>2025-10-17 14:29:50</v>
      </c>
      <c r="D323" s="763" t="str">
        <f>IFERROR(__xludf.DUMMYFUNCTION("""COMPUTED_VALUE"""),"pending")</f>
        <v>pending</v>
      </c>
      <c r="E323" s="763" t="str">
        <f>IFERROR(__xludf.DUMMYFUNCTION("""COMPUTED_VALUE"""),"Nicole")</f>
        <v>Nicole</v>
      </c>
      <c r="F323" s="763" t="str">
        <f>IFERROR(__xludf.DUMMYFUNCTION("""COMPUTED_VALUE"""),"Poppa")</f>
        <v>Poppa</v>
      </c>
      <c r="G323" s="763" t="str">
        <f>IFERROR(__xludf.DUMMYFUNCTION("""COMPUTED_VALUE"""),"nicolepoppa03@gmail.com")</f>
        <v>nicolepoppa03@gmail.com</v>
      </c>
      <c r="H323" s="763">
        <f>IFERROR(__xludf.DUMMYFUNCTION("""COMPUTED_VALUE"""),3.921397327E9)</f>
        <v>3921397327</v>
      </c>
      <c r="I323" s="763" t="str">
        <f>IFERROR(__xludf.DUMMYFUNCTION("""COMPUTED_VALUE"""),"Pinerolo")</f>
        <v>Pinerolo</v>
      </c>
      <c r="J323" s="763" t="str">
        <f>IFERROR(__xludf.DUMMYFUNCTION("""COMPUTED_VALUE"""),"Via santorre di santarosa 18")</f>
        <v>Via santorre di santarosa 18</v>
      </c>
      <c r="K323" s="763">
        <f>IFERROR(__xludf.DUMMYFUNCTION("""COMPUTED_VALUE"""),10064.0)</f>
        <v>10064</v>
      </c>
      <c r="L323" s="763" t="str">
        <f>IFERROR(__xludf.DUMMYFUNCTION("""COMPUTED_VALUE"""),"Carte di pagamento")</f>
        <v>Carte di pagamento</v>
      </c>
      <c r="M323" s="763" t="str">
        <f>IFERROR(__xludf.DUMMYFUNCTION("""COMPUTED_VALUE"""),"estefany02ws")</f>
        <v>estefany02ws</v>
      </c>
      <c r="N323" s="763"/>
      <c r="O323" s="763">
        <f>IFERROR(__xludf.DUMMYFUNCTION("""COMPUTED_VALUE"""),0.0)</f>
        <v>0</v>
      </c>
      <c r="P323" s="767">
        <f>IFERROR(__xludf.DUMMYFUNCTION("""COMPUTED_VALUE"""),1.4583333333333333)</f>
        <v>1.458333333</v>
      </c>
      <c r="Q323" s="763" t="str">
        <f>IFERROR(__xludf.DUMMYFUNCTION("""COMPUTED_VALUE"""),"EUR")</f>
        <v>EUR</v>
      </c>
      <c r="R323" s="763">
        <f>IFERROR(__xludf.DUMMYFUNCTION("""COMPUTED_VALUE"""),752.0)</f>
        <v>752</v>
      </c>
      <c r="S323" s="763" t="str">
        <f>IFERROR(__xludf.DUMMYFUNCTION("""COMPUTED_VALUE"""),"Workshop Heels con Deborah Esposito - Workshop Heels con Deborah Esposito")</f>
        <v>Workshop Heels con Deborah Esposito - Workshop Heels con Deborah Esposito</v>
      </c>
      <c r="T323" s="763"/>
      <c r="U323" s="763"/>
      <c r="V323" s="763">
        <f>IFERROR(__xludf.DUMMYFUNCTION("""COMPUTED_VALUE"""),1.0)</f>
        <v>1</v>
      </c>
      <c r="W323" s="763">
        <f>IFERROR(__xludf.DUMMYFUNCTION("""COMPUTED_VALUE"""),35.0)</f>
        <v>35</v>
      </c>
      <c r="X323" s="763">
        <f>IFERROR(__xludf.DUMMYFUNCTION("""COMPUTED_VALUE"""),35.0)</f>
        <v>35</v>
      </c>
      <c r="Y323" s="763"/>
      <c r="Z323" s="768" t="str">
        <f>IFERROR(__xludf.DUMMYFUNCTION("""COMPUTED_VALUE"""),"https://studio-gem.it/wp-admin/post.php?post=65276&amp;action=edit")</f>
        <v>https://studio-gem.it/wp-admin/post.php?post=65276&amp;action=edit</v>
      </c>
      <c r="AA323" s="763"/>
      <c r="AB323" s="763"/>
      <c r="AC323" s="763"/>
      <c r="AD323" s="763"/>
      <c r="AE323" s="763"/>
      <c r="AF323" s="763"/>
      <c r="AG323" s="763"/>
      <c r="AH323" s="763"/>
      <c r="AI323" s="763"/>
      <c r="AJ323" s="763"/>
      <c r="AK323" s="763"/>
      <c r="AL323" s="763"/>
      <c r="AM323" s="763"/>
      <c r="AN323" s="763"/>
      <c r="AO323" s="763"/>
      <c r="AP323" s="763"/>
      <c r="AQ323" s="763"/>
      <c r="AR323" s="763"/>
      <c r="AS323" s="763"/>
      <c r="AT323" s="763"/>
      <c r="AU323" s="763"/>
      <c r="AV323" s="763"/>
      <c r="AW323" s="763"/>
      <c r="AX323" s="763"/>
      <c r="AY323" s="763"/>
      <c r="AZ323" s="763"/>
      <c r="BA323" s="763"/>
      <c r="BB323" s="763"/>
      <c r="BC323" s="763"/>
      <c r="BD323" s="763"/>
      <c r="BE323" s="763"/>
      <c r="BF323" s="763"/>
      <c r="BG323" s="763" t="b">
        <f>IFERROR(__xludf.DUMMYFUNCTION("""COMPUTED_VALUE"""),FALSE)</f>
        <v>0</v>
      </c>
      <c r="BH323" s="763" t="b">
        <f>IFERROR(__xludf.DUMMYFUNCTION("""COMPUTED_VALUE"""),FALSE)</f>
        <v>0</v>
      </c>
      <c r="BI323" s="763" t="b">
        <f>IFERROR(__xludf.DUMMYFUNCTION("""COMPUTED_VALUE"""),FALSE)</f>
        <v>0</v>
      </c>
      <c r="BJ323" s="763" t="b">
        <f>IFERROR(__xludf.DUMMYFUNCTION("""COMPUTED_VALUE"""),FALSE)</f>
        <v>0</v>
      </c>
    </row>
    <row r="324">
      <c r="A324" s="763">
        <f>IFERROR(__xludf.DUMMYFUNCTION("""COMPUTED_VALUE"""),65277.0)</f>
        <v>65277</v>
      </c>
      <c r="B324" s="763">
        <f>IFERROR(__xludf.DUMMYFUNCTION("""COMPUTED_VALUE"""),65277.0)</f>
        <v>65277</v>
      </c>
      <c r="C324" s="763" t="str">
        <f>IFERROR(__xludf.DUMMYFUNCTION("""COMPUTED_VALUE"""),"2025-10-17 18:24:00")</f>
        <v>2025-10-17 18:24:00</v>
      </c>
      <c r="D324" s="763" t="str">
        <f>IFERROR(__xludf.DUMMYFUNCTION("""COMPUTED_VALUE"""),"processing")</f>
        <v>processing</v>
      </c>
      <c r="E324" s="763" t="str">
        <f>IFERROR(__xludf.DUMMYFUNCTION("""COMPUTED_VALUE"""),"Niccolò")</f>
        <v>Niccolò</v>
      </c>
      <c r="F324" s="763" t="str">
        <f>IFERROR(__xludf.DUMMYFUNCTION("""COMPUTED_VALUE"""),"Di Stani")</f>
        <v>Di Stani</v>
      </c>
      <c r="G324" s="763" t="str">
        <f>IFERROR(__xludf.DUMMYFUNCTION("""COMPUTED_VALUE"""),"nivodista@gmail.com")</f>
        <v>nivodista@gmail.com</v>
      </c>
      <c r="H324" s="763">
        <f>IFERROR(__xludf.DUMMYFUNCTION("""COMPUTED_VALUE"""),3.201875152E9)</f>
        <v>3201875152</v>
      </c>
      <c r="I324" s="763" t="str">
        <f>IFERROR(__xludf.DUMMYFUNCTION("""COMPUTED_VALUE"""),"Santo Stefano di Magra")</f>
        <v>Santo Stefano di Magra</v>
      </c>
      <c r="J324" s="763" t="str">
        <f>IFERROR(__xludf.DUMMYFUNCTION("""COMPUTED_VALUE"""),"Via Ricciallo 21A")</f>
        <v>Via Ricciallo 21A</v>
      </c>
      <c r="K324" s="763">
        <f>IFERROR(__xludf.DUMMYFUNCTION("""COMPUTED_VALUE"""),19037.0)</f>
        <v>19037</v>
      </c>
      <c r="L324" s="763" t="str">
        <f>IFERROR(__xludf.DUMMYFUNCTION("""COMPUTED_VALUE"""),"Carte di pagamento")</f>
        <v>Carte di pagamento</v>
      </c>
      <c r="M324" s="763"/>
      <c r="N324" s="763" t="str">
        <f>IFERROR(__xludf.DUMMYFUNCTION("""COMPUTED_VALUE"""),"65277-1760725441")</f>
        <v>65277-1760725441</v>
      </c>
      <c r="O324" s="763">
        <f>IFERROR(__xludf.DUMMYFUNCTION("""COMPUTED_VALUE"""),0.0)</f>
        <v>0</v>
      </c>
      <c r="P324" s="767">
        <f>IFERROR(__xludf.DUMMYFUNCTION("""COMPUTED_VALUE"""),1.875)</f>
        <v>1.875</v>
      </c>
      <c r="Q324" s="763" t="str">
        <f>IFERROR(__xludf.DUMMYFUNCTION("""COMPUTED_VALUE"""),"EUR")</f>
        <v>EUR</v>
      </c>
      <c r="R324" s="763">
        <f>IFERROR(__xludf.DUMMYFUNCTION("""COMPUTED_VALUE"""),754.0)</f>
        <v>754</v>
      </c>
      <c r="S324" s="763" t="str">
        <f>IFERROR(__xludf.DUMMYFUNCTION("""COMPUTED_VALUE"""),"Workshop Commercial con Timor Steffens - Workshop Commercial con Timor Steffens")</f>
        <v>Workshop Commercial con Timor Steffens - Workshop Commercial con Timor Steffens</v>
      </c>
      <c r="T324" s="763"/>
      <c r="U324" s="763"/>
      <c r="V324" s="763">
        <f>IFERROR(__xludf.DUMMYFUNCTION("""COMPUTED_VALUE"""),1.0)</f>
        <v>1</v>
      </c>
      <c r="W324" s="763">
        <f>IFERROR(__xludf.DUMMYFUNCTION("""COMPUTED_VALUE"""),45.0)</f>
        <v>45</v>
      </c>
      <c r="X324" s="763">
        <f>IFERROR(__xludf.DUMMYFUNCTION("""COMPUTED_VALUE"""),45.0)</f>
        <v>45</v>
      </c>
      <c r="Y324" s="763"/>
      <c r="Z324" s="768" t="str">
        <f>IFERROR(__xludf.DUMMYFUNCTION("""COMPUTED_VALUE"""),"https://studio-gem.it/wp-admin/post.php?post=65277&amp;action=edit")</f>
        <v>https://studio-gem.it/wp-admin/post.php?post=65277&amp;action=edit</v>
      </c>
      <c r="AA324" s="763"/>
      <c r="AB324" s="763"/>
      <c r="AC324" s="763"/>
      <c r="AD324" s="763"/>
      <c r="AE324" s="763"/>
      <c r="AF324" s="763"/>
      <c r="AG324" s="763"/>
      <c r="AH324" s="763"/>
      <c r="AI324" s="763"/>
      <c r="AJ324" s="763"/>
      <c r="AK324" s="763"/>
      <c r="AL324" s="763"/>
      <c r="AM324" s="763"/>
      <c r="AN324" s="763"/>
      <c r="AO324" s="763"/>
      <c r="AP324" s="763"/>
      <c r="AQ324" s="763"/>
      <c r="AR324" s="763"/>
      <c r="AS324" s="763"/>
      <c r="AT324" s="763"/>
      <c r="AU324" s="763"/>
      <c r="AV324" s="763"/>
      <c r="AW324" s="763"/>
      <c r="AX324" s="763"/>
      <c r="AY324" s="763"/>
      <c r="AZ324" s="763"/>
      <c r="BA324" s="763"/>
      <c r="BB324" s="763"/>
      <c r="BC324" s="763"/>
      <c r="BD324" s="763"/>
      <c r="BE324" s="763"/>
      <c r="BF324" s="763"/>
      <c r="BG324" s="763" t="b">
        <f>IFERROR(__xludf.DUMMYFUNCTION("""COMPUTED_VALUE"""),TRUE)</f>
        <v>1</v>
      </c>
      <c r="BH324" s="763" t="b">
        <f>IFERROR(__xludf.DUMMYFUNCTION("""COMPUTED_VALUE"""),FALSE)</f>
        <v>0</v>
      </c>
      <c r="BI324" s="763" t="b">
        <f>IFERROR(__xludf.DUMMYFUNCTION("""COMPUTED_VALUE"""),TRUE)</f>
        <v>1</v>
      </c>
      <c r="BJ324" s="763" t="b">
        <f>IFERROR(__xludf.DUMMYFUNCTION("""COMPUTED_VALUE"""),TRUE)</f>
        <v>1</v>
      </c>
    </row>
    <row r="325">
      <c r="A325" s="763">
        <f>IFERROR(__xludf.DUMMYFUNCTION("""COMPUTED_VALUE"""),65278.0)</f>
        <v>65278</v>
      </c>
      <c r="B325" s="763">
        <f>IFERROR(__xludf.DUMMYFUNCTION("""COMPUTED_VALUE"""),65278.0)</f>
        <v>65278</v>
      </c>
      <c r="C325" s="763" t="str">
        <f>IFERROR(__xludf.DUMMYFUNCTION("""COMPUTED_VALUE"""),"2025-10-17 20:12:04")</f>
        <v>2025-10-17 20:12:04</v>
      </c>
      <c r="D325" s="763" t="str">
        <f>IFERROR(__xludf.DUMMYFUNCTION("""COMPUTED_VALUE"""),"completed")</f>
        <v>completed</v>
      </c>
      <c r="E325" s="763" t="str">
        <f>IFERROR(__xludf.DUMMYFUNCTION("""COMPUTED_VALUE"""),"Dominga")</f>
        <v>Dominga</v>
      </c>
      <c r="F325" s="763" t="str">
        <f>IFERROR(__xludf.DUMMYFUNCTION("""COMPUTED_VALUE"""),"Stormyhr")</f>
        <v>Stormyhr</v>
      </c>
      <c r="G325" s="763" t="str">
        <f>IFERROR(__xludf.DUMMYFUNCTION("""COMPUTED_VALUE"""),"dstormyhr@gmail.com")</f>
        <v>dstormyhr@gmail.com</v>
      </c>
      <c r="H325" s="763" t="str">
        <f>IFERROR(__xludf.DUMMYFUNCTION("""COMPUTED_VALUE"""),"+393895075937")</f>
        <v>+393895075937</v>
      </c>
      <c r="I325" s="763" t="str">
        <f>IFERROR(__xludf.DUMMYFUNCTION("""COMPUTED_VALUE"""),"Milano")</f>
        <v>Milano</v>
      </c>
      <c r="J325" s="763" t="str">
        <f>IFERROR(__xludf.DUMMYFUNCTION("""COMPUTED_VALUE"""),"Vía Emilio morosini 15")</f>
        <v>Vía Emilio morosini 15</v>
      </c>
      <c r="K325" s="763">
        <f>IFERROR(__xludf.DUMMYFUNCTION("""COMPUTED_VALUE"""),20135.0)</f>
        <v>20135</v>
      </c>
      <c r="L325" s="763" t="str">
        <f>IFERROR(__xludf.DUMMYFUNCTION("""COMPUTED_VALUE"""),"Apple Pay")</f>
        <v>Apple Pay</v>
      </c>
      <c r="M325" s="763"/>
      <c r="N325" s="763" t="str">
        <f>IFERROR(__xludf.DUMMYFUNCTION("""COMPUTED_VALUE"""),"65278-1760731925")</f>
        <v>65278-1760731925</v>
      </c>
      <c r="O325" s="763">
        <f>IFERROR(__xludf.DUMMYFUNCTION("""COMPUTED_VALUE"""),0.0)</f>
        <v>0</v>
      </c>
      <c r="P325" s="767">
        <f>IFERROR(__xludf.DUMMYFUNCTION("""COMPUTED_VALUE"""),1.5416666666666667)</f>
        <v>1.541666667</v>
      </c>
      <c r="Q325" s="763" t="str">
        <f>IFERROR(__xludf.DUMMYFUNCTION("""COMPUTED_VALUE"""),"EUR")</f>
        <v>EUR</v>
      </c>
      <c r="R325" s="763">
        <f>IFERROR(__xludf.DUMMYFUNCTION("""COMPUTED_VALUE"""),755.0)</f>
        <v>755</v>
      </c>
      <c r="S325" s="763" t="str">
        <f>IFERROR(__xludf.DUMMYFUNCTION("""COMPUTED_VALUE"""),"Workshop Urban con Kumo - Workshop Kumo Urban")</f>
        <v>Workshop Urban con Kumo - Workshop Kumo Urban</v>
      </c>
      <c r="T325" s="763"/>
      <c r="U325" s="763"/>
      <c r="V325" s="763">
        <f>IFERROR(__xludf.DUMMYFUNCTION("""COMPUTED_VALUE"""),1.0)</f>
        <v>1</v>
      </c>
      <c r="W325" s="763">
        <f>IFERROR(__xludf.DUMMYFUNCTION("""COMPUTED_VALUE"""),37.0)</f>
        <v>37</v>
      </c>
      <c r="X325" s="763">
        <f>IFERROR(__xludf.DUMMYFUNCTION("""COMPUTED_VALUE"""),37.0)</f>
        <v>37</v>
      </c>
      <c r="Y325" s="763"/>
      <c r="Z325" s="768" t="str">
        <f>IFERROR(__xludf.DUMMYFUNCTION("""COMPUTED_VALUE"""),"https://studio-gem.it/wp-admin/post.php?post=65278&amp;action=edit")</f>
        <v>https://studio-gem.it/wp-admin/post.php?post=65278&amp;action=edit</v>
      </c>
      <c r="AA325" s="763"/>
      <c r="AB325" s="763"/>
      <c r="AC325" s="763"/>
      <c r="AD325" s="763"/>
      <c r="AE325" s="763"/>
      <c r="AF325" s="763"/>
      <c r="AG325" s="763"/>
      <c r="AH325" s="763"/>
      <c r="AI325" s="763"/>
      <c r="AJ325" s="763"/>
      <c r="AK325" s="763"/>
      <c r="AL325" s="763"/>
      <c r="AM325" s="763"/>
      <c r="AN325" s="763"/>
      <c r="AO325" s="763"/>
      <c r="AP325" s="763"/>
      <c r="AQ325" s="763"/>
      <c r="AR325" s="763"/>
      <c r="AS325" s="763"/>
      <c r="AT325" s="763"/>
      <c r="AU325" s="763"/>
      <c r="AV325" s="763"/>
      <c r="AW325" s="763"/>
      <c r="AX325" s="763"/>
      <c r="AY325" s="763"/>
      <c r="AZ325" s="763"/>
      <c r="BA325" s="763"/>
      <c r="BB325" s="763"/>
      <c r="BC325" s="763"/>
      <c r="BD325" s="763"/>
      <c r="BE325" s="763"/>
      <c r="BF325" s="763"/>
      <c r="BG325" s="763" t="b">
        <f>IFERROR(__xludf.DUMMYFUNCTION("""COMPUTED_VALUE"""),TRUE)</f>
        <v>1</v>
      </c>
      <c r="BH325" s="763" t="b">
        <f>IFERROR(__xludf.DUMMYFUNCTION("""COMPUTED_VALUE"""),FALSE)</f>
        <v>0</v>
      </c>
      <c r="BI325" s="763" t="b">
        <f>IFERROR(__xludf.DUMMYFUNCTION("""COMPUTED_VALUE"""),TRUE)</f>
        <v>1</v>
      </c>
      <c r="BJ325" s="763" t="b">
        <f>IFERROR(__xludf.DUMMYFUNCTION("""COMPUTED_VALUE"""),TRUE)</f>
        <v>1</v>
      </c>
    </row>
    <row r="326">
      <c r="A326" s="763">
        <f>IFERROR(__xludf.DUMMYFUNCTION("""COMPUTED_VALUE"""),65282.0)</f>
        <v>65282</v>
      </c>
      <c r="B326" s="763">
        <f>IFERROR(__xludf.DUMMYFUNCTION("""COMPUTED_VALUE"""),65282.0)</f>
        <v>65282</v>
      </c>
      <c r="C326" s="763" t="str">
        <f>IFERROR(__xludf.DUMMYFUNCTION("""COMPUTED_VALUE"""),"2025-10-18 02:25:21")</f>
        <v>2025-10-18 02:25:21</v>
      </c>
      <c r="D326" s="763" t="str">
        <f>IFERROR(__xludf.DUMMYFUNCTION("""COMPUTED_VALUE"""),"completed")</f>
        <v>completed</v>
      </c>
      <c r="E326" s="763" t="str">
        <f>IFERROR(__xludf.DUMMYFUNCTION("""COMPUTED_VALUE"""),"Natalia")</f>
        <v>Natalia</v>
      </c>
      <c r="F326" s="763" t="str">
        <f>IFERROR(__xludf.DUMMYFUNCTION("""COMPUTED_VALUE"""),"Ulunque")</f>
        <v>Ulunque</v>
      </c>
      <c r="G326" s="763" t="str">
        <f>IFERROR(__xludf.DUMMYFUNCTION("""COMPUTED_VALUE"""),"grace.xarts@gmail.com")</f>
        <v>grace.xarts@gmail.com</v>
      </c>
      <c r="H326" s="763">
        <f>IFERROR(__xludf.DUMMYFUNCTION("""COMPUTED_VALUE"""),3.791949443E9)</f>
        <v>3791949443</v>
      </c>
      <c r="I326" s="763" t="str">
        <f>IFERROR(__xludf.DUMMYFUNCTION("""COMPUTED_VALUE"""),"Milano")</f>
        <v>Milano</v>
      </c>
      <c r="J326" s="763">
        <f>IFERROR(__xludf.DUMMYFUNCTION("""COMPUTED_VALUE"""),23.0)</f>
        <v>23</v>
      </c>
      <c r="K326" s="763">
        <f>IFERROR(__xludf.DUMMYFUNCTION("""COMPUTED_VALUE"""),20142.0)</f>
        <v>20142</v>
      </c>
      <c r="L326" s="763" t="str">
        <f>IFERROR(__xludf.DUMMYFUNCTION("""COMPUTED_VALUE"""),"Apple Pay")</f>
        <v>Apple Pay</v>
      </c>
      <c r="M326" s="763"/>
      <c r="N326" s="763" t="str">
        <f>IFERROR(__xludf.DUMMYFUNCTION("""COMPUTED_VALUE"""),"65282-1760754503")</f>
        <v>65282-1760754503</v>
      </c>
      <c r="O326" s="763">
        <f>IFERROR(__xludf.DUMMYFUNCTION("""COMPUTED_VALUE"""),0.0)</f>
        <v>0</v>
      </c>
      <c r="P326" s="767">
        <f>IFERROR(__xludf.DUMMYFUNCTION("""COMPUTED_VALUE"""),1.875)</f>
        <v>1.875</v>
      </c>
      <c r="Q326" s="763" t="str">
        <f>IFERROR(__xludf.DUMMYFUNCTION("""COMPUTED_VALUE"""),"EUR")</f>
        <v>EUR</v>
      </c>
      <c r="R326" s="763">
        <f>IFERROR(__xludf.DUMMYFUNCTION("""COMPUTED_VALUE"""),757.0)</f>
        <v>757</v>
      </c>
      <c r="S326" s="763" t="str">
        <f>IFERROR(__xludf.DUMMYFUNCTION("""COMPUTED_VALUE"""),"Workshop Commercial con Timor Steffens - Workshop Commercial con Timor Steffens")</f>
        <v>Workshop Commercial con Timor Steffens - Workshop Commercial con Timor Steffens</v>
      </c>
      <c r="T326" s="763"/>
      <c r="U326" s="763"/>
      <c r="V326" s="763">
        <f>IFERROR(__xludf.DUMMYFUNCTION("""COMPUTED_VALUE"""),1.0)</f>
        <v>1</v>
      </c>
      <c r="W326" s="763">
        <f>IFERROR(__xludf.DUMMYFUNCTION("""COMPUTED_VALUE"""),45.0)</f>
        <v>45</v>
      </c>
      <c r="X326" s="763">
        <f>IFERROR(__xludf.DUMMYFUNCTION("""COMPUTED_VALUE"""),45.0)</f>
        <v>45</v>
      </c>
      <c r="Y326" s="763"/>
      <c r="Z326" s="768" t="str">
        <f>IFERROR(__xludf.DUMMYFUNCTION("""COMPUTED_VALUE"""),"https://studio-gem.it/wp-admin/post.php?post=65282&amp;action=edit")</f>
        <v>https://studio-gem.it/wp-admin/post.php?post=65282&amp;action=edit</v>
      </c>
      <c r="AA326" s="763"/>
      <c r="AB326" s="763"/>
      <c r="AC326" s="763"/>
      <c r="AD326" s="763"/>
      <c r="AE326" s="763"/>
      <c r="AF326" s="763"/>
      <c r="AG326" s="763"/>
      <c r="AH326" s="763"/>
      <c r="AI326" s="763"/>
      <c r="AJ326" s="763"/>
      <c r="AK326" s="763"/>
      <c r="AL326" s="763"/>
      <c r="AM326" s="763"/>
      <c r="AN326" s="763"/>
      <c r="AO326" s="763"/>
      <c r="AP326" s="763"/>
      <c r="AQ326" s="763"/>
      <c r="AR326" s="763"/>
      <c r="AS326" s="763"/>
      <c r="AT326" s="763"/>
      <c r="AU326" s="763"/>
      <c r="AV326" s="763"/>
      <c r="AW326" s="763"/>
      <c r="AX326" s="763"/>
      <c r="AY326" s="763"/>
      <c r="AZ326" s="763"/>
      <c r="BA326" s="763"/>
      <c r="BB326" s="763"/>
      <c r="BC326" s="763"/>
      <c r="BD326" s="763"/>
      <c r="BE326" s="763"/>
      <c r="BF326" s="763"/>
      <c r="BG326" s="763" t="b">
        <f>IFERROR(__xludf.DUMMYFUNCTION("""COMPUTED_VALUE"""),TRUE)</f>
        <v>1</v>
      </c>
      <c r="BH326" s="763" t="b">
        <f>IFERROR(__xludf.DUMMYFUNCTION("""COMPUTED_VALUE"""),FALSE)</f>
        <v>0</v>
      </c>
      <c r="BI326" s="763" t="b">
        <f>IFERROR(__xludf.DUMMYFUNCTION("""COMPUTED_VALUE"""),TRUE)</f>
        <v>1</v>
      </c>
      <c r="BJ326" s="763" t="b">
        <f>IFERROR(__xludf.DUMMYFUNCTION("""COMPUTED_VALUE"""),TRUE)</f>
        <v>1</v>
      </c>
    </row>
    <row r="327">
      <c r="A327" s="763">
        <f>IFERROR(__xludf.DUMMYFUNCTION("""COMPUTED_VALUE"""),65284.0)</f>
        <v>65284</v>
      </c>
      <c r="B327" s="763">
        <f>IFERROR(__xludf.DUMMYFUNCTION("""COMPUTED_VALUE"""),65284.0)</f>
        <v>65284</v>
      </c>
      <c r="C327" s="763" t="str">
        <f>IFERROR(__xludf.DUMMYFUNCTION("""COMPUTED_VALUE"""),"2025-10-18 07:50:02")</f>
        <v>2025-10-18 07:50:02</v>
      </c>
      <c r="D327" s="763" t="str">
        <f>IFERROR(__xludf.DUMMYFUNCTION("""COMPUTED_VALUE"""),"cancelled")</f>
        <v>cancelled</v>
      </c>
      <c r="E327" s="763" t="str">
        <f>IFERROR(__xludf.DUMMYFUNCTION("""COMPUTED_VALUE"""),"greis")</f>
        <v>greis</v>
      </c>
      <c r="F327" s="763" t="str">
        <f>IFERROR(__xludf.DUMMYFUNCTION("""COMPUTED_VALUE"""),"rakipi")</f>
        <v>rakipi</v>
      </c>
      <c r="G327" s="763" t="str">
        <f>IFERROR(__xludf.DUMMYFUNCTION("""COMPUTED_VALUE"""),"rakipigreiss@gmail.com")</f>
        <v>rakipigreiss@gmail.com</v>
      </c>
      <c r="H327" s="763">
        <f>IFERROR(__xludf.DUMMYFUNCTION("""COMPUTED_VALUE"""),3.487001835E9)</f>
        <v>3487001835</v>
      </c>
      <c r="I327" s="763" t="str">
        <f>IFERROR(__xludf.DUMMYFUNCTION("""COMPUTED_VALUE"""),"canegrate")</f>
        <v>canegrate</v>
      </c>
      <c r="J327" s="763" t="str">
        <f>IFERROR(__xludf.DUMMYFUNCTION("""COMPUTED_VALUE"""),"garibaldi 73")</f>
        <v>garibaldi 73</v>
      </c>
      <c r="K327" s="763">
        <f>IFERROR(__xludf.DUMMYFUNCTION("""COMPUTED_VALUE"""),20034.0)</f>
        <v>20034</v>
      </c>
      <c r="L327" s="763" t="str">
        <f>IFERROR(__xludf.DUMMYFUNCTION("""COMPUTED_VALUE"""),"Satispay")</f>
        <v>Satispay</v>
      </c>
      <c r="M327" s="763" t="str">
        <f>IFERROR(__xludf.DUMMYFUNCTION("""COMPUTED_VALUE"""),"estefany02ws")</f>
        <v>estefany02ws</v>
      </c>
      <c r="N327" s="763" t="str">
        <f>IFERROR(__xludf.DUMMYFUNCTION("""COMPUTED_VALUE"""),"0199f64c-99ae-7d59-bc40-e78685f6c3c7")</f>
        <v>0199f64c-99ae-7d59-bc40-e78685f6c3c7</v>
      </c>
      <c r="O327" s="763">
        <f>IFERROR(__xludf.DUMMYFUNCTION("""COMPUTED_VALUE"""),0.0)</f>
        <v>0</v>
      </c>
      <c r="P327" s="767">
        <f>IFERROR(__xludf.DUMMYFUNCTION("""COMPUTED_VALUE"""),1.7916666666666667)</f>
        <v>1.791666667</v>
      </c>
      <c r="Q327" s="763" t="str">
        <f>IFERROR(__xludf.DUMMYFUNCTION("""COMPUTED_VALUE"""),"EUR")</f>
        <v>EUR</v>
      </c>
      <c r="R327" s="763">
        <f>IFERROR(__xludf.DUMMYFUNCTION("""COMPUTED_VALUE"""),760.0)</f>
        <v>760</v>
      </c>
      <c r="S327" s="763" t="str">
        <f>IFERROR(__xludf.DUMMYFUNCTION("""COMPUTED_VALUE"""),"Workshop Commercial con Timor Steffens - Workshop Commercial con Timor Steffens")</f>
        <v>Workshop Commercial con Timor Steffens - Workshop Commercial con Timor Steffens</v>
      </c>
      <c r="T327" s="763"/>
      <c r="U327" s="763"/>
      <c r="V327" s="763">
        <f>IFERROR(__xludf.DUMMYFUNCTION("""COMPUTED_VALUE"""),1.0)</f>
        <v>1</v>
      </c>
      <c r="W327" s="763">
        <f>IFERROR(__xludf.DUMMYFUNCTION("""COMPUTED_VALUE"""),43.0)</f>
        <v>43</v>
      </c>
      <c r="X327" s="763">
        <f>IFERROR(__xludf.DUMMYFUNCTION("""COMPUTED_VALUE"""),43.0)</f>
        <v>43</v>
      </c>
      <c r="Y327" s="763"/>
      <c r="Z327" s="768" t="str">
        <f>IFERROR(__xludf.DUMMYFUNCTION("""COMPUTED_VALUE"""),"https://studio-gem.it/wp-admin/post.php?post=65284&amp;action=edit")</f>
        <v>https://studio-gem.it/wp-admin/post.php?post=65284&amp;action=edit</v>
      </c>
      <c r="AA327" s="763"/>
      <c r="AB327" s="763"/>
      <c r="AC327" s="763"/>
      <c r="AD327" s="763"/>
      <c r="AE327" s="763"/>
      <c r="AF327" s="763"/>
      <c r="AG327" s="763"/>
      <c r="AH327" s="763"/>
      <c r="AI327" s="763"/>
      <c r="AJ327" s="763"/>
      <c r="AK327" s="763"/>
      <c r="AL327" s="763"/>
      <c r="AM327" s="763"/>
      <c r="AN327" s="763"/>
      <c r="AO327" s="763"/>
      <c r="AP327" s="763"/>
      <c r="AQ327" s="763"/>
      <c r="AR327" s="763"/>
      <c r="AS327" s="763"/>
      <c r="AT327" s="763"/>
      <c r="AU327" s="763"/>
      <c r="AV327" s="763"/>
      <c r="AW327" s="763"/>
      <c r="AX327" s="763"/>
      <c r="AY327" s="763"/>
      <c r="AZ327" s="763"/>
      <c r="BA327" s="763"/>
      <c r="BB327" s="763"/>
      <c r="BC327" s="763"/>
      <c r="BD327" s="763"/>
      <c r="BE327" s="763"/>
      <c r="BF327" s="763"/>
      <c r="BG327" s="763" t="b">
        <f>IFERROR(__xludf.DUMMYFUNCTION("""COMPUTED_VALUE"""),FALSE)</f>
        <v>0</v>
      </c>
      <c r="BH327" s="763" t="b">
        <f>IFERROR(__xludf.DUMMYFUNCTION("""COMPUTED_VALUE"""),FALSE)</f>
        <v>0</v>
      </c>
      <c r="BI327" s="763" t="b">
        <f>IFERROR(__xludf.DUMMYFUNCTION("""COMPUTED_VALUE"""),FALSE)</f>
        <v>0</v>
      </c>
      <c r="BJ327" s="763" t="b">
        <f>IFERROR(__xludf.DUMMYFUNCTION("""COMPUTED_VALUE"""),FALSE)</f>
        <v>0</v>
      </c>
    </row>
    <row r="328">
      <c r="A328" s="763">
        <f>IFERROR(__xludf.DUMMYFUNCTION("""COMPUTED_VALUE"""),65286.0)</f>
        <v>65286</v>
      </c>
      <c r="B328" s="763">
        <f>IFERROR(__xludf.DUMMYFUNCTION("""COMPUTED_VALUE"""),65286.0)</f>
        <v>65286</v>
      </c>
      <c r="C328" s="763" t="str">
        <f>IFERROR(__xludf.DUMMYFUNCTION("""COMPUTED_VALUE"""),"2025-10-18 12:48:57")</f>
        <v>2025-10-18 12:48:57</v>
      </c>
      <c r="D328" s="763" t="str">
        <f>IFERROR(__xludf.DUMMYFUNCTION("""COMPUTED_VALUE"""),"completed")</f>
        <v>completed</v>
      </c>
      <c r="E328" s="763" t="str">
        <f>IFERROR(__xludf.DUMMYFUNCTION("""COMPUTED_VALUE"""),"Fabio")</f>
        <v>Fabio</v>
      </c>
      <c r="F328" s="763" t="str">
        <f>IFERROR(__xludf.DUMMYFUNCTION("""COMPUTED_VALUE"""),"Bertinotti")</f>
        <v>Bertinotti</v>
      </c>
      <c r="G328" s="763" t="str">
        <f>IFERROR(__xludf.DUMMYFUNCTION("""COMPUTED_VALUE"""),"speed1994@tiscali.it")</f>
        <v>speed1994@tiscali.it</v>
      </c>
      <c r="H328" s="763">
        <f>IFERROR(__xludf.DUMMYFUNCTION("""COMPUTED_VALUE"""),3.466395155E9)</f>
        <v>3466395155</v>
      </c>
      <c r="I328" s="763" t="str">
        <f>IFERROR(__xludf.DUMMYFUNCTION("""COMPUTED_VALUE"""),"PARUZZARO")</f>
        <v>PARUZZARO</v>
      </c>
      <c r="J328" s="763" t="str">
        <f>IFERROR(__xludf.DUMMYFUNCTION("""COMPUTED_VALUE"""),"San Marcello 9")</f>
        <v>San Marcello 9</v>
      </c>
      <c r="K328" s="763">
        <f>IFERROR(__xludf.DUMMYFUNCTION("""COMPUTED_VALUE"""),28040.0)</f>
        <v>28040</v>
      </c>
      <c r="L328" s="763" t="str">
        <f>IFERROR(__xludf.DUMMYFUNCTION("""COMPUTED_VALUE"""),"Google Pay")</f>
        <v>Google Pay</v>
      </c>
      <c r="M328" s="763"/>
      <c r="N328" s="763" t="str">
        <f>IFERROR(__xludf.DUMMYFUNCTION("""COMPUTED_VALUE"""),"65286-1760791738")</f>
        <v>65286-1760791738</v>
      </c>
      <c r="O328" s="763">
        <f>IFERROR(__xludf.DUMMYFUNCTION("""COMPUTED_VALUE"""),0.0)</f>
        <v>0</v>
      </c>
      <c r="P328" s="767">
        <f>IFERROR(__xludf.DUMMYFUNCTION("""COMPUTED_VALUE"""),1.875)</f>
        <v>1.875</v>
      </c>
      <c r="Q328" s="763" t="str">
        <f>IFERROR(__xludf.DUMMYFUNCTION("""COMPUTED_VALUE"""),"EUR")</f>
        <v>EUR</v>
      </c>
      <c r="R328" s="763">
        <f>IFERROR(__xludf.DUMMYFUNCTION("""COMPUTED_VALUE"""),762.0)</f>
        <v>762</v>
      </c>
      <c r="S328" s="763" t="str">
        <f>IFERROR(__xludf.DUMMYFUNCTION("""COMPUTED_VALUE"""),"Workshop Commercial con Timor Steffens - Workshop Commercial con Timor Steffens")</f>
        <v>Workshop Commercial con Timor Steffens - Workshop Commercial con Timor Steffens</v>
      </c>
      <c r="T328" s="763"/>
      <c r="U328" s="763"/>
      <c r="V328" s="763">
        <f>IFERROR(__xludf.DUMMYFUNCTION("""COMPUTED_VALUE"""),1.0)</f>
        <v>1</v>
      </c>
      <c r="W328" s="763">
        <f>IFERROR(__xludf.DUMMYFUNCTION("""COMPUTED_VALUE"""),45.0)</f>
        <v>45</v>
      </c>
      <c r="X328" s="763">
        <f>IFERROR(__xludf.DUMMYFUNCTION("""COMPUTED_VALUE"""),45.0)</f>
        <v>45</v>
      </c>
      <c r="Y328" s="763"/>
      <c r="Z328" s="768" t="str">
        <f>IFERROR(__xludf.DUMMYFUNCTION("""COMPUTED_VALUE"""),"https://studio-gem.it/wp-admin/post.php?post=65286&amp;action=edit")</f>
        <v>https://studio-gem.it/wp-admin/post.php?post=65286&amp;action=edit</v>
      </c>
      <c r="AA328" s="763"/>
      <c r="AB328" s="763"/>
      <c r="AC328" s="763"/>
      <c r="AD328" s="763"/>
      <c r="AE328" s="763"/>
      <c r="AF328" s="763"/>
      <c r="AG328" s="763"/>
      <c r="AH328" s="763"/>
      <c r="AI328" s="763"/>
      <c r="AJ328" s="763"/>
      <c r="AK328" s="763"/>
      <c r="AL328" s="763"/>
      <c r="AM328" s="763"/>
      <c r="AN328" s="763"/>
      <c r="AO328" s="763"/>
      <c r="AP328" s="763"/>
      <c r="AQ328" s="763"/>
      <c r="AR328" s="763"/>
      <c r="AS328" s="763"/>
      <c r="AT328" s="763"/>
      <c r="AU328" s="763"/>
      <c r="AV328" s="763"/>
      <c r="AW328" s="763"/>
      <c r="AX328" s="763"/>
      <c r="AY328" s="763"/>
      <c r="AZ328" s="763"/>
      <c r="BA328" s="763"/>
      <c r="BB328" s="763"/>
      <c r="BC328" s="763"/>
      <c r="BD328" s="763"/>
      <c r="BE328" s="763"/>
      <c r="BF328" s="763"/>
      <c r="BG328" s="763" t="b">
        <f>IFERROR(__xludf.DUMMYFUNCTION("""COMPUTED_VALUE"""),TRUE)</f>
        <v>1</v>
      </c>
      <c r="BH328" s="763" t="b">
        <f>IFERROR(__xludf.DUMMYFUNCTION("""COMPUTED_VALUE"""),FALSE)</f>
        <v>0</v>
      </c>
      <c r="BI328" s="763" t="b">
        <f>IFERROR(__xludf.DUMMYFUNCTION("""COMPUTED_VALUE"""),TRUE)</f>
        <v>1</v>
      </c>
      <c r="BJ328" s="763" t="b">
        <f>IFERROR(__xludf.DUMMYFUNCTION("""COMPUTED_VALUE"""),TRUE)</f>
        <v>1</v>
      </c>
    </row>
    <row r="329">
      <c r="A329" s="763">
        <f>IFERROR(__xludf.DUMMYFUNCTION("""COMPUTED_VALUE"""),65288.0)</f>
        <v>65288</v>
      </c>
      <c r="B329" s="763">
        <f>IFERROR(__xludf.DUMMYFUNCTION("""COMPUTED_VALUE"""),65288.0)</f>
        <v>65288</v>
      </c>
      <c r="C329" s="763" t="str">
        <f>IFERROR(__xludf.DUMMYFUNCTION("""COMPUTED_VALUE"""),"2025-10-19 11:19:08")</f>
        <v>2025-10-19 11:19:08</v>
      </c>
      <c r="D329" s="763" t="str">
        <f>IFERROR(__xludf.DUMMYFUNCTION("""COMPUTED_VALUE"""),"completed")</f>
        <v>completed</v>
      </c>
      <c r="E329" s="763" t="str">
        <f>IFERROR(__xludf.DUMMYFUNCTION("""COMPUTED_VALUE"""),"Alessio")</f>
        <v>Alessio</v>
      </c>
      <c r="F329" s="763" t="str">
        <f>IFERROR(__xludf.DUMMYFUNCTION("""COMPUTED_VALUE"""),"Campagna")</f>
        <v>Campagna</v>
      </c>
      <c r="G329" s="763" t="str">
        <f>IFERROR(__xludf.DUMMYFUNCTION("""COMPUTED_VALUE"""),"alessiotcgtrade@gmail.com")</f>
        <v>alessiotcgtrade@gmail.com</v>
      </c>
      <c r="H329" s="763">
        <f>IFERROR(__xludf.DUMMYFUNCTION("""COMPUTED_VALUE"""),3.517240804E9)</f>
        <v>3517240804</v>
      </c>
      <c r="I329" s="763" t="str">
        <f>IFERROR(__xludf.DUMMYFUNCTION("""COMPUTED_VALUE"""),"Milano")</f>
        <v>Milano</v>
      </c>
      <c r="J329" s="763" t="str">
        <f>IFERROR(__xludf.DUMMYFUNCTION("""COMPUTED_VALUE"""),"Corso di porta vigentina 38")</f>
        <v>Corso di porta vigentina 38</v>
      </c>
      <c r="K329" s="763">
        <f>IFERROR(__xludf.DUMMYFUNCTION("""COMPUTED_VALUE"""),20122.0)</f>
        <v>20122</v>
      </c>
      <c r="L329" s="763" t="str">
        <f>IFERROR(__xludf.DUMMYFUNCTION("""COMPUTED_VALUE"""),"Google Pay")</f>
        <v>Google Pay</v>
      </c>
      <c r="M329" s="763" t="str">
        <f>IFERROR(__xludf.DUMMYFUNCTION("""COMPUTED_VALUE"""),"sara02ws")</f>
        <v>sara02ws</v>
      </c>
      <c r="N329" s="763" t="str">
        <f>IFERROR(__xludf.DUMMYFUNCTION("""COMPUTED_VALUE"""),"65288-1760872896")</f>
        <v>65288-1760872896</v>
      </c>
      <c r="O329" s="763">
        <f>IFERROR(__xludf.DUMMYFUNCTION("""COMPUTED_VALUE"""),0.0)</f>
        <v>0</v>
      </c>
      <c r="P329" s="767">
        <f>IFERROR(__xludf.DUMMYFUNCTION("""COMPUTED_VALUE"""),1.7916666666666667)</f>
        <v>1.791666667</v>
      </c>
      <c r="Q329" s="763" t="str">
        <f>IFERROR(__xludf.DUMMYFUNCTION("""COMPUTED_VALUE"""),"EUR")</f>
        <v>EUR</v>
      </c>
      <c r="R329" s="763">
        <f>IFERROR(__xludf.DUMMYFUNCTION("""COMPUTED_VALUE"""),763.0)</f>
        <v>763</v>
      </c>
      <c r="S329" s="763" t="str">
        <f>IFERROR(__xludf.DUMMYFUNCTION("""COMPUTED_VALUE"""),"Workshop Commercial con Timor Steffens - Workshop Commercial con Timor Steffens")</f>
        <v>Workshop Commercial con Timor Steffens - Workshop Commercial con Timor Steffens</v>
      </c>
      <c r="T329" s="763"/>
      <c r="U329" s="763"/>
      <c r="V329" s="763">
        <f>IFERROR(__xludf.DUMMYFUNCTION("""COMPUTED_VALUE"""),1.0)</f>
        <v>1</v>
      </c>
      <c r="W329" s="763">
        <f>IFERROR(__xludf.DUMMYFUNCTION("""COMPUTED_VALUE"""),43.0)</f>
        <v>43</v>
      </c>
      <c r="X329" s="763">
        <f>IFERROR(__xludf.DUMMYFUNCTION("""COMPUTED_VALUE"""),43.0)</f>
        <v>43</v>
      </c>
      <c r="Y329" s="763"/>
      <c r="Z329" s="768" t="str">
        <f>IFERROR(__xludf.DUMMYFUNCTION("""COMPUTED_VALUE"""),"https://studio-gem.it/wp-admin/post.php?post=65288&amp;action=edit")</f>
        <v>https://studio-gem.it/wp-admin/post.php?post=65288&amp;action=edit</v>
      </c>
      <c r="AA329" s="763"/>
      <c r="AB329" s="763"/>
      <c r="AC329" s="763"/>
      <c r="AD329" s="763"/>
      <c r="AE329" s="763"/>
      <c r="AF329" s="763"/>
      <c r="AG329" s="763"/>
      <c r="AH329" s="763"/>
      <c r="AI329" s="763"/>
      <c r="AJ329" s="763"/>
      <c r="AK329" s="763"/>
      <c r="AL329" s="763"/>
      <c r="AM329" s="763"/>
      <c r="AN329" s="763"/>
      <c r="AO329" s="763"/>
      <c r="AP329" s="763"/>
      <c r="AQ329" s="763"/>
      <c r="AR329" s="763"/>
      <c r="AS329" s="763"/>
      <c r="AT329" s="763"/>
      <c r="AU329" s="763"/>
      <c r="AV329" s="763"/>
      <c r="AW329" s="763"/>
      <c r="AX329" s="763"/>
      <c r="AY329" s="763"/>
      <c r="AZ329" s="763"/>
      <c r="BA329" s="763"/>
      <c r="BB329" s="763"/>
      <c r="BC329" s="763"/>
      <c r="BD329" s="763"/>
      <c r="BE329" s="763"/>
      <c r="BF329" s="763"/>
      <c r="BG329" s="763" t="b">
        <f>IFERROR(__xludf.DUMMYFUNCTION("""COMPUTED_VALUE"""),TRUE)</f>
        <v>1</v>
      </c>
      <c r="BH329" s="763" t="b">
        <f>IFERROR(__xludf.DUMMYFUNCTION("""COMPUTED_VALUE"""),FALSE)</f>
        <v>0</v>
      </c>
      <c r="BI329" s="763" t="b">
        <f>IFERROR(__xludf.DUMMYFUNCTION("""COMPUTED_VALUE"""),TRUE)</f>
        <v>1</v>
      </c>
      <c r="BJ329" s="763" t="b">
        <f>IFERROR(__xludf.DUMMYFUNCTION("""COMPUTED_VALUE"""),TRUE)</f>
        <v>1</v>
      </c>
    </row>
    <row r="330">
      <c r="A330" s="763">
        <f>IFERROR(__xludf.DUMMYFUNCTION("""COMPUTED_VALUE"""),65290.0)</f>
        <v>65290</v>
      </c>
      <c r="B330" s="763">
        <f>IFERROR(__xludf.DUMMYFUNCTION("""COMPUTED_VALUE"""),65290.0)</f>
        <v>65290</v>
      </c>
      <c r="C330" s="763" t="str">
        <f>IFERROR(__xludf.DUMMYFUNCTION("""COMPUTED_VALUE"""),"2025-10-19 12:44:30")</f>
        <v>2025-10-19 12:44:30</v>
      </c>
      <c r="D330" s="763" t="str">
        <f>IFERROR(__xludf.DUMMYFUNCTION("""COMPUTED_VALUE"""),"on-hold")</f>
        <v>on-hold</v>
      </c>
      <c r="E330" s="763" t="str">
        <f>IFERROR(__xludf.DUMMYFUNCTION("""COMPUTED_VALUE"""),"Vanessa")</f>
        <v>Vanessa</v>
      </c>
      <c r="F330" s="763" t="str">
        <f>IFERROR(__xludf.DUMMYFUNCTION("""COMPUTED_VALUE"""),"Tortarolo")</f>
        <v>Tortarolo</v>
      </c>
      <c r="G330" s="763" t="str">
        <f>IFERROR(__xludf.DUMMYFUNCTION("""COMPUTED_VALUE"""),"vanessaluztortarolo@gmail.com")</f>
        <v>vanessaluztortarolo@gmail.com</v>
      </c>
      <c r="H330" s="763">
        <f>IFERROR(__xludf.DUMMYFUNCTION("""COMPUTED_VALUE"""),3.271170218E9)</f>
        <v>3271170218</v>
      </c>
      <c r="I330" s="763" t="str">
        <f>IFERROR(__xludf.DUMMYFUNCTION("""COMPUTED_VALUE"""),"Milano")</f>
        <v>Milano</v>
      </c>
      <c r="J330" s="763" t="str">
        <f>IFERROR(__xludf.DUMMYFUNCTION("""COMPUTED_VALUE"""),"Via caianello 23")</f>
        <v>Via caianello 23</v>
      </c>
      <c r="K330" s="763">
        <f>IFERROR(__xludf.DUMMYFUNCTION("""COMPUTED_VALUE"""),20158.0)</f>
        <v>20158</v>
      </c>
      <c r="L330" s="763" t="str">
        <f>IFERROR(__xludf.DUMMYFUNCTION("""COMPUTED_VALUE"""),"Satispay")</f>
        <v>Satispay</v>
      </c>
      <c r="M330" s="763"/>
      <c r="N330" s="763" t="str">
        <f>IFERROR(__xludf.DUMMYFUNCTION("""COMPUTED_VALUE"""),"0199fc7f-fe0c-701a-aa37-d4b2cc9dc7fb")</f>
        <v>0199fc7f-fe0c-701a-aa37-d4b2cc9dc7fb</v>
      </c>
      <c r="O330" s="763">
        <f>IFERROR(__xludf.DUMMYFUNCTION("""COMPUTED_VALUE"""),0.0)</f>
        <v>0</v>
      </c>
      <c r="P330" s="767">
        <f>IFERROR(__xludf.DUMMYFUNCTION("""COMPUTED_VALUE"""),1.5416666666666667)</f>
        <v>1.541666667</v>
      </c>
      <c r="Q330" s="763" t="str">
        <f>IFERROR(__xludf.DUMMYFUNCTION("""COMPUTED_VALUE"""),"EUR")</f>
        <v>EUR</v>
      </c>
      <c r="R330" s="763">
        <f>IFERROR(__xludf.DUMMYFUNCTION("""COMPUTED_VALUE"""),765.0)</f>
        <v>765</v>
      </c>
      <c r="S330" s="763" t="str">
        <f>IFERROR(__xludf.DUMMYFUNCTION("""COMPUTED_VALUE"""),"Workshop Heels con Lulu Kulova - Workshop Lulu Heels")</f>
        <v>Workshop Heels con Lulu Kulova - Workshop Lulu Heels</v>
      </c>
      <c r="T330" s="763"/>
      <c r="U330" s="763"/>
      <c r="V330" s="763">
        <f>IFERROR(__xludf.DUMMYFUNCTION("""COMPUTED_VALUE"""),1.0)</f>
        <v>1</v>
      </c>
      <c r="W330" s="763">
        <f>IFERROR(__xludf.DUMMYFUNCTION("""COMPUTED_VALUE"""),37.0)</f>
        <v>37</v>
      </c>
      <c r="X330" s="763">
        <f>IFERROR(__xludf.DUMMYFUNCTION("""COMPUTED_VALUE"""),37.0)</f>
        <v>37</v>
      </c>
      <c r="Y330" s="763"/>
      <c r="Z330" s="768" t="str">
        <f>IFERROR(__xludf.DUMMYFUNCTION("""COMPUTED_VALUE"""),"https://studio-gem.it/wp-admin/post.php?post=65290&amp;action=edit")</f>
        <v>https://studio-gem.it/wp-admin/post.php?post=65290&amp;action=edit</v>
      </c>
      <c r="AA330" s="763"/>
      <c r="AB330" s="763"/>
      <c r="AC330" s="763"/>
      <c r="AD330" s="763"/>
      <c r="AE330" s="763"/>
      <c r="AF330" s="763"/>
      <c r="AG330" s="763"/>
      <c r="AH330" s="763"/>
      <c r="AI330" s="763"/>
      <c r="AJ330" s="763"/>
      <c r="AK330" s="763"/>
      <c r="AL330" s="763"/>
      <c r="AM330" s="763"/>
      <c r="AN330" s="763"/>
      <c r="AO330" s="763"/>
      <c r="AP330" s="763"/>
      <c r="AQ330" s="763"/>
      <c r="AR330" s="763"/>
      <c r="AS330" s="763"/>
      <c r="AT330" s="763"/>
      <c r="AU330" s="763"/>
      <c r="AV330" s="763"/>
      <c r="AW330" s="763"/>
      <c r="AX330" s="763"/>
      <c r="AY330" s="763"/>
      <c r="AZ330" s="763"/>
      <c r="BA330" s="763"/>
      <c r="BB330" s="763"/>
      <c r="BC330" s="763"/>
      <c r="BD330" s="763"/>
      <c r="BE330" s="763"/>
      <c r="BF330" s="763"/>
      <c r="BG330" s="763" t="b">
        <f>IFERROR(__xludf.DUMMYFUNCTION("""COMPUTED_VALUE"""),FALSE)</f>
        <v>0</v>
      </c>
      <c r="BH330" s="763" t="b">
        <f>IFERROR(__xludf.DUMMYFUNCTION("""COMPUTED_VALUE"""),FALSE)</f>
        <v>0</v>
      </c>
      <c r="BI330" s="763" t="b">
        <f>IFERROR(__xludf.DUMMYFUNCTION("""COMPUTED_VALUE"""),FALSE)</f>
        <v>0</v>
      </c>
      <c r="BJ330" s="763" t="b">
        <f>IFERROR(__xludf.DUMMYFUNCTION("""COMPUTED_VALUE"""),FALSE)</f>
        <v>0</v>
      </c>
    </row>
    <row r="331">
      <c r="A331" s="763">
        <f>IFERROR(__xludf.DUMMYFUNCTION("""COMPUTED_VALUE"""),65291.0)</f>
        <v>65291</v>
      </c>
      <c r="B331" s="763">
        <f>IFERROR(__xludf.DUMMYFUNCTION("""COMPUTED_VALUE"""),65291.0)</f>
        <v>65291</v>
      </c>
      <c r="C331" s="763" t="str">
        <f>IFERROR(__xludf.DUMMYFUNCTION("""COMPUTED_VALUE"""),"2025-10-19 12:45:15")</f>
        <v>2025-10-19 12:45:15</v>
      </c>
      <c r="D331" s="763" t="str">
        <f>IFERROR(__xludf.DUMMYFUNCTION("""COMPUTED_VALUE"""),"pending")</f>
        <v>pending</v>
      </c>
      <c r="E331" s="763" t="str">
        <f>IFERROR(__xludf.DUMMYFUNCTION("""COMPUTED_VALUE"""),"Vanessa")</f>
        <v>Vanessa</v>
      </c>
      <c r="F331" s="763" t="str">
        <f>IFERROR(__xludf.DUMMYFUNCTION("""COMPUTED_VALUE"""),"Tortarolo")</f>
        <v>Tortarolo</v>
      </c>
      <c r="G331" s="763" t="str">
        <f>IFERROR(__xludf.DUMMYFUNCTION("""COMPUTED_VALUE"""),"vanessaluztortarolo@gmail.com")</f>
        <v>vanessaluztortarolo@gmail.com</v>
      </c>
      <c r="H331" s="763">
        <f>IFERROR(__xludf.DUMMYFUNCTION("""COMPUTED_VALUE"""),3.271170218E9)</f>
        <v>3271170218</v>
      </c>
      <c r="I331" s="763" t="str">
        <f>IFERROR(__xludf.DUMMYFUNCTION("""COMPUTED_VALUE"""),"Milano")</f>
        <v>Milano</v>
      </c>
      <c r="J331" s="763" t="str">
        <f>IFERROR(__xludf.DUMMYFUNCTION("""COMPUTED_VALUE"""),"Via caianello 23")</f>
        <v>Via caianello 23</v>
      </c>
      <c r="K331" s="763">
        <f>IFERROR(__xludf.DUMMYFUNCTION("""COMPUTED_VALUE"""),20158.0)</f>
        <v>20158</v>
      </c>
      <c r="L331" s="763" t="str">
        <f>IFERROR(__xludf.DUMMYFUNCTION("""COMPUTED_VALUE"""),"Google Pay")</f>
        <v>Google Pay</v>
      </c>
      <c r="M331" s="763"/>
      <c r="N331" s="763"/>
      <c r="O331" s="763">
        <f>IFERROR(__xludf.DUMMYFUNCTION("""COMPUTED_VALUE"""),0.0)</f>
        <v>0</v>
      </c>
      <c r="P331" s="767">
        <f>IFERROR(__xludf.DUMMYFUNCTION("""COMPUTED_VALUE"""),1.5416666666666667)</f>
        <v>1.541666667</v>
      </c>
      <c r="Q331" s="763" t="str">
        <f>IFERROR(__xludf.DUMMYFUNCTION("""COMPUTED_VALUE"""),"EUR")</f>
        <v>EUR</v>
      </c>
      <c r="R331" s="763">
        <f>IFERROR(__xludf.DUMMYFUNCTION("""COMPUTED_VALUE"""),766.0)</f>
        <v>766</v>
      </c>
      <c r="S331" s="763" t="str">
        <f>IFERROR(__xludf.DUMMYFUNCTION("""COMPUTED_VALUE"""),"Workshop Heels con Lulu Kulova - Workshop Lulu Heels")</f>
        <v>Workshop Heels con Lulu Kulova - Workshop Lulu Heels</v>
      </c>
      <c r="T331" s="763"/>
      <c r="U331" s="763"/>
      <c r="V331" s="763">
        <f>IFERROR(__xludf.DUMMYFUNCTION("""COMPUTED_VALUE"""),1.0)</f>
        <v>1</v>
      </c>
      <c r="W331" s="763">
        <f>IFERROR(__xludf.DUMMYFUNCTION("""COMPUTED_VALUE"""),37.0)</f>
        <v>37</v>
      </c>
      <c r="X331" s="763">
        <f>IFERROR(__xludf.DUMMYFUNCTION("""COMPUTED_VALUE"""),37.0)</f>
        <v>37</v>
      </c>
      <c r="Y331" s="763"/>
      <c r="Z331" s="768" t="str">
        <f>IFERROR(__xludf.DUMMYFUNCTION("""COMPUTED_VALUE"""),"https://studio-gem.it/wp-admin/post.php?post=65291&amp;action=edit")</f>
        <v>https://studio-gem.it/wp-admin/post.php?post=65291&amp;action=edit</v>
      </c>
      <c r="AA331" s="763"/>
      <c r="AB331" s="763"/>
      <c r="AC331" s="763"/>
      <c r="AD331" s="763"/>
      <c r="AE331" s="763"/>
      <c r="AF331" s="763"/>
      <c r="AG331" s="763"/>
      <c r="AH331" s="763"/>
      <c r="AI331" s="763"/>
      <c r="AJ331" s="763"/>
      <c r="AK331" s="763"/>
      <c r="AL331" s="763"/>
      <c r="AM331" s="763"/>
      <c r="AN331" s="763"/>
      <c r="AO331" s="763"/>
      <c r="AP331" s="763"/>
      <c r="AQ331" s="763"/>
      <c r="AR331" s="763"/>
      <c r="AS331" s="763"/>
      <c r="AT331" s="763"/>
      <c r="AU331" s="763"/>
      <c r="AV331" s="763"/>
      <c r="AW331" s="763"/>
      <c r="AX331" s="763"/>
      <c r="AY331" s="763"/>
      <c r="AZ331" s="763"/>
      <c r="BA331" s="763"/>
      <c r="BB331" s="763"/>
      <c r="BC331" s="763"/>
      <c r="BD331" s="763"/>
      <c r="BE331" s="763"/>
      <c r="BF331" s="763"/>
      <c r="BG331" s="763" t="b">
        <f>IFERROR(__xludf.DUMMYFUNCTION("""COMPUTED_VALUE"""),FALSE)</f>
        <v>0</v>
      </c>
      <c r="BH331" s="763" t="b">
        <f>IFERROR(__xludf.DUMMYFUNCTION("""COMPUTED_VALUE"""),FALSE)</f>
        <v>0</v>
      </c>
      <c r="BI331" s="763" t="b">
        <f>IFERROR(__xludf.DUMMYFUNCTION("""COMPUTED_VALUE"""),FALSE)</f>
        <v>0</v>
      </c>
      <c r="BJ331" s="763" t="b">
        <f>IFERROR(__xludf.DUMMYFUNCTION("""COMPUTED_VALUE"""),FALSE)</f>
        <v>0</v>
      </c>
    </row>
    <row r="332">
      <c r="A332" s="763">
        <f>IFERROR(__xludf.DUMMYFUNCTION("""COMPUTED_VALUE"""),65292.0)</f>
        <v>65292</v>
      </c>
      <c r="B332" s="763">
        <f>IFERROR(__xludf.DUMMYFUNCTION("""COMPUTED_VALUE"""),65292.0)</f>
        <v>65292</v>
      </c>
      <c r="C332" s="763" t="str">
        <f>IFERROR(__xludf.DUMMYFUNCTION("""COMPUTED_VALUE"""),"2025-10-19 17:26:04")</f>
        <v>2025-10-19 17:26:04</v>
      </c>
      <c r="D332" s="763" t="str">
        <f>IFERROR(__xludf.DUMMYFUNCTION("""COMPUTED_VALUE"""),"pending")</f>
        <v>pending</v>
      </c>
      <c r="E332" s="763" t="str">
        <f>IFERROR(__xludf.DUMMYFUNCTION("""COMPUTED_VALUE"""),"sofia")</f>
        <v>sofia</v>
      </c>
      <c r="F332" s="763" t="str">
        <f>IFERROR(__xludf.DUMMYFUNCTION("""COMPUTED_VALUE"""),"nicola")</f>
        <v>nicola</v>
      </c>
      <c r="G332" s="763" t="str">
        <f>IFERROR(__xludf.DUMMYFUNCTION("""COMPUTED_VALUE"""),"nicolasofia1509@gmail.com")</f>
        <v>nicolasofia1509@gmail.com</v>
      </c>
      <c r="H332" s="763">
        <f>IFERROR(__xludf.DUMMYFUNCTION("""COMPUTED_VALUE"""),3.293833017E9)</f>
        <v>3293833017</v>
      </c>
      <c r="I332" s="763" t="str">
        <f>IFERROR(__xludf.DUMMYFUNCTION("""COMPUTED_VALUE"""),"Villafranca Piemonte")</f>
        <v>Villafranca Piemonte</v>
      </c>
      <c r="J332" s="763" t="str">
        <f>IFERROR(__xludf.DUMMYFUNCTION("""COMPUTED_VALUE"""),"frazione mottura 68")</f>
        <v>frazione mottura 68</v>
      </c>
      <c r="K332" s="763">
        <f>IFERROR(__xludf.DUMMYFUNCTION("""COMPUTED_VALUE"""),10068.0)</f>
        <v>10068</v>
      </c>
      <c r="L332" s="763" t="str">
        <f>IFERROR(__xludf.DUMMYFUNCTION("""COMPUTED_VALUE"""),"Apple Pay")</f>
        <v>Apple Pay</v>
      </c>
      <c r="M332" s="763"/>
      <c r="N332" s="763"/>
      <c r="O332" s="763">
        <f>IFERROR(__xludf.DUMMYFUNCTION("""COMPUTED_VALUE"""),0.0)</f>
        <v>0</v>
      </c>
      <c r="P332" s="767">
        <f>IFERROR(__xludf.DUMMYFUNCTION("""COMPUTED_VALUE"""),1.875)</f>
        <v>1.875</v>
      </c>
      <c r="Q332" s="763" t="str">
        <f>IFERROR(__xludf.DUMMYFUNCTION("""COMPUTED_VALUE"""),"EUR")</f>
        <v>EUR</v>
      </c>
      <c r="R332" s="763">
        <f>IFERROR(__xludf.DUMMYFUNCTION("""COMPUTED_VALUE"""),767.0)</f>
        <v>767</v>
      </c>
      <c r="S332" s="763" t="str">
        <f>IFERROR(__xludf.DUMMYFUNCTION("""COMPUTED_VALUE"""),"Workshop Commercial con Timor Steffens - Workshop Commercial con Timor Steffens")</f>
        <v>Workshop Commercial con Timor Steffens - Workshop Commercial con Timor Steffens</v>
      </c>
      <c r="T332" s="763"/>
      <c r="U332" s="763"/>
      <c r="V332" s="763">
        <f>IFERROR(__xludf.DUMMYFUNCTION("""COMPUTED_VALUE"""),1.0)</f>
        <v>1</v>
      </c>
      <c r="W332" s="763">
        <f>IFERROR(__xludf.DUMMYFUNCTION("""COMPUTED_VALUE"""),45.0)</f>
        <v>45</v>
      </c>
      <c r="X332" s="763">
        <f>IFERROR(__xludf.DUMMYFUNCTION("""COMPUTED_VALUE"""),45.0)</f>
        <v>45</v>
      </c>
      <c r="Y332" s="763"/>
      <c r="Z332" s="768" t="str">
        <f>IFERROR(__xludf.DUMMYFUNCTION("""COMPUTED_VALUE"""),"https://studio-gem.it/wp-admin/post.php?post=65292&amp;action=edit")</f>
        <v>https://studio-gem.it/wp-admin/post.php?post=65292&amp;action=edit</v>
      </c>
      <c r="AA332" s="763"/>
      <c r="AB332" s="763"/>
      <c r="AC332" s="763"/>
      <c r="AD332" s="763"/>
      <c r="AE332" s="763"/>
      <c r="AF332" s="763"/>
      <c r="AG332" s="763"/>
      <c r="AH332" s="763"/>
      <c r="AI332" s="763"/>
      <c r="AJ332" s="763"/>
      <c r="AK332" s="763"/>
      <c r="AL332" s="763"/>
      <c r="AM332" s="763"/>
      <c r="AN332" s="763"/>
      <c r="AO332" s="763"/>
      <c r="AP332" s="763"/>
      <c r="AQ332" s="763"/>
      <c r="AR332" s="763"/>
      <c r="AS332" s="763"/>
      <c r="AT332" s="763"/>
      <c r="AU332" s="763"/>
      <c r="AV332" s="763"/>
      <c r="AW332" s="763"/>
      <c r="AX332" s="763"/>
      <c r="AY332" s="763"/>
      <c r="AZ332" s="763"/>
      <c r="BA332" s="763"/>
      <c r="BB332" s="763"/>
      <c r="BC332" s="763"/>
      <c r="BD332" s="763"/>
      <c r="BE332" s="763"/>
      <c r="BF332" s="763"/>
      <c r="BG332" s="763" t="b">
        <f>IFERROR(__xludf.DUMMYFUNCTION("""COMPUTED_VALUE"""),TRUE)</f>
        <v>1</v>
      </c>
      <c r="BH332" s="763" t="b">
        <f>IFERROR(__xludf.DUMMYFUNCTION("""COMPUTED_VALUE"""),FALSE)</f>
        <v>0</v>
      </c>
      <c r="BI332" s="763" t="b">
        <f>IFERROR(__xludf.DUMMYFUNCTION("""COMPUTED_VALUE"""),FALSE)</f>
        <v>0</v>
      </c>
      <c r="BJ332" s="763" t="b">
        <f>IFERROR(__xludf.DUMMYFUNCTION("""COMPUTED_VALUE"""),FALSE)</f>
        <v>0</v>
      </c>
    </row>
    <row r="333">
      <c r="A333" s="763">
        <f>IFERROR(__xludf.DUMMYFUNCTION("""COMPUTED_VALUE"""),65293.0)</f>
        <v>65293</v>
      </c>
      <c r="B333" s="763">
        <f>IFERROR(__xludf.DUMMYFUNCTION("""COMPUTED_VALUE"""),65293.0)</f>
        <v>65293</v>
      </c>
      <c r="C333" s="763" t="str">
        <f>IFERROR(__xludf.DUMMYFUNCTION("""COMPUTED_VALUE"""),"2025-10-19 17:55:23")</f>
        <v>2025-10-19 17:55:23</v>
      </c>
      <c r="D333" s="763" t="str">
        <f>IFERROR(__xludf.DUMMYFUNCTION("""COMPUTED_VALUE"""),"pending")</f>
        <v>pending</v>
      </c>
      <c r="E333" s="763" t="str">
        <f>IFERROR(__xludf.DUMMYFUNCTION("""COMPUTED_VALUE"""),"Vanessa")</f>
        <v>Vanessa</v>
      </c>
      <c r="F333" s="763" t="str">
        <f>IFERROR(__xludf.DUMMYFUNCTION("""COMPUTED_VALUE"""),"Alborghetti")</f>
        <v>Alborghetti</v>
      </c>
      <c r="G333" s="763" t="str">
        <f>IFERROR(__xludf.DUMMYFUNCTION("""COMPUTED_VALUE"""),"Vanealbo2001@libero.it")</f>
        <v>Vanealbo2001@libero.it</v>
      </c>
      <c r="H333" s="763">
        <f>IFERROR(__xludf.DUMMYFUNCTION("""COMPUTED_VALUE"""),3.318351752E9)</f>
        <v>3318351752</v>
      </c>
      <c r="I333" s="763" t="str">
        <f>IFERROR(__xludf.DUMMYFUNCTION("""COMPUTED_VALUE"""),"Scanzorosciate")</f>
        <v>Scanzorosciate</v>
      </c>
      <c r="J333" s="763" t="str">
        <f>IFERROR(__xludf.DUMMYFUNCTION("""COMPUTED_VALUE"""),"corso Europa 34")</f>
        <v>corso Europa 34</v>
      </c>
      <c r="K333" s="763">
        <f>IFERROR(__xludf.DUMMYFUNCTION("""COMPUTED_VALUE"""),24020.0)</f>
        <v>24020</v>
      </c>
      <c r="L333" s="763" t="str">
        <f>IFERROR(__xludf.DUMMYFUNCTION("""COMPUTED_VALUE"""),"Apple Pay")</f>
        <v>Apple Pay</v>
      </c>
      <c r="M333" s="763"/>
      <c r="N333" s="763"/>
      <c r="O333" s="763">
        <f>IFERROR(__xludf.DUMMYFUNCTION("""COMPUTED_VALUE"""),0.0)</f>
        <v>0</v>
      </c>
      <c r="P333" s="767">
        <f>IFERROR(__xludf.DUMMYFUNCTION("""COMPUTED_VALUE"""),3.75)</f>
        <v>3.75</v>
      </c>
      <c r="Q333" s="763" t="str">
        <f>IFERROR(__xludf.DUMMYFUNCTION("""COMPUTED_VALUE"""),"EUR")</f>
        <v>EUR</v>
      </c>
      <c r="R333" s="763">
        <f>IFERROR(__xludf.DUMMYFUNCTION("""COMPUTED_VALUE"""),768.0)</f>
        <v>768</v>
      </c>
      <c r="S333" s="763" t="str">
        <f>IFERROR(__xludf.DUMMYFUNCTION("""COMPUTED_VALUE"""),"Workshop Commercial con Timor Steffens - Workshop Commercial con Timor Steffens")</f>
        <v>Workshop Commercial con Timor Steffens - Workshop Commercial con Timor Steffens</v>
      </c>
      <c r="T333" s="763"/>
      <c r="U333" s="763"/>
      <c r="V333" s="763">
        <f>IFERROR(__xludf.DUMMYFUNCTION("""COMPUTED_VALUE"""),2.0)</f>
        <v>2</v>
      </c>
      <c r="W333" s="763">
        <f>IFERROR(__xludf.DUMMYFUNCTION("""COMPUTED_VALUE"""),45.0)</f>
        <v>45</v>
      </c>
      <c r="X333" s="763">
        <f>IFERROR(__xludf.DUMMYFUNCTION("""COMPUTED_VALUE"""),90.0)</f>
        <v>90</v>
      </c>
      <c r="Y333" s="763"/>
      <c r="Z333" s="768" t="str">
        <f>IFERROR(__xludf.DUMMYFUNCTION("""COMPUTED_VALUE"""),"https://studio-gem.it/wp-admin/post.php?post=65293&amp;action=edit")</f>
        <v>https://studio-gem.it/wp-admin/post.php?post=65293&amp;action=edit</v>
      </c>
      <c r="AA333" s="763"/>
      <c r="AB333" s="763"/>
      <c r="AC333" s="763"/>
      <c r="AD333" s="763"/>
      <c r="AE333" s="763"/>
      <c r="AF333" s="763"/>
      <c r="AG333" s="763"/>
      <c r="AH333" s="763"/>
      <c r="AI333" s="763"/>
      <c r="AJ333" s="763"/>
      <c r="AK333" s="763"/>
      <c r="AL333" s="763"/>
      <c r="AM333" s="763"/>
      <c r="AN333" s="763"/>
      <c r="AO333" s="763"/>
      <c r="AP333" s="763"/>
      <c r="AQ333" s="763"/>
      <c r="AR333" s="763"/>
      <c r="AS333" s="763"/>
      <c r="AT333" s="763"/>
      <c r="AU333" s="763"/>
      <c r="AV333" s="763"/>
      <c r="AW333" s="763"/>
      <c r="AX333" s="763"/>
      <c r="AY333" s="763"/>
      <c r="AZ333" s="763"/>
      <c r="BA333" s="763"/>
      <c r="BB333" s="763"/>
      <c r="BC333" s="763"/>
      <c r="BD333" s="763"/>
      <c r="BE333" s="763"/>
      <c r="BF333" s="763"/>
      <c r="BG333" s="763" t="b">
        <f>IFERROR(__xludf.DUMMYFUNCTION("""COMPUTED_VALUE"""),FALSE)</f>
        <v>0</v>
      </c>
      <c r="BH333" s="763" t="b">
        <f>IFERROR(__xludf.DUMMYFUNCTION("""COMPUTED_VALUE"""),FALSE)</f>
        <v>0</v>
      </c>
      <c r="BI333" s="763" t="b">
        <f>IFERROR(__xludf.DUMMYFUNCTION("""COMPUTED_VALUE"""),TRUE)</f>
        <v>1</v>
      </c>
      <c r="BJ333" s="763" t="b">
        <f>IFERROR(__xludf.DUMMYFUNCTION("""COMPUTED_VALUE"""),FALSE)</f>
        <v>0</v>
      </c>
    </row>
    <row r="334">
      <c r="A334" s="763">
        <f>IFERROR(__xludf.DUMMYFUNCTION("""COMPUTED_VALUE"""),65294.0)</f>
        <v>65294</v>
      </c>
      <c r="B334" s="763">
        <f>IFERROR(__xludf.DUMMYFUNCTION("""COMPUTED_VALUE"""),65294.0)</f>
        <v>65294</v>
      </c>
      <c r="C334" s="763" t="str">
        <f>IFERROR(__xludf.DUMMYFUNCTION("""COMPUTED_VALUE"""),"2025-10-19 18:03:09")</f>
        <v>2025-10-19 18:03:09</v>
      </c>
      <c r="D334" s="763" t="str">
        <f>IFERROR(__xludf.DUMMYFUNCTION("""COMPUTED_VALUE"""),"completed")</f>
        <v>completed</v>
      </c>
      <c r="E334" s="763" t="str">
        <f>IFERROR(__xludf.DUMMYFUNCTION("""COMPUTED_VALUE"""),"Shiri")</f>
        <v>Shiri</v>
      </c>
      <c r="F334" s="763" t="str">
        <f>IFERROR(__xludf.DUMMYFUNCTION("""COMPUTED_VALUE"""),"Carrara")</f>
        <v>Carrara</v>
      </c>
      <c r="G334" s="763" t="str">
        <f>IFERROR(__xludf.DUMMYFUNCTION("""COMPUTED_VALUE"""),"shiricarrara19@gmail.com")</f>
        <v>shiricarrara19@gmail.com</v>
      </c>
      <c r="H334" s="763">
        <f>IFERROR(__xludf.DUMMYFUNCTION("""COMPUTED_VALUE"""),3.914065196E9)</f>
        <v>3914065196</v>
      </c>
      <c r="I334" s="763" t="str">
        <f>IFERROR(__xludf.DUMMYFUNCTION("""COMPUTED_VALUE"""),"Aviatico")</f>
        <v>Aviatico</v>
      </c>
      <c r="J334" s="763" t="str">
        <f>IFERROR(__xludf.DUMMYFUNCTION("""COMPUTED_VALUE"""),"Via Amora Bassa 23")</f>
        <v>Via Amora Bassa 23</v>
      </c>
      <c r="K334" s="763">
        <f>IFERROR(__xludf.DUMMYFUNCTION("""COMPUTED_VALUE"""),24020.0)</f>
        <v>24020</v>
      </c>
      <c r="L334" s="763" t="str">
        <f>IFERROR(__xludf.DUMMYFUNCTION("""COMPUTED_VALUE"""),"Apple Pay")</f>
        <v>Apple Pay</v>
      </c>
      <c r="M334" s="763"/>
      <c r="N334" s="763" t="str">
        <f>IFERROR(__xludf.DUMMYFUNCTION("""COMPUTED_VALUE"""),"65294-1760896991")</f>
        <v>65294-1760896991</v>
      </c>
      <c r="O334" s="763">
        <f>IFERROR(__xludf.DUMMYFUNCTION("""COMPUTED_VALUE"""),0.0)</f>
        <v>0</v>
      </c>
      <c r="P334" s="767">
        <f>IFERROR(__xludf.DUMMYFUNCTION("""COMPUTED_VALUE"""),3.75)</f>
        <v>3.75</v>
      </c>
      <c r="Q334" s="763" t="str">
        <f>IFERROR(__xludf.DUMMYFUNCTION("""COMPUTED_VALUE"""),"EUR")</f>
        <v>EUR</v>
      </c>
      <c r="R334" s="763">
        <f>IFERROR(__xludf.DUMMYFUNCTION("""COMPUTED_VALUE"""),769.0)</f>
        <v>769</v>
      </c>
      <c r="S334" s="763" t="str">
        <f>IFERROR(__xludf.DUMMYFUNCTION("""COMPUTED_VALUE"""),"Workshop Commercial con Timor Steffens - Workshop Commercial con Timor Steffens")</f>
        <v>Workshop Commercial con Timor Steffens - Workshop Commercial con Timor Steffens</v>
      </c>
      <c r="T334" s="763"/>
      <c r="U334" s="763"/>
      <c r="V334" s="763">
        <f>IFERROR(__xludf.DUMMYFUNCTION("""COMPUTED_VALUE"""),2.0)</f>
        <v>2</v>
      </c>
      <c r="W334" s="763">
        <f>IFERROR(__xludf.DUMMYFUNCTION("""COMPUTED_VALUE"""),45.0)</f>
        <v>45</v>
      </c>
      <c r="X334" s="763">
        <f>IFERROR(__xludf.DUMMYFUNCTION("""COMPUTED_VALUE"""),90.0)</f>
        <v>90</v>
      </c>
      <c r="Y334" s="763"/>
      <c r="Z334" s="768" t="str">
        <f>IFERROR(__xludf.DUMMYFUNCTION("""COMPUTED_VALUE"""),"https://studio-gem.it/wp-admin/post.php?post=65294&amp;action=edit")</f>
        <v>https://studio-gem.it/wp-admin/post.php?post=65294&amp;action=edit</v>
      </c>
      <c r="AA334" s="763"/>
      <c r="AB334" s="763"/>
      <c r="AC334" s="763"/>
      <c r="AD334" s="763"/>
      <c r="AE334" s="763"/>
      <c r="AF334" s="763"/>
      <c r="AG334" s="763"/>
      <c r="AH334" s="763"/>
      <c r="AI334" s="763"/>
      <c r="AJ334" s="763"/>
      <c r="AK334" s="763"/>
      <c r="AL334" s="763"/>
      <c r="AM334" s="763"/>
      <c r="AN334" s="763"/>
      <c r="AO334" s="763"/>
      <c r="AP334" s="763"/>
      <c r="AQ334" s="763"/>
      <c r="AR334" s="763"/>
      <c r="AS334" s="763"/>
      <c r="AT334" s="763"/>
      <c r="AU334" s="763"/>
      <c r="AV334" s="763"/>
      <c r="AW334" s="763"/>
      <c r="AX334" s="763"/>
      <c r="AY334" s="763"/>
      <c r="AZ334" s="763"/>
      <c r="BA334" s="763"/>
      <c r="BB334" s="763"/>
      <c r="BC334" s="763"/>
      <c r="BD334" s="763"/>
      <c r="BE334" s="763"/>
      <c r="BF334" s="763"/>
      <c r="BG334" s="763" t="b">
        <f>IFERROR(__xludf.DUMMYFUNCTION("""COMPUTED_VALUE"""),TRUE)</f>
        <v>1</v>
      </c>
      <c r="BH334" s="763" t="b">
        <f>IFERROR(__xludf.DUMMYFUNCTION("""COMPUTED_VALUE"""),FALSE)</f>
        <v>0</v>
      </c>
      <c r="BI334" s="763" t="b">
        <f>IFERROR(__xludf.DUMMYFUNCTION("""COMPUTED_VALUE"""),TRUE)</f>
        <v>1</v>
      </c>
      <c r="BJ334" s="763" t="b">
        <f>IFERROR(__xludf.DUMMYFUNCTION("""COMPUTED_VALUE"""),TRUE)</f>
        <v>1</v>
      </c>
    </row>
    <row r="335">
      <c r="A335" s="763">
        <f>IFERROR(__xludf.DUMMYFUNCTION("""COMPUTED_VALUE"""),65296.0)</f>
        <v>65296</v>
      </c>
      <c r="B335" s="763">
        <f>IFERROR(__xludf.DUMMYFUNCTION("""COMPUTED_VALUE"""),65296.0)</f>
        <v>65296</v>
      </c>
      <c r="C335" s="763" t="str">
        <f>IFERROR(__xludf.DUMMYFUNCTION("""COMPUTED_VALUE"""),"2025-10-19 18:34:35")</f>
        <v>2025-10-19 18:34:35</v>
      </c>
      <c r="D335" s="763" t="str">
        <f>IFERROR(__xludf.DUMMYFUNCTION("""COMPUTED_VALUE"""),"failed")</f>
        <v>failed</v>
      </c>
      <c r="E335" s="763" t="str">
        <f>IFERROR(__xludf.DUMMYFUNCTION("""COMPUTED_VALUE"""),"Mattia")</f>
        <v>Mattia</v>
      </c>
      <c r="F335" s="763" t="str">
        <f>IFERROR(__xludf.DUMMYFUNCTION("""COMPUTED_VALUE"""),"Romano")</f>
        <v>Romano</v>
      </c>
      <c r="G335" s="763" t="str">
        <f>IFERROR(__xludf.DUMMYFUNCTION("""COMPUTED_VALUE"""),"matty.romano2008@gmail.com")</f>
        <v>matty.romano2008@gmail.com</v>
      </c>
      <c r="H335" s="763">
        <f>IFERROR(__xludf.DUMMYFUNCTION("""COMPUTED_VALUE"""),3.703712938E9)</f>
        <v>3703712938</v>
      </c>
      <c r="I335" s="763" t="str">
        <f>IFERROR(__xludf.DUMMYFUNCTION("""COMPUTED_VALUE"""),"Osasco")</f>
        <v>Osasco</v>
      </c>
      <c r="J335" s="763" t="str">
        <f>IFERROR(__xludf.DUMMYFUNCTION("""COMPUTED_VALUE"""),"Via Simondetti 20")</f>
        <v>Via Simondetti 20</v>
      </c>
      <c r="K335" s="763">
        <f>IFERROR(__xludf.DUMMYFUNCTION("""COMPUTED_VALUE"""),10060.0)</f>
        <v>10060</v>
      </c>
      <c r="L335" s="763" t="str">
        <f>IFERROR(__xludf.DUMMYFUNCTION("""COMPUTED_VALUE"""),"Apple Pay")</f>
        <v>Apple Pay</v>
      </c>
      <c r="M335" s="763"/>
      <c r="N335" s="763"/>
      <c r="O335" s="763">
        <f>IFERROR(__xludf.DUMMYFUNCTION("""COMPUTED_VALUE"""),0.0)</f>
        <v>0</v>
      </c>
      <c r="P335" s="767">
        <f>IFERROR(__xludf.DUMMYFUNCTION("""COMPUTED_VALUE"""),1.875)</f>
        <v>1.875</v>
      </c>
      <c r="Q335" s="763" t="str">
        <f>IFERROR(__xludf.DUMMYFUNCTION("""COMPUTED_VALUE"""),"EUR")</f>
        <v>EUR</v>
      </c>
      <c r="R335" s="763">
        <f>IFERROR(__xludf.DUMMYFUNCTION("""COMPUTED_VALUE"""),770.0)</f>
        <v>770</v>
      </c>
      <c r="S335" s="763" t="str">
        <f>IFERROR(__xludf.DUMMYFUNCTION("""COMPUTED_VALUE"""),"Workshop Commercial con Timor Steffens - Workshop Commercial con Timor Steffens")</f>
        <v>Workshop Commercial con Timor Steffens - Workshop Commercial con Timor Steffens</v>
      </c>
      <c r="T335" s="763"/>
      <c r="U335" s="763"/>
      <c r="V335" s="763">
        <f>IFERROR(__xludf.DUMMYFUNCTION("""COMPUTED_VALUE"""),1.0)</f>
        <v>1</v>
      </c>
      <c r="W335" s="763">
        <f>IFERROR(__xludf.DUMMYFUNCTION("""COMPUTED_VALUE"""),45.0)</f>
        <v>45</v>
      </c>
      <c r="X335" s="763">
        <f>IFERROR(__xludf.DUMMYFUNCTION("""COMPUTED_VALUE"""),45.0)</f>
        <v>45</v>
      </c>
      <c r="Y335" s="763"/>
      <c r="Z335" s="768" t="str">
        <f>IFERROR(__xludf.DUMMYFUNCTION("""COMPUTED_VALUE"""),"https://studio-gem.it/wp-admin/post.php?post=65296&amp;action=edit")</f>
        <v>https://studio-gem.it/wp-admin/post.php?post=65296&amp;action=edit</v>
      </c>
      <c r="AA335" s="763"/>
      <c r="AB335" s="763"/>
      <c r="AC335" s="763"/>
      <c r="AD335" s="763"/>
      <c r="AE335" s="763"/>
      <c r="AF335" s="763"/>
      <c r="AG335" s="763"/>
      <c r="AH335" s="763"/>
      <c r="AI335" s="763"/>
      <c r="AJ335" s="763"/>
      <c r="AK335" s="763"/>
      <c r="AL335" s="763"/>
      <c r="AM335" s="763"/>
      <c r="AN335" s="763"/>
      <c r="AO335" s="763"/>
      <c r="AP335" s="763"/>
      <c r="AQ335" s="763"/>
      <c r="AR335" s="763"/>
      <c r="AS335" s="763"/>
      <c r="AT335" s="763"/>
      <c r="AU335" s="763"/>
      <c r="AV335" s="763"/>
      <c r="AW335" s="763"/>
      <c r="AX335" s="763"/>
      <c r="AY335" s="763"/>
      <c r="AZ335" s="763"/>
      <c r="BA335" s="763"/>
      <c r="BB335" s="763"/>
      <c r="BC335" s="763"/>
      <c r="BD335" s="763"/>
      <c r="BE335" s="763"/>
      <c r="BF335" s="763"/>
      <c r="BG335" s="763" t="b">
        <f>IFERROR(__xludf.DUMMYFUNCTION("""COMPUTED_VALUE"""),FALSE)</f>
        <v>0</v>
      </c>
      <c r="BH335" s="763" t="b">
        <f>IFERROR(__xludf.DUMMYFUNCTION("""COMPUTED_VALUE"""),FALSE)</f>
        <v>0</v>
      </c>
      <c r="BI335" s="763" t="b">
        <f>IFERROR(__xludf.DUMMYFUNCTION("""COMPUTED_VALUE"""),FALSE)</f>
        <v>0</v>
      </c>
      <c r="BJ335" s="763" t="b">
        <f>IFERROR(__xludf.DUMMYFUNCTION("""COMPUTED_VALUE"""),FALSE)</f>
        <v>0</v>
      </c>
    </row>
    <row r="336">
      <c r="A336" s="763">
        <f>IFERROR(__xludf.DUMMYFUNCTION("""COMPUTED_VALUE"""),65297.0)</f>
        <v>65297</v>
      </c>
      <c r="B336" s="763">
        <f>IFERROR(__xludf.DUMMYFUNCTION("""COMPUTED_VALUE"""),65297.0)</f>
        <v>65297</v>
      </c>
      <c r="C336" s="763" t="str">
        <f>IFERROR(__xludf.DUMMYFUNCTION("""COMPUTED_VALUE"""),"2025-10-19 18:49:00")</f>
        <v>2025-10-19 18:49:00</v>
      </c>
      <c r="D336" s="763" t="str">
        <f>IFERROR(__xludf.DUMMYFUNCTION("""COMPUTED_VALUE"""),"completed")</f>
        <v>completed</v>
      </c>
      <c r="E336" s="763" t="str">
        <f>IFERROR(__xludf.DUMMYFUNCTION("""COMPUTED_VALUE"""),"giulia")</f>
        <v>giulia</v>
      </c>
      <c r="F336" s="763" t="str">
        <f>IFERROR(__xludf.DUMMYFUNCTION("""COMPUTED_VALUE"""),"palumbo")</f>
        <v>palumbo</v>
      </c>
      <c r="G336" s="763" t="str">
        <f>IFERROR(__xludf.DUMMYFUNCTION("""COMPUTED_VALUE"""),"giuly.pal07@gmail.com")</f>
        <v>giuly.pal07@gmail.com</v>
      </c>
      <c r="H336" s="763">
        <f>IFERROR(__xludf.DUMMYFUNCTION("""COMPUTED_VALUE"""),3.917148974E9)</f>
        <v>3917148974</v>
      </c>
      <c r="I336" s="763" t="str">
        <f>IFERROR(__xludf.DUMMYFUNCTION("""COMPUTED_VALUE"""),"muggiò")</f>
        <v>muggiò</v>
      </c>
      <c r="J336" s="763" t="str">
        <f>IFERROR(__xludf.DUMMYFUNCTION("""COMPUTED_VALUE"""),"enrico toti 8")</f>
        <v>enrico toti 8</v>
      </c>
      <c r="K336" s="763">
        <f>IFERROR(__xludf.DUMMYFUNCTION("""COMPUTED_VALUE"""),20835.0)</f>
        <v>20835</v>
      </c>
      <c r="L336" s="763" t="str">
        <f>IFERROR(__xludf.DUMMYFUNCTION("""COMPUTED_VALUE"""),"Apple Pay")</f>
        <v>Apple Pay</v>
      </c>
      <c r="M336" s="763"/>
      <c r="N336" s="763" t="str">
        <f>IFERROR(__xludf.DUMMYFUNCTION("""COMPUTED_VALUE"""),"65297-1760899742")</f>
        <v>65297-1760899742</v>
      </c>
      <c r="O336" s="763">
        <f>IFERROR(__xludf.DUMMYFUNCTION("""COMPUTED_VALUE"""),0.0)</f>
        <v>0</v>
      </c>
      <c r="P336" s="767">
        <f>IFERROR(__xludf.DUMMYFUNCTION("""COMPUTED_VALUE"""),1.3333333333333333)</f>
        <v>1.333333333</v>
      </c>
      <c r="Q336" s="763" t="str">
        <f>IFERROR(__xludf.DUMMYFUNCTION("""COMPUTED_VALUE"""),"EUR")</f>
        <v>EUR</v>
      </c>
      <c r="R336" s="763">
        <f>IFERROR(__xludf.DUMMYFUNCTION("""COMPUTED_VALUE"""),771.0)</f>
        <v>771</v>
      </c>
      <c r="S336" s="763" t="str">
        <f>IFERROR(__xludf.DUMMYFUNCTION("""COMPUTED_VALUE"""),"Workshop Salsa Musicality con Nicolò De Angelis - Workshop Nicolò Salsa Musicality")</f>
        <v>Workshop Salsa Musicality con Nicolò De Angelis - Workshop Nicolò Salsa Musicality</v>
      </c>
      <c r="T336" s="763"/>
      <c r="U336" s="763"/>
      <c r="V336" s="763">
        <f>IFERROR(__xludf.DUMMYFUNCTION("""COMPUTED_VALUE"""),1.0)</f>
        <v>1</v>
      </c>
      <c r="W336" s="763">
        <f>IFERROR(__xludf.DUMMYFUNCTION("""COMPUTED_VALUE"""),32.0)</f>
        <v>32</v>
      </c>
      <c r="X336" s="763">
        <f>IFERROR(__xludf.DUMMYFUNCTION("""COMPUTED_VALUE"""),32.0)</f>
        <v>32</v>
      </c>
      <c r="Y336" s="763"/>
      <c r="Z336" s="768" t="str">
        <f>IFERROR(__xludf.DUMMYFUNCTION("""COMPUTED_VALUE"""),"https://studio-gem.it/wp-admin/post.php?post=65297&amp;action=edit")</f>
        <v>https://studio-gem.it/wp-admin/post.php?post=65297&amp;action=edit</v>
      </c>
      <c r="AA336" s="763"/>
      <c r="AB336" s="763"/>
      <c r="AC336" s="763"/>
      <c r="AD336" s="763"/>
      <c r="AE336" s="763"/>
      <c r="AF336" s="763"/>
      <c r="AG336" s="763"/>
      <c r="AH336" s="763"/>
      <c r="AI336" s="763"/>
      <c r="AJ336" s="763"/>
      <c r="AK336" s="763"/>
      <c r="AL336" s="763"/>
      <c r="AM336" s="763"/>
      <c r="AN336" s="763"/>
      <c r="AO336" s="763"/>
      <c r="AP336" s="763"/>
      <c r="AQ336" s="763"/>
      <c r="AR336" s="763"/>
      <c r="AS336" s="763"/>
      <c r="AT336" s="763"/>
      <c r="AU336" s="763"/>
      <c r="AV336" s="763"/>
      <c r="AW336" s="763"/>
      <c r="AX336" s="763"/>
      <c r="AY336" s="763"/>
      <c r="AZ336" s="763"/>
      <c r="BA336" s="763"/>
      <c r="BB336" s="763"/>
      <c r="BC336" s="763"/>
      <c r="BD336" s="763"/>
      <c r="BE336" s="763"/>
      <c r="BF336" s="763"/>
      <c r="BG336" s="763" t="b">
        <f>IFERROR(__xludf.DUMMYFUNCTION("""COMPUTED_VALUE"""),TRUE)</f>
        <v>1</v>
      </c>
      <c r="BH336" s="763" t="b">
        <f>IFERROR(__xludf.DUMMYFUNCTION("""COMPUTED_VALUE"""),FALSE)</f>
        <v>0</v>
      </c>
      <c r="BI336" s="763" t="b">
        <f>IFERROR(__xludf.DUMMYFUNCTION("""COMPUTED_VALUE"""),TRUE)</f>
        <v>1</v>
      </c>
      <c r="BJ336" s="763" t="b">
        <f>IFERROR(__xludf.DUMMYFUNCTION("""COMPUTED_VALUE"""),TRUE)</f>
        <v>1</v>
      </c>
    </row>
    <row r="337">
      <c r="A337" s="763">
        <f>IFERROR(__xludf.DUMMYFUNCTION("""COMPUTED_VALUE"""),65301.0)</f>
        <v>65301</v>
      </c>
      <c r="B337" s="763">
        <f>IFERROR(__xludf.DUMMYFUNCTION("""COMPUTED_VALUE"""),65301.0)</f>
        <v>65301</v>
      </c>
      <c r="C337" s="763" t="str">
        <f>IFERROR(__xludf.DUMMYFUNCTION("""COMPUTED_VALUE"""),"2025-10-20 08:38:10")</f>
        <v>2025-10-20 08:38:10</v>
      </c>
      <c r="D337" s="763" t="str">
        <f>IFERROR(__xludf.DUMMYFUNCTION("""COMPUTED_VALUE"""),"completed")</f>
        <v>completed</v>
      </c>
      <c r="E337" s="763" t="str">
        <f>IFERROR(__xludf.DUMMYFUNCTION("""COMPUTED_VALUE"""),"Alice")</f>
        <v>Alice</v>
      </c>
      <c r="F337" s="763" t="str">
        <f>IFERROR(__xludf.DUMMYFUNCTION("""COMPUTED_VALUE"""),"Bordunale")</f>
        <v>Bordunale</v>
      </c>
      <c r="G337" s="763" t="str">
        <f>IFERROR(__xludf.DUMMYFUNCTION("""COMPUTED_VALUE"""),"gisimona74@gmail.com")</f>
        <v>gisimona74@gmail.com</v>
      </c>
      <c r="H337" s="763">
        <f>IFERROR(__xludf.DUMMYFUNCTION("""COMPUTED_VALUE"""),3.39165291E9)</f>
        <v>3391652910</v>
      </c>
      <c r="I337" s="763" t="str">
        <f>IFERROR(__xludf.DUMMYFUNCTION("""COMPUTED_VALUE"""),"PINEROLO")</f>
        <v>PINEROLO</v>
      </c>
      <c r="J337" s="763" t="str">
        <f>IFERROR(__xludf.DUMMYFUNCTION("""COMPUTED_VALUE"""),"Via Asiago 61")</f>
        <v>Via Asiago 61</v>
      </c>
      <c r="K337" s="763">
        <f>IFERROR(__xludf.DUMMYFUNCTION("""COMPUTED_VALUE"""),10064.0)</f>
        <v>10064</v>
      </c>
      <c r="L337" s="763" t="str">
        <f>IFERROR(__xludf.DUMMYFUNCTION("""COMPUTED_VALUE"""),"Google Pay")</f>
        <v>Google Pay</v>
      </c>
      <c r="M337" s="763"/>
      <c r="N337" s="763" t="str">
        <f>IFERROR(__xludf.DUMMYFUNCTION("""COMPUTED_VALUE"""),"65301-1760949491")</f>
        <v>65301-1760949491</v>
      </c>
      <c r="O337" s="763">
        <f>IFERROR(__xludf.DUMMYFUNCTION("""COMPUTED_VALUE"""),0.0)</f>
        <v>0</v>
      </c>
      <c r="P337" s="767">
        <f>IFERROR(__xludf.DUMMYFUNCTION("""COMPUTED_VALUE"""),1.875)</f>
        <v>1.875</v>
      </c>
      <c r="Q337" s="763" t="str">
        <f>IFERROR(__xludf.DUMMYFUNCTION("""COMPUTED_VALUE"""),"EUR")</f>
        <v>EUR</v>
      </c>
      <c r="R337" s="763">
        <f>IFERROR(__xludf.DUMMYFUNCTION("""COMPUTED_VALUE"""),772.0)</f>
        <v>772</v>
      </c>
      <c r="S337" s="763" t="str">
        <f>IFERROR(__xludf.DUMMYFUNCTION("""COMPUTED_VALUE"""),"Workshop Commercial con Timor Steffens - Workshop Commercial con Timor Steffens")</f>
        <v>Workshop Commercial con Timor Steffens - Workshop Commercial con Timor Steffens</v>
      </c>
      <c r="T337" s="763"/>
      <c r="U337" s="763"/>
      <c r="V337" s="763">
        <f>IFERROR(__xludf.DUMMYFUNCTION("""COMPUTED_VALUE"""),1.0)</f>
        <v>1</v>
      </c>
      <c r="W337" s="763">
        <f>IFERROR(__xludf.DUMMYFUNCTION("""COMPUTED_VALUE"""),45.0)</f>
        <v>45</v>
      </c>
      <c r="X337" s="763">
        <f>IFERROR(__xludf.DUMMYFUNCTION("""COMPUTED_VALUE"""),45.0)</f>
        <v>45</v>
      </c>
      <c r="Y337" s="763"/>
      <c r="Z337" s="768" t="str">
        <f>IFERROR(__xludf.DUMMYFUNCTION("""COMPUTED_VALUE"""),"https://studio-gem.it/wp-admin/post.php?post=65301&amp;action=edit")</f>
        <v>https://studio-gem.it/wp-admin/post.php?post=65301&amp;action=edit</v>
      </c>
      <c r="AA337" s="763"/>
      <c r="AB337" s="763"/>
      <c r="AC337" s="763"/>
      <c r="AD337" s="763"/>
      <c r="AE337" s="763"/>
      <c r="AF337" s="763"/>
      <c r="AG337" s="763"/>
      <c r="AH337" s="763"/>
      <c r="AI337" s="763"/>
      <c r="AJ337" s="763"/>
      <c r="AK337" s="763"/>
      <c r="AL337" s="763"/>
      <c r="AM337" s="763"/>
      <c r="AN337" s="763"/>
      <c r="AO337" s="763"/>
      <c r="AP337" s="763"/>
      <c r="AQ337" s="763"/>
      <c r="AR337" s="763"/>
      <c r="AS337" s="763"/>
      <c r="AT337" s="763"/>
      <c r="AU337" s="763"/>
      <c r="AV337" s="763"/>
      <c r="AW337" s="763"/>
      <c r="AX337" s="763"/>
      <c r="AY337" s="763"/>
      <c r="AZ337" s="763"/>
      <c r="BA337" s="763"/>
      <c r="BB337" s="763"/>
      <c r="BC337" s="763"/>
      <c r="BD337" s="763"/>
      <c r="BE337" s="763"/>
      <c r="BF337" s="763"/>
      <c r="BG337" s="763" t="b">
        <f>IFERROR(__xludf.DUMMYFUNCTION("""COMPUTED_VALUE"""),TRUE)</f>
        <v>1</v>
      </c>
      <c r="BH337" s="763" t="b">
        <f>IFERROR(__xludf.DUMMYFUNCTION("""COMPUTED_VALUE"""),FALSE)</f>
        <v>0</v>
      </c>
      <c r="BI337" s="763" t="b">
        <f>IFERROR(__xludf.DUMMYFUNCTION("""COMPUTED_VALUE"""),TRUE)</f>
        <v>1</v>
      </c>
      <c r="BJ337" s="763" t="b">
        <f>IFERROR(__xludf.DUMMYFUNCTION("""COMPUTED_VALUE"""),TRUE)</f>
        <v>1</v>
      </c>
    </row>
    <row r="338">
      <c r="A338" s="763">
        <f>IFERROR(__xludf.DUMMYFUNCTION("""COMPUTED_VALUE"""),65320.0)</f>
        <v>65320</v>
      </c>
      <c r="B338" s="763">
        <f>IFERROR(__xludf.DUMMYFUNCTION("""COMPUTED_VALUE"""),65320.0)</f>
        <v>65320</v>
      </c>
      <c r="C338" s="763" t="str">
        <f>IFERROR(__xludf.DUMMYFUNCTION("""COMPUTED_VALUE"""),"2025-10-20 12:25:06")</f>
        <v>2025-10-20 12:25:06</v>
      </c>
      <c r="D338" s="763" t="str">
        <f>IFERROR(__xludf.DUMMYFUNCTION("""COMPUTED_VALUE"""),"pending")</f>
        <v>pending</v>
      </c>
      <c r="E338" s="763" t="str">
        <f>IFERROR(__xludf.DUMMYFUNCTION("""COMPUTED_VALUE"""),"Sofia")</f>
        <v>Sofia</v>
      </c>
      <c r="F338" s="763" t="str">
        <f>IFERROR(__xludf.DUMMYFUNCTION("""COMPUTED_VALUE"""),"Nicola")</f>
        <v>Nicola</v>
      </c>
      <c r="G338" s="763" t="str">
        <f>IFERROR(__xludf.DUMMYFUNCTION("""COMPUTED_VALUE"""),"nicolasofia1509@gmail.com")</f>
        <v>nicolasofia1509@gmail.com</v>
      </c>
      <c r="H338" s="763">
        <f>IFERROR(__xludf.DUMMYFUNCTION("""COMPUTED_VALUE"""),3.293833017E9)</f>
        <v>3293833017</v>
      </c>
      <c r="I338" s="763" t="str">
        <f>IFERROR(__xludf.DUMMYFUNCTION("""COMPUTED_VALUE"""),"Villafranca Piemonte")</f>
        <v>Villafranca Piemonte</v>
      </c>
      <c r="J338" s="763" t="str">
        <f>IFERROR(__xludf.DUMMYFUNCTION("""COMPUTED_VALUE"""),"Frazione Mottura 68")</f>
        <v>Frazione Mottura 68</v>
      </c>
      <c r="K338" s="763">
        <f>IFERROR(__xludf.DUMMYFUNCTION("""COMPUTED_VALUE"""),10068.0)</f>
        <v>10068</v>
      </c>
      <c r="L338" s="763" t="str">
        <f>IFERROR(__xludf.DUMMYFUNCTION("""COMPUTED_VALUE"""),"Google Pay")</f>
        <v>Google Pay</v>
      </c>
      <c r="M338" s="763"/>
      <c r="N338" s="763"/>
      <c r="O338" s="763">
        <f>IFERROR(__xludf.DUMMYFUNCTION("""COMPUTED_VALUE"""),0.0)</f>
        <v>0</v>
      </c>
      <c r="P338" s="767">
        <f>IFERROR(__xludf.DUMMYFUNCTION("""COMPUTED_VALUE"""),1.875)</f>
        <v>1.875</v>
      </c>
      <c r="Q338" s="763" t="str">
        <f>IFERROR(__xludf.DUMMYFUNCTION("""COMPUTED_VALUE"""),"EUR")</f>
        <v>EUR</v>
      </c>
      <c r="R338" s="763">
        <f>IFERROR(__xludf.DUMMYFUNCTION("""COMPUTED_VALUE"""),773.0)</f>
        <v>773</v>
      </c>
      <c r="S338" s="763" t="str">
        <f>IFERROR(__xludf.DUMMYFUNCTION("""COMPUTED_VALUE"""),"Workshop Commercial con Timor Steffens - Workshop Commercial con Timor Steffens")</f>
        <v>Workshop Commercial con Timor Steffens - Workshop Commercial con Timor Steffens</v>
      </c>
      <c r="T338" s="763"/>
      <c r="U338" s="763"/>
      <c r="V338" s="763">
        <f>IFERROR(__xludf.DUMMYFUNCTION("""COMPUTED_VALUE"""),1.0)</f>
        <v>1</v>
      </c>
      <c r="W338" s="763">
        <f>IFERROR(__xludf.DUMMYFUNCTION("""COMPUTED_VALUE"""),45.0)</f>
        <v>45</v>
      </c>
      <c r="X338" s="763">
        <f>IFERROR(__xludf.DUMMYFUNCTION("""COMPUTED_VALUE"""),45.0)</f>
        <v>45</v>
      </c>
      <c r="Y338" s="763"/>
      <c r="Z338" s="768" t="str">
        <f>IFERROR(__xludf.DUMMYFUNCTION("""COMPUTED_VALUE"""),"https://studio-gem.it/wp-admin/post.php?post=65320&amp;action=edit")</f>
        <v>https://studio-gem.it/wp-admin/post.php?post=65320&amp;action=edit</v>
      </c>
      <c r="AA338" s="763"/>
      <c r="AB338" s="763"/>
      <c r="AC338" s="763"/>
      <c r="AD338" s="763"/>
      <c r="AE338" s="763"/>
      <c r="AF338" s="763"/>
      <c r="AG338" s="763"/>
      <c r="AH338" s="763"/>
      <c r="AI338" s="763"/>
      <c r="AJ338" s="763"/>
      <c r="AK338" s="763"/>
      <c r="AL338" s="763"/>
      <c r="AM338" s="763"/>
      <c r="AN338" s="763"/>
      <c r="AO338" s="763"/>
      <c r="AP338" s="763"/>
      <c r="AQ338" s="763"/>
      <c r="AR338" s="763"/>
      <c r="AS338" s="763"/>
      <c r="AT338" s="763"/>
      <c r="AU338" s="763"/>
      <c r="AV338" s="763"/>
      <c r="AW338" s="763"/>
      <c r="AX338" s="763"/>
      <c r="AY338" s="763"/>
      <c r="AZ338" s="763"/>
      <c r="BA338" s="763"/>
      <c r="BB338" s="763"/>
      <c r="BC338" s="763"/>
      <c r="BD338" s="763"/>
      <c r="BE338" s="763"/>
      <c r="BF338" s="763"/>
      <c r="BG338" s="763" t="b">
        <f>IFERROR(__xludf.DUMMYFUNCTION("""COMPUTED_VALUE"""),TRUE)</f>
        <v>1</v>
      </c>
      <c r="BH338" s="763" t="b">
        <f>IFERROR(__xludf.DUMMYFUNCTION("""COMPUTED_VALUE"""),FALSE)</f>
        <v>0</v>
      </c>
      <c r="BI338" s="763" t="b">
        <f>IFERROR(__xludf.DUMMYFUNCTION("""COMPUTED_VALUE"""),FALSE)</f>
        <v>0</v>
      </c>
      <c r="BJ338" s="763" t="b">
        <f>IFERROR(__xludf.DUMMYFUNCTION("""COMPUTED_VALUE"""),FALSE)</f>
        <v>0</v>
      </c>
    </row>
    <row r="339">
      <c r="A339" s="763">
        <f>IFERROR(__xludf.DUMMYFUNCTION("""COMPUTED_VALUE"""),65321.0)</f>
        <v>65321</v>
      </c>
      <c r="B339" s="763">
        <f>IFERROR(__xludf.DUMMYFUNCTION("""COMPUTED_VALUE"""),65321.0)</f>
        <v>65321</v>
      </c>
      <c r="C339" s="763" t="str">
        <f>IFERROR(__xludf.DUMMYFUNCTION("""COMPUTED_VALUE"""),"2025-10-20 12:27:22")</f>
        <v>2025-10-20 12:27:22</v>
      </c>
      <c r="D339" s="763" t="str">
        <f>IFERROR(__xludf.DUMMYFUNCTION("""COMPUTED_VALUE"""),"on-hold")</f>
        <v>on-hold</v>
      </c>
      <c r="E339" s="763" t="str">
        <f>IFERROR(__xludf.DUMMYFUNCTION("""COMPUTED_VALUE"""),"Sofia")</f>
        <v>Sofia</v>
      </c>
      <c r="F339" s="763" t="str">
        <f>IFERROR(__xludf.DUMMYFUNCTION("""COMPUTED_VALUE"""),"Nicola")</f>
        <v>Nicola</v>
      </c>
      <c r="G339" s="763" t="str">
        <f>IFERROR(__xludf.DUMMYFUNCTION("""COMPUTED_VALUE"""),"nicolasofia1509@gmail.com")</f>
        <v>nicolasofia1509@gmail.com</v>
      </c>
      <c r="H339" s="763">
        <f>IFERROR(__xludf.DUMMYFUNCTION("""COMPUTED_VALUE"""),3.293833017E9)</f>
        <v>3293833017</v>
      </c>
      <c r="I339" s="763" t="str">
        <f>IFERROR(__xludf.DUMMYFUNCTION("""COMPUTED_VALUE"""),"Villafranca Piemonte")</f>
        <v>Villafranca Piemonte</v>
      </c>
      <c r="J339" s="763" t="str">
        <f>IFERROR(__xludf.DUMMYFUNCTION("""COMPUTED_VALUE"""),"Frazione Mottura 68")</f>
        <v>Frazione Mottura 68</v>
      </c>
      <c r="K339" s="763">
        <f>IFERROR(__xludf.DUMMYFUNCTION("""COMPUTED_VALUE"""),10068.0)</f>
        <v>10068</v>
      </c>
      <c r="L339" s="763" t="str">
        <f>IFERROR(__xludf.DUMMYFUNCTION("""COMPUTED_VALUE"""),"Satispay")</f>
        <v>Satispay</v>
      </c>
      <c r="M339" s="763"/>
      <c r="N339" s="763" t="str">
        <f>IFERROR(__xludf.DUMMYFUNCTION("""COMPUTED_VALUE"""),"019a0196-aca1-724f-a5e4-2cdb089f2ec9")</f>
        <v>019a0196-aca1-724f-a5e4-2cdb089f2ec9</v>
      </c>
      <c r="O339" s="763">
        <f>IFERROR(__xludf.DUMMYFUNCTION("""COMPUTED_VALUE"""),0.0)</f>
        <v>0</v>
      </c>
      <c r="P339" s="767">
        <f>IFERROR(__xludf.DUMMYFUNCTION("""COMPUTED_VALUE"""),3.75)</f>
        <v>3.75</v>
      </c>
      <c r="Q339" s="763" t="str">
        <f>IFERROR(__xludf.DUMMYFUNCTION("""COMPUTED_VALUE"""),"EUR")</f>
        <v>EUR</v>
      </c>
      <c r="R339" s="763">
        <f>IFERROR(__xludf.DUMMYFUNCTION("""COMPUTED_VALUE"""),774.0)</f>
        <v>774</v>
      </c>
      <c r="S339" s="763" t="str">
        <f>IFERROR(__xludf.DUMMYFUNCTION("""COMPUTED_VALUE"""),"Workshop Commercial con Timor Steffens - Workshop Commercial con Timor Steffens")</f>
        <v>Workshop Commercial con Timor Steffens - Workshop Commercial con Timor Steffens</v>
      </c>
      <c r="T339" s="763"/>
      <c r="U339" s="763"/>
      <c r="V339" s="763">
        <f>IFERROR(__xludf.DUMMYFUNCTION("""COMPUTED_VALUE"""),2.0)</f>
        <v>2</v>
      </c>
      <c r="W339" s="763">
        <f>IFERROR(__xludf.DUMMYFUNCTION("""COMPUTED_VALUE"""),45.0)</f>
        <v>45</v>
      </c>
      <c r="X339" s="763">
        <f>IFERROR(__xludf.DUMMYFUNCTION("""COMPUTED_VALUE"""),90.0)</f>
        <v>90</v>
      </c>
      <c r="Y339" s="763"/>
      <c r="Z339" s="768" t="str">
        <f>IFERROR(__xludf.DUMMYFUNCTION("""COMPUTED_VALUE"""),"https://studio-gem.it/wp-admin/post.php?post=65321&amp;action=edit")</f>
        <v>https://studio-gem.it/wp-admin/post.php?post=65321&amp;action=edit</v>
      </c>
      <c r="AA339" s="763"/>
      <c r="AB339" s="763"/>
      <c r="AC339" s="763"/>
      <c r="AD339" s="763"/>
      <c r="AE339" s="763"/>
      <c r="AF339" s="763"/>
      <c r="AG339" s="763"/>
      <c r="AH339" s="763"/>
      <c r="AI339" s="763"/>
      <c r="AJ339" s="763"/>
      <c r="AK339" s="763"/>
      <c r="AL339" s="763"/>
      <c r="AM339" s="763"/>
      <c r="AN339" s="763"/>
      <c r="AO339" s="763"/>
      <c r="AP339" s="763"/>
      <c r="AQ339" s="763"/>
      <c r="AR339" s="763"/>
      <c r="AS339" s="763"/>
      <c r="AT339" s="763"/>
      <c r="AU339" s="763"/>
      <c r="AV339" s="763"/>
      <c r="AW339" s="763"/>
      <c r="AX339" s="763"/>
      <c r="AY339" s="763"/>
      <c r="AZ339" s="763"/>
      <c r="BA339" s="763"/>
      <c r="BB339" s="763"/>
      <c r="BC339" s="763"/>
      <c r="BD339" s="763"/>
      <c r="BE339" s="763"/>
      <c r="BF339" s="763"/>
      <c r="BG339" s="763" t="b">
        <f>IFERROR(__xludf.DUMMYFUNCTION("""COMPUTED_VALUE"""),TRUE)</f>
        <v>1</v>
      </c>
      <c r="BH339" s="763" t="b">
        <f>IFERROR(__xludf.DUMMYFUNCTION("""COMPUTED_VALUE"""),FALSE)</f>
        <v>0</v>
      </c>
      <c r="BI339" s="763" t="b">
        <f>IFERROR(__xludf.DUMMYFUNCTION("""COMPUTED_VALUE"""),FALSE)</f>
        <v>0</v>
      </c>
      <c r="BJ339" s="763" t="b">
        <f>IFERROR(__xludf.DUMMYFUNCTION("""COMPUTED_VALUE"""),FALSE)</f>
        <v>0</v>
      </c>
    </row>
    <row r="340">
      <c r="A340" s="763">
        <f>IFERROR(__xludf.DUMMYFUNCTION("""COMPUTED_VALUE"""),65322.0)</f>
        <v>65322</v>
      </c>
      <c r="B340" s="763">
        <f>IFERROR(__xludf.DUMMYFUNCTION("""COMPUTED_VALUE"""),65322.0)</f>
        <v>65322</v>
      </c>
      <c r="C340" s="763" t="str">
        <f>IFERROR(__xludf.DUMMYFUNCTION("""COMPUTED_VALUE"""),"2025-10-20 12:29:16")</f>
        <v>2025-10-20 12:29:16</v>
      </c>
      <c r="D340" s="763" t="str">
        <f>IFERROR(__xludf.DUMMYFUNCTION("""COMPUTED_VALUE"""),"cancelled")</f>
        <v>cancelled</v>
      </c>
      <c r="E340" s="763" t="str">
        <f>IFERROR(__xludf.DUMMYFUNCTION("""COMPUTED_VALUE"""),"Sofia")</f>
        <v>Sofia</v>
      </c>
      <c r="F340" s="763" t="str">
        <f>IFERROR(__xludf.DUMMYFUNCTION("""COMPUTED_VALUE"""),"Nicola")</f>
        <v>Nicola</v>
      </c>
      <c r="G340" s="763" t="str">
        <f>IFERROR(__xludf.DUMMYFUNCTION("""COMPUTED_VALUE"""),"nicolasofia1509@gmail.com")</f>
        <v>nicolasofia1509@gmail.com</v>
      </c>
      <c r="H340" s="763">
        <f>IFERROR(__xludf.DUMMYFUNCTION("""COMPUTED_VALUE"""),3.293833017E9)</f>
        <v>3293833017</v>
      </c>
      <c r="I340" s="763" t="str">
        <f>IFERROR(__xludf.DUMMYFUNCTION("""COMPUTED_VALUE"""),"Villafranca Piemonte")</f>
        <v>Villafranca Piemonte</v>
      </c>
      <c r="J340" s="763" t="str">
        <f>IFERROR(__xludf.DUMMYFUNCTION("""COMPUTED_VALUE"""),"Frazione Mottura 68")</f>
        <v>Frazione Mottura 68</v>
      </c>
      <c r="K340" s="763">
        <f>IFERROR(__xludf.DUMMYFUNCTION("""COMPUTED_VALUE"""),10068.0)</f>
        <v>10068</v>
      </c>
      <c r="L340" s="763" t="str">
        <f>IFERROR(__xludf.DUMMYFUNCTION("""COMPUTED_VALUE"""),"Satispay")</f>
        <v>Satispay</v>
      </c>
      <c r="M340" s="763"/>
      <c r="N340" s="763" t="str">
        <f>IFERROR(__xludf.DUMMYFUNCTION("""COMPUTED_VALUE"""),"019a0198-67f6-7477-8261-61d0a752dd25")</f>
        <v>019a0198-67f6-7477-8261-61d0a752dd25</v>
      </c>
      <c r="O340" s="763">
        <f>IFERROR(__xludf.DUMMYFUNCTION("""COMPUTED_VALUE"""),0.0)</f>
        <v>0</v>
      </c>
      <c r="P340" s="767">
        <f>IFERROR(__xludf.DUMMYFUNCTION("""COMPUTED_VALUE"""),1.875)</f>
        <v>1.875</v>
      </c>
      <c r="Q340" s="763" t="str">
        <f>IFERROR(__xludf.DUMMYFUNCTION("""COMPUTED_VALUE"""),"EUR")</f>
        <v>EUR</v>
      </c>
      <c r="R340" s="763">
        <f>IFERROR(__xludf.DUMMYFUNCTION("""COMPUTED_VALUE"""),775.0)</f>
        <v>775</v>
      </c>
      <c r="S340" s="763" t="str">
        <f>IFERROR(__xludf.DUMMYFUNCTION("""COMPUTED_VALUE"""),"Workshop Commercial con Timor Steffens - Workshop Commercial con Timor Steffens")</f>
        <v>Workshop Commercial con Timor Steffens - Workshop Commercial con Timor Steffens</v>
      </c>
      <c r="T340" s="763"/>
      <c r="U340" s="763"/>
      <c r="V340" s="763">
        <f>IFERROR(__xludf.DUMMYFUNCTION("""COMPUTED_VALUE"""),1.0)</f>
        <v>1</v>
      </c>
      <c r="W340" s="763">
        <f>IFERROR(__xludf.DUMMYFUNCTION("""COMPUTED_VALUE"""),45.0)</f>
        <v>45</v>
      </c>
      <c r="X340" s="763">
        <f>IFERROR(__xludf.DUMMYFUNCTION("""COMPUTED_VALUE"""),45.0)</f>
        <v>45</v>
      </c>
      <c r="Y340" s="763"/>
      <c r="Z340" s="768" t="str">
        <f>IFERROR(__xludf.DUMMYFUNCTION("""COMPUTED_VALUE"""),"https://studio-gem.it/wp-admin/post.php?post=65322&amp;action=edit")</f>
        <v>https://studio-gem.it/wp-admin/post.php?post=65322&amp;action=edit</v>
      </c>
      <c r="AA340" s="763"/>
      <c r="AB340" s="763"/>
      <c r="AC340" s="763"/>
      <c r="AD340" s="763"/>
      <c r="AE340" s="763"/>
      <c r="AF340" s="763"/>
      <c r="AG340" s="763"/>
      <c r="AH340" s="763"/>
      <c r="AI340" s="763"/>
      <c r="AJ340" s="763"/>
      <c r="AK340" s="763"/>
      <c r="AL340" s="763"/>
      <c r="AM340" s="763"/>
      <c r="AN340" s="763"/>
      <c r="AO340" s="763"/>
      <c r="AP340" s="763"/>
      <c r="AQ340" s="763"/>
      <c r="AR340" s="763"/>
      <c r="AS340" s="763"/>
      <c r="AT340" s="763"/>
      <c r="AU340" s="763"/>
      <c r="AV340" s="763"/>
      <c r="AW340" s="763"/>
      <c r="AX340" s="763"/>
      <c r="AY340" s="763"/>
      <c r="AZ340" s="763"/>
      <c r="BA340" s="763"/>
      <c r="BB340" s="763"/>
      <c r="BC340" s="763"/>
      <c r="BD340" s="763"/>
      <c r="BE340" s="763"/>
      <c r="BF340" s="763"/>
      <c r="BG340" s="763" t="b">
        <f>IFERROR(__xludf.DUMMYFUNCTION("""COMPUTED_VALUE"""),TRUE)</f>
        <v>1</v>
      </c>
      <c r="BH340" s="763" t="b">
        <f>IFERROR(__xludf.DUMMYFUNCTION("""COMPUTED_VALUE"""),FALSE)</f>
        <v>0</v>
      </c>
      <c r="BI340" s="763" t="b">
        <f>IFERROR(__xludf.DUMMYFUNCTION("""COMPUTED_VALUE"""),FALSE)</f>
        <v>0</v>
      </c>
      <c r="BJ340" s="763" t="b">
        <f>IFERROR(__xludf.DUMMYFUNCTION("""COMPUTED_VALUE"""),FALSE)</f>
        <v>0</v>
      </c>
    </row>
    <row r="341">
      <c r="A341" s="763">
        <f>IFERROR(__xludf.DUMMYFUNCTION("""COMPUTED_VALUE"""),65328.0)</f>
        <v>65328</v>
      </c>
      <c r="B341" s="763">
        <f>IFERROR(__xludf.DUMMYFUNCTION("""COMPUTED_VALUE"""),65328.0)</f>
        <v>65328</v>
      </c>
      <c r="C341" s="763" t="str">
        <f>IFERROR(__xludf.DUMMYFUNCTION("""COMPUTED_VALUE"""),"2025-10-20 20:09:49")</f>
        <v>2025-10-20 20:09:49</v>
      </c>
      <c r="D341" s="763" t="str">
        <f>IFERROR(__xludf.DUMMYFUNCTION("""COMPUTED_VALUE"""),"completed")</f>
        <v>completed</v>
      </c>
      <c r="E341" s="763" t="str">
        <f>IFERROR(__xludf.DUMMYFUNCTION("""COMPUTED_VALUE"""),"Carolina")</f>
        <v>Carolina</v>
      </c>
      <c r="F341" s="763" t="str">
        <f>IFERROR(__xludf.DUMMYFUNCTION("""COMPUTED_VALUE"""),"Rognini")</f>
        <v>Rognini</v>
      </c>
      <c r="G341" s="763" t="str">
        <f>IFERROR(__xludf.DUMMYFUNCTION("""COMPUTED_VALUE"""),"carolina.2001@icloud.com")</f>
        <v>carolina.2001@icloud.com</v>
      </c>
      <c r="H341" s="763">
        <f>IFERROR(__xludf.DUMMYFUNCTION("""COMPUTED_VALUE"""),3.204460419E9)</f>
        <v>3204460419</v>
      </c>
      <c r="I341" s="763" t="str">
        <f>IFERROR(__xludf.DUMMYFUNCTION("""COMPUTED_VALUE"""),"Mantova")</f>
        <v>Mantova</v>
      </c>
      <c r="J341" s="763" t="str">
        <f>IFERROR(__xludf.DUMMYFUNCTION("""COMPUTED_VALUE"""),"Viale Belgioioso 29/A")</f>
        <v>Viale Belgioioso 29/A</v>
      </c>
      <c r="K341" s="763">
        <f>IFERROR(__xludf.DUMMYFUNCTION("""COMPUTED_VALUE"""),46100.0)</f>
        <v>46100</v>
      </c>
      <c r="L341" s="763" t="str">
        <f>IFERROR(__xludf.DUMMYFUNCTION("""COMPUTED_VALUE"""),"Apple Pay")</f>
        <v>Apple Pay</v>
      </c>
      <c r="M341" s="763"/>
      <c r="N341" s="763" t="str">
        <f>IFERROR(__xludf.DUMMYFUNCTION("""COMPUTED_VALUE"""),"65328-1760990990")</f>
        <v>65328-1760990990</v>
      </c>
      <c r="O341" s="763">
        <f>IFERROR(__xludf.DUMMYFUNCTION("""COMPUTED_VALUE"""),0.0)</f>
        <v>0</v>
      </c>
      <c r="P341" s="767">
        <f>IFERROR(__xludf.DUMMYFUNCTION("""COMPUTED_VALUE"""),1.5416666666666667)</f>
        <v>1.541666667</v>
      </c>
      <c r="Q341" s="763" t="str">
        <f>IFERROR(__xludf.DUMMYFUNCTION("""COMPUTED_VALUE"""),"EUR")</f>
        <v>EUR</v>
      </c>
      <c r="R341" s="763">
        <f>IFERROR(__xludf.DUMMYFUNCTION("""COMPUTED_VALUE"""),776.0)</f>
        <v>776</v>
      </c>
      <c r="S341" s="763" t="str">
        <f>IFERROR(__xludf.DUMMYFUNCTION("""COMPUTED_VALUE"""),"Workshop Heels con Lulu Kulova - Workshop Lulu Heels")</f>
        <v>Workshop Heels con Lulu Kulova - Workshop Lulu Heels</v>
      </c>
      <c r="T341" s="763"/>
      <c r="U341" s="763"/>
      <c r="V341" s="763">
        <f>IFERROR(__xludf.DUMMYFUNCTION("""COMPUTED_VALUE"""),1.0)</f>
        <v>1</v>
      </c>
      <c r="W341" s="763">
        <f>IFERROR(__xludf.DUMMYFUNCTION("""COMPUTED_VALUE"""),37.0)</f>
        <v>37</v>
      </c>
      <c r="X341" s="763">
        <f>IFERROR(__xludf.DUMMYFUNCTION("""COMPUTED_VALUE"""),37.0)</f>
        <v>37</v>
      </c>
      <c r="Y341" s="763"/>
      <c r="Z341" s="768" t="str">
        <f>IFERROR(__xludf.DUMMYFUNCTION("""COMPUTED_VALUE"""),"https://studio-gem.it/wp-admin/post.php?post=65328&amp;action=edit")</f>
        <v>https://studio-gem.it/wp-admin/post.php?post=65328&amp;action=edit</v>
      </c>
      <c r="AA341" s="763"/>
      <c r="AB341" s="763"/>
      <c r="AC341" s="763"/>
      <c r="AD341" s="763"/>
      <c r="AE341" s="763"/>
      <c r="AF341" s="763"/>
      <c r="AG341" s="763"/>
      <c r="AH341" s="763"/>
      <c r="AI341" s="763"/>
      <c r="AJ341" s="763"/>
      <c r="AK341" s="763"/>
      <c r="AL341" s="763"/>
      <c r="AM341" s="763"/>
      <c r="AN341" s="763"/>
      <c r="AO341" s="763"/>
      <c r="AP341" s="763"/>
      <c r="AQ341" s="763"/>
      <c r="AR341" s="763"/>
      <c r="AS341" s="763"/>
      <c r="AT341" s="763"/>
      <c r="AU341" s="763"/>
      <c r="AV341" s="763"/>
      <c r="AW341" s="763"/>
      <c r="AX341" s="763"/>
      <c r="AY341" s="763"/>
      <c r="AZ341" s="763"/>
      <c r="BA341" s="763"/>
      <c r="BB341" s="763"/>
      <c r="BC341" s="763"/>
      <c r="BD341" s="763"/>
      <c r="BE341" s="763"/>
      <c r="BF341" s="763"/>
      <c r="BG341" s="763" t="b">
        <f>IFERROR(__xludf.DUMMYFUNCTION("""COMPUTED_VALUE"""),TRUE)</f>
        <v>1</v>
      </c>
      <c r="BH341" s="763" t="b">
        <f>IFERROR(__xludf.DUMMYFUNCTION("""COMPUTED_VALUE"""),FALSE)</f>
        <v>0</v>
      </c>
      <c r="BI341" s="763" t="b">
        <f>IFERROR(__xludf.DUMMYFUNCTION("""COMPUTED_VALUE"""),TRUE)</f>
        <v>1</v>
      </c>
      <c r="BJ341" s="763" t="b">
        <f>IFERROR(__xludf.DUMMYFUNCTION("""COMPUTED_VALUE"""),TRUE)</f>
        <v>1</v>
      </c>
    </row>
    <row r="342">
      <c r="A342" s="763">
        <f>IFERROR(__xludf.DUMMYFUNCTION("""COMPUTED_VALUE"""),65334.0)</f>
        <v>65334</v>
      </c>
      <c r="B342" s="763">
        <f>IFERROR(__xludf.DUMMYFUNCTION("""COMPUTED_VALUE"""),65334.0)</f>
        <v>65334</v>
      </c>
      <c r="C342" s="763" t="str">
        <f>IFERROR(__xludf.DUMMYFUNCTION("""COMPUTED_VALUE"""),"2025-10-20 20:50:30")</f>
        <v>2025-10-20 20:50:30</v>
      </c>
      <c r="D342" s="763" t="str">
        <f>IFERROR(__xludf.DUMMYFUNCTION("""COMPUTED_VALUE"""),"completed")</f>
        <v>completed</v>
      </c>
      <c r="E342" s="763" t="str">
        <f>IFERROR(__xludf.DUMMYFUNCTION("""COMPUTED_VALUE"""),"Alessio")</f>
        <v>Alessio</v>
      </c>
      <c r="F342" s="763" t="str">
        <f>IFERROR(__xludf.DUMMYFUNCTION("""COMPUTED_VALUE"""),"Campagna")</f>
        <v>Campagna</v>
      </c>
      <c r="G342" s="763" t="str">
        <f>IFERROR(__xludf.DUMMYFUNCTION("""COMPUTED_VALUE"""),"alessiotcgtrade@gmail.com")</f>
        <v>alessiotcgtrade@gmail.com</v>
      </c>
      <c r="H342" s="763">
        <f>IFERROR(__xludf.DUMMYFUNCTION("""COMPUTED_VALUE"""),3.517240804E9)</f>
        <v>3517240804</v>
      </c>
      <c r="I342" s="763" t="str">
        <f>IFERROR(__xludf.DUMMYFUNCTION("""COMPUTED_VALUE"""),"Milano")</f>
        <v>Milano</v>
      </c>
      <c r="J342" s="763" t="str">
        <f>IFERROR(__xludf.DUMMYFUNCTION("""COMPUTED_VALUE"""),"Corso di porta vigentina 38")</f>
        <v>Corso di porta vigentina 38</v>
      </c>
      <c r="K342" s="763">
        <f>IFERROR(__xludf.DUMMYFUNCTION("""COMPUTED_VALUE"""),20122.0)</f>
        <v>20122</v>
      </c>
      <c r="L342" s="763"/>
      <c r="M342" s="763"/>
      <c r="N342" s="763"/>
      <c r="O342" s="763">
        <f>IFERROR(__xludf.DUMMYFUNCTION("""COMPUTED_VALUE"""),0.0)</f>
        <v>0</v>
      </c>
      <c r="P342" s="767">
        <f>IFERROR(__xludf.DUMMYFUNCTION("""COMPUTED_VALUE"""),0.0)</f>
        <v>0</v>
      </c>
      <c r="Q342" s="763" t="str">
        <f>IFERROR(__xludf.DUMMYFUNCTION("""COMPUTED_VALUE"""),"EUR")</f>
        <v>EUR</v>
      </c>
      <c r="R342" s="763">
        <f>IFERROR(__xludf.DUMMYFUNCTION("""COMPUTED_VALUE"""),777.0)</f>
        <v>777</v>
      </c>
      <c r="S342" s="763" t="str">
        <f>IFERROR(__xludf.DUMMYFUNCTION("""COMPUTED_VALUE"""),"Domeniche in movimento - Gratuito per open fitness e open mattino 2 lezioni dalle 10 alle 11.50")</f>
        <v>Domeniche in movimento - Gratuito per open fitness e open mattino 2 lezioni dalle 10 alle 11.50</v>
      </c>
      <c r="T342" s="763"/>
      <c r="U342" s="763"/>
      <c r="V342" s="763">
        <f>IFERROR(__xludf.DUMMYFUNCTION("""COMPUTED_VALUE"""),1.0)</f>
        <v>1</v>
      </c>
      <c r="W342" s="763">
        <f>IFERROR(__xludf.DUMMYFUNCTION("""COMPUTED_VALUE"""),0.0)</f>
        <v>0</v>
      </c>
      <c r="X342" s="763">
        <f>IFERROR(__xludf.DUMMYFUNCTION("""COMPUTED_VALUE"""),0.0)</f>
        <v>0</v>
      </c>
      <c r="Y342" s="763"/>
      <c r="Z342" s="768" t="str">
        <f>IFERROR(__xludf.DUMMYFUNCTION("""COMPUTED_VALUE"""),"https://studio-gem.it/wp-admin/post.php?post=65334&amp;action=edit")</f>
        <v>https://studio-gem.it/wp-admin/post.php?post=65334&amp;action=edit</v>
      </c>
      <c r="AA342" s="763"/>
      <c r="AB342" s="763"/>
      <c r="AC342" s="763"/>
      <c r="AD342" s="763"/>
      <c r="AE342" s="763"/>
      <c r="AF342" s="763"/>
      <c r="AG342" s="763"/>
      <c r="AH342" s="763"/>
      <c r="AI342" s="763"/>
      <c r="AJ342" s="763"/>
      <c r="AK342" s="763"/>
      <c r="AL342" s="763"/>
      <c r="AM342" s="763"/>
      <c r="AN342" s="763"/>
      <c r="AO342" s="763"/>
      <c r="AP342" s="763"/>
      <c r="AQ342" s="763"/>
      <c r="AR342" s="763"/>
      <c r="AS342" s="763"/>
      <c r="AT342" s="763"/>
      <c r="AU342" s="763"/>
      <c r="AV342" s="763"/>
      <c r="AW342" s="763"/>
      <c r="AX342" s="763"/>
      <c r="AY342" s="763"/>
      <c r="AZ342" s="763"/>
      <c r="BA342" s="763"/>
      <c r="BB342" s="763"/>
      <c r="BC342" s="763"/>
      <c r="BD342" s="763"/>
      <c r="BE342" s="763"/>
      <c r="BF342" s="763"/>
      <c r="BG342" s="763" t="b">
        <f>IFERROR(__xludf.DUMMYFUNCTION("""COMPUTED_VALUE"""),FALSE)</f>
        <v>0</v>
      </c>
      <c r="BH342" s="763" t="b">
        <f>IFERROR(__xludf.DUMMYFUNCTION("""COMPUTED_VALUE"""),FALSE)</f>
        <v>0</v>
      </c>
      <c r="BI342" s="763" t="b">
        <f>IFERROR(__xludf.DUMMYFUNCTION("""COMPUTED_VALUE"""),FALSE)</f>
        <v>0</v>
      </c>
      <c r="BJ342" s="763" t="b">
        <f>IFERROR(__xludf.DUMMYFUNCTION("""COMPUTED_VALUE"""),FALSE)</f>
        <v>0</v>
      </c>
    </row>
    <row r="343">
      <c r="A343" s="763">
        <f>IFERROR(__xludf.DUMMYFUNCTION("""COMPUTED_VALUE"""),65338.0)</f>
        <v>65338</v>
      </c>
      <c r="B343" s="763">
        <f>IFERROR(__xludf.DUMMYFUNCTION("""COMPUTED_VALUE"""),65338.0)</f>
        <v>65338</v>
      </c>
      <c r="C343" s="763" t="str">
        <f>IFERROR(__xludf.DUMMYFUNCTION("""COMPUTED_VALUE"""),"2025-10-21 08:21:25")</f>
        <v>2025-10-21 08:21:25</v>
      </c>
      <c r="D343" s="763" t="str">
        <f>IFERROR(__xludf.DUMMYFUNCTION("""COMPUTED_VALUE"""),"completed")</f>
        <v>completed</v>
      </c>
      <c r="E343" s="763" t="str">
        <f>IFERROR(__xludf.DUMMYFUNCTION("""COMPUTED_VALUE"""),"Valeriia")</f>
        <v>Valeriia</v>
      </c>
      <c r="F343" s="763" t="str">
        <f>IFERROR(__xludf.DUMMYFUNCTION("""COMPUTED_VALUE"""),"Cherenkova")</f>
        <v>Cherenkova</v>
      </c>
      <c r="G343" s="763" t="str">
        <f>IFERROR(__xludf.DUMMYFUNCTION("""COMPUTED_VALUE"""),"valeriecherenkova@gmail.com")</f>
        <v>valeriecherenkova@gmail.com</v>
      </c>
      <c r="H343" s="763" t="str">
        <f>IFERROR(__xludf.DUMMYFUNCTION("""COMPUTED_VALUE"""),"+393489094928")</f>
        <v>+393489094928</v>
      </c>
      <c r="I343" s="763" t="str">
        <f>IFERROR(__xludf.DUMMYFUNCTION("""COMPUTED_VALUE"""),"Milano")</f>
        <v>Milano</v>
      </c>
      <c r="J343" s="763" t="str">
        <f>IFERROR(__xludf.DUMMYFUNCTION("""COMPUTED_VALUE"""),"Largo della Crocetta 2")</f>
        <v>Largo della Crocetta 2</v>
      </c>
      <c r="K343" s="763">
        <f>IFERROR(__xludf.DUMMYFUNCTION("""COMPUTED_VALUE"""),20122.0)</f>
        <v>20122</v>
      </c>
      <c r="L343" s="763" t="str">
        <f>IFERROR(__xludf.DUMMYFUNCTION("""COMPUTED_VALUE"""),"Apple Pay")</f>
        <v>Apple Pay</v>
      </c>
      <c r="M343" s="763"/>
      <c r="N343" s="763" t="str">
        <f>IFERROR(__xludf.DUMMYFUNCTION("""COMPUTED_VALUE"""),"65338-1761034887")</f>
        <v>65338-1761034887</v>
      </c>
      <c r="O343" s="763">
        <f>IFERROR(__xludf.DUMMYFUNCTION("""COMPUTED_VALUE"""),0.0)</f>
        <v>0</v>
      </c>
      <c r="P343" s="767">
        <f>IFERROR(__xludf.DUMMYFUNCTION("""COMPUTED_VALUE"""),1.5416666666666667)</f>
        <v>1.541666667</v>
      </c>
      <c r="Q343" s="763" t="str">
        <f>IFERROR(__xludf.DUMMYFUNCTION("""COMPUTED_VALUE"""),"EUR")</f>
        <v>EUR</v>
      </c>
      <c r="R343" s="763">
        <f>IFERROR(__xludf.DUMMYFUNCTION("""COMPUTED_VALUE"""),778.0)</f>
        <v>778</v>
      </c>
      <c r="S343" s="763" t="str">
        <f>IFERROR(__xludf.DUMMYFUNCTION("""COMPUTED_VALUE"""),"Workshop Heels con Lulu Kulova - Workshop Lulu Heels")</f>
        <v>Workshop Heels con Lulu Kulova - Workshop Lulu Heels</v>
      </c>
      <c r="T343" s="763"/>
      <c r="U343" s="763"/>
      <c r="V343" s="763">
        <f>IFERROR(__xludf.DUMMYFUNCTION("""COMPUTED_VALUE"""),1.0)</f>
        <v>1</v>
      </c>
      <c r="W343" s="763">
        <f>IFERROR(__xludf.DUMMYFUNCTION("""COMPUTED_VALUE"""),37.0)</f>
        <v>37</v>
      </c>
      <c r="X343" s="763">
        <f>IFERROR(__xludf.DUMMYFUNCTION("""COMPUTED_VALUE"""),37.0)</f>
        <v>37</v>
      </c>
      <c r="Y343" s="763"/>
      <c r="Z343" s="768" t="str">
        <f>IFERROR(__xludf.DUMMYFUNCTION("""COMPUTED_VALUE"""),"https://studio-gem.it/wp-admin/post.php?post=65338&amp;action=edit")</f>
        <v>https://studio-gem.it/wp-admin/post.php?post=65338&amp;action=edit</v>
      </c>
      <c r="AA343" s="763"/>
      <c r="AB343" s="763"/>
      <c r="AC343" s="763"/>
      <c r="AD343" s="763"/>
      <c r="AE343" s="763"/>
      <c r="AF343" s="763"/>
      <c r="AG343" s="763"/>
      <c r="AH343" s="763"/>
      <c r="AI343" s="763"/>
      <c r="AJ343" s="763"/>
      <c r="AK343" s="763"/>
      <c r="AL343" s="763"/>
      <c r="AM343" s="763"/>
      <c r="AN343" s="763"/>
      <c r="AO343" s="763"/>
      <c r="AP343" s="763"/>
      <c r="AQ343" s="763"/>
      <c r="AR343" s="763"/>
      <c r="AS343" s="763"/>
      <c r="AT343" s="763"/>
      <c r="AU343" s="763"/>
      <c r="AV343" s="763"/>
      <c r="AW343" s="763"/>
      <c r="AX343" s="763"/>
      <c r="AY343" s="763"/>
      <c r="AZ343" s="763"/>
      <c r="BA343" s="763"/>
      <c r="BB343" s="763"/>
      <c r="BC343" s="763"/>
      <c r="BD343" s="763"/>
      <c r="BE343" s="763"/>
      <c r="BF343" s="763"/>
      <c r="BG343" s="763" t="b">
        <f>IFERROR(__xludf.DUMMYFUNCTION("""COMPUTED_VALUE"""),TRUE)</f>
        <v>1</v>
      </c>
      <c r="BH343" s="763" t="b">
        <f>IFERROR(__xludf.DUMMYFUNCTION("""COMPUTED_VALUE"""),FALSE)</f>
        <v>0</v>
      </c>
      <c r="BI343" s="763" t="b">
        <f>IFERROR(__xludf.DUMMYFUNCTION("""COMPUTED_VALUE"""),TRUE)</f>
        <v>1</v>
      </c>
      <c r="BJ343" s="763" t="b">
        <f>IFERROR(__xludf.DUMMYFUNCTION("""COMPUTED_VALUE"""),TRUE)</f>
        <v>1</v>
      </c>
    </row>
    <row r="344">
      <c r="A344" s="763">
        <f>IFERROR(__xludf.DUMMYFUNCTION("""COMPUTED_VALUE"""),65340.0)</f>
        <v>65340</v>
      </c>
      <c r="B344" s="763">
        <f>IFERROR(__xludf.DUMMYFUNCTION("""COMPUTED_VALUE"""),65340.0)</f>
        <v>65340</v>
      </c>
      <c r="C344" s="763" t="str">
        <f>IFERROR(__xludf.DUMMYFUNCTION("""COMPUTED_VALUE"""),"2025-10-21 09:26:47")</f>
        <v>2025-10-21 09:26:47</v>
      </c>
      <c r="D344" s="763" t="str">
        <f>IFERROR(__xludf.DUMMYFUNCTION("""COMPUTED_VALUE"""),"completed")</f>
        <v>completed</v>
      </c>
      <c r="E344" s="763" t="str">
        <f>IFERROR(__xludf.DUMMYFUNCTION("""COMPUTED_VALUE"""),"Eleonora")</f>
        <v>Eleonora</v>
      </c>
      <c r="F344" s="763" t="str">
        <f>IFERROR(__xludf.DUMMYFUNCTION("""COMPUTED_VALUE"""),"Stefani")</f>
        <v>Stefani</v>
      </c>
      <c r="G344" s="763" t="str">
        <f>IFERROR(__xludf.DUMMYFUNCTION("""COMPUTED_VALUE"""),"elli.stefani3@gmail.com")</f>
        <v>elli.stefani3@gmail.com</v>
      </c>
      <c r="H344" s="763">
        <f>IFERROR(__xludf.DUMMYFUNCTION("""COMPUTED_VALUE"""),3.473777133E9)</f>
        <v>3473777133</v>
      </c>
      <c r="I344" s="763" t="str">
        <f>IFERROR(__xludf.DUMMYFUNCTION("""COMPUTED_VALUE"""),"Roteglia")</f>
        <v>Roteglia</v>
      </c>
      <c r="J344" s="763" t="str">
        <f>IFERROR(__xludf.DUMMYFUNCTION("""COMPUTED_VALUE"""),"Via Radici in Monte 178")</f>
        <v>Via Radici in Monte 178</v>
      </c>
      <c r="K344" s="763">
        <f>IFERROR(__xludf.DUMMYFUNCTION("""COMPUTED_VALUE"""),42014.0)</f>
        <v>42014</v>
      </c>
      <c r="L344" s="763" t="str">
        <f>IFERROR(__xludf.DUMMYFUNCTION("""COMPUTED_VALUE"""),"Google Pay")</f>
        <v>Google Pay</v>
      </c>
      <c r="M344" s="763"/>
      <c r="N344" s="763" t="str">
        <f>IFERROR(__xludf.DUMMYFUNCTION("""COMPUTED_VALUE"""),"65340-1761038874")</f>
        <v>65340-1761038874</v>
      </c>
      <c r="O344" s="763">
        <f>IFERROR(__xludf.DUMMYFUNCTION("""COMPUTED_VALUE"""),0.0)</f>
        <v>0</v>
      </c>
      <c r="P344" s="767">
        <f>IFERROR(__xludf.DUMMYFUNCTION("""COMPUTED_VALUE"""),1.5416666666666667)</f>
        <v>1.541666667</v>
      </c>
      <c r="Q344" s="763" t="str">
        <f>IFERROR(__xludf.DUMMYFUNCTION("""COMPUTED_VALUE"""),"EUR")</f>
        <v>EUR</v>
      </c>
      <c r="R344" s="763">
        <f>IFERROR(__xludf.DUMMYFUNCTION("""COMPUTED_VALUE"""),781.0)</f>
        <v>781</v>
      </c>
      <c r="S344" s="763" t="str">
        <f>IFERROR(__xludf.DUMMYFUNCTION("""COMPUTED_VALUE"""),"Workshop Urban con Kumo - Workshop Kumo Urban")</f>
        <v>Workshop Urban con Kumo - Workshop Kumo Urban</v>
      </c>
      <c r="T344" s="763"/>
      <c r="U344" s="763"/>
      <c r="V344" s="763">
        <f>IFERROR(__xludf.DUMMYFUNCTION("""COMPUTED_VALUE"""),1.0)</f>
        <v>1</v>
      </c>
      <c r="W344" s="763">
        <f>IFERROR(__xludf.DUMMYFUNCTION("""COMPUTED_VALUE"""),37.0)</f>
        <v>37</v>
      </c>
      <c r="X344" s="763">
        <f>IFERROR(__xludf.DUMMYFUNCTION("""COMPUTED_VALUE"""),37.0)</f>
        <v>37</v>
      </c>
      <c r="Y344" s="763"/>
      <c r="Z344" s="768" t="str">
        <f>IFERROR(__xludf.DUMMYFUNCTION("""COMPUTED_VALUE"""),"https://studio-gem.it/wp-admin/post.php?post=65340&amp;action=edit")</f>
        <v>https://studio-gem.it/wp-admin/post.php?post=65340&amp;action=edit</v>
      </c>
      <c r="AA344" s="763"/>
      <c r="AB344" s="763"/>
      <c r="AC344" s="763"/>
      <c r="AD344" s="763"/>
      <c r="AE344" s="763"/>
      <c r="AF344" s="763"/>
      <c r="AG344" s="763"/>
      <c r="AH344" s="763"/>
      <c r="AI344" s="763"/>
      <c r="AJ344" s="763"/>
      <c r="AK344" s="763"/>
      <c r="AL344" s="763"/>
      <c r="AM344" s="763"/>
      <c r="AN344" s="763"/>
      <c r="AO344" s="763"/>
      <c r="AP344" s="763"/>
      <c r="AQ344" s="763"/>
      <c r="AR344" s="763"/>
      <c r="AS344" s="763"/>
      <c r="AT344" s="763"/>
      <c r="AU344" s="763"/>
      <c r="AV344" s="763"/>
      <c r="AW344" s="763"/>
      <c r="AX344" s="763"/>
      <c r="AY344" s="763"/>
      <c r="AZ344" s="763"/>
      <c r="BA344" s="763"/>
      <c r="BB344" s="763"/>
      <c r="BC344" s="763"/>
      <c r="BD344" s="763"/>
      <c r="BE344" s="763"/>
      <c r="BF344" s="763"/>
      <c r="BG344" s="763" t="b">
        <f>IFERROR(__xludf.DUMMYFUNCTION("""COMPUTED_VALUE"""),TRUE)</f>
        <v>1</v>
      </c>
      <c r="BH344" s="763" t="b">
        <f>IFERROR(__xludf.DUMMYFUNCTION("""COMPUTED_VALUE"""),FALSE)</f>
        <v>0</v>
      </c>
      <c r="BI344" s="763" t="b">
        <f>IFERROR(__xludf.DUMMYFUNCTION("""COMPUTED_VALUE"""),TRUE)</f>
        <v>1</v>
      </c>
      <c r="BJ344" s="763" t="b">
        <f>IFERROR(__xludf.DUMMYFUNCTION("""COMPUTED_VALUE"""),TRUE)</f>
        <v>1</v>
      </c>
    </row>
    <row r="345">
      <c r="A345" s="763">
        <f>IFERROR(__xludf.DUMMYFUNCTION("""COMPUTED_VALUE"""),65341.0)</f>
        <v>65341</v>
      </c>
      <c r="B345" s="763">
        <f>IFERROR(__xludf.DUMMYFUNCTION("""COMPUTED_VALUE"""),65341.0)</f>
        <v>65341</v>
      </c>
      <c r="C345" s="763" t="str">
        <f>IFERROR(__xludf.DUMMYFUNCTION("""COMPUTED_VALUE"""),"2025-10-21 09:26:51")</f>
        <v>2025-10-21 09:26:51</v>
      </c>
      <c r="D345" s="763" t="str">
        <f>IFERROR(__xludf.DUMMYFUNCTION("""COMPUTED_VALUE"""),"completed")</f>
        <v>completed</v>
      </c>
      <c r="E345" s="763" t="str">
        <f>IFERROR(__xludf.DUMMYFUNCTION("""COMPUTED_VALUE"""),"Martina")</f>
        <v>Martina</v>
      </c>
      <c r="F345" s="763" t="str">
        <f>IFERROR(__xludf.DUMMYFUNCTION("""COMPUTED_VALUE"""),"Morandi")</f>
        <v>Morandi</v>
      </c>
      <c r="G345" s="763" t="str">
        <f>IFERROR(__xludf.DUMMYFUNCTION("""COMPUTED_VALUE"""),"martymorandi@gmail.com")</f>
        <v>martymorandi@gmail.com</v>
      </c>
      <c r="H345" s="763">
        <f>IFERROR(__xludf.DUMMYFUNCTION("""COMPUTED_VALUE"""),3.483483587E9)</f>
        <v>3483483587</v>
      </c>
      <c r="I345" s="763" t="str">
        <f>IFERROR(__xludf.DUMMYFUNCTION("""COMPUTED_VALUE"""),"Sassuolo (MO)")</f>
        <v>Sassuolo (MO)</v>
      </c>
      <c r="J345" s="763" t="str">
        <f>IFERROR(__xludf.DUMMYFUNCTION("""COMPUTED_VALUE"""),"Viale Caduti 10")</f>
        <v>Viale Caduti 10</v>
      </c>
      <c r="K345" s="763">
        <f>IFERROR(__xludf.DUMMYFUNCTION("""COMPUTED_VALUE"""),41049.0)</f>
        <v>41049</v>
      </c>
      <c r="L345" s="763" t="str">
        <f>IFERROR(__xludf.DUMMYFUNCTION("""COMPUTED_VALUE"""),"Google Pay")</f>
        <v>Google Pay</v>
      </c>
      <c r="M345" s="763"/>
      <c r="N345" s="763" t="str">
        <f>IFERROR(__xludf.DUMMYFUNCTION("""COMPUTED_VALUE"""),"65341-1761038812")</f>
        <v>65341-1761038812</v>
      </c>
      <c r="O345" s="763">
        <f>IFERROR(__xludf.DUMMYFUNCTION("""COMPUTED_VALUE"""),0.0)</f>
        <v>0</v>
      </c>
      <c r="P345" s="767">
        <f>IFERROR(__xludf.DUMMYFUNCTION("""COMPUTED_VALUE"""),1.5416666666666667)</f>
        <v>1.541666667</v>
      </c>
      <c r="Q345" s="763" t="str">
        <f>IFERROR(__xludf.DUMMYFUNCTION("""COMPUTED_VALUE"""),"EUR")</f>
        <v>EUR</v>
      </c>
      <c r="R345" s="763">
        <f>IFERROR(__xludf.DUMMYFUNCTION("""COMPUTED_VALUE"""),780.0)</f>
        <v>780</v>
      </c>
      <c r="S345" s="763" t="str">
        <f>IFERROR(__xludf.DUMMYFUNCTION("""COMPUTED_VALUE"""),"Workshop Urban con Kumo - Workshop Kumo Urban")</f>
        <v>Workshop Urban con Kumo - Workshop Kumo Urban</v>
      </c>
      <c r="T345" s="763"/>
      <c r="U345" s="763"/>
      <c r="V345" s="763">
        <f>IFERROR(__xludf.DUMMYFUNCTION("""COMPUTED_VALUE"""),1.0)</f>
        <v>1</v>
      </c>
      <c r="W345" s="763">
        <f>IFERROR(__xludf.DUMMYFUNCTION("""COMPUTED_VALUE"""),37.0)</f>
        <v>37</v>
      </c>
      <c r="X345" s="763">
        <f>IFERROR(__xludf.DUMMYFUNCTION("""COMPUTED_VALUE"""),37.0)</f>
        <v>37</v>
      </c>
      <c r="Y345" s="763"/>
      <c r="Z345" s="768" t="str">
        <f>IFERROR(__xludf.DUMMYFUNCTION("""COMPUTED_VALUE"""),"https://studio-gem.it/wp-admin/post.php?post=65341&amp;action=edit")</f>
        <v>https://studio-gem.it/wp-admin/post.php?post=65341&amp;action=edit</v>
      </c>
      <c r="AA345" s="763"/>
      <c r="AB345" s="763"/>
      <c r="AC345" s="763"/>
      <c r="AD345" s="763"/>
      <c r="AE345" s="763"/>
      <c r="AF345" s="763"/>
      <c r="AG345" s="763"/>
      <c r="AH345" s="763"/>
      <c r="AI345" s="763"/>
      <c r="AJ345" s="763"/>
      <c r="AK345" s="763"/>
      <c r="AL345" s="763"/>
      <c r="AM345" s="763"/>
      <c r="AN345" s="763"/>
      <c r="AO345" s="763"/>
      <c r="AP345" s="763"/>
      <c r="AQ345" s="763"/>
      <c r="AR345" s="763"/>
      <c r="AS345" s="763"/>
      <c r="AT345" s="763"/>
      <c r="AU345" s="763"/>
      <c r="AV345" s="763"/>
      <c r="AW345" s="763"/>
      <c r="AX345" s="763"/>
      <c r="AY345" s="763"/>
      <c r="AZ345" s="763"/>
      <c r="BA345" s="763"/>
      <c r="BB345" s="763"/>
      <c r="BC345" s="763"/>
      <c r="BD345" s="763"/>
      <c r="BE345" s="763"/>
      <c r="BF345" s="763"/>
      <c r="BG345" s="763" t="b">
        <f>IFERROR(__xludf.DUMMYFUNCTION("""COMPUTED_VALUE"""),TRUE)</f>
        <v>1</v>
      </c>
      <c r="BH345" s="763" t="b">
        <f>IFERROR(__xludf.DUMMYFUNCTION("""COMPUTED_VALUE"""),FALSE)</f>
        <v>0</v>
      </c>
      <c r="BI345" s="763" t="b">
        <f>IFERROR(__xludf.DUMMYFUNCTION("""COMPUTED_VALUE"""),TRUE)</f>
        <v>1</v>
      </c>
      <c r="BJ345" s="763" t="b">
        <f>IFERROR(__xludf.DUMMYFUNCTION("""COMPUTED_VALUE"""),TRUE)</f>
        <v>1</v>
      </c>
    </row>
    <row r="346">
      <c r="A346" s="763">
        <f>IFERROR(__xludf.DUMMYFUNCTION("""COMPUTED_VALUE"""),65342.0)</f>
        <v>65342</v>
      </c>
      <c r="B346" s="763">
        <f>IFERROR(__xludf.DUMMYFUNCTION("""COMPUTED_VALUE"""),65342.0)</f>
        <v>65342</v>
      </c>
      <c r="C346" s="763" t="str">
        <f>IFERROR(__xludf.DUMMYFUNCTION("""COMPUTED_VALUE"""),"2025-10-21 09:29:54")</f>
        <v>2025-10-21 09:29:54</v>
      </c>
      <c r="D346" s="763" t="str">
        <f>IFERROR(__xludf.DUMMYFUNCTION("""COMPUTED_VALUE"""),"cancelled")</f>
        <v>cancelled</v>
      </c>
      <c r="E346" s="763" t="str">
        <f>IFERROR(__xludf.DUMMYFUNCTION("""COMPUTED_VALUE"""),"Geronimo")</f>
        <v>Geronimo</v>
      </c>
      <c r="F346" s="763" t="str">
        <f>IFERROR(__xludf.DUMMYFUNCTION("""COMPUTED_VALUE"""),"Stilton")</f>
        <v>Stilton</v>
      </c>
      <c r="G346" s="763" t="str">
        <f>IFERROR(__xludf.DUMMYFUNCTION("""COMPUTED_VALUE"""),"ino@agogo.it")</f>
        <v>ino@agogo.it</v>
      </c>
      <c r="H346" s="763">
        <f>IFERROR(__xludf.DUMMYFUNCTION("""COMPUTED_VALUE"""),77777.0)</f>
        <v>77777</v>
      </c>
      <c r="I346" s="763" t="str">
        <f>IFERROR(__xludf.DUMMYFUNCTION("""COMPUTED_VALUE"""),"Milano")</f>
        <v>Milano</v>
      </c>
      <c r="J346" s="763" t="str">
        <f>IFERROR(__xludf.DUMMYFUNCTION("""COMPUTED_VALUE"""),"Via della mia 12")</f>
        <v>Via della mia 12</v>
      </c>
      <c r="K346" s="763">
        <f>IFERROR(__xludf.DUMMYFUNCTION("""COMPUTED_VALUE"""),20100.0)</f>
        <v>20100</v>
      </c>
      <c r="L346" s="763" t="str">
        <f>IFERROR(__xludf.DUMMYFUNCTION("""COMPUTED_VALUE"""),"Satispay")</f>
        <v>Satispay</v>
      </c>
      <c r="M346" s="763"/>
      <c r="N346" s="763" t="str">
        <f>IFERROR(__xludf.DUMMYFUNCTION("""COMPUTED_VALUE"""),"019a061a-8bcf-7c9d-bd05-b66507a268d1")</f>
        <v>019a061a-8bcf-7c9d-bd05-b66507a268d1</v>
      </c>
      <c r="O346" s="763">
        <f>IFERROR(__xludf.DUMMYFUNCTION("""COMPUTED_VALUE"""),0.0)</f>
        <v>0</v>
      </c>
      <c r="P346" s="767">
        <f>IFERROR(__xludf.DUMMYFUNCTION("""COMPUTED_VALUE"""),1.5416666666666667)</f>
        <v>1.541666667</v>
      </c>
      <c r="Q346" s="763" t="str">
        <f>IFERROR(__xludf.DUMMYFUNCTION("""COMPUTED_VALUE"""),"EUR")</f>
        <v>EUR</v>
      </c>
      <c r="R346" s="763">
        <f>IFERROR(__xludf.DUMMYFUNCTION("""COMPUTED_VALUE"""),782.0)</f>
        <v>782</v>
      </c>
      <c r="S346" s="763" t="str">
        <f>IFERROR(__xludf.DUMMYFUNCTION("""COMPUTED_VALUE"""),"Workshop Heels con Lulu Kulova - Workshop Lulu Heels")</f>
        <v>Workshop Heels con Lulu Kulova - Workshop Lulu Heels</v>
      </c>
      <c r="T346" s="763"/>
      <c r="U346" s="763"/>
      <c r="V346" s="763">
        <f>IFERROR(__xludf.DUMMYFUNCTION("""COMPUTED_VALUE"""),1.0)</f>
        <v>1</v>
      </c>
      <c r="W346" s="763">
        <f>IFERROR(__xludf.DUMMYFUNCTION("""COMPUTED_VALUE"""),37.0)</f>
        <v>37</v>
      </c>
      <c r="X346" s="763">
        <f>IFERROR(__xludf.DUMMYFUNCTION("""COMPUTED_VALUE"""),37.0)</f>
        <v>37</v>
      </c>
      <c r="Y346" s="763"/>
      <c r="Z346" s="768" t="str">
        <f>IFERROR(__xludf.DUMMYFUNCTION("""COMPUTED_VALUE"""),"https://studio-gem.it/wp-admin/post.php?post=65342&amp;action=edit")</f>
        <v>https://studio-gem.it/wp-admin/post.php?post=65342&amp;action=edit</v>
      </c>
      <c r="AA346" s="763"/>
      <c r="AB346" s="763"/>
      <c r="AC346" s="763"/>
      <c r="AD346" s="763"/>
      <c r="AE346" s="763"/>
      <c r="AF346" s="763"/>
      <c r="AG346" s="763"/>
      <c r="AH346" s="763"/>
      <c r="AI346" s="763"/>
      <c r="AJ346" s="763"/>
      <c r="AK346" s="763"/>
      <c r="AL346" s="763"/>
      <c r="AM346" s="763"/>
      <c r="AN346" s="763"/>
      <c r="AO346" s="763"/>
      <c r="AP346" s="763"/>
      <c r="AQ346" s="763"/>
      <c r="AR346" s="763"/>
      <c r="AS346" s="763"/>
      <c r="AT346" s="763"/>
      <c r="AU346" s="763"/>
      <c r="AV346" s="763"/>
      <c r="AW346" s="763"/>
      <c r="AX346" s="763"/>
      <c r="AY346" s="763"/>
      <c r="AZ346" s="763"/>
      <c r="BA346" s="763"/>
      <c r="BB346" s="763"/>
      <c r="BC346" s="763"/>
      <c r="BD346" s="763"/>
      <c r="BE346" s="763"/>
      <c r="BF346" s="763"/>
      <c r="BG346" s="763" t="b">
        <f>IFERROR(__xludf.DUMMYFUNCTION("""COMPUTED_VALUE"""),FALSE)</f>
        <v>0</v>
      </c>
      <c r="BH346" s="763" t="b">
        <f>IFERROR(__xludf.DUMMYFUNCTION("""COMPUTED_VALUE"""),FALSE)</f>
        <v>0</v>
      </c>
      <c r="BI346" s="763" t="b">
        <f>IFERROR(__xludf.DUMMYFUNCTION("""COMPUTED_VALUE"""),FALSE)</f>
        <v>0</v>
      </c>
      <c r="BJ346" s="763" t="b">
        <f>IFERROR(__xludf.DUMMYFUNCTION("""COMPUTED_VALUE"""),FALSE)</f>
        <v>0</v>
      </c>
    </row>
    <row r="347">
      <c r="A347" s="763">
        <f>IFERROR(__xludf.DUMMYFUNCTION("""COMPUTED_VALUE"""),65346.0)</f>
        <v>65346</v>
      </c>
      <c r="B347" s="763">
        <f>IFERROR(__xludf.DUMMYFUNCTION("""COMPUTED_VALUE"""),65346.0)</f>
        <v>65346</v>
      </c>
      <c r="C347" s="763" t="str">
        <f>IFERROR(__xludf.DUMMYFUNCTION("""COMPUTED_VALUE"""),"2025-10-21 11:49:35")</f>
        <v>2025-10-21 11:49:35</v>
      </c>
      <c r="D347" s="763" t="str">
        <f>IFERROR(__xludf.DUMMYFUNCTION("""COMPUTED_VALUE"""),"failed")</f>
        <v>failed</v>
      </c>
      <c r="E347" s="763" t="str">
        <f>IFERROR(__xludf.DUMMYFUNCTION("""COMPUTED_VALUE"""),"Mattia")</f>
        <v>Mattia</v>
      </c>
      <c r="F347" s="763" t="str">
        <f>IFERROR(__xludf.DUMMYFUNCTION("""COMPUTED_VALUE"""),"Romano")</f>
        <v>Romano</v>
      </c>
      <c r="G347" s="763" t="str">
        <f>IFERROR(__xludf.DUMMYFUNCTION("""COMPUTED_VALUE"""),"matty.romano2008@gmail.com")</f>
        <v>matty.romano2008@gmail.com</v>
      </c>
      <c r="H347" s="763">
        <f>IFERROR(__xludf.DUMMYFUNCTION("""COMPUTED_VALUE"""),3.703712938E9)</f>
        <v>3703712938</v>
      </c>
      <c r="I347" s="763" t="str">
        <f>IFERROR(__xludf.DUMMYFUNCTION("""COMPUTED_VALUE"""),"Osasco")</f>
        <v>Osasco</v>
      </c>
      <c r="J347" s="763" t="str">
        <f>IFERROR(__xludf.DUMMYFUNCTION("""COMPUTED_VALUE"""),"Via Simondetti 20")</f>
        <v>Via Simondetti 20</v>
      </c>
      <c r="K347" s="763">
        <f>IFERROR(__xludf.DUMMYFUNCTION("""COMPUTED_VALUE"""),10060.0)</f>
        <v>10060</v>
      </c>
      <c r="L347" s="763" t="str">
        <f>IFERROR(__xludf.DUMMYFUNCTION("""COMPUTED_VALUE"""),"Apple Pay")</f>
        <v>Apple Pay</v>
      </c>
      <c r="M347" s="763"/>
      <c r="N347" s="763"/>
      <c r="O347" s="763">
        <f>IFERROR(__xludf.DUMMYFUNCTION("""COMPUTED_VALUE"""),0.0)</f>
        <v>0</v>
      </c>
      <c r="P347" s="767">
        <f>IFERROR(__xludf.DUMMYFUNCTION("""COMPUTED_VALUE"""),3.75)</f>
        <v>3.75</v>
      </c>
      <c r="Q347" s="763" t="str">
        <f>IFERROR(__xludf.DUMMYFUNCTION("""COMPUTED_VALUE"""),"EUR")</f>
        <v>EUR</v>
      </c>
      <c r="R347" s="763">
        <f>IFERROR(__xludf.DUMMYFUNCTION("""COMPUTED_VALUE"""),784.0)</f>
        <v>784</v>
      </c>
      <c r="S347" s="763" t="str">
        <f>IFERROR(__xludf.DUMMYFUNCTION("""COMPUTED_VALUE"""),"Workshop Commercial con Timor Steffens - Workshop Commercial con Timor Steffens")</f>
        <v>Workshop Commercial con Timor Steffens - Workshop Commercial con Timor Steffens</v>
      </c>
      <c r="T347" s="763"/>
      <c r="U347" s="763"/>
      <c r="V347" s="763">
        <f>IFERROR(__xludf.DUMMYFUNCTION("""COMPUTED_VALUE"""),2.0)</f>
        <v>2</v>
      </c>
      <c r="W347" s="763">
        <f>IFERROR(__xludf.DUMMYFUNCTION("""COMPUTED_VALUE"""),45.0)</f>
        <v>45</v>
      </c>
      <c r="X347" s="763">
        <f>IFERROR(__xludf.DUMMYFUNCTION("""COMPUTED_VALUE"""),90.0)</f>
        <v>90</v>
      </c>
      <c r="Y347" s="763"/>
      <c r="Z347" s="768" t="str">
        <f>IFERROR(__xludf.DUMMYFUNCTION("""COMPUTED_VALUE"""),"https://studio-gem.it/wp-admin/post.php?post=65346&amp;action=edit")</f>
        <v>https://studio-gem.it/wp-admin/post.php?post=65346&amp;action=edit</v>
      </c>
      <c r="AA347" s="763"/>
      <c r="AB347" s="763"/>
      <c r="AC347" s="763"/>
      <c r="AD347" s="763"/>
      <c r="AE347" s="763"/>
      <c r="AF347" s="763"/>
      <c r="AG347" s="763"/>
      <c r="AH347" s="763"/>
      <c r="AI347" s="763"/>
      <c r="AJ347" s="763"/>
      <c r="AK347" s="763"/>
      <c r="AL347" s="763"/>
      <c r="AM347" s="763"/>
      <c r="AN347" s="763"/>
      <c r="AO347" s="763"/>
      <c r="AP347" s="763"/>
      <c r="AQ347" s="763"/>
      <c r="AR347" s="763"/>
      <c r="AS347" s="763"/>
      <c r="AT347" s="763"/>
      <c r="AU347" s="763"/>
      <c r="AV347" s="763"/>
      <c r="AW347" s="763"/>
      <c r="AX347" s="763"/>
      <c r="AY347" s="763"/>
      <c r="AZ347" s="763"/>
      <c r="BA347" s="763"/>
      <c r="BB347" s="763"/>
      <c r="BC347" s="763"/>
      <c r="BD347" s="763"/>
      <c r="BE347" s="763"/>
      <c r="BF347" s="763"/>
      <c r="BG347" s="763" t="b">
        <f>IFERROR(__xludf.DUMMYFUNCTION("""COMPUTED_VALUE"""),FALSE)</f>
        <v>0</v>
      </c>
      <c r="BH347" s="763" t="b">
        <f>IFERROR(__xludf.DUMMYFUNCTION("""COMPUTED_VALUE"""),FALSE)</f>
        <v>0</v>
      </c>
      <c r="BI347" s="763" t="b">
        <f>IFERROR(__xludf.DUMMYFUNCTION("""COMPUTED_VALUE"""),FALSE)</f>
        <v>0</v>
      </c>
      <c r="BJ347" s="763" t="b">
        <f>IFERROR(__xludf.DUMMYFUNCTION("""COMPUTED_VALUE"""),FALSE)</f>
        <v>0</v>
      </c>
    </row>
    <row r="348">
      <c r="A348" s="763">
        <f>IFERROR(__xludf.DUMMYFUNCTION("""COMPUTED_VALUE"""),65371.0)</f>
        <v>65371</v>
      </c>
      <c r="B348" s="763">
        <f>IFERROR(__xludf.DUMMYFUNCTION("""COMPUTED_VALUE"""),65371.0)</f>
        <v>65371</v>
      </c>
      <c r="C348" s="763" t="str">
        <f>IFERROR(__xludf.DUMMYFUNCTION("""COMPUTED_VALUE"""),"2025-10-21 16:48:38")</f>
        <v>2025-10-21 16:48:38</v>
      </c>
      <c r="D348" s="763" t="str">
        <f>IFERROR(__xludf.DUMMYFUNCTION("""COMPUTED_VALUE"""),"completed")</f>
        <v>completed</v>
      </c>
      <c r="E348" s="763" t="str">
        <f>IFERROR(__xludf.DUMMYFUNCTION("""COMPUTED_VALUE"""),"Alinura")</f>
        <v>Alinura</v>
      </c>
      <c r="F348" s="763" t="str">
        <f>IFERROR(__xludf.DUMMYFUNCTION("""COMPUTED_VALUE"""),"Temirbayeva")</f>
        <v>Temirbayeva</v>
      </c>
      <c r="G348" s="763" t="str">
        <f>IFERROR(__xludf.DUMMYFUNCTION("""COMPUTED_VALUE"""),"atemirbayeva77@gmail.com")</f>
        <v>atemirbayeva77@gmail.com</v>
      </c>
      <c r="H348" s="763">
        <f>IFERROR(__xludf.DUMMYFUNCTION("""COMPUTED_VALUE"""),3.332963894E9)</f>
        <v>3332963894</v>
      </c>
      <c r="I348" s="763" t="str">
        <f>IFERROR(__xludf.DUMMYFUNCTION("""COMPUTED_VALUE"""),"Milano")</f>
        <v>Milano</v>
      </c>
      <c r="J348" s="763" t="str">
        <f>IFERROR(__xludf.DUMMYFUNCTION("""COMPUTED_VALUE"""),"Cito")</f>
        <v>Cito</v>
      </c>
      <c r="K348" s="763">
        <f>IFERROR(__xludf.DUMMYFUNCTION("""COMPUTED_VALUE"""),20127.0)</f>
        <v>20127</v>
      </c>
      <c r="L348" s="763" t="str">
        <f>IFERROR(__xludf.DUMMYFUNCTION("""COMPUTED_VALUE"""),"Apple Pay")</f>
        <v>Apple Pay</v>
      </c>
      <c r="M348" s="763"/>
      <c r="N348" s="763" t="str">
        <f>IFERROR(__xludf.DUMMYFUNCTION("""COMPUTED_VALUE"""),"65371-1761065319")</f>
        <v>65371-1761065319</v>
      </c>
      <c r="O348" s="763">
        <f>IFERROR(__xludf.DUMMYFUNCTION("""COMPUTED_VALUE"""),0.0)</f>
        <v>0</v>
      </c>
      <c r="P348" s="767">
        <f>IFERROR(__xludf.DUMMYFUNCTION("""COMPUTED_VALUE"""),1.5416666666666667)</f>
        <v>1.541666667</v>
      </c>
      <c r="Q348" s="763" t="str">
        <f>IFERROR(__xludf.DUMMYFUNCTION("""COMPUTED_VALUE"""),"EUR")</f>
        <v>EUR</v>
      </c>
      <c r="R348" s="763">
        <f>IFERROR(__xludf.DUMMYFUNCTION("""COMPUTED_VALUE"""),785.0)</f>
        <v>785</v>
      </c>
      <c r="S348" s="763" t="str">
        <f>IFERROR(__xludf.DUMMYFUNCTION("""COMPUTED_VALUE"""),"Workshop Heels con Lulu Kulova - Workshop Lulu Heels")</f>
        <v>Workshop Heels con Lulu Kulova - Workshop Lulu Heels</v>
      </c>
      <c r="T348" s="763"/>
      <c r="U348" s="763"/>
      <c r="V348" s="763">
        <f>IFERROR(__xludf.DUMMYFUNCTION("""COMPUTED_VALUE"""),1.0)</f>
        <v>1</v>
      </c>
      <c r="W348" s="763">
        <f>IFERROR(__xludf.DUMMYFUNCTION("""COMPUTED_VALUE"""),37.0)</f>
        <v>37</v>
      </c>
      <c r="X348" s="763">
        <f>IFERROR(__xludf.DUMMYFUNCTION("""COMPUTED_VALUE"""),37.0)</f>
        <v>37</v>
      </c>
      <c r="Y348" s="763"/>
      <c r="Z348" s="768" t="str">
        <f>IFERROR(__xludf.DUMMYFUNCTION("""COMPUTED_VALUE"""),"https://studio-gem.it/wp-admin/post.php?post=65371&amp;action=edit")</f>
        <v>https://studio-gem.it/wp-admin/post.php?post=65371&amp;action=edit</v>
      </c>
      <c r="AA348" s="763"/>
      <c r="AB348" s="763"/>
      <c r="AC348" s="763"/>
      <c r="AD348" s="763"/>
      <c r="AE348" s="763"/>
      <c r="AF348" s="763"/>
      <c r="AG348" s="763"/>
      <c r="AH348" s="763"/>
      <c r="AI348" s="763"/>
      <c r="AJ348" s="763"/>
      <c r="AK348" s="763"/>
      <c r="AL348" s="763"/>
      <c r="AM348" s="763"/>
      <c r="AN348" s="763"/>
      <c r="AO348" s="763"/>
      <c r="AP348" s="763"/>
      <c r="AQ348" s="763"/>
      <c r="AR348" s="763"/>
      <c r="AS348" s="763"/>
      <c r="AT348" s="763"/>
      <c r="AU348" s="763"/>
      <c r="AV348" s="763"/>
      <c r="AW348" s="763"/>
      <c r="AX348" s="763"/>
      <c r="AY348" s="763"/>
      <c r="AZ348" s="763"/>
      <c r="BA348" s="763"/>
      <c r="BB348" s="763"/>
      <c r="BC348" s="763"/>
      <c r="BD348" s="763"/>
      <c r="BE348" s="763"/>
      <c r="BF348" s="763"/>
      <c r="BG348" s="763" t="b">
        <f>IFERROR(__xludf.DUMMYFUNCTION("""COMPUTED_VALUE"""),TRUE)</f>
        <v>1</v>
      </c>
      <c r="BH348" s="763" t="b">
        <f>IFERROR(__xludf.DUMMYFUNCTION("""COMPUTED_VALUE"""),FALSE)</f>
        <v>0</v>
      </c>
      <c r="BI348" s="763" t="b">
        <f>IFERROR(__xludf.DUMMYFUNCTION("""COMPUTED_VALUE"""),TRUE)</f>
        <v>1</v>
      </c>
      <c r="BJ348" s="763" t="b">
        <f>IFERROR(__xludf.DUMMYFUNCTION("""COMPUTED_VALUE"""),TRUE)</f>
        <v>1</v>
      </c>
    </row>
    <row r="349">
      <c r="A349" s="763">
        <f>IFERROR(__xludf.DUMMYFUNCTION("""COMPUTED_VALUE"""),65374.0)</f>
        <v>65374</v>
      </c>
      <c r="B349" s="763">
        <f>IFERROR(__xludf.DUMMYFUNCTION("""COMPUTED_VALUE"""),65374.0)</f>
        <v>65374</v>
      </c>
      <c r="C349" s="763" t="str">
        <f>IFERROR(__xludf.DUMMYFUNCTION("""COMPUTED_VALUE"""),"2025-10-21 20:01:56")</f>
        <v>2025-10-21 20:01:56</v>
      </c>
      <c r="D349" s="763" t="str">
        <f>IFERROR(__xludf.DUMMYFUNCTION("""COMPUTED_VALUE"""),"completed")</f>
        <v>completed</v>
      </c>
      <c r="E349" s="763" t="str">
        <f>IFERROR(__xludf.DUMMYFUNCTION("""COMPUTED_VALUE"""),"Akemy Valeria")</f>
        <v>Akemy Valeria</v>
      </c>
      <c r="F349" s="763" t="str">
        <f>IFERROR(__xludf.DUMMYFUNCTION("""COMPUTED_VALUE"""),"Alvarez Pujada")</f>
        <v>Alvarez Pujada</v>
      </c>
      <c r="G349" s="763" t="str">
        <f>IFERROR(__xludf.DUMMYFUNCTION("""COMPUTED_VALUE"""),"ake.ap0923@gmail.com")</f>
        <v>ake.ap0923@gmail.com</v>
      </c>
      <c r="H349" s="763">
        <f>IFERROR(__xludf.DUMMYFUNCTION("""COMPUTED_VALUE"""),3.803408368E9)</f>
        <v>3803408368</v>
      </c>
      <c r="I349" s="763" t="str">
        <f>IFERROR(__xludf.DUMMYFUNCTION("""COMPUTED_VALUE"""),"Milano")</f>
        <v>Milano</v>
      </c>
      <c r="J349" s="763" t="str">
        <f>IFERROR(__xludf.DUMMYFUNCTION("""COMPUTED_VALUE"""),"Via Neera 16")</f>
        <v>Via Neera 16</v>
      </c>
      <c r="K349" s="763">
        <f>IFERROR(__xludf.DUMMYFUNCTION("""COMPUTED_VALUE"""),20141.0)</f>
        <v>20141</v>
      </c>
      <c r="L349" s="763" t="str">
        <f>IFERROR(__xludf.DUMMYFUNCTION("""COMPUTED_VALUE"""),"Google Pay")</f>
        <v>Google Pay</v>
      </c>
      <c r="M349" s="763"/>
      <c r="N349" s="763" t="str">
        <f>IFERROR(__xludf.DUMMYFUNCTION("""COMPUTED_VALUE"""),"65374-1761077077")</f>
        <v>65374-1761077077</v>
      </c>
      <c r="O349" s="763">
        <f>IFERROR(__xludf.DUMMYFUNCTION("""COMPUTED_VALUE"""),0.0)</f>
        <v>0</v>
      </c>
      <c r="P349" s="767">
        <f>IFERROR(__xludf.DUMMYFUNCTION("""COMPUTED_VALUE"""),1.5416666666666667)</f>
        <v>1.541666667</v>
      </c>
      <c r="Q349" s="763" t="str">
        <f>IFERROR(__xludf.DUMMYFUNCTION("""COMPUTED_VALUE"""),"EUR")</f>
        <v>EUR</v>
      </c>
      <c r="R349" s="763">
        <f>IFERROR(__xludf.DUMMYFUNCTION("""COMPUTED_VALUE"""),787.0)</f>
        <v>787</v>
      </c>
      <c r="S349" s="763" t="str">
        <f>IFERROR(__xludf.DUMMYFUNCTION("""COMPUTED_VALUE"""),"Workshop Heels con Lulu Kulova - Workshop Lulu Heels")</f>
        <v>Workshop Heels con Lulu Kulova - Workshop Lulu Heels</v>
      </c>
      <c r="T349" s="763"/>
      <c r="U349" s="763"/>
      <c r="V349" s="763">
        <f>IFERROR(__xludf.DUMMYFUNCTION("""COMPUTED_VALUE"""),1.0)</f>
        <v>1</v>
      </c>
      <c r="W349" s="763">
        <f>IFERROR(__xludf.DUMMYFUNCTION("""COMPUTED_VALUE"""),37.0)</f>
        <v>37</v>
      </c>
      <c r="X349" s="763">
        <f>IFERROR(__xludf.DUMMYFUNCTION("""COMPUTED_VALUE"""),37.0)</f>
        <v>37</v>
      </c>
      <c r="Y349" s="763"/>
      <c r="Z349" s="768" t="str">
        <f>IFERROR(__xludf.DUMMYFUNCTION("""COMPUTED_VALUE"""),"https://studio-gem.it/wp-admin/post.php?post=65374&amp;action=edit")</f>
        <v>https://studio-gem.it/wp-admin/post.php?post=65374&amp;action=edit</v>
      </c>
      <c r="AA349" s="763"/>
      <c r="AB349" s="763"/>
      <c r="AC349" s="763"/>
      <c r="AD349" s="763"/>
      <c r="AE349" s="763"/>
      <c r="AF349" s="763"/>
      <c r="AG349" s="763"/>
      <c r="AH349" s="763"/>
      <c r="AI349" s="763"/>
      <c r="AJ349" s="763"/>
      <c r="AK349" s="763"/>
      <c r="AL349" s="763"/>
      <c r="AM349" s="763"/>
      <c r="AN349" s="763"/>
      <c r="AO349" s="763"/>
      <c r="AP349" s="763"/>
      <c r="AQ349" s="763"/>
      <c r="AR349" s="763"/>
      <c r="AS349" s="763"/>
      <c r="AT349" s="763"/>
      <c r="AU349" s="763"/>
      <c r="AV349" s="763"/>
      <c r="AW349" s="763"/>
      <c r="AX349" s="763"/>
      <c r="AY349" s="763"/>
      <c r="AZ349" s="763"/>
      <c r="BA349" s="763"/>
      <c r="BB349" s="763"/>
      <c r="BC349" s="763"/>
      <c r="BD349" s="763"/>
      <c r="BE349" s="763"/>
      <c r="BF349" s="763"/>
      <c r="BG349" s="763" t="b">
        <f>IFERROR(__xludf.DUMMYFUNCTION("""COMPUTED_VALUE"""),TRUE)</f>
        <v>1</v>
      </c>
      <c r="BH349" s="763" t="b">
        <f>IFERROR(__xludf.DUMMYFUNCTION("""COMPUTED_VALUE"""),FALSE)</f>
        <v>0</v>
      </c>
      <c r="BI349" s="763" t="b">
        <f>IFERROR(__xludf.DUMMYFUNCTION("""COMPUTED_VALUE"""),TRUE)</f>
        <v>1</v>
      </c>
      <c r="BJ349" s="763" t="b">
        <f>IFERROR(__xludf.DUMMYFUNCTION("""COMPUTED_VALUE"""),TRUE)</f>
        <v>1</v>
      </c>
    </row>
    <row r="350">
      <c r="A350" s="763">
        <f>IFERROR(__xludf.DUMMYFUNCTION("""COMPUTED_VALUE"""),65376.0)</f>
        <v>65376</v>
      </c>
      <c r="B350" s="763">
        <f>IFERROR(__xludf.DUMMYFUNCTION("""COMPUTED_VALUE"""),65376.0)</f>
        <v>65376</v>
      </c>
      <c r="C350" s="763" t="str">
        <f>IFERROR(__xludf.DUMMYFUNCTION("""COMPUTED_VALUE"""),"2025-10-21 20:24:11")</f>
        <v>2025-10-21 20:24:11</v>
      </c>
      <c r="D350" s="763" t="str">
        <f>IFERROR(__xludf.DUMMYFUNCTION("""COMPUTED_VALUE"""),"completed")</f>
        <v>completed</v>
      </c>
      <c r="E350" s="763" t="str">
        <f>IFERROR(__xludf.DUMMYFUNCTION("""COMPUTED_VALUE"""),"Ilaria")</f>
        <v>Ilaria</v>
      </c>
      <c r="F350" s="763" t="str">
        <f>IFERROR(__xludf.DUMMYFUNCTION("""COMPUTED_VALUE"""),"Tacchella")</f>
        <v>Tacchella</v>
      </c>
      <c r="G350" s="763" t="str">
        <f>IFERROR(__xludf.DUMMYFUNCTION("""COMPUTED_VALUE"""),"ila.tacchella@gmail.com")</f>
        <v>ila.tacchella@gmail.com</v>
      </c>
      <c r="H350" s="763">
        <f>IFERROR(__xludf.DUMMYFUNCTION("""COMPUTED_VALUE"""),3.334848798E9)</f>
        <v>3334848798</v>
      </c>
      <c r="I350" s="763" t="str">
        <f>IFERROR(__xludf.DUMMYFUNCTION("""COMPUTED_VALUE"""),"Valenza")</f>
        <v>Valenza</v>
      </c>
      <c r="J350" s="763" t="str">
        <f>IFERROR(__xludf.DUMMYFUNCTION("""COMPUTED_VALUE"""),"Strada bricco oliva 7")</f>
        <v>Strada bricco oliva 7</v>
      </c>
      <c r="K350" s="763">
        <f>IFERROR(__xludf.DUMMYFUNCTION("""COMPUTED_VALUE"""),15048.0)</f>
        <v>15048</v>
      </c>
      <c r="L350" s="763" t="str">
        <f>IFERROR(__xludf.DUMMYFUNCTION("""COMPUTED_VALUE"""),"Satispay")</f>
        <v>Satispay</v>
      </c>
      <c r="M350" s="763"/>
      <c r="N350" s="763" t="str">
        <f>IFERROR(__xludf.DUMMYFUNCTION("""COMPUTED_VALUE"""),"019a0871-91d9-7a70-b356-2bba237b39c1")</f>
        <v>019a0871-91d9-7a70-b356-2bba237b39c1</v>
      </c>
      <c r="O350" s="763">
        <f>IFERROR(__xludf.DUMMYFUNCTION("""COMPUTED_VALUE"""),0.0)</f>
        <v>0</v>
      </c>
      <c r="P350" s="767">
        <f>IFERROR(__xludf.DUMMYFUNCTION("""COMPUTED_VALUE"""),1.5416666666666667)</f>
        <v>1.541666667</v>
      </c>
      <c r="Q350" s="763" t="str">
        <f>IFERROR(__xludf.DUMMYFUNCTION("""COMPUTED_VALUE"""),"EUR")</f>
        <v>EUR</v>
      </c>
      <c r="R350" s="763">
        <f>IFERROR(__xludf.DUMMYFUNCTION("""COMPUTED_VALUE"""),788.0)</f>
        <v>788</v>
      </c>
      <c r="S350" s="763" t="str">
        <f>IFERROR(__xludf.DUMMYFUNCTION("""COMPUTED_VALUE"""),"Workshop Urban con Kumo - Workshop Kumo Urban")</f>
        <v>Workshop Urban con Kumo - Workshop Kumo Urban</v>
      </c>
      <c r="T350" s="763"/>
      <c r="U350" s="763"/>
      <c r="V350" s="763">
        <f>IFERROR(__xludf.DUMMYFUNCTION("""COMPUTED_VALUE"""),1.0)</f>
        <v>1</v>
      </c>
      <c r="W350" s="763">
        <f>IFERROR(__xludf.DUMMYFUNCTION("""COMPUTED_VALUE"""),37.0)</f>
        <v>37</v>
      </c>
      <c r="X350" s="763">
        <f>IFERROR(__xludf.DUMMYFUNCTION("""COMPUTED_VALUE"""),37.0)</f>
        <v>37</v>
      </c>
      <c r="Y350" s="763"/>
      <c r="Z350" s="768" t="str">
        <f>IFERROR(__xludf.DUMMYFUNCTION("""COMPUTED_VALUE"""),"https://studio-gem.it/wp-admin/post.php?post=65376&amp;action=edit")</f>
        <v>https://studio-gem.it/wp-admin/post.php?post=65376&amp;action=edit</v>
      </c>
      <c r="AA350" s="763"/>
      <c r="AB350" s="763"/>
      <c r="AC350" s="763"/>
      <c r="AD350" s="763"/>
      <c r="AE350" s="763"/>
      <c r="AF350" s="763"/>
      <c r="AG350" s="763"/>
      <c r="AH350" s="763"/>
      <c r="AI350" s="763"/>
      <c r="AJ350" s="763"/>
      <c r="AK350" s="763"/>
      <c r="AL350" s="763"/>
      <c r="AM350" s="763"/>
      <c r="AN350" s="763"/>
      <c r="AO350" s="763"/>
      <c r="AP350" s="763"/>
      <c r="AQ350" s="763"/>
      <c r="AR350" s="763"/>
      <c r="AS350" s="763"/>
      <c r="AT350" s="763"/>
      <c r="AU350" s="763"/>
      <c r="AV350" s="763"/>
      <c r="AW350" s="763"/>
      <c r="AX350" s="763"/>
      <c r="AY350" s="763"/>
      <c r="AZ350" s="763"/>
      <c r="BA350" s="763"/>
      <c r="BB350" s="763"/>
      <c r="BC350" s="763"/>
      <c r="BD350" s="763"/>
      <c r="BE350" s="763"/>
      <c r="BF350" s="763"/>
      <c r="BG350" s="763" t="b">
        <f>IFERROR(__xludf.DUMMYFUNCTION("""COMPUTED_VALUE"""),TRUE)</f>
        <v>1</v>
      </c>
      <c r="BH350" s="763" t="b">
        <f>IFERROR(__xludf.DUMMYFUNCTION("""COMPUTED_VALUE"""),FALSE)</f>
        <v>0</v>
      </c>
      <c r="BI350" s="763" t="b">
        <f>IFERROR(__xludf.DUMMYFUNCTION("""COMPUTED_VALUE"""),TRUE)</f>
        <v>1</v>
      </c>
      <c r="BJ350" s="763" t="b">
        <f>IFERROR(__xludf.DUMMYFUNCTION("""COMPUTED_VALUE"""),TRUE)</f>
        <v>1</v>
      </c>
    </row>
    <row r="351">
      <c r="A351" s="763">
        <f>IFERROR(__xludf.DUMMYFUNCTION("""COMPUTED_VALUE"""),65378.0)</f>
        <v>65378</v>
      </c>
      <c r="B351" s="763">
        <f>IFERROR(__xludf.DUMMYFUNCTION("""COMPUTED_VALUE"""),65378.0)</f>
        <v>65378</v>
      </c>
      <c r="C351" s="763" t="str">
        <f>IFERROR(__xludf.DUMMYFUNCTION("""COMPUTED_VALUE"""),"2025-10-21 20:57:53")</f>
        <v>2025-10-21 20:57:53</v>
      </c>
      <c r="D351" s="763" t="str">
        <f>IFERROR(__xludf.DUMMYFUNCTION("""COMPUTED_VALUE"""),"completed")</f>
        <v>completed</v>
      </c>
      <c r="E351" s="763" t="str">
        <f>IFERROR(__xludf.DUMMYFUNCTION("""COMPUTED_VALUE"""),"Serena")</f>
        <v>Serena</v>
      </c>
      <c r="F351" s="763" t="str">
        <f>IFERROR(__xludf.DUMMYFUNCTION("""COMPUTED_VALUE"""),"Fernando")</f>
        <v>Fernando</v>
      </c>
      <c r="G351" s="763" t="str">
        <f>IFERROR(__xludf.DUMMYFUNCTION("""COMPUTED_VALUE"""),"melany_serena@hotmail.it")</f>
        <v>melany_serena@hotmail.it</v>
      </c>
      <c r="H351" s="763">
        <f>IFERROR(__xludf.DUMMYFUNCTION("""COMPUTED_VALUE"""),3.517619123E9)</f>
        <v>3517619123</v>
      </c>
      <c r="I351" s="763" t="str">
        <f>IFERROR(__xludf.DUMMYFUNCTION("""COMPUTED_VALUE"""),"Milano")</f>
        <v>Milano</v>
      </c>
      <c r="J351" s="763" t="str">
        <f>IFERROR(__xludf.DUMMYFUNCTION("""COMPUTED_VALUE"""),"Stendhal 57")</f>
        <v>Stendhal 57</v>
      </c>
      <c r="K351" s="763">
        <f>IFERROR(__xludf.DUMMYFUNCTION("""COMPUTED_VALUE"""),20144.0)</f>
        <v>20144</v>
      </c>
      <c r="L351" s="763"/>
      <c r="M351" s="763"/>
      <c r="N351" s="763"/>
      <c r="O351" s="763">
        <f>IFERROR(__xludf.DUMMYFUNCTION("""COMPUTED_VALUE"""),0.0)</f>
        <v>0</v>
      </c>
      <c r="P351" s="767">
        <f>IFERROR(__xludf.DUMMYFUNCTION("""COMPUTED_VALUE"""),0.0)</f>
        <v>0</v>
      </c>
      <c r="Q351" s="763" t="str">
        <f>IFERROR(__xludf.DUMMYFUNCTION("""COMPUTED_VALUE"""),"EUR")</f>
        <v>EUR</v>
      </c>
      <c r="R351" s="763">
        <f>IFERROR(__xludf.DUMMYFUNCTION("""COMPUTED_VALUE"""),789.0)</f>
        <v>789</v>
      </c>
      <c r="S351" s="763" t="str">
        <f>IFERROR(__xludf.DUMMYFUNCTION("""COMPUTED_VALUE"""),"Domeniche in movimento - Gratuito per open ballo gestualità con Consuelo")</f>
        <v>Domeniche in movimento - Gratuito per open ballo gestualità con Consuelo</v>
      </c>
      <c r="T351" s="763"/>
      <c r="U351" s="763"/>
      <c r="V351" s="763">
        <f>IFERROR(__xludf.DUMMYFUNCTION("""COMPUTED_VALUE"""),1.0)</f>
        <v>1</v>
      </c>
      <c r="W351" s="763">
        <f>IFERROR(__xludf.DUMMYFUNCTION("""COMPUTED_VALUE"""),0.0)</f>
        <v>0</v>
      </c>
      <c r="X351" s="763">
        <f>IFERROR(__xludf.DUMMYFUNCTION("""COMPUTED_VALUE"""),0.0)</f>
        <v>0</v>
      </c>
      <c r="Y351" s="763"/>
      <c r="Z351" s="768" t="str">
        <f>IFERROR(__xludf.DUMMYFUNCTION("""COMPUTED_VALUE"""),"https://studio-gem.it/wp-admin/post.php?post=65378&amp;action=edit")</f>
        <v>https://studio-gem.it/wp-admin/post.php?post=65378&amp;action=edit</v>
      </c>
      <c r="AA351" s="763"/>
      <c r="AB351" s="763"/>
      <c r="AC351" s="763"/>
      <c r="AD351" s="763"/>
      <c r="AE351" s="763"/>
      <c r="AF351" s="763"/>
      <c r="AG351" s="763"/>
      <c r="AH351" s="763"/>
      <c r="AI351" s="763"/>
      <c r="AJ351" s="763"/>
      <c r="AK351" s="763"/>
      <c r="AL351" s="763"/>
      <c r="AM351" s="763"/>
      <c r="AN351" s="763"/>
      <c r="AO351" s="763"/>
      <c r="AP351" s="763"/>
      <c r="AQ351" s="763"/>
      <c r="AR351" s="763"/>
      <c r="AS351" s="763"/>
      <c r="AT351" s="763"/>
      <c r="AU351" s="763"/>
      <c r="AV351" s="763"/>
      <c r="AW351" s="763"/>
      <c r="AX351" s="763"/>
      <c r="AY351" s="763"/>
      <c r="AZ351" s="763"/>
      <c r="BA351" s="763"/>
      <c r="BB351" s="763"/>
      <c r="BC351" s="763"/>
      <c r="BD351" s="763"/>
      <c r="BE351" s="763"/>
      <c r="BF351" s="763"/>
      <c r="BG351" s="763" t="b">
        <f>IFERROR(__xludf.DUMMYFUNCTION("""COMPUTED_VALUE"""),FALSE)</f>
        <v>0</v>
      </c>
      <c r="BH351" s="763" t="b">
        <f>IFERROR(__xludf.DUMMYFUNCTION("""COMPUTED_VALUE"""),FALSE)</f>
        <v>0</v>
      </c>
      <c r="BI351" s="763" t="b">
        <f>IFERROR(__xludf.DUMMYFUNCTION("""COMPUTED_VALUE"""),FALSE)</f>
        <v>0</v>
      </c>
      <c r="BJ351" s="763" t="b">
        <f>IFERROR(__xludf.DUMMYFUNCTION("""COMPUTED_VALUE"""),FALSE)</f>
        <v>0</v>
      </c>
    </row>
    <row r="352">
      <c r="A352" s="763">
        <f>IFERROR(__xludf.DUMMYFUNCTION("""COMPUTED_VALUE"""),65380.0)</f>
        <v>65380</v>
      </c>
      <c r="B352" s="763">
        <f>IFERROR(__xludf.DUMMYFUNCTION("""COMPUTED_VALUE"""),65380.0)</f>
        <v>65380</v>
      </c>
      <c r="C352" s="763" t="str">
        <f>IFERROR(__xludf.DUMMYFUNCTION("""COMPUTED_VALUE"""),"2025-10-21 23:58:27")</f>
        <v>2025-10-21 23:58:27</v>
      </c>
      <c r="D352" s="763" t="str">
        <f>IFERROR(__xludf.DUMMYFUNCTION("""COMPUTED_VALUE"""),"pending")</f>
        <v>pending</v>
      </c>
      <c r="E352" s="763" t="str">
        <f>IFERROR(__xludf.DUMMYFUNCTION("""COMPUTED_VALUE"""),"Yasmin")</f>
        <v>Yasmin</v>
      </c>
      <c r="F352" s="763" t="str">
        <f>IFERROR(__xludf.DUMMYFUNCTION("""COMPUTED_VALUE"""),"Khaibullina")</f>
        <v>Khaibullina</v>
      </c>
      <c r="G352" s="763" t="str">
        <f>IFERROR(__xludf.DUMMYFUNCTION("""COMPUTED_VALUE"""),"yasminkhaybullina@mail.ru")</f>
        <v>yasminkhaybullina@mail.ru</v>
      </c>
      <c r="H352" s="763">
        <f>IFERROR(__xludf.DUMMYFUNCTION("""COMPUTED_VALUE"""),3.792641976E9)</f>
        <v>3792641976</v>
      </c>
      <c r="I352" s="763" t="str">
        <f>IFERROR(__xludf.DUMMYFUNCTION("""COMPUTED_VALUE"""),"Milano")</f>
        <v>Milano</v>
      </c>
      <c r="J352" s="763" t="str">
        <f>IFERROR(__xludf.DUMMYFUNCTION("""COMPUTED_VALUE"""),"Viale Faenza 18")</f>
        <v>Viale Faenza 18</v>
      </c>
      <c r="K352" s="763">
        <f>IFERROR(__xludf.DUMMYFUNCTION("""COMPUTED_VALUE"""),20142.0)</f>
        <v>20142</v>
      </c>
      <c r="L352" s="763" t="str">
        <f>IFERROR(__xludf.DUMMYFUNCTION("""COMPUTED_VALUE"""),"Apple Pay")</f>
        <v>Apple Pay</v>
      </c>
      <c r="M352" s="763"/>
      <c r="N352" s="763"/>
      <c r="O352" s="763">
        <f>IFERROR(__xludf.DUMMYFUNCTION("""COMPUTED_VALUE"""),0.0)</f>
        <v>0</v>
      </c>
      <c r="P352" s="767">
        <f>IFERROR(__xludf.DUMMYFUNCTION("""COMPUTED_VALUE"""),1.5416666666666667)</f>
        <v>1.541666667</v>
      </c>
      <c r="Q352" s="763" t="str">
        <f>IFERROR(__xludf.DUMMYFUNCTION("""COMPUTED_VALUE"""),"EUR")</f>
        <v>EUR</v>
      </c>
      <c r="R352" s="763">
        <f>IFERROR(__xludf.DUMMYFUNCTION("""COMPUTED_VALUE"""),791.0)</f>
        <v>791</v>
      </c>
      <c r="S352" s="763" t="str">
        <f>IFERROR(__xludf.DUMMYFUNCTION("""COMPUTED_VALUE"""),"Workshop Urban con Kumo - Workshop Kumo Urban")</f>
        <v>Workshop Urban con Kumo - Workshop Kumo Urban</v>
      </c>
      <c r="T352" s="763"/>
      <c r="U352" s="763"/>
      <c r="V352" s="763">
        <f>IFERROR(__xludf.DUMMYFUNCTION("""COMPUTED_VALUE"""),1.0)</f>
        <v>1</v>
      </c>
      <c r="W352" s="763">
        <f>IFERROR(__xludf.DUMMYFUNCTION("""COMPUTED_VALUE"""),37.0)</f>
        <v>37</v>
      </c>
      <c r="X352" s="763">
        <f>IFERROR(__xludf.DUMMYFUNCTION("""COMPUTED_VALUE"""),37.0)</f>
        <v>37</v>
      </c>
      <c r="Y352" s="763"/>
      <c r="Z352" s="768" t="str">
        <f>IFERROR(__xludf.DUMMYFUNCTION("""COMPUTED_VALUE"""),"https://studio-gem.it/wp-admin/post.php?post=65380&amp;action=edit")</f>
        <v>https://studio-gem.it/wp-admin/post.php?post=65380&amp;action=edit</v>
      </c>
      <c r="AA352" s="763"/>
      <c r="AB352" s="763"/>
      <c r="AC352" s="763"/>
      <c r="AD352" s="763"/>
      <c r="AE352" s="763"/>
      <c r="AF352" s="763"/>
      <c r="AG352" s="763"/>
      <c r="AH352" s="763"/>
      <c r="AI352" s="763"/>
      <c r="AJ352" s="763"/>
      <c r="AK352" s="763"/>
      <c r="AL352" s="763"/>
      <c r="AM352" s="763"/>
      <c r="AN352" s="763"/>
      <c r="AO352" s="763"/>
      <c r="AP352" s="763"/>
      <c r="AQ352" s="763"/>
      <c r="AR352" s="763"/>
      <c r="AS352" s="763"/>
      <c r="AT352" s="763"/>
      <c r="AU352" s="763"/>
      <c r="AV352" s="763"/>
      <c r="AW352" s="763"/>
      <c r="AX352" s="763"/>
      <c r="AY352" s="763"/>
      <c r="AZ352" s="763"/>
      <c r="BA352" s="763"/>
      <c r="BB352" s="763"/>
      <c r="BC352" s="763"/>
      <c r="BD352" s="763"/>
      <c r="BE352" s="763"/>
      <c r="BF352" s="763"/>
      <c r="BG352" s="763" t="b">
        <f>IFERROR(__xludf.DUMMYFUNCTION("""COMPUTED_VALUE"""),FALSE)</f>
        <v>0</v>
      </c>
      <c r="BH352" s="763" t="b">
        <f>IFERROR(__xludf.DUMMYFUNCTION("""COMPUTED_VALUE"""),FALSE)</f>
        <v>0</v>
      </c>
      <c r="BI352" s="763" t="b">
        <f>IFERROR(__xludf.DUMMYFUNCTION("""COMPUTED_VALUE"""),FALSE)</f>
        <v>0</v>
      </c>
      <c r="BJ352" s="763" t="b">
        <f>IFERROR(__xludf.DUMMYFUNCTION("""COMPUTED_VALUE"""),FALSE)</f>
        <v>0</v>
      </c>
    </row>
    <row r="353">
      <c r="A353" s="763">
        <f>IFERROR(__xludf.DUMMYFUNCTION("""COMPUTED_VALUE"""),65394.0)</f>
        <v>65394</v>
      </c>
      <c r="B353" s="763">
        <f>IFERROR(__xludf.DUMMYFUNCTION("""COMPUTED_VALUE"""),65394.0)</f>
        <v>65394</v>
      </c>
      <c r="C353" s="763" t="str">
        <f>IFERROR(__xludf.DUMMYFUNCTION("""COMPUTED_VALUE"""),"2025-10-22 08:10:49")</f>
        <v>2025-10-22 08:10:49</v>
      </c>
      <c r="D353" s="763" t="str">
        <f>IFERROR(__xludf.DUMMYFUNCTION("""COMPUTED_VALUE"""),"pending")</f>
        <v>pending</v>
      </c>
      <c r="E353" s="763" t="str">
        <f>IFERROR(__xludf.DUMMYFUNCTION("""COMPUTED_VALUE"""),"Alice")</f>
        <v>Alice</v>
      </c>
      <c r="F353" s="763" t="str">
        <f>IFERROR(__xludf.DUMMYFUNCTION("""COMPUTED_VALUE"""),"Gallivanone")</f>
        <v>Gallivanone</v>
      </c>
      <c r="G353" s="763" t="str">
        <f>IFERROR(__xludf.DUMMYFUNCTION("""COMPUTED_VALUE"""),"alice.dancebeat@gmail.com")</f>
        <v>alice.dancebeat@gmail.com</v>
      </c>
      <c r="H353" s="763">
        <f>IFERROR(__xludf.DUMMYFUNCTION("""COMPUTED_VALUE"""),3.338214251E9)</f>
        <v>3338214251</v>
      </c>
      <c r="I353" s="763" t="str">
        <f>IFERROR(__xludf.DUMMYFUNCTION("""COMPUTED_VALUE"""),"Segrate")</f>
        <v>Segrate</v>
      </c>
      <c r="J353" s="763" t="str">
        <f>IFERROR(__xludf.DUMMYFUNCTION("""COMPUTED_VALUE"""),"Via San Rocco 8")</f>
        <v>Via San Rocco 8</v>
      </c>
      <c r="K353" s="763">
        <f>IFERROR(__xludf.DUMMYFUNCTION("""COMPUTED_VALUE"""),20054.0)</f>
        <v>20054</v>
      </c>
      <c r="L353" s="763" t="str">
        <f>IFERROR(__xludf.DUMMYFUNCTION("""COMPUTED_VALUE"""),"Google Pay")</f>
        <v>Google Pay</v>
      </c>
      <c r="M353" s="763"/>
      <c r="N353" s="763"/>
      <c r="O353" s="763">
        <f>IFERROR(__xludf.DUMMYFUNCTION("""COMPUTED_VALUE"""),0.0)</f>
        <v>0</v>
      </c>
      <c r="P353" s="767">
        <f>IFERROR(__xludf.DUMMYFUNCTION("""COMPUTED_VALUE"""),1.5416666666666667)</f>
        <v>1.541666667</v>
      </c>
      <c r="Q353" s="763" t="str">
        <f>IFERROR(__xludf.DUMMYFUNCTION("""COMPUTED_VALUE"""),"EUR")</f>
        <v>EUR</v>
      </c>
      <c r="R353" s="763">
        <f>IFERROR(__xludf.DUMMYFUNCTION("""COMPUTED_VALUE"""),792.0)</f>
        <v>792</v>
      </c>
      <c r="S353" s="763" t="str">
        <f>IFERROR(__xludf.DUMMYFUNCTION("""COMPUTED_VALUE"""),"Workshop Heels con Deborah Esposito - Workshop Heels con Deborah Esposito")</f>
        <v>Workshop Heels con Deborah Esposito - Workshop Heels con Deborah Esposito</v>
      </c>
      <c r="T353" s="763"/>
      <c r="U353" s="763"/>
      <c r="V353" s="763">
        <f>IFERROR(__xludf.DUMMYFUNCTION("""COMPUTED_VALUE"""),1.0)</f>
        <v>1</v>
      </c>
      <c r="W353" s="763">
        <f>IFERROR(__xludf.DUMMYFUNCTION("""COMPUTED_VALUE"""),37.0)</f>
        <v>37</v>
      </c>
      <c r="X353" s="763">
        <f>IFERROR(__xludf.DUMMYFUNCTION("""COMPUTED_VALUE"""),37.0)</f>
        <v>37</v>
      </c>
      <c r="Y353" s="763"/>
      <c r="Z353" s="768" t="str">
        <f>IFERROR(__xludf.DUMMYFUNCTION("""COMPUTED_VALUE"""),"https://studio-gem.it/wp-admin/post.php?post=65394&amp;action=edit")</f>
        <v>https://studio-gem.it/wp-admin/post.php?post=65394&amp;action=edit</v>
      </c>
      <c r="AA353" s="763"/>
      <c r="AB353" s="763"/>
      <c r="AC353" s="763"/>
      <c r="AD353" s="763"/>
      <c r="AE353" s="763"/>
      <c r="AF353" s="763"/>
      <c r="AG353" s="763"/>
      <c r="AH353" s="763"/>
      <c r="AI353" s="763"/>
      <c r="AJ353" s="763"/>
      <c r="AK353" s="763"/>
      <c r="AL353" s="763"/>
      <c r="AM353" s="763"/>
      <c r="AN353" s="763"/>
      <c r="AO353" s="763"/>
      <c r="AP353" s="763"/>
      <c r="AQ353" s="763"/>
      <c r="AR353" s="763"/>
      <c r="AS353" s="763"/>
      <c r="AT353" s="763"/>
      <c r="AU353" s="763"/>
      <c r="AV353" s="763"/>
      <c r="AW353" s="763"/>
      <c r="AX353" s="763"/>
      <c r="AY353" s="763"/>
      <c r="AZ353" s="763"/>
      <c r="BA353" s="763"/>
      <c r="BB353" s="763"/>
      <c r="BC353" s="763"/>
      <c r="BD353" s="763"/>
      <c r="BE353" s="763"/>
      <c r="BF353" s="763"/>
      <c r="BG353" s="763" t="b">
        <f>IFERROR(__xludf.DUMMYFUNCTION("""COMPUTED_VALUE"""),TRUE)</f>
        <v>1</v>
      </c>
      <c r="BH353" s="763" t="b">
        <f>IFERROR(__xludf.DUMMYFUNCTION("""COMPUTED_VALUE"""),FALSE)</f>
        <v>0</v>
      </c>
      <c r="BI353" s="763" t="b">
        <f>IFERROR(__xludf.DUMMYFUNCTION("""COMPUTED_VALUE"""),TRUE)</f>
        <v>1</v>
      </c>
      <c r="BJ353" s="763" t="b">
        <f>IFERROR(__xludf.DUMMYFUNCTION("""COMPUTED_VALUE"""),TRUE)</f>
        <v>1</v>
      </c>
    </row>
    <row r="354">
      <c r="A354" s="763">
        <f>IFERROR(__xludf.DUMMYFUNCTION("""COMPUTED_VALUE"""),65394.0)</f>
        <v>65394</v>
      </c>
      <c r="B354" s="763">
        <f>IFERROR(__xludf.DUMMYFUNCTION("""COMPUTED_VALUE"""),65394.0)</f>
        <v>65394</v>
      </c>
      <c r="C354" s="763" t="str">
        <f>IFERROR(__xludf.DUMMYFUNCTION("""COMPUTED_VALUE"""),"2025-10-22 08:10:49")</f>
        <v>2025-10-22 08:10:49</v>
      </c>
      <c r="D354" s="763" t="str">
        <f>IFERROR(__xludf.DUMMYFUNCTION("""COMPUTED_VALUE"""),"completed")</f>
        <v>completed</v>
      </c>
      <c r="E354" s="763" t="str">
        <f>IFERROR(__xludf.DUMMYFUNCTION("""COMPUTED_VALUE"""),"Alice")</f>
        <v>Alice</v>
      </c>
      <c r="F354" s="763" t="str">
        <f>IFERROR(__xludf.DUMMYFUNCTION("""COMPUTED_VALUE"""),"Gallivanone")</f>
        <v>Gallivanone</v>
      </c>
      <c r="G354" s="763" t="str">
        <f>IFERROR(__xludf.DUMMYFUNCTION("""COMPUTED_VALUE"""),"alice.dancebeat@gmail.com")</f>
        <v>alice.dancebeat@gmail.com</v>
      </c>
      <c r="H354" s="763">
        <f>IFERROR(__xludf.DUMMYFUNCTION("""COMPUTED_VALUE"""),3.338214251E9)</f>
        <v>3338214251</v>
      </c>
      <c r="I354" s="763" t="str">
        <f>IFERROR(__xludf.DUMMYFUNCTION("""COMPUTED_VALUE"""),"Segrate")</f>
        <v>Segrate</v>
      </c>
      <c r="J354" s="763" t="str">
        <f>IFERROR(__xludf.DUMMYFUNCTION("""COMPUTED_VALUE"""),"Via San Rocco 8")</f>
        <v>Via San Rocco 8</v>
      </c>
      <c r="K354" s="763">
        <f>IFERROR(__xludf.DUMMYFUNCTION("""COMPUTED_VALUE"""),20054.0)</f>
        <v>20054</v>
      </c>
      <c r="L354" s="763" t="str">
        <f>IFERROR(__xludf.DUMMYFUNCTION("""COMPUTED_VALUE"""),"Google Pay")</f>
        <v>Google Pay</v>
      </c>
      <c r="M354" s="763"/>
      <c r="N354" s="763" t="str">
        <f>IFERROR(__xludf.DUMMYFUNCTION("""COMPUTED_VALUE"""),"65394-1761120850")</f>
        <v>65394-1761120850</v>
      </c>
      <c r="O354" s="763">
        <f>IFERROR(__xludf.DUMMYFUNCTION("""COMPUTED_VALUE"""),0.0)</f>
        <v>0</v>
      </c>
      <c r="P354" s="767">
        <f>IFERROR(__xludf.DUMMYFUNCTION("""COMPUTED_VALUE"""),1.5416666666666667)</f>
        <v>1.541666667</v>
      </c>
      <c r="Q354" s="763" t="str">
        <f>IFERROR(__xludf.DUMMYFUNCTION("""COMPUTED_VALUE"""),"EUR")</f>
        <v>EUR</v>
      </c>
      <c r="R354" s="763">
        <f>IFERROR(__xludf.DUMMYFUNCTION("""COMPUTED_VALUE"""),793.0)</f>
        <v>793</v>
      </c>
      <c r="S354" s="763" t="str">
        <f>IFERROR(__xludf.DUMMYFUNCTION("""COMPUTED_VALUE"""),"Workshop Heels con Deborah Esposito - Workshop Heels con Deborah Esposito")</f>
        <v>Workshop Heels con Deborah Esposito - Workshop Heels con Deborah Esposito</v>
      </c>
      <c r="T354" s="763"/>
      <c r="U354" s="763"/>
      <c r="V354" s="763">
        <f>IFERROR(__xludf.DUMMYFUNCTION("""COMPUTED_VALUE"""),1.0)</f>
        <v>1</v>
      </c>
      <c r="W354" s="763">
        <f>IFERROR(__xludf.DUMMYFUNCTION("""COMPUTED_VALUE"""),37.0)</f>
        <v>37</v>
      </c>
      <c r="X354" s="763">
        <f>IFERROR(__xludf.DUMMYFUNCTION("""COMPUTED_VALUE"""),37.0)</f>
        <v>37</v>
      </c>
      <c r="Y354" s="763"/>
      <c r="Z354" s="768" t="str">
        <f>IFERROR(__xludf.DUMMYFUNCTION("""COMPUTED_VALUE"""),"https://studio-gem.it/wp-admin/post.php?post=65394&amp;action=edit")</f>
        <v>https://studio-gem.it/wp-admin/post.php?post=65394&amp;action=edit</v>
      </c>
      <c r="AA354" s="763"/>
      <c r="AB354" s="763"/>
      <c r="AC354" s="763"/>
      <c r="AD354" s="763"/>
      <c r="AE354" s="763"/>
      <c r="AF354" s="763"/>
      <c r="AG354" s="763"/>
      <c r="AH354" s="763"/>
      <c r="AI354" s="763"/>
      <c r="AJ354" s="763"/>
      <c r="AK354" s="763"/>
      <c r="AL354" s="763"/>
      <c r="AM354" s="763"/>
      <c r="AN354" s="763"/>
      <c r="AO354" s="763"/>
      <c r="AP354" s="763"/>
      <c r="AQ354" s="763"/>
      <c r="AR354" s="763"/>
      <c r="AS354" s="763"/>
      <c r="AT354" s="763"/>
      <c r="AU354" s="763"/>
      <c r="AV354" s="763"/>
      <c r="AW354" s="763"/>
      <c r="AX354" s="763"/>
      <c r="AY354" s="763"/>
      <c r="AZ354" s="763"/>
      <c r="BA354" s="763"/>
      <c r="BB354" s="763"/>
      <c r="BC354" s="763"/>
      <c r="BD354" s="763"/>
      <c r="BE354" s="763"/>
      <c r="BF354" s="763"/>
      <c r="BG354" s="763" t="b">
        <f>IFERROR(__xludf.DUMMYFUNCTION("""COMPUTED_VALUE"""),TRUE)</f>
        <v>1</v>
      </c>
      <c r="BH354" s="763" t="b">
        <f>IFERROR(__xludf.DUMMYFUNCTION("""COMPUTED_VALUE"""),FALSE)</f>
        <v>0</v>
      </c>
      <c r="BI354" s="763" t="b">
        <f>IFERROR(__xludf.DUMMYFUNCTION("""COMPUTED_VALUE"""),TRUE)</f>
        <v>1</v>
      </c>
      <c r="BJ354" s="763" t="b">
        <f>IFERROR(__xludf.DUMMYFUNCTION("""COMPUTED_VALUE"""),TRUE)</f>
        <v>1</v>
      </c>
    </row>
    <row r="355">
      <c r="A355" s="763">
        <f>IFERROR(__xludf.DUMMYFUNCTION("""COMPUTED_VALUE"""),65400.0)</f>
        <v>65400</v>
      </c>
      <c r="B355" s="763">
        <f>IFERROR(__xludf.DUMMYFUNCTION("""COMPUTED_VALUE"""),65400.0)</f>
        <v>65400</v>
      </c>
      <c r="C355" s="763" t="str">
        <f>IFERROR(__xludf.DUMMYFUNCTION("""COMPUTED_VALUE"""),"2025-10-22 12:14:30")</f>
        <v>2025-10-22 12:14:30</v>
      </c>
      <c r="D355" s="763" t="str">
        <f>IFERROR(__xludf.DUMMYFUNCTION("""COMPUTED_VALUE"""),"completed")</f>
        <v>completed</v>
      </c>
      <c r="E355" s="763" t="str">
        <f>IFERROR(__xludf.DUMMYFUNCTION("""COMPUTED_VALUE"""),"Laura")</f>
        <v>Laura</v>
      </c>
      <c r="F355" s="763" t="str">
        <f>IFERROR(__xludf.DUMMYFUNCTION("""COMPUTED_VALUE"""),"Lentini")</f>
        <v>Lentini</v>
      </c>
      <c r="G355" s="763" t="str">
        <f>IFERROR(__xludf.DUMMYFUNCTION("""COMPUTED_VALUE"""),"laura.lentini87@gmail.com")</f>
        <v>laura.lentini87@gmail.com</v>
      </c>
      <c r="H355" s="763">
        <f>IFERROR(__xludf.DUMMYFUNCTION("""COMPUTED_VALUE"""),3.479130405E9)</f>
        <v>3479130405</v>
      </c>
      <c r="I355" s="763" t="str">
        <f>IFERROR(__xludf.DUMMYFUNCTION("""COMPUTED_VALUE"""),"Milano")</f>
        <v>Milano</v>
      </c>
      <c r="J355" s="763" t="str">
        <f>IFERROR(__xludf.DUMMYFUNCTION("""COMPUTED_VALUE"""),"Via Cesare Correnti 22")</f>
        <v>Via Cesare Correnti 22</v>
      </c>
      <c r="K355" s="763">
        <f>IFERROR(__xludf.DUMMYFUNCTION("""COMPUTED_VALUE"""),20123.0)</f>
        <v>20123</v>
      </c>
      <c r="L355" s="763" t="str">
        <f>IFERROR(__xludf.DUMMYFUNCTION("""COMPUTED_VALUE"""),"Apple Pay")</f>
        <v>Apple Pay</v>
      </c>
      <c r="M355" s="763"/>
      <c r="N355" s="763" t="str">
        <f>IFERROR(__xludf.DUMMYFUNCTION("""COMPUTED_VALUE"""),"65400-1761135271")</f>
        <v>65400-1761135271</v>
      </c>
      <c r="O355" s="763">
        <f>IFERROR(__xludf.DUMMYFUNCTION("""COMPUTED_VALUE"""),0.0)</f>
        <v>0</v>
      </c>
      <c r="P355" s="767">
        <f>IFERROR(__xludf.DUMMYFUNCTION("""COMPUTED_VALUE"""),1.5416666666666667)</f>
        <v>1.541666667</v>
      </c>
      <c r="Q355" s="763" t="str">
        <f>IFERROR(__xludf.DUMMYFUNCTION("""COMPUTED_VALUE"""),"EUR")</f>
        <v>EUR</v>
      </c>
      <c r="R355" s="763">
        <f>IFERROR(__xludf.DUMMYFUNCTION("""COMPUTED_VALUE"""),794.0)</f>
        <v>794</v>
      </c>
      <c r="S355" s="763" t="str">
        <f>IFERROR(__xludf.DUMMYFUNCTION("""COMPUTED_VALUE"""),"Workshop Urban con Kumo - Workshop Kumo Urban")</f>
        <v>Workshop Urban con Kumo - Workshop Kumo Urban</v>
      </c>
      <c r="T355" s="763"/>
      <c r="U355" s="763"/>
      <c r="V355" s="763">
        <f>IFERROR(__xludf.DUMMYFUNCTION("""COMPUTED_VALUE"""),1.0)</f>
        <v>1</v>
      </c>
      <c r="W355" s="763">
        <f>IFERROR(__xludf.DUMMYFUNCTION("""COMPUTED_VALUE"""),37.0)</f>
        <v>37</v>
      </c>
      <c r="X355" s="763">
        <f>IFERROR(__xludf.DUMMYFUNCTION("""COMPUTED_VALUE"""),37.0)</f>
        <v>37</v>
      </c>
      <c r="Y355" s="763"/>
      <c r="Z355" s="768" t="str">
        <f>IFERROR(__xludf.DUMMYFUNCTION("""COMPUTED_VALUE"""),"https://studio-gem.it/wp-admin/post.php?post=65400&amp;action=edit")</f>
        <v>https://studio-gem.it/wp-admin/post.php?post=65400&amp;action=edit</v>
      </c>
      <c r="AA355" s="763"/>
      <c r="AB355" s="763"/>
      <c r="AC355" s="763"/>
      <c r="AD355" s="763"/>
      <c r="AE355" s="763"/>
      <c r="AF355" s="763"/>
      <c r="AG355" s="763"/>
      <c r="AH355" s="763"/>
      <c r="AI355" s="763"/>
      <c r="AJ355" s="763"/>
      <c r="AK355" s="763"/>
      <c r="AL355" s="763"/>
      <c r="AM355" s="763"/>
      <c r="AN355" s="763"/>
      <c r="AO355" s="763"/>
      <c r="AP355" s="763"/>
      <c r="AQ355" s="763"/>
      <c r="AR355" s="763"/>
      <c r="AS355" s="763"/>
      <c r="AT355" s="763"/>
      <c r="AU355" s="763"/>
      <c r="AV355" s="763"/>
      <c r="AW355" s="763"/>
      <c r="AX355" s="763"/>
      <c r="AY355" s="763"/>
      <c r="AZ355" s="763"/>
      <c r="BA355" s="763"/>
      <c r="BB355" s="763"/>
      <c r="BC355" s="763"/>
      <c r="BD355" s="763"/>
      <c r="BE355" s="763"/>
      <c r="BF355" s="763"/>
      <c r="BG355" s="763" t="b">
        <f>IFERROR(__xludf.DUMMYFUNCTION("""COMPUTED_VALUE"""),TRUE)</f>
        <v>1</v>
      </c>
      <c r="BH355" s="763" t="b">
        <f>IFERROR(__xludf.DUMMYFUNCTION("""COMPUTED_VALUE"""),FALSE)</f>
        <v>0</v>
      </c>
      <c r="BI355" s="763" t="b">
        <f>IFERROR(__xludf.DUMMYFUNCTION("""COMPUTED_VALUE"""),TRUE)</f>
        <v>1</v>
      </c>
      <c r="BJ355" s="763" t="b">
        <f>IFERROR(__xludf.DUMMYFUNCTION("""COMPUTED_VALUE"""),TRUE)</f>
        <v>1</v>
      </c>
    </row>
    <row r="356">
      <c r="A356" s="763">
        <f>IFERROR(__xludf.DUMMYFUNCTION("""COMPUTED_VALUE"""),65402.0)</f>
        <v>65402</v>
      </c>
      <c r="B356" s="763">
        <f>IFERROR(__xludf.DUMMYFUNCTION("""COMPUTED_VALUE"""),65402.0)</f>
        <v>65402</v>
      </c>
      <c r="C356" s="763" t="str">
        <f>IFERROR(__xludf.DUMMYFUNCTION("""COMPUTED_VALUE"""),"2025-10-22 12:18:53")</f>
        <v>2025-10-22 12:18:53</v>
      </c>
      <c r="D356" s="763" t="str">
        <f>IFERROR(__xludf.DUMMYFUNCTION("""COMPUTED_VALUE"""),"completed")</f>
        <v>completed</v>
      </c>
      <c r="E356" s="763" t="str">
        <f>IFERROR(__xludf.DUMMYFUNCTION("""COMPUTED_VALUE"""),"martina")</f>
        <v>martina</v>
      </c>
      <c r="F356" s="763" t="str">
        <f>IFERROR(__xludf.DUMMYFUNCTION("""COMPUTED_VALUE"""),"durante")</f>
        <v>durante</v>
      </c>
      <c r="G356" s="763" t="str">
        <f>IFERROR(__xludf.DUMMYFUNCTION("""COMPUTED_VALUE"""),"durantmartina2@gmail.com")</f>
        <v>durantmartina2@gmail.com</v>
      </c>
      <c r="H356" s="763">
        <f>IFERROR(__xludf.DUMMYFUNCTION("""COMPUTED_VALUE"""),3.334033102E9)</f>
        <v>3334033102</v>
      </c>
      <c r="I356" s="763" t="str">
        <f>IFERROR(__xludf.DUMMYFUNCTION("""COMPUTED_VALUE"""),"Cinisello Balsamo")</f>
        <v>Cinisello Balsamo</v>
      </c>
      <c r="J356" s="763" t="str">
        <f>IFERROR(__xludf.DUMMYFUNCTION("""COMPUTED_VALUE"""),"via san pio X")</f>
        <v>via san pio X</v>
      </c>
      <c r="K356" s="763">
        <f>IFERROR(__xludf.DUMMYFUNCTION("""COMPUTED_VALUE"""),20092.0)</f>
        <v>20092</v>
      </c>
      <c r="L356" s="763" t="str">
        <f>IFERROR(__xludf.DUMMYFUNCTION("""COMPUTED_VALUE"""),"Google Pay")</f>
        <v>Google Pay</v>
      </c>
      <c r="M356" s="763"/>
      <c r="N356" s="763" t="str">
        <f>IFERROR(__xludf.DUMMYFUNCTION("""COMPUTED_VALUE"""),"65402-1761135535")</f>
        <v>65402-1761135535</v>
      </c>
      <c r="O356" s="763">
        <f>IFERROR(__xludf.DUMMYFUNCTION("""COMPUTED_VALUE"""),0.0)</f>
        <v>0</v>
      </c>
      <c r="P356" s="767">
        <f>IFERROR(__xludf.DUMMYFUNCTION("""COMPUTED_VALUE"""),1.5416666666666667)</f>
        <v>1.541666667</v>
      </c>
      <c r="Q356" s="763" t="str">
        <f>IFERROR(__xludf.DUMMYFUNCTION("""COMPUTED_VALUE"""),"EUR")</f>
        <v>EUR</v>
      </c>
      <c r="R356" s="763">
        <f>IFERROR(__xludf.DUMMYFUNCTION("""COMPUTED_VALUE"""),795.0)</f>
        <v>795</v>
      </c>
      <c r="S356" s="763" t="str">
        <f>IFERROR(__xludf.DUMMYFUNCTION("""COMPUTED_VALUE"""),"Workshop Urban con Kumo - Workshop Kumo Urban")</f>
        <v>Workshop Urban con Kumo - Workshop Kumo Urban</v>
      </c>
      <c r="T356" s="763"/>
      <c r="U356" s="763"/>
      <c r="V356" s="763">
        <f>IFERROR(__xludf.DUMMYFUNCTION("""COMPUTED_VALUE"""),1.0)</f>
        <v>1</v>
      </c>
      <c r="W356" s="763">
        <f>IFERROR(__xludf.DUMMYFUNCTION("""COMPUTED_VALUE"""),37.0)</f>
        <v>37</v>
      </c>
      <c r="X356" s="763">
        <f>IFERROR(__xludf.DUMMYFUNCTION("""COMPUTED_VALUE"""),37.0)</f>
        <v>37</v>
      </c>
      <c r="Y356" s="763"/>
      <c r="Z356" s="768" t="str">
        <f>IFERROR(__xludf.DUMMYFUNCTION("""COMPUTED_VALUE"""),"https://studio-gem.it/wp-admin/post.php?post=65402&amp;action=edit")</f>
        <v>https://studio-gem.it/wp-admin/post.php?post=65402&amp;action=edit</v>
      </c>
      <c r="AA356" s="763"/>
      <c r="AB356" s="763"/>
      <c r="AC356" s="763"/>
      <c r="AD356" s="763"/>
      <c r="AE356" s="763"/>
      <c r="AF356" s="763"/>
      <c r="AG356" s="763"/>
      <c r="AH356" s="763"/>
      <c r="AI356" s="763"/>
      <c r="AJ356" s="763"/>
      <c r="AK356" s="763"/>
      <c r="AL356" s="763"/>
      <c r="AM356" s="763"/>
      <c r="AN356" s="763"/>
      <c r="AO356" s="763"/>
      <c r="AP356" s="763"/>
      <c r="AQ356" s="763"/>
      <c r="AR356" s="763"/>
      <c r="AS356" s="763"/>
      <c r="AT356" s="763"/>
      <c r="AU356" s="763"/>
      <c r="AV356" s="763"/>
      <c r="AW356" s="763"/>
      <c r="AX356" s="763"/>
      <c r="AY356" s="763"/>
      <c r="AZ356" s="763"/>
      <c r="BA356" s="763"/>
      <c r="BB356" s="763"/>
      <c r="BC356" s="763"/>
      <c r="BD356" s="763"/>
      <c r="BE356" s="763"/>
      <c r="BF356" s="763"/>
      <c r="BG356" s="763" t="b">
        <f>IFERROR(__xludf.DUMMYFUNCTION("""COMPUTED_VALUE"""),TRUE)</f>
        <v>1</v>
      </c>
      <c r="BH356" s="763" t="b">
        <f>IFERROR(__xludf.DUMMYFUNCTION("""COMPUTED_VALUE"""),FALSE)</f>
        <v>0</v>
      </c>
      <c r="BI356" s="763" t="b">
        <f>IFERROR(__xludf.DUMMYFUNCTION("""COMPUTED_VALUE"""),TRUE)</f>
        <v>1</v>
      </c>
      <c r="BJ356" s="763" t="b">
        <f>IFERROR(__xludf.DUMMYFUNCTION("""COMPUTED_VALUE"""),TRUE)</f>
        <v>1</v>
      </c>
    </row>
    <row r="357">
      <c r="A357" s="763">
        <f>IFERROR(__xludf.DUMMYFUNCTION("""COMPUTED_VALUE"""),65404.0)</f>
        <v>65404</v>
      </c>
      <c r="B357" s="763">
        <f>IFERROR(__xludf.DUMMYFUNCTION("""COMPUTED_VALUE"""),65404.0)</f>
        <v>65404</v>
      </c>
      <c r="C357" s="763" t="str">
        <f>IFERROR(__xludf.DUMMYFUNCTION("""COMPUTED_VALUE"""),"2025-10-22 14:39:18")</f>
        <v>2025-10-22 14:39:18</v>
      </c>
      <c r="D357" s="763" t="str">
        <f>IFERROR(__xludf.DUMMYFUNCTION("""COMPUTED_VALUE"""),"completed")</f>
        <v>completed</v>
      </c>
      <c r="E357" s="763" t="str">
        <f>IFERROR(__xludf.DUMMYFUNCTION("""COMPUTED_VALUE"""),"Serena")</f>
        <v>Serena</v>
      </c>
      <c r="F357" s="763" t="str">
        <f>IFERROR(__xludf.DUMMYFUNCTION("""COMPUTED_VALUE"""),"Fernando")</f>
        <v>Fernando</v>
      </c>
      <c r="G357" s="763" t="str">
        <f>IFERROR(__xludf.DUMMYFUNCTION("""COMPUTED_VALUE"""),"melany_serena@hotmail.it")</f>
        <v>melany_serena@hotmail.it</v>
      </c>
      <c r="H357" s="763">
        <f>IFERROR(__xludf.DUMMYFUNCTION("""COMPUTED_VALUE"""),3.517619123E9)</f>
        <v>3517619123</v>
      </c>
      <c r="I357" s="763" t="str">
        <f>IFERROR(__xludf.DUMMYFUNCTION("""COMPUTED_VALUE"""),"Milano")</f>
        <v>Milano</v>
      </c>
      <c r="J357" s="763" t="str">
        <f>IFERROR(__xludf.DUMMYFUNCTION("""COMPUTED_VALUE"""),"Stendhal 57")</f>
        <v>Stendhal 57</v>
      </c>
      <c r="K357" s="763">
        <f>IFERROR(__xludf.DUMMYFUNCTION("""COMPUTED_VALUE"""),20144.0)</f>
        <v>20144</v>
      </c>
      <c r="L357" s="763" t="str">
        <f>IFERROR(__xludf.DUMMYFUNCTION("""COMPUTED_VALUE"""),"Google Pay")</f>
        <v>Google Pay</v>
      </c>
      <c r="M357" s="763"/>
      <c r="N357" s="763" t="str">
        <f>IFERROR(__xludf.DUMMYFUNCTION("""COMPUTED_VALUE"""),"65404-1761144081")</f>
        <v>65404-1761144081</v>
      </c>
      <c r="O357" s="763">
        <f>IFERROR(__xludf.DUMMYFUNCTION("""COMPUTED_VALUE"""),0.0)</f>
        <v>0</v>
      </c>
      <c r="P357" s="767">
        <f>IFERROR(__xludf.DUMMYFUNCTION("""COMPUTED_VALUE"""),1.5416666666666667)</f>
        <v>1.541666667</v>
      </c>
      <c r="Q357" s="763" t="str">
        <f>IFERROR(__xludf.DUMMYFUNCTION("""COMPUTED_VALUE"""),"EUR")</f>
        <v>EUR</v>
      </c>
      <c r="R357" s="763">
        <f>IFERROR(__xludf.DUMMYFUNCTION("""COMPUTED_VALUE"""),797.0)</f>
        <v>797</v>
      </c>
      <c r="S357" s="763" t="str">
        <f>IFERROR(__xludf.DUMMYFUNCTION("""COMPUTED_VALUE"""),"Workshop Urban con Kumo - Workshop Kumo Urban")</f>
        <v>Workshop Urban con Kumo - Workshop Kumo Urban</v>
      </c>
      <c r="T357" s="763"/>
      <c r="U357" s="763"/>
      <c r="V357" s="763">
        <f>IFERROR(__xludf.DUMMYFUNCTION("""COMPUTED_VALUE"""),1.0)</f>
        <v>1</v>
      </c>
      <c r="W357" s="763">
        <f>IFERROR(__xludf.DUMMYFUNCTION("""COMPUTED_VALUE"""),37.0)</f>
        <v>37</v>
      </c>
      <c r="X357" s="763">
        <f>IFERROR(__xludf.DUMMYFUNCTION("""COMPUTED_VALUE"""),37.0)</f>
        <v>37</v>
      </c>
      <c r="Y357" s="763"/>
      <c r="Z357" s="768" t="str">
        <f>IFERROR(__xludf.DUMMYFUNCTION("""COMPUTED_VALUE"""),"https://studio-gem.it/wp-admin/post.php?post=65404&amp;action=edit")</f>
        <v>https://studio-gem.it/wp-admin/post.php?post=65404&amp;action=edit</v>
      </c>
      <c r="AA357" s="763"/>
      <c r="AB357" s="763"/>
      <c r="AC357" s="763"/>
      <c r="AD357" s="763"/>
      <c r="AE357" s="763"/>
      <c r="AF357" s="763"/>
      <c r="AG357" s="763"/>
      <c r="AH357" s="763"/>
      <c r="AI357" s="763"/>
      <c r="AJ357" s="763"/>
      <c r="AK357" s="763"/>
      <c r="AL357" s="763"/>
      <c r="AM357" s="763"/>
      <c r="AN357" s="763"/>
      <c r="AO357" s="763"/>
      <c r="AP357" s="763"/>
      <c r="AQ357" s="763"/>
      <c r="AR357" s="763"/>
      <c r="AS357" s="763"/>
      <c r="AT357" s="763"/>
      <c r="AU357" s="763"/>
      <c r="AV357" s="763"/>
      <c r="AW357" s="763"/>
      <c r="AX357" s="763"/>
      <c r="AY357" s="763"/>
      <c r="AZ357" s="763"/>
      <c r="BA357" s="763"/>
      <c r="BB357" s="763"/>
      <c r="BC357" s="763"/>
      <c r="BD357" s="763"/>
      <c r="BE357" s="763"/>
      <c r="BF357" s="763"/>
      <c r="BG357" s="763" t="b">
        <f>IFERROR(__xludf.DUMMYFUNCTION("""COMPUTED_VALUE"""),TRUE)</f>
        <v>1</v>
      </c>
      <c r="BH357" s="763" t="b">
        <f>IFERROR(__xludf.DUMMYFUNCTION("""COMPUTED_VALUE"""),FALSE)</f>
        <v>0</v>
      </c>
      <c r="BI357" s="763" t="b">
        <f>IFERROR(__xludf.DUMMYFUNCTION("""COMPUTED_VALUE"""),TRUE)</f>
        <v>1</v>
      </c>
      <c r="BJ357" s="763" t="b">
        <f>IFERROR(__xludf.DUMMYFUNCTION("""COMPUTED_VALUE"""),TRUE)</f>
        <v>1</v>
      </c>
    </row>
    <row r="358">
      <c r="A358" s="763">
        <f>IFERROR(__xludf.DUMMYFUNCTION("""COMPUTED_VALUE"""),65406.0)</f>
        <v>65406</v>
      </c>
      <c r="B358" s="763">
        <f>IFERROR(__xludf.DUMMYFUNCTION("""COMPUTED_VALUE"""),65406.0)</f>
        <v>65406</v>
      </c>
      <c r="C358" s="763" t="str">
        <f>IFERROR(__xludf.DUMMYFUNCTION("""COMPUTED_VALUE"""),"2025-10-22 15:54:42")</f>
        <v>2025-10-22 15:54:42</v>
      </c>
      <c r="D358" s="763" t="str">
        <f>IFERROR(__xludf.DUMMYFUNCTION("""COMPUTED_VALUE"""),"pending")</f>
        <v>pending</v>
      </c>
      <c r="E358" s="763" t="str">
        <f>IFERROR(__xludf.DUMMYFUNCTION("""COMPUTED_VALUE"""),"ago")</f>
        <v>ago</v>
      </c>
      <c r="F358" s="763" t="str">
        <f>IFERROR(__xludf.DUMMYFUNCTION("""COMPUTED_VALUE"""),"genc")</f>
        <v>genc</v>
      </c>
      <c r="G358" s="763" t="str">
        <f>IFERROR(__xludf.DUMMYFUNCTION("""COMPUTED_VALUE"""),"ago@agogo.it")</f>
        <v>ago@agogo.it</v>
      </c>
      <c r="H358" s="763">
        <f>IFERROR(__xludf.DUMMYFUNCTION("""COMPUTED_VALUE"""),3.356385854E9)</f>
        <v>3356385854</v>
      </c>
      <c r="I358" s="763" t="str">
        <f>IFERROR(__xludf.DUMMYFUNCTION("""COMPUTED_VALUE"""),"Bresso")</f>
        <v>Bresso</v>
      </c>
      <c r="J358" s="763" t="str">
        <f>IFERROR(__xludf.DUMMYFUNCTION("""COMPUTED_VALUE"""),"Via Aldo villa 16")</f>
        <v>Via Aldo villa 16</v>
      </c>
      <c r="K358" s="763">
        <f>IFERROR(__xludf.DUMMYFUNCTION("""COMPUTED_VALUE"""),20900.0)</f>
        <v>20900</v>
      </c>
      <c r="L358" s="763" t="str">
        <f>IFERROR(__xludf.DUMMYFUNCTION("""COMPUTED_VALUE"""),"Carte di pagamento")</f>
        <v>Carte di pagamento</v>
      </c>
      <c r="M358" s="763"/>
      <c r="N358" s="763"/>
      <c r="O358" s="763">
        <f>IFERROR(__xludf.DUMMYFUNCTION("""COMPUTED_VALUE"""),0.0)</f>
        <v>0</v>
      </c>
      <c r="P358" s="767">
        <f>IFERROR(__xludf.DUMMYFUNCTION("""COMPUTED_VALUE"""),1.875)</f>
        <v>1.875</v>
      </c>
      <c r="Q358" s="763" t="str">
        <f>IFERROR(__xludf.DUMMYFUNCTION("""COMPUTED_VALUE"""),"EUR")</f>
        <v>EUR</v>
      </c>
      <c r="R358" s="763">
        <f>IFERROR(__xludf.DUMMYFUNCTION("""COMPUTED_VALUE"""),798.0)</f>
        <v>798</v>
      </c>
      <c r="S358" s="763" t="str">
        <f>IFERROR(__xludf.DUMMYFUNCTION("""COMPUTED_VALUE"""),"Workshop Commercial con Timor Steffens - Workshop Commercial con Timor Steffens")</f>
        <v>Workshop Commercial con Timor Steffens - Workshop Commercial con Timor Steffens</v>
      </c>
      <c r="T358" s="763"/>
      <c r="U358" s="763"/>
      <c r="V358" s="763">
        <f>IFERROR(__xludf.DUMMYFUNCTION("""COMPUTED_VALUE"""),1.0)</f>
        <v>1</v>
      </c>
      <c r="W358" s="763">
        <f>IFERROR(__xludf.DUMMYFUNCTION("""COMPUTED_VALUE"""),45.0)</f>
        <v>45</v>
      </c>
      <c r="X358" s="763">
        <f>IFERROR(__xludf.DUMMYFUNCTION("""COMPUTED_VALUE"""),45.0)</f>
        <v>45</v>
      </c>
      <c r="Y358" s="763"/>
      <c r="Z358" s="768" t="str">
        <f>IFERROR(__xludf.DUMMYFUNCTION("""COMPUTED_VALUE"""),"https://studio-gem.it/wp-admin/post.php?post=65406&amp;action=edit")</f>
        <v>https://studio-gem.it/wp-admin/post.php?post=65406&amp;action=edit</v>
      </c>
      <c r="AA358" s="763"/>
      <c r="AB358" s="763"/>
      <c r="AC358" s="763"/>
      <c r="AD358" s="763"/>
      <c r="AE358" s="763"/>
      <c r="AF358" s="763"/>
      <c r="AG358" s="763"/>
      <c r="AH358" s="763"/>
      <c r="AI358" s="763"/>
      <c r="AJ358" s="763"/>
      <c r="AK358" s="763"/>
      <c r="AL358" s="763"/>
      <c r="AM358" s="763"/>
      <c r="AN358" s="763"/>
      <c r="AO358" s="763"/>
      <c r="AP358" s="763"/>
      <c r="AQ358" s="763"/>
      <c r="AR358" s="763"/>
      <c r="AS358" s="763"/>
      <c r="AT358" s="763"/>
      <c r="AU358" s="763"/>
      <c r="AV358" s="763"/>
      <c r="AW358" s="763"/>
      <c r="AX358" s="763"/>
      <c r="AY358" s="763"/>
      <c r="AZ358" s="763"/>
      <c r="BA358" s="763"/>
      <c r="BB358" s="763"/>
      <c r="BC358" s="763"/>
      <c r="BD358" s="763"/>
      <c r="BE358" s="763"/>
      <c r="BF358" s="763"/>
      <c r="BG358" s="763" t="b">
        <f>IFERROR(__xludf.DUMMYFUNCTION("""COMPUTED_VALUE"""),FALSE)</f>
        <v>0</v>
      </c>
      <c r="BH358" s="763" t="b">
        <f>IFERROR(__xludf.DUMMYFUNCTION("""COMPUTED_VALUE"""),FALSE)</f>
        <v>0</v>
      </c>
      <c r="BI358" s="763" t="b">
        <f>IFERROR(__xludf.DUMMYFUNCTION("""COMPUTED_VALUE"""),FALSE)</f>
        <v>0</v>
      </c>
      <c r="BJ358" s="763" t="b">
        <f>IFERROR(__xludf.DUMMYFUNCTION("""COMPUTED_VALUE"""),FALSE)</f>
        <v>0</v>
      </c>
    </row>
    <row r="359">
      <c r="A359" s="763">
        <f>IFERROR(__xludf.DUMMYFUNCTION("""COMPUTED_VALUE"""),65407.0)</f>
        <v>65407</v>
      </c>
      <c r="B359" s="763">
        <f>IFERROR(__xludf.DUMMYFUNCTION("""COMPUTED_VALUE"""),65407.0)</f>
        <v>65407</v>
      </c>
      <c r="C359" s="763" t="str">
        <f>IFERROR(__xludf.DUMMYFUNCTION("""COMPUTED_VALUE"""),"2025-10-22 17:11:41")</f>
        <v>2025-10-22 17:11:41</v>
      </c>
      <c r="D359" s="763" t="str">
        <f>IFERROR(__xludf.DUMMYFUNCTION("""COMPUTED_VALUE"""),"pending")</f>
        <v>pending</v>
      </c>
      <c r="E359" s="763" t="str">
        <f>IFERROR(__xludf.DUMMYFUNCTION("""COMPUTED_VALUE"""),"Chiara")</f>
        <v>Chiara</v>
      </c>
      <c r="F359" s="763" t="str">
        <f>IFERROR(__xludf.DUMMYFUNCTION("""COMPUTED_VALUE"""),"Zanin")</f>
        <v>Zanin</v>
      </c>
      <c r="G359" s="763" t="str">
        <f>IFERROR(__xludf.DUMMYFUNCTION("""COMPUTED_VALUE"""),"chiarazanin7@gmail.com")</f>
        <v>chiarazanin7@gmail.com</v>
      </c>
      <c r="H359" s="763">
        <f>IFERROR(__xludf.DUMMYFUNCTION("""COMPUTED_VALUE"""),3.203758658E9)</f>
        <v>3203758658</v>
      </c>
      <c r="I359" s="763" t="str">
        <f>IFERROR(__xludf.DUMMYFUNCTION("""COMPUTED_VALUE"""),"Travagliato")</f>
        <v>Travagliato</v>
      </c>
      <c r="J359" s="763" t="str">
        <f>IFERROR(__xludf.DUMMYFUNCTION("""COMPUTED_VALUE"""),"Via Filippo Lippi")</f>
        <v>Via Filippo Lippi</v>
      </c>
      <c r="K359" s="763">
        <f>IFERROR(__xludf.DUMMYFUNCTION("""COMPUTED_VALUE"""),25039.0)</f>
        <v>25039</v>
      </c>
      <c r="L359" s="763" t="str">
        <f>IFERROR(__xludf.DUMMYFUNCTION("""COMPUTED_VALUE"""),"Carte di pagamento")</f>
        <v>Carte di pagamento</v>
      </c>
      <c r="M359" s="763"/>
      <c r="N359" s="763"/>
      <c r="O359" s="763">
        <f>IFERROR(__xludf.DUMMYFUNCTION("""COMPUTED_VALUE"""),0.0)</f>
        <v>0</v>
      </c>
      <c r="P359" s="767">
        <f>IFERROR(__xludf.DUMMYFUNCTION("""COMPUTED_VALUE"""),1.5416666666666667)</f>
        <v>1.541666667</v>
      </c>
      <c r="Q359" s="763" t="str">
        <f>IFERROR(__xludf.DUMMYFUNCTION("""COMPUTED_VALUE"""),"EUR")</f>
        <v>EUR</v>
      </c>
      <c r="R359" s="763">
        <f>IFERROR(__xludf.DUMMYFUNCTION("""COMPUTED_VALUE"""),799.0)</f>
        <v>799</v>
      </c>
      <c r="S359" s="763" t="str">
        <f>IFERROR(__xludf.DUMMYFUNCTION("""COMPUTED_VALUE"""),"Workshop Heels con Deborah Esposito - Workshop Heels con Deborah Esposito")</f>
        <v>Workshop Heels con Deborah Esposito - Workshop Heels con Deborah Esposito</v>
      </c>
      <c r="T359" s="763"/>
      <c r="U359" s="763"/>
      <c r="V359" s="763">
        <f>IFERROR(__xludf.DUMMYFUNCTION("""COMPUTED_VALUE"""),1.0)</f>
        <v>1</v>
      </c>
      <c r="W359" s="763">
        <f>IFERROR(__xludf.DUMMYFUNCTION("""COMPUTED_VALUE"""),37.0)</f>
        <v>37</v>
      </c>
      <c r="X359" s="763">
        <f>IFERROR(__xludf.DUMMYFUNCTION("""COMPUTED_VALUE"""),37.0)</f>
        <v>37</v>
      </c>
      <c r="Y359" s="763"/>
      <c r="Z359" s="768" t="str">
        <f>IFERROR(__xludf.DUMMYFUNCTION("""COMPUTED_VALUE"""),"https://studio-gem.it/wp-admin/post.php?post=65407&amp;action=edit")</f>
        <v>https://studio-gem.it/wp-admin/post.php?post=65407&amp;action=edit</v>
      </c>
      <c r="AA359" s="763"/>
      <c r="AB359" s="763"/>
      <c r="AC359" s="763"/>
      <c r="AD359" s="763"/>
      <c r="AE359" s="763"/>
      <c r="AF359" s="763"/>
      <c r="AG359" s="763"/>
      <c r="AH359" s="763"/>
      <c r="AI359" s="763"/>
      <c r="AJ359" s="763"/>
      <c r="AK359" s="763"/>
      <c r="AL359" s="763"/>
      <c r="AM359" s="763"/>
      <c r="AN359" s="763"/>
      <c r="AO359" s="763"/>
      <c r="AP359" s="763"/>
      <c r="AQ359" s="763"/>
      <c r="AR359" s="763"/>
      <c r="AS359" s="763"/>
      <c r="AT359" s="763"/>
      <c r="AU359" s="763"/>
      <c r="AV359" s="763"/>
      <c r="AW359" s="763"/>
      <c r="AX359" s="763"/>
      <c r="AY359" s="763"/>
      <c r="AZ359" s="763"/>
      <c r="BA359" s="763"/>
      <c r="BB359" s="763"/>
      <c r="BC359" s="763"/>
      <c r="BD359" s="763"/>
      <c r="BE359" s="763"/>
      <c r="BF359" s="763"/>
      <c r="BG359" s="763" t="b">
        <f>IFERROR(__xludf.DUMMYFUNCTION("""COMPUTED_VALUE"""),FALSE)</f>
        <v>0</v>
      </c>
      <c r="BH359" s="763" t="b">
        <f>IFERROR(__xludf.DUMMYFUNCTION("""COMPUTED_VALUE"""),FALSE)</f>
        <v>0</v>
      </c>
      <c r="BI359" s="763" t="b">
        <f>IFERROR(__xludf.DUMMYFUNCTION("""COMPUTED_VALUE"""),FALSE)</f>
        <v>0</v>
      </c>
      <c r="BJ359" s="763" t="b">
        <f>IFERROR(__xludf.DUMMYFUNCTION("""COMPUTED_VALUE"""),FALSE)</f>
        <v>0</v>
      </c>
    </row>
    <row r="360">
      <c r="A360" s="763">
        <f>IFERROR(__xludf.DUMMYFUNCTION("""COMPUTED_VALUE"""),65408.0)</f>
        <v>65408</v>
      </c>
      <c r="B360" s="763">
        <f>IFERROR(__xludf.DUMMYFUNCTION("""COMPUTED_VALUE"""),65408.0)</f>
        <v>65408</v>
      </c>
      <c r="C360" s="763" t="str">
        <f>IFERROR(__xludf.DUMMYFUNCTION("""COMPUTED_VALUE"""),"2025-10-22 17:54:38")</f>
        <v>2025-10-22 17:54:38</v>
      </c>
      <c r="D360" s="763" t="str">
        <f>IFERROR(__xludf.DUMMYFUNCTION("""COMPUTED_VALUE"""),"pending")</f>
        <v>pending</v>
      </c>
      <c r="E360" s="763" t="str">
        <f>IFERROR(__xludf.DUMMYFUNCTION("""COMPUTED_VALUE"""),"Fabio")</f>
        <v>Fabio</v>
      </c>
      <c r="F360" s="763" t="str">
        <f>IFERROR(__xludf.DUMMYFUNCTION("""COMPUTED_VALUE"""),"Rho")</f>
        <v>Rho</v>
      </c>
      <c r="G360" s="763" t="str">
        <f>IFERROR(__xludf.DUMMYFUNCTION("""COMPUTED_VALUE"""),"fabio_rho@hotmail.com")</f>
        <v>fabio_rho@hotmail.com</v>
      </c>
      <c r="H360" s="763">
        <f>IFERROR(__xludf.DUMMYFUNCTION("""COMPUTED_VALUE"""),3.282344198E9)</f>
        <v>3282344198</v>
      </c>
      <c r="I360" s="763" t="str">
        <f>IFERROR(__xludf.DUMMYFUNCTION("""COMPUTED_VALUE"""),"Mediglia")</f>
        <v>Mediglia</v>
      </c>
      <c r="J360" s="763" t="str">
        <f>IFERROR(__xludf.DUMMYFUNCTION("""COMPUTED_VALUE"""),"Via Orsa Maggiore 1")</f>
        <v>Via Orsa Maggiore 1</v>
      </c>
      <c r="K360" s="763">
        <f>IFERROR(__xludf.DUMMYFUNCTION("""COMPUTED_VALUE"""),20076.0)</f>
        <v>20076</v>
      </c>
      <c r="L360" s="763" t="str">
        <f>IFERROR(__xludf.DUMMYFUNCTION("""COMPUTED_VALUE"""),"Scalapay - Pay in 3")</f>
        <v>Scalapay - Pay in 3</v>
      </c>
      <c r="M360" s="763"/>
      <c r="N360" s="763"/>
      <c r="O360" s="763">
        <f>IFERROR(__xludf.DUMMYFUNCTION("""COMPUTED_VALUE"""),0.0)</f>
        <v>0</v>
      </c>
      <c r="P360" s="767">
        <f>IFERROR(__xludf.DUMMYFUNCTION("""COMPUTED_VALUE"""),1.875)</f>
        <v>1.875</v>
      </c>
      <c r="Q360" s="763" t="str">
        <f>IFERROR(__xludf.DUMMYFUNCTION("""COMPUTED_VALUE"""),"EUR")</f>
        <v>EUR</v>
      </c>
      <c r="R360" s="763">
        <f>IFERROR(__xludf.DUMMYFUNCTION("""COMPUTED_VALUE"""),800.0)</f>
        <v>800</v>
      </c>
      <c r="S360" s="763" t="str">
        <f>IFERROR(__xludf.DUMMYFUNCTION("""COMPUTED_VALUE"""),"Workshop Commercial con Timor Steffens - Workshop Commercial con Timor Steffens")</f>
        <v>Workshop Commercial con Timor Steffens - Workshop Commercial con Timor Steffens</v>
      </c>
      <c r="T360" s="763"/>
      <c r="U360" s="763"/>
      <c r="V360" s="763">
        <f>IFERROR(__xludf.DUMMYFUNCTION("""COMPUTED_VALUE"""),1.0)</f>
        <v>1</v>
      </c>
      <c r="W360" s="763">
        <f>IFERROR(__xludf.DUMMYFUNCTION("""COMPUTED_VALUE"""),45.0)</f>
        <v>45</v>
      </c>
      <c r="X360" s="763">
        <f>IFERROR(__xludf.DUMMYFUNCTION("""COMPUTED_VALUE"""),45.0)</f>
        <v>45</v>
      </c>
      <c r="Y360" s="763"/>
      <c r="Z360" s="768" t="str">
        <f>IFERROR(__xludf.DUMMYFUNCTION("""COMPUTED_VALUE"""),"https://studio-gem.it/wp-admin/post.php?post=65408&amp;action=edit")</f>
        <v>https://studio-gem.it/wp-admin/post.php?post=65408&amp;action=edit</v>
      </c>
      <c r="AA360" s="763"/>
      <c r="AB360" s="763"/>
      <c r="AC360" s="763"/>
      <c r="AD360" s="763"/>
      <c r="AE360" s="763"/>
      <c r="AF360" s="763"/>
      <c r="AG360" s="763"/>
      <c r="AH360" s="763"/>
      <c r="AI360" s="763"/>
      <c r="AJ360" s="763"/>
      <c r="AK360" s="763"/>
      <c r="AL360" s="763"/>
      <c r="AM360" s="763"/>
      <c r="AN360" s="763"/>
      <c r="AO360" s="763"/>
      <c r="AP360" s="763"/>
      <c r="AQ360" s="763"/>
      <c r="AR360" s="763"/>
      <c r="AS360" s="763"/>
      <c r="AT360" s="763"/>
      <c r="AU360" s="763"/>
      <c r="AV360" s="763"/>
      <c r="AW360" s="763"/>
      <c r="AX360" s="763"/>
      <c r="AY360" s="763"/>
      <c r="AZ360" s="763"/>
      <c r="BA360" s="763"/>
      <c r="BB360" s="763"/>
      <c r="BC360" s="763"/>
      <c r="BD360" s="763"/>
      <c r="BE360" s="763"/>
      <c r="BF360" s="763"/>
      <c r="BG360" s="763" t="b">
        <f>IFERROR(__xludf.DUMMYFUNCTION("""COMPUTED_VALUE"""),FALSE)</f>
        <v>0</v>
      </c>
      <c r="BH360" s="763" t="b">
        <f>IFERROR(__xludf.DUMMYFUNCTION("""COMPUTED_VALUE"""),FALSE)</f>
        <v>0</v>
      </c>
      <c r="BI360" s="763" t="b">
        <f>IFERROR(__xludf.DUMMYFUNCTION("""COMPUTED_VALUE"""),FALSE)</f>
        <v>0</v>
      </c>
      <c r="BJ360" s="763" t="b">
        <f>IFERROR(__xludf.DUMMYFUNCTION("""COMPUTED_VALUE"""),FALSE)</f>
        <v>0</v>
      </c>
    </row>
    <row r="361">
      <c r="A361" s="763">
        <f>IFERROR(__xludf.DUMMYFUNCTION("""COMPUTED_VALUE"""),65409.0)</f>
        <v>65409</v>
      </c>
      <c r="B361" s="763">
        <f>IFERROR(__xludf.DUMMYFUNCTION("""COMPUTED_VALUE"""),65409.0)</f>
        <v>65409</v>
      </c>
      <c r="C361" s="763" t="str">
        <f>IFERROR(__xludf.DUMMYFUNCTION("""COMPUTED_VALUE"""),"2025-10-22 18:00:08")</f>
        <v>2025-10-22 18:00:08</v>
      </c>
      <c r="D361" s="763" t="str">
        <f>IFERROR(__xludf.DUMMYFUNCTION("""COMPUTED_VALUE"""),"completed")</f>
        <v>completed</v>
      </c>
      <c r="E361" s="763" t="str">
        <f>IFERROR(__xludf.DUMMYFUNCTION("""COMPUTED_VALUE"""),"Chiara")</f>
        <v>Chiara</v>
      </c>
      <c r="F361" s="763" t="str">
        <f>IFERROR(__xludf.DUMMYFUNCTION("""COMPUTED_VALUE"""),"De Nubbio")</f>
        <v>De Nubbio</v>
      </c>
      <c r="G361" s="763" t="str">
        <f>IFERROR(__xludf.DUMMYFUNCTION("""COMPUTED_VALUE"""),"chiara.denubbio@gmail.com")</f>
        <v>chiara.denubbio@gmail.com</v>
      </c>
      <c r="H361" s="763">
        <f>IFERROR(__xludf.DUMMYFUNCTION("""COMPUTED_VALUE"""),3.316718928E9)</f>
        <v>3316718928</v>
      </c>
      <c r="I361" s="763" t="str">
        <f>IFERROR(__xludf.DUMMYFUNCTION("""COMPUTED_VALUE"""),"Milano")</f>
        <v>Milano</v>
      </c>
      <c r="J361" s="763" t="str">
        <f>IFERROR(__xludf.DUMMYFUNCTION("""COMPUTED_VALUE"""),"Corso porta romana, 54")</f>
        <v>Corso porta romana, 54</v>
      </c>
      <c r="K361" s="763">
        <f>IFERROR(__xludf.DUMMYFUNCTION("""COMPUTED_VALUE"""),20122.0)</f>
        <v>20122</v>
      </c>
      <c r="L361" s="763"/>
      <c r="M361" s="763"/>
      <c r="N361" s="763"/>
      <c r="O361" s="763">
        <f>IFERROR(__xludf.DUMMYFUNCTION("""COMPUTED_VALUE"""),0.0)</f>
        <v>0</v>
      </c>
      <c r="P361" s="767">
        <f>IFERROR(__xludf.DUMMYFUNCTION("""COMPUTED_VALUE"""),0.0)</f>
        <v>0</v>
      </c>
      <c r="Q361" s="763" t="str">
        <f>IFERROR(__xludf.DUMMYFUNCTION("""COMPUTED_VALUE"""),"EUR")</f>
        <v>EUR</v>
      </c>
      <c r="R361" s="763">
        <f>IFERROR(__xludf.DUMMYFUNCTION("""COMPUTED_VALUE"""),801.0)</f>
        <v>801</v>
      </c>
      <c r="S361" s="763" t="str">
        <f>IFERROR(__xludf.DUMMYFUNCTION("""COMPUTED_VALUE"""),"Domeniche in movimento - Gratuito per open fitness e open mattino 1 lezione dalle 10 alle 10.50")</f>
        <v>Domeniche in movimento - Gratuito per open fitness e open mattino 1 lezione dalle 10 alle 10.50</v>
      </c>
      <c r="T361" s="763"/>
      <c r="U361" s="763"/>
      <c r="V361" s="763">
        <f>IFERROR(__xludf.DUMMYFUNCTION("""COMPUTED_VALUE"""),1.0)</f>
        <v>1</v>
      </c>
      <c r="W361" s="763">
        <f>IFERROR(__xludf.DUMMYFUNCTION("""COMPUTED_VALUE"""),0.0)</f>
        <v>0</v>
      </c>
      <c r="X361" s="763">
        <f>IFERROR(__xludf.DUMMYFUNCTION("""COMPUTED_VALUE"""),0.0)</f>
        <v>0</v>
      </c>
      <c r="Y361" s="763"/>
      <c r="Z361" s="768" t="str">
        <f>IFERROR(__xludf.DUMMYFUNCTION("""COMPUTED_VALUE"""),"https://studio-gem.it/wp-admin/post.php?post=65409&amp;action=edit")</f>
        <v>https://studio-gem.it/wp-admin/post.php?post=65409&amp;action=edit</v>
      </c>
      <c r="AA361" s="763"/>
      <c r="AB361" s="763"/>
      <c r="AC361" s="763"/>
      <c r="AD361" s="763"/>
      <c r="AE361" s="763"/>
      <c r="AF361" s="763"/>
      <c r="AG361" s="763"/>
      <c r="AH361" s="763"/>
      <c r="AI361" s="763"/>
      <c r="AJ361" s="763"/>
      <c r="AK361" s="763"/>
      <c r="AL361" s="763"/>
      <c r="AM361" s="763"/>
      <c r="AN361" s="763"/>
      <c r="AO361" s="763"/>
      <c r="AP361" s="763"/>
      <c r="AQ361" s="763"/>
      <c r="AR361" s="763"/>
      <c r="AS361" s="763"/>
      <c r="AT361" s="763"/>
      <c r="AU361" s="763"/>
      <c r="AV361" s="763"/>
      <c r="AW361" s="763"/>
      <c r="AX361" s="763"/>
      <c r="AY361" s="763"/>
      <c r="AZ361" s="763"/>
      <c r="BA361" s="763"/>
      <c r="BB361" s="763"/>
      <c r="BC361" s="763"/>
      <c r="BD361" s="763"/>
      <c r="BE361" s="763"/>
      <c r="BF361" s="763"/>
      <c r="BG361" s="763" t="b">
        <f>IFERROR(__xludf.DUMMYFUNCTION("""COMPUTED_VALUE"""),FALSE)</f>
        <v>0</v>
      </c>
      <c r="BH361" s="763" t="b">
        <f>IFERROR(__xludf.DUMMYFUNCTION("""COMPUTED_VALUE"""),FALSE)</f>
        <v>0</v>
      </c>
      <c r="BI361" s="763" t="b">
        <f>IFERROR(__xludf.DUMMYFUNCTION("""COMPUTED_VALUE"""),FALSE)</f>
        <v>0</v>
      </c>
      <c r="BJ361" s="763" t="b">
        <f>IFERROR(__xludf.DUMMYFUNCTION("""COMPUTED_VALUE"""),FALSE)</f>
        <v>0</v>
      </c>
    </row>
    <row r="362">
      <c r="A362" s="763">
        <f>IFERROR(__xludf.DUMMYFUNCTION("""COMPUTED_VALUE"""),65409.0)</f>
        <v>65409</v>
      </c>
      <c r="B362" s="763">
        <f>IFERROR(__xludf.DUMMYFUNCTION("""COMPUTED_VALUE"""),65409.0)</f>
        <v>65409</v>
      </c>
      <c r="C362" s="763" t="str">
        <f>IFERROR(__xludf.DUMMYFUNCTION("""COMPUTED_VALUE"""),"2025-10-22 18:00:08")</f>
        <v>2025-10-22 18:00:08</v>
      </c>
      <c r="D362" s="763" t="str">
        <f>IFERROR(__xludf.DUMMYFUNCTION("""COMPUTED_VALUE"""),"completed")</f>
        <v>completed</v>
      </c>
      <c r="E362" s="763" t="str">
        <f>IFERROR(__xludf.DUMMYFUNCTION("""COMPUTED_VALUE"""),"Chiara")</f>
        <v>Chiara</v>
      </c>
      <c r="F362" s="763" t="str">
        <f>IFERROR(__xludf.DUMMYFUNCTION("""COMPUTED_VALUE"""),"De Nubbio")</f>
        <v>De Nubbio</v>
      </c>
      <c r="G362" s="763" t="str">
        <f>IFERROR(__xludf.DUMMYFUNCTION("""COMPUTED_VALUE"""),"chiara.denubbio@gmail.com")</f>
        <v>chiara.denubbio@gmail.com</v>
      </c>
      <c r="H362" s="763">
        <f>IFERROR(__xludf.DUMMYFUNCTION("""COMPUTED_VALUE"""),3.316718928E9)</f>
        <v>3316718928</v>
      </c>
      <c r="I362" s="763" t="str">
        <f>IFERROR(__xludf.DUMMYFUNCTION("""COMPUTED_VALUE"""),"Milano")</f>
        <v>Milano</v>
      </c>
      <c r="J362" s="763" t="str">
        <f>IFERROR(__xludf.DUMMYFUNCTION("""COMPUTED_VALUE"""),"Corso porta romana, 54")</f>
        <v>Corso porta romana, 54</v>
      </c>
      <c r="K362" s="763">
        <f>IFERROR(__xludf.DUMMYFUNCTION("""COMPUTED_VALUE"""),20122.0)</f>
        <v>20122</v>
      </c>
      <c r="L362" s="763"/>
      <c r="M362" s="763"/>
      <c r="N362" s="763"/>
      <c r="O362" s="763">
        <f>IFERROR(__xludf.DUMMYFUNCTION("""COMPUTED_VALUE"""),0.0)</f>
        <v>0</v>
      </c>
      <c r="P362" s="767">
        <f>IFERROR(__xludf.DUMMYFUNCTION("""COMPUTED_VALUE"""),0.0)</f>
        <v>0</v>
      </c>
      <c r="Q362" s="763" t="str">
        <f>IFERROR(__xludf.DUMMYFUNCTION("""COMPUTED_VALUE"""),"EUR")</f>
        <v>EUR</v>
      </c>
      <c r="R362" s="763">
        <f>IFERROR(__xludf.DUMMYFUNCTION("""COMPUTED_VALUE"""),802.0)</f>
        <v>802</v>
      </c>
      <c r="S362" s="763" t="str">
        <f>IFERROR(__xludf.DUMMYFUNCTION("""COMPUTED_VALUE"""),"Domeniche in movimento - Gratuito per open fitness e open mattino 1 lezione dalle 11 alle 11.50")</f>
        <v>Domeniche in movimento - Gratuito per open fitness e open mattino 1 lezione dalle 11 alle 11.50</v>
      </c>
      <c r="T362" s="763"/>
      <c r="U362" s="763"/>
      <c r="V362" s="763">
        <f>IFERROR(__xludf.DUMMYFUNCTION("""COMPUTED_VALUE"""),1.0)</f>
        <v>1</v>
      </c>
      <c r="W362" s="763">
        <f>IFERROR(__xludf.DUMMYFUNCTION("""COMPUTED_VALUE"""),0.0)</f>
        <v>0</v>
      </c>
      <c r="X362" s="763">
        <f>IFERROR(__xludf.DUMMYFUNCTION("""COMPUTED_VALUE"""),0.0)</f>
        <v>0</v>
      </c>
      <c r="Y362" s="763"/>
      <c r="Z362" s="768" t="str">
        <f>IFERROR(__xludf.DUMMYFUNCTION("""COMPUTED_VALUE"""),"https://studio-gem.it/wp-admin/post.php?post=65409&amp;action=edit")</f>
        <v>https://studio-gem.it/wp-admin/post.php?post=65409&amp;action=edit</v>
      </c>
      <c r="AA362" s="763"/>
      <c r="AB362" s="763"/>
      <c r="AC362" s="763"/>
      <c r="AD362" s="763"/>
      <c r="AE362" s="763"/>
      <c r="AF362" s="763"/>
      <c r="AG362" s="763"/>
      <c r="AH362" s="763"/>
      <c r="AI362" s="763"/>
      <c r="AJ362" s="763"/>
      <c r="AK362" s="763"/>
      <c r="AL362" s="763"/>
      <c r="AM362" s="763"/>
      <c r="AN362" s="763"/>
      <c r="AO362" s="763"/>
      <c r="AP362" s="763"/>
      <c r="AQ362" s="763"/>
      <c r="AR362" s="763"/>
      <c r="AS362" s="763"/>
      <c r="AT362" s="763"/>
      <c r="AU362" s="763"/>
      <c r="AV362" s="763"/>
      <c r="AW362" s="763"/>
      <c r="AX362" s="763"/>
      <c r="AY362" s="763"/>
      <c r="AZ362" s="763"/>
      <c r="BA362" s="763"/>
      <c r="BB362" s="763"/>
      <c r="BC362" s="763"/>
      <c r="BD362" s="763"/>
      <c r="BE362" s="763"/>
      <c r="BF362" s="763"/>
      <c r="BG362" s="763" t="b">
        <f>IFERROR(__xludf.DUMMYFUNCTION("""COMPUTED_VALUE"""),FALSE)</f>
        <v>0</v>
      </c>
      <c r="BH362" s="763" t="b">
        <f>IFERROR(__xludf.DUMMYFUNCTION("""COMPUTED_VALUE"""),FALSE)</f>
        <v>0</v>
      </c>
      <c r="BI362" s="763" t="b">
        <f>IFERROR(__xludf.DUMMYFUNCTION("""COMPUTED_VALUE"""),FALSE)</f>
        <v>0</v>
      </c>
      <c r="BJ362" s="763" t="b">
        <f>IFERROR(__xludf.DUMMYFUNCTION("""COMPUTED_VALUE"""),FALSE)</f>
        <v>0</v>
      </c>
    </row>
    <row r="363">
      <c r="A363" s="763">
        <f>IFERROR(__xludf.DUMMYFUNCTION("""COMPUTED_VALUE"""),65411.0)</f>
        <v>65411</v>
      </c>
      <c r="B363" s="763">
        <f>IFERROR(__xludf.DUMMYFUNCTION("""COMPUTED_VALUE"""),65411.0)</f>
        <v>65411</v>
      </c>
      <c r="C363" s="763" t="str">
        <f>IFERROR(__xludf.DUMMYFUNCTION("""COMPUTED_VALUE"""),"2025-10-22 19:19:02")</f>
        <v>2025-10-22 19:19:02</v>
      </c>
      <c r="D363" s="763" t="str">
        <f>IFERROR(__xludf.DUMMYFUNCTION("""COMPUTED_VALUE"""),"processing")</f>
        <v>processing</v>
      </c>
      <c r="E363" s="763" t="str">
        <f>IFERROR(__xludf.DUMMYFUNCTION("""COMPUTED_VALUE"""),"Giorgia")</f>
        <v>Giorgia</v>
      </c>
      <c r="F363" s="763" t="str">
        <f>IFERROR(__xludf.DUMMYFUNCTION("""COMPUTED_VALUE"""),"Fontana")</f>
        <v>Fontana</v>
      </c>
      <c r="G363" s="763" t="str">
        <f>IFERROR(__xludf.DUMMYFUNCTION("""COMPUTED_VALUE"""),"mary.pescara68@gmail.com")</f>
        <v>mary.pescara68@gmail.com</v>
      </c>
      <c r="H363" s="763">
        <f>IFERROR(__xludf.DUMMYFUNCTION("""COMPUTED_VALUE"""),3.383162719E9)</f>
        <v>3383162719</v>
      </c>
      <c r="I363" s="763" t="str">
        <f>IFERROR(__xludf.DUMMYFUNCTION("""COMPUTED_VALUE"""),"Pantigliate")</f>
        <v>Pantigliate</v>
      </c>
      <c r="J363" s="763" t="str">
        <f>IFERROR(__xludf.DUMMYFUNCTION("""COMPUTED_VALUE"""),"xxv Aprile 22")</f>
        <v>xxv Aprile 22</v>
      </c>
      <c r="K363" s="763">
        <f>IFERROR(__xludf.DUMMYFUNCTION("""COMPUTED_VALUE"""),20048.0)</f>
        <v>20048</v>
      </c>
      <c r="L363" s="763" t="str">
        <f>IFERROR(__xludf.DUMMYFUNCTION("""COMPUTED_VALUE"""),"Carte di pagamento")</f>
        <v>Carte di pagamento</v>
      </c>
      <c r="M363" s="763"/>
      <c r="N363" s="763" t="str">
        <f>IFERROR(__xludf.DUMMYFUNCTION("""COMPUTED_VALUE"""),"65411-1761160743")</f>
        <v>65411-1761160743</v>
      </c>
      <c r="O363" s="763">
        <f>IFERROR(__xludf.DUMMYFUNCTION("""COMPUTED_VALUE"""),0.0)</f>
        <v>0</v>
      </c>
      <c r="P363" s="767">
        <f>IFERROR(__xludf.DUMMYFUNCTION("""COMPUTED_VALUE"""),1.875)</f>
        <v>1.875</v>
      </c>
      <c r="Q363" s="763" t="str">
        <f>IFERROR(__xludf.DUMMYFUNCTION("""COMPUTED_VALUE"""),"EUR")</f>
        <v>EUR</v>
      </c>
      <c r="R363" s="763">
        <f>IFERROR(__xludf.DUMMYFUNCTION("""COMPUTED_VALUE"""),803.0)</f>
        <v>803</v>
      </c>
      <c r="S363" s="763" t="str">
        <f>IFERROR(__xludf.DUMMYFUNCTION("""COMPUTED_VALUE"""),"Workshop Commercial con Timor Steffens - Workshop Commercial con Timor Steffens")</f>
        <v>Workshop Commercial con Timor Steffens - Workshop Commercial con Timor Steffens</v>
      </c>
      <c r="T363" s="763"/>
      <c r="U363" s="763"/>
      <c r="V363" s="763">
        <f>IFERROR(__xludf.DUMMYFUNCTION("""COMPUTED_VALUE"""),1.0)</f>
        <v>1</v>
      </c>
      <c r="W363" s="763">
        <f>IFERROR(__xludf.DUMMYFUNCTION("""COMPUTED_VALUE"""),45.0)</f>
        <v>45</v>
      </c>
      <c r="X363" s="763">
        <f>IFERROR(__xludf.DUMMYFUNCTION("""COMPUTED_VALUE"""),45.0)</f>
        <v>45</v>
      </c>
      <c r="Y363" s="763"/>
      <c r="Z363" s="768" t="str">
        <f>IFERROR(__xludf.DUMMYFUNCTION("""COMPUTED_VALUE"""),"https://studio-gem.it/wp-admin/post.php?post=65411&amp;action=edit")</f>
        <v>https://studio-gem.it/wp-admin/post.php?post=65411&amp;action=edit</v>
      </c>
      <c r="AA363" s="763"/>
      <c r="AB363" s="763"/>
      <c r="AC363" s="763"/>
      <c r="AD363" s="763"/>
      <c r="AE363" s="763"/>
      <c r="AF363" s="763"/>
      <c r="AG363" s="763"/>
      <c r="AH363" s="763"/>
      <c r="AI363" s="763"/>
      <c r="AJ363" s="763"/>
      <c r="AK363" s="763"/>
      <c r="AL363" s="763"/>
      <c r="AM363" s="763"/>
      <c r="AN363" s="763"/>
      <c r="AO363" s="763"/>
      <c r="AP363" s="763"/>
      <c r="AQ363" s="763"/>
      <c r="AR363" s="763"/>
      <c r="AS363" s="763"/>
      <c r="AT363" s="763"/>
      <c r="AU363" s="763"/>
      <c r="AV363" s="763"/>
      <c r="AW363" s="763"/>
      <c r="AX363" s="763"/>
      <c r="AY363" s="763"/>
      <c r="AZ363" s="763"/>
      <c r="BA363" s="763"/>
      <c r="BB363" s="763"/>
      <c r="BC363" s="763"/>
      <c r="BD363" s="763"/>
      <c r="BE363" s="763"/>
      <c r="BF363" s="763"/>
      <c r="BG363" s="763" t="b">
        <f>IFERROR(__xludf.DUMMYFUNCTION("""COMPUTED_VALUE"""),TRUE)</f>
        <v>1</v>
      </c>
      <c r="BH363" s="763" t="b">
        <f>IFERROR(__xludf.DUMMYFUNCTION("""COMPUTED_VALUE"""),FALSE)</f>
        <v>0</v>
      </c>
      <c r="BI363" s="763" t="b">
        <f>IFERROR(__xludf.DUMMYFUNCTION("""COMPUTED_VALUE"""),TRUE)</f>
        <v>1</v>
      </c>
      <c r="BJ363" s="763" t="b">
        <f>IFERROR(__xludf.DUMMYFUNCTION("""COMPUTED_VALUE"""),TRUE)</f>
        <v>1</v>
      </c>
    </row>
    <row r="364">
      <c r="A364" s="763">
        <f>IFERROR(__xludf.DUMMYFUNCTION("""COMPUTED_VALUE"""),65412.0)</f>
        <v>65412</v>
      </c>
      <c r="B364" s="763">
        <f>IFERROR(__xludf.DUMMYFUNCTION("""COMPUTED_VALUE"""),65412.0)</f>
        <v>65412</v>
      </c>
      <c r="C364" s="763" t="str">
        <f>IFERROR(__xludf.DUMMYFUNCTION("""COMPUTED_VALUE"""),"2025-10-22 19:27:15")</f>
        <v>2025-10-22 19:27:15</v>
      </c>
      <c r="D364" s="763" t="str">
        <f>IFERROR(__xludf.DUMMYFUNCTION("""COMPUTED_VALUE"""),"completed")</f>
        <v>completed</v>
      </c>
      <c r="E364" s="763" t="str">
        <f>IFERROR(__xludf.DUMMYFUNCTION("""COMPUTED_VALUE"""),"Jasmine")</f>
        <v>Jasmine</v>
      </c>
      <c r="F364" s="763" t="str">
        <f>IFERROR(__xludf.DUMMYFUNCTION("""COMPUTED_VALUE"""),"Furriolo")</f>
        <v>Furriolo</v>
      </c>
      <c r="G364" s="763" t="str">
        <f>IFERROR(__xludf.DUMMYFUNCTION("""COMPUTED_VALUE"""),"furriolo.jasmine@gmail.com")</f>
        <v>furriolo.jasmine@gmail.com</v>
      </c>
      <c r="H364" s="763">
        <f>IFERROR(__xludf.DUMMYFUNCTION("""COMPUTED_VALUE"""),3.313031885E9)</f>
        <v>3313031885</v>
      </c>
      <c r="I364" s="763" t="str">
        <f>IFERROR(__xludf.DUMMYFUNCTION("""COMPUTED_VALUE"""),"Milano")</f>
        <v>Milano</v>
      </c>
      <c r="J364" s="763" t="str">
        <f>IFERROR(__xludf.DUMMYFUNCTION("""COMPUTED_VALUE"""),"Via Caduti di Marcinelle 8")</f>
        <v>Via Caduti di Marcinelle 8</v>
      </c>
      <c r="K364" s="763">
        <f>IFERROR(__xludf.DUMMYFUNCTION("""COMPUTED_VALUE"""),20134.0)</f>
        <v>20134</v>
      </c>
      <c r="L364" s="763" t="str">
        <f>IFERROR(__xludf.DUMMYFUNCTION("""COMPUTED_VALUE"""),"Apple Pay")</f>
        <v>Apple Pay</v>
      </c>
      <c r="M364" s="763"/>
      <c r="N364" s="763" t="str">
        <f>IFERROR(__xludf.DUMMYFUNCTION("""COMPUTED_VALUE"""),"65412-1761161236")</f>
        <v>65412-1761161236</v>
      </c>
      <c r="O364" s="763">
        <f>IFERROR(__xludf.DUMMYFUNCTION("""COMPUTED_VALUE"""),0.0)</f>
        <v>0</v>
      </c>
      <c r="P364" s="767">
        <f>IFERROR(__xludf.DUMMYFUNCTION("""COMPUTED_VALUE"""),1.875)</f>
        <v>1.875</v>
      </c>
      <c r="Q364" s="763" t="str">
        <f>IFERROR(__xludf.DUMMYFUNCTION("""COMPUTED_VALUE"""),"EUR")</f>
        <v>EUR</v>
      </c>
      <c r="R364" s="763">
        <f>IFERROR(__xludf.DUMMYFUNCTION("""COMPUTED_VALUE"""),804.0)</f>
        <v>804</v>
      </c>
      <c r="S364" s="763" t="str">
        <f>IFERROR(__xludf.DUMMYFUNCTION("""COMPUTED_VALUE"""),"Workshop Commercial con Timor Steffens - Workshop Commercial con Timor Steffens")</f>
        <v>Workshop Commercial con Timor Steffens - Workshop Commercial con Timor Steffens</v>
      </c>
      <c r="T364" s="763"/>
      <c r="U364" s="763"/>
      <c r="V364" s="763">
        <f>IFERROR(__xludf.DUMMYFUNCTION("""COMPUTED_VALUE"""),1.0)</f>
        <v>1</v>
      </c>
      <c r="W364" s="763">
        <f>IFERROR(__xludf.DUMMYFUNCTION("""COMPUTED_VALUE"""),45.0)</f>
        <v>45</v>
      </c>
      <c r="X364" s="763">
        <f>IFERROR(__xludf.DUMMYFUNCTION("""COMPUTED_VALUE"""),45.0)</f>
        <v>45</v>
      </c>
      <c r="Y364" s="763"/>
      <c r="Z364" s="768" t="str">
        <f>IFERROR(__xludf.DUMMYFUNCTION("""COMPUTED_VALUE"""),"https://studio-gem.it/wp-admin/post.php?post=65412&amp;action=edit")</f>
        <v>https://studio-gem.it/wp-admin/post.php?post=65412&amp;action=edit</v>
      </c>
      <c r="AA364" s="763"/>
      <c r="AB364" s="763"/>
      <c r="AC364" s="763"/>
      <c r="AD364" s="763"/>
      <c r="AE364" s="763"/>
      <c r="AF364" s="763"/>
      <c r="AG364" s="763"/>
      <c r="AH364" s="763"/>
      <c r="AI364" s="763"/>
      <c r="AJ364" s="763"/>
      <c r="AK364" s="763"/>
      <c r="AL364" s="763"/>
      <c r="AM364" s="763"/>
      <c r="AN364" s="763"/>
      <c r="AO364" s="763"/>
      <c r="AP364" s="763"/>
      <c r="AQ364" s="763"/>
      <c r="AR364" s="763"/>
      <c r="AS364" s="763"/>
      <c r="AT364" s="763"/>
      <c r="AU364" s="763"/>
      <c r="AV364" s="763"/>
      <c r="AW364" s="763"/>
      <c r="AX364" s="763"/>
      <c r="AY364" s="763"/>
      <c r="AZ364" s="763"/>
      <c r="BA364" s="763"/>
      <c r="BB364" s="763"/>
      <c r="BC364" s="763"/>
      <c r="BD364" s="763"/>
      <c r="BE364" s="763"/>
      <c r="BF364" s="763"/>
      <c r="BG364" s="763" t="b">
        <f>IFERROR(__xludf.DUMMYFUNCTION("""COMPUTED_VALUE"""),TRUE)</f>
        <v>1</v>
      </c>
      <c r="BH364" s="763" t="b">
        <f>IFERROR(__xludf.DUMMYFUNCTION("""COMPUTED_VALUE"""),FALSE)</f>
        <v>0</v>
      </c>
      <c r="BI364" s="763" t="b">
        <f>IFERROR(__xludf.DUMMYFUNCTION("""COMPUTED_VALUE"""),TRUE)</f>
        <v>1</v>
      </c>
      <c r="BJ364" s="763" t="b">
        <f>IFERROR(__xludf.DUMMYFUNCTION("""COMPUTED_VALUE"""),TRUE)</f>
        <v>1</v>
      </c>
    </row>
    <row r="365">
      <c r="A365" s="763">
        <f>IFERROR(__xludf.DUMMYFUNCTION("""COMPUTED_VALUE"""),65414.0)</f>
        <v>65414</v>
      </c>
      <c r="B365" s="763">
        <f>IFERROR(__xludf.DUMMYFUNCTION("""COMPUTED_VALUE"""),65414.0)</f>
        <v>65414</v>
      </c>
      <c r="C365" s="763" t="str">
        <f>IFERROR(__xludf.DUMMYFUNCTION("""COMPUTED_VALUE"""),"2025-10-22 19:50:13")</f>
        <v>2025-10-22 19:50:13</v>
      </c>
      <c r="D365" s="763" t="str">
        <f>IFERROR(__xludf.DUMMYFUNCTION("""COMPUTED_VALUE"""),"cancelled")</f>
        <v>cancelled</v>
      </c>
      <c r="E365" s="763" t="str">
        <f>IFERROR(__xludf.DUMMYFUNCTION("""COMPUTED_VALUE"""),"Fabio")</f>
        <v>Fabio</v>
      </c>
      <c r="F365" s="763" t="str">
        <f>IFERROR(__xludf.DUMMYFUNCTION("""COMPUTED_VALUE"""),"Rho")</f>
        <v>Rho</v>
      </c>
      <c r="G365" s="763" t="str">
        <f>IFERROR(__xludf.DUMMYFUNCTION("""COMPUTED_VALUE"""),"fabio_rho@hotmail.com")</f>
        <v>fabio_rho@hotmail.com</v>
      </c>
      <c r="H365" s="763">
        <f>IFERROR(__xludf.DUMMYFUNCTION("""COMPUTED_VALUE"""),3.282344198E9)</f>
        <v>3282344198</v>
      </c>
      <c r="I365" s="763" t="str">
        <f>IFERROR(__xludf.DUMMYFUNCTION("""COMPUTED_VALUE"""),"Mediglia")</f>
        <v>Mediglia</v>
      </c>
      <c r="J365" s="763" t="str">
        <f>IFERROR(__xludf.DUMMYFUNCTION("""COMPUTED_VALUE"""),"Via Orsa Maggiore 1")</f>
        <v>Via Orsa Maggiore 1</v>
      </c>
      <c r="K365" s="763">
        <f>IFERROR(__xludf.DUMMYFUNCTION("""COMPUTED_VALUE"""),20076.0)</f>
        <v>20076</v>
      </c>
      <c r="L365" s="763" t="str">
        <f>IFERROR(__xludf.DUMMYFUNCTION("""COMPUTED_VALUE"""),"Google Pay")</f>
        <v>Google Pay</v>
      </c>
      <c r="M365" s="763"/>
      <c r="N365" s="763"/>
      <c r="O365" s="763">
        <f>IFERROR(__xludf.DUMMYFUNCTION("""COMPUTED_VALUE"""),0.0)</f>
        <v>0</v>
      </c>
      <c r="P365" s="767">
        <f>IFERROR(__xludf.DUMMYFUNCTION("""COMPUTED_VALUE"""),7.5)</f>
        <v>7.5</v>
      </c>
      <c r="Q365" s="763" t="str">
        <f>IFERROR(__xludf.DUMMYFUNCTION("""COMPUTED_VALUE"""),"EUR")</f>
        <v>EUR</v>
      </c>
      <c r="R365" s="763">
        <f>IFERROR(__xludf.DUMMYFUNCTION("""COMPUTED_VALUE"""),805.0)</f>
        <v>805</v>
      </c>
      <c r="S365" s="763" t="str">
        <f>IFERROR(__xludf.DUMMYFUNCTION("""COMPUTED_VALUE"""),"Workshop Commercial con Timor Steffens - Workshop Commercial con Timor Steffens")</f>
        <v>Workshop Commercial con Timor Steffens - Workshop Commercial con Timor Steffens</v>
      </c>
      <c r="T365" s="763"/>
      <c r="U365" s="763"/>
      <c r="V365" s="763">
        <f>IFERROR(__xludf.DUMMYFUNCTION("""COMPUTED_VALUE"""),4.0)</f>
        <v>4</v>
      </c>
      <c r="W365" s="763">
        <f>IFERROR(__xludf.DUMMYFUNCTION("""COMPUTED_VALUE"""),45.0)</f>
        <v>45</v>
      </c>
      <c r="X365" s="763">
        <f>IFERROR(__xludf.DUMMYFUNCTION("""COMPUTED_VALUE"""),180.0)</f>
        <v>180</v>
      </c>
      <c r="Y365" s="763"/>
      <c r="Z365" s="768" t="str">
        <f>IFERROR(__xludf.DUMMYFUNCTION("""COMPUTED_VALUE"""),"https://studio-gem.it/wp-admin/post.php?post=65414&amp;action=edit")</f>
        <v>https://studio-gem.it/wp-admin/post.php?post=65414&amp;action=edit</v>
      </c>
      <c r="AA365" s="763"/>
      <c r="AB365" s="763"/>
      <c r="AC365" s="763"/>
      <c r="AD365" s="763"/>
      <c r="AE365" s="763"/>
      <c r="AF365" s="763"/>
      <c r="AG365" s="763"/>
      <c r="AH365" s="763"/>
      <c r="AI365" s="763"/>
      <c r="AJ365" s="763"/>
      <c r="AK365" s="763"/>
      <c r="AL365" s="763"/>
      <c r="AM365" s="763"/>
      <c r="AN365" s="763"/>
      <c r="AO365" s="763"/>
      <c r="AP365" s="763"/>
      <c r="AQ365" s="763"/>
      <c r="AR365" s="763"/>
      <c r="AS365" s="763"/>
      <c r="AT365" s="763"/>
      <c r="AU365" s="763"/>
      <c r="AV365" s="763"/>
      <c r="AW365" s="763"/>
      <c r="AX365" s="763"/>
      <c r="AY365" s="763"/>
      <c r="AZ365" s="763"/>
      <c r="BA365" s="763"/>
      <c r="BB365" s="763"/>
      <c r="BC365" s="763"/>
      <c r="BD365" s="763"/>
      <c r="BE365" s="763"/>
      <c r="BF365" s="763"/>
      <c r="BG365" s="763" t="b">
        <f>IFERROR(__xludf.DUMMYFUNCTION("""COMPUTED_VALUE"""),FALSE)</f>
        <v>0</v>
      </c>
      <c r="BH365" s="763" t="b">
        <f>IFERROR(__xludf.DUMMYFUNCTION("""COMPUTED_VALUE"""),FALSE)</f>
        <v>0</v>
      </c>
      <c r="BI365" s="763" t="b">
        <f>IFERROR(__xludf.DUMMYFUNCTION("""COMPUTED_VALUE"""),FALSE)</f>
        <v>0</v>
      </c>
      <c r="BJ365" s="763" t="b">
        <f>IFERROR(__xludf.DUMMYFUNCTION("""COMPUTED_VALUE"""),FALSE)</f>
        <v>0</v>
      </c>
    </row>
    <row r="366">
      <c r="A366" s="763">
        <f>IFERROR(__xludf.DUMMYFUNCTION("""COMPUTED_VALUE"""),65415.0)</f>
        <v>65415</v>
      </c>
      <c r="B366" s="763">
        <f>IFERROR(__xludf.DUMMYFUNCTION("""COMPUTED_VALUE"""),65415.0)</f>
        <v>65415</v>
      </c>
      <c r="C366" s="763" t="str">
        <f>IFERROR(__xludf.DUMMYFUNCTION("""COMPUTED_VALUE"""),"2025-10-23 07:42:37")</f>
        <v>2025-10-23 07:42:37</v>
      </c>
      <c r="D366" s="763" t="str">
        <f>IFERROR(__xludf.DUMMYFUNCTION("""COMPUTED_VALUE"""),"completed")</f>
        <v>completed</v>
      </c>
      <c r="E366" s="763" t="str">
        <f>IFERROR(__xludf.DUMMYFUNCTION("""COMPUTED_VALUE"""),"Maria Sofia")</f>
        <v>Maria Sofia</v>
      </c>
      <c r="F366" s="763" t="str">
        <f>IFERROR(__xludf.DUMMYFUNCTION("""COMPUTED_VALUE"""),"Miscia")</f>
        <v>Miscia</v>
      </c>
      <c r="G366" s="763" t="str">
        <f>IFERROR(__xludf.DUMMYFUNCTION("""COMPUTED_VALUE"""),"mariasofiamiscia@gmail.com")</f>
        <v>mariasofiamiscia@gmail.com</v>
      </c>
      <c r="H366" s="763">
        <f>IFERROR(__xludf.DUMMYFUNCTION("""COMPUTED_VALUE"""),3.312035454E9)</f>
        <v>3312035454</v>
      </c>
      <c r="I366" s="763" t="str">
        <f>IFERROR(__xludf.DUMMYFUNCTION("""COMPUTED_VALUE"""),"Milano")</f>
        <v>Milano</v>
      </c>
      <c r="J366" s="763" t="str">
        <f>IFERROR(__xludf.DUMMYFUNCTION("""COMPUTED_VALUE"""),"Via Fogazzaro 8")</f>
        <v>Via Fogazzaro 8</v>
      </c>
      <c r="K366" s="763">
        <f>IFERROR(__xludf.DUMMYFUNCTION("""COMPUTED_VALUE"""),20135.0)</f>
        <v>20135</v>
      </c>
      <c r="L366" s="763" t="str">
        <f>IFERROR(__xludf.DUMMYFUNCTION("""COMPUTED_VALUE"""),"Satispay")</f>
        <v>Satispay</v>
      </c>
      <c r="M366" s="763"/>
      <c r="N366" s="763" t="str">
        <f>IFERROR(__xludf.DUMMYFUNCTION("""COMPUTED_VALUE"""),"019a1005-0d35-7963-9eef-bf1964e09802")</f>
        <v>019a1005-0d35-7963-9eef-bf1964e09802</v>
      </c>
      <c r="O366" s="763">
        <f>IFERROR(__xludf.DUMMYFUNCTION("""COMPUTED_VALUE"""),0.0)</f>
        <v>0</v>
      </c>
      <c r="P366" s="767">
        <f>IFERROR(__xludf.DUMMYFUNCTION("""COMPUTED_VALUE"""),0.625)</f>
        <v>0.625</v>
      </c>
      <c r="Q366" s="763" t="str">
        <f>IFERROR(__xludf.DUMMYFUNCTION("""COMPUTED_VALUE"""),"EUR")</f>
        <v>EUR</v>
      </c>
      <c r="R366" s="763">
        <f>IFERROR(__xludf.DUMMYFUNCTION("""COMPUTED_VALUE"""),806.0)</f>
        <v>806</v>
      </c>
      <c r="S366" s="763" t="str">
        <f>IFERROR(__xludf.DUMMYFUNCTION("""COMPUTED_VALUE"""),"Domeniche in movimento - Gestualità con Consuelo €15")</f>
        <v>Domeniche in movimento - Gestualità con Consuelo €15</v>
      </c>
      <c r="T366" s="763"/>
      <c r="U366" s="763"/>
      <c r="V366" s="763">
        <f>IFERROR(__xludf.DUMMYFUNCTION("""COMPUTED_VALUE"""),1.0)</f>
        <v>1</v>
      </c>
      <c r="W366" s="763">
        <f>IFERROR(__xludf.DUMMYFUNCTION("""COMPUTED_VALUE"""),15.0)</f>
        <v>15</v>
      </c>
      <c r="X366" s="763">
        <f>IFERROR(__xludf.DUMMYFUNCTION("""COMPUTED_VALUE"""),15.0)</f>
        <v>15</v>
      </c>
      <c r="Y366" s="763"/>
      <c r="Z366" s="768" t="str">
        <f>IFERROR(__xludf.DUMMYFUNCTION("""COMPUTED_VALUE"""),"https://studio-gem.it/wp-admin/post.php?post=65415&amp;action=edit")</f>
        <v>https://studio-gem.it/wp-admin/post.php?post=65415&amp;action=edit</v>
      </c>
      <c r="AA366" s="763"/>
      <c r="AB366" s="763"/>
      <c r="AC366" s="763"/>
      <c r="AD366" s="763"/>
      <c r="AE366" s="763"/>
      <c r="AF366" s="763"/>
      <c r="AG366" s="763"/>
      <c r="AH366" s="763"/>
      <c r="AI366" s="763"/>
      <c r="AJ366" s="763"/>
      <c r="AK366" s="763"/>
      <c r="AL366" s="763"/>
      <c r="AM366" s="763"/>
      <c r="AN366" s="763"/>
      <c r="AO366" s="763"/>
      <c r="AP366" s="763"/>
      <c r="AQ366" s="763"/>
      <c r="AR366" s="763"/>
      <c r="AS366" s="763"/>
      <c r="AT366" s="763"/>
      <c r="AU366" s="763"/>
      <c r="AV366" s="763"/>
      <c r="AW366" s="763"/>
      <c r="AX366" s="763"/>
      <c r="AY366" s="763"/>
      <c r="AZ366" s="763"/>
      <c r="BA366" s="763"/>
      <c r="BB366" s="763"/>
      <c r="BC366" s="763"/>
      <c r="BD366" s="763"/>
      <c r="BE366" s="763"/>
      <c r="BF366" s="763"/>
      <c r="BG366" s="763" t="b">
        <f>IFERROR(__xludf.DUMMYFUNCTION("""COMPUTED_VALUE"""),TRUE)</f>
        <v>1</v>
      </c>
      <c r="BH366" s="763" t="b">
        <f>IFERROR(__xludf.DUMMYFUNCTION("""COMPUTED_VALUE"""),FALSE)</f>
        <v>0</v>
      </c>
      <c r="BI366" s="763" t="b">
        <f>IFERROR(__xludf.DUMMYFUNCTION("""COMPUTED_VALUE"""),TRUE)</f>
        <v>1</v>
      </c>
      <c r="BJ366" s="763" t="b">
        <f>IFERROR(__xludf.DUMMYFUNCTION("""COMPUTED_VALUE"""),TRUE)</f>
        <v>1</v>
      </c>
    </row>
    <row r="367">
      <c r="A367" s="763">
        <f>IFERROR(__xludf.DUMMYFUNCTION("""COMPUTED_VALUE"""),65417.0)</f>
        <v>65417</v>
      </c>
      <c r="B367" s="763">
        <f>IFERROR(__xludf.DUMMYFUNCTION("""COMPUTED_VALUE"""),65417.0)</f>
        <v>65417</v>
      </c>
      <c r="C367" s="763" t="str">
        <f>IFERROR(__xludf.DUMMYFUNCTION("""COMPUTED_VALUE"""),"2025-10-23 08:09:20")</f>
        <v>2025-10-23 08:09:20</v>
      </c>
      <c r="D367" s="763" t="str">
        <f>IFERROR(__xludf.DUMMYFUNCTION("""COMPUTED_VALUE"""),"pending")</f>
        <v>pending</v>
      </c>
      <c r="E367" s="763" t="str">
        <f>IFERROR(__xludf.DUMMYFUNCTION("""COMPUTED_VALUE"""),"Valentina")</f>
        <v>Valentina</v>
      </c>
      <c r="F367" s="763" t="str">
        <f>IFERROR(__xludf.DUMMYFUNCTION("""COMPUTED_VALUE"""),"Lupo")</f>
        <v>Lupo</v>
      </c>
      <c r="G367" s="763" t="str">
        <f>IFERROR(__xludf.DUMMYFUNCTION("""COMPUTED_VALUE"""),"lupo_valentina@outlook.it")</f>
        <v>lupo_valentina@outlook.it</v>
      </c>
      <c r="H367" s="763">
        <f>IFERROR(__xludf.DUMMYFUNCTION("""COMPUTED_VALUE"""),3.47068541E9)</f>
        <v>3470685410</v>
      </c>
      <c r="I367" s="763" t="str">
        <f>IFERROR(__xludf.DUMMYFUNCTION("""COMPUTED_VALUE"""),"Appiano Gentile")</f>
        <v>Appiano Gentile</v>
      </c>
      <c r="J367" s="763" t="str">
        <f>IFERROR(__xludf.DUMMYFUNCTION("""COMPUTED_VALUE"""),"Via Pedrosi 17")</f>
        <v>Via Pedrosi 17</v>
      </c>
      <c r="K367" s="763">
        <f>IFERROR(__xludf.DUMMYFUNCTION("""COMPUTED_VALUE"""),22070.0)</f>
        <v>22070</v>
      </c>
      <c r="L367" s="763" t="str">
        <f>IFERROR(__xludf.DUMMYFUNCTION("""COMPUTED_VALUE"""),"Apple Pay")</f>
        <v>Apple Pay</v>
      </c>
      <c r="M367" s="763"/>
      <c r="N367" s="763"/>
      <c r="O367" s="763">
        <f>IFERROR(__xludf.DUMMYFUNCTION("""COMPUTED_VALUE"""),0.0)</f>
        <v>0</v>
      </c>
      <c r="P367" s="767">
        <f>IFERROR(__xludf.DUMMYFUNCTION("""COMPUTED_VALUE"""),3.75)</f>
        <v>3.75</v>
      </c>
      <c r="Q367" s="763" t="str">
        <f>IFERROR(__xludf.DUMMYFUNCTION("""COMPUTED_VALUE"""),"EUR")</f>
        <v>EUR</v>
      </c>
      <c r="R367" s="763">
        <f>IFERROR(__xludf.DUMMYFUNCTION("""COMPUTED_VALUE"""),807.0)</f>
        <v>807</v>
      </c>
      <c r="S367" s="763" t="str">
        <f>IFERROR(__xludf.DUMMYFUNCTION("""COMPUTED_VALUE"""),"Workshop Commercial con Timor Steffens - Workshop Commercial con Timor Steffens")</f>
        <v>Workshop Commercial con Timor Steffens - Workshop Commercial con Timor Steffens</v>
      </c>
      <c r="T367" s="763"/>
      <c r="U367" s="763"/>
      <c r="V367" s="763">
        <f>IFERROR(__xludf.DUMMYFUNCTION("""COMPUTED_VALUE"""),2.0)</f>
        <v>2</v>
      </c>
      <c r="W367" s="763">
        <f>IFERROR(__xludf.DUMMYFUNCTION("""COMPUTED_VALUE"""),45.0)</f>
        <v>45</v>
      </c>
      <c r="X367" s="763">
        <f>IFERROR(__xludf.DUMMYFUNCTION("""COMPUTED_VALUE"""),90.0)</f>
        <v>90</v>
      </c>
      <c r="Y367" s="763"/>
      <c r="Z367" s="768" t="str">
        <f>IFERROR(__xludf.DUMMYFUNCTION("""COMPUTED_VALUE"""),"https://studio-gem.it/wp-admin/post.php?post=65417&amp;action=edit")</f>
        <v>https://studio-gem.it/wp-admin/post.php?post=65417&amp;action=edit</v>
      </c>
      <c r="AA367" s="763"/>
      <c r="AB367" s="763"/>
      <c r="AC367" s="763"/>
      <c r="AD367" s="763"/>
      <c r="AE367" s="763"/>
      <c r="AF367" s="763"/>
      <c r="AG367" s="763"/>
      <c r="AH367" s="763"/>
      <c r="AI367" s="763"/>
      <c r="AJ367" s="763"/>
      <c r="AK367" s="763"/>
      <c r="AL367" s="763"/>
      <c r="AM367" s="763"/>
      <c r="AN367" s="763"/>
      <c r="AO367" s="763"/>
      <c r="AP367" s="763"/>
      <c r="AQ367" s="763"/>
      <c r="AR367" s="763"/>
      <c r="AS367" s="763"/>
      <c r="AT367" s="763"/>
      <c r="AU367" s="763"/>
      <c r="AV367" s="763"/>
      <c r="AW367" s="763"/>
      <c r="AX367" s="763"/>
      <c r="AY367" s="763"/>
      <c r="AZ367" s="763"/>
      <c r="BA367" s="763"/>
      <c r="BB367" s="763"/>
      <c r="BC367" s="763"/>
      <c r="BD367" s="763"/>
      <c r="BE367" s="763"/>
      <c r="BF367" s="763"/>
      <c r="BG367" s="763" t="b">
        <f>IFERROR(__xludf.DUMMYFUNCTION("""COMPUTED_VALUE"""),TRUE)</f>
        <v>1</v>
      </c>
      <c r="BH367" s="763" t="b">
        <f>IFERROR(__xludf.DUMMYFUNCTION("""COMPUTED_VALUE"""),FALSE)</f>
        <v>0</v>
      </c>
      <c r="BI367" s="763" t="b">
        <f>IFERROR(__xludf.DUMMYFUNCTION("""COMPUTED_VALUE"""),TRUE)</f>
        <v>1</v>
      </c>
      <c r="BJ367" s="763" t="b">
        <f>IFERROR(__xludf.DUMMYFUNCTION("""COMPUTED_VALUE"""),TRUE)</f>
        <v>1</v>
      </c>
    </row>
    <row r="368">
      <c r="A368" s="763">
        <f>IFERROR(__xludf.DUMMYFUNCTION("""COMPUTED_VALUE"""),65418.0)</f>
        <v>65418</v>
      </c>
      <c r="B368" s="763">
        <f>IFERROR(__xludf.DUMMYFUNCTION("""COMPUTED_VALUE"""),65418.0)</f>
        <v>65418</v>
      </c>
      <c r="C368" s="763" t="str">
        <f>IFERROR(__xludf.DUMMYFUNCTION("""COMPUTED_VALUE"""),"2025-10-23 08:12:22")</f>
        <v>2025-10-23 08:12:22</v>
      </c>
      <c r="D368" s="763" t="str">
        <f>IFERROR(__xludf.DUMMYFUNCTION("""COMPUTED_VALUE"""),"pending")</f>
        <v>pending</v>
      </c>
      <c r="E368" s="763" t="str">
        <f>IFERROR(__xludf.DUMMYFUNCTION("""COMPUTED_VALUE"""),"Valentina")</f>
        <v>Valentina</v>
      </c>
      <c r="F368" s="763" t="str">
        <f>IFERROR(__xludf.DUMMYFUNCTION("""COMPUTED_VALUE"""),"Lupo")</f>
        <v>Lupo</v>
      </c>
      <c r="G368" s="763" t="str">
        <f>IFERROR(__xludf.DUMMYFUNCTION("""COMPUTED_VALUE"""),"lupo_valentina@outlook.it")</f>
        <v>lupo_valentina@outlook.it</v>
      </c>
      <c r="H368" s="763">
        <f>IFERROR(__xludf.DUMMYFUNCTION("""COMPUTED_VALUE"""),3.47068541E9)</f>
        <v>3470685410</v>
      </c>
      <c r="I368" s="763" t="str">
        <f>IFERROR(__xludf.DUMMYFUNCTION("""COMPUTED_VALUE"""),"Appiano Gentile")</f>
        <v>Appiano Gentile</v>
      </c>
      <c r="J368" s="763" t="str">
        <f>IFERROR(__xludf.DUMMYFUNCTION("""COMPUTED_VALUE"""),"Via Pedrosi 17")</f>
        <v>Via Pedrosi 17</v>
      </c>
      <c r="K368" s="763">
        <f>IFERROR(__xludf.DUMMYFUNCTION("""COMPUTED_VALUE"""),22070.0)</f>
        <v>22070</v>
      </c>
      <c r="L368" s="763" t="str">
        <f>IFERROR(__xludf.DUMMYFUNCTION("""COMPUTED_VALUE"""),"Apple Pay")</f>
        <v>Apple Pay</v>
      </c>
      <c r="M368" s="763"/>
      <c r="N368" s="763"/>
      <c r="O368" s="763">
        <f>IFERROR(__xludf.DUMMYFUNCTION("""COMPUTED_VALUE"""),0.0)</f>
        <v>0</v>
      </c>
      <c r="P368" s="767">
        <f>IFERROR(__xludf.DUMMYFUNCTION("""COMPUTED_VALUE"""),1.875)</f>
        <v>1.875</v>
      </c>
      <c r="Q368" s="763" t="str">
        <f>IFERROR(__xludf.DUMMYFUNCTION("""COMPUTED_VALUE"""),"EUR")</f>
        <v>EUR</v>
      </c>
      <c r="R368" s="763">
        <f>IFERROR(__xludf.DUMMYFUNCTION("""COMPUTED_VALUE"""),808.0)</f>
        <v>808</v>
      </c>
      <c r="S368" s="763" t="str">
        <f>IFERROR(__xludf.DUMMYFUNCTION("""COMPUTED_VALUE"""),"Workshop Commercial con Timor Steffens - Workshop Commercial con Timor Steffens")</f>
        <v>Workshop Commercial con Timor Steffens - Workshop Commercial con Timor Steffens</v>
      </c>
      <c r="T368" s="763"/>
      <c r="U368" s="763"/>
      <c r="V368" s="763">
        <f>IFERROR(__xludf.DUMMYFUNCTION("""COMPUTED_VALUE"""),1.0)</f>
        <v>1</v>
      </c>
      <c r="W368" s="763">
        <f>IFERROR(__xludf.DUMMYFUNCTION("""COMPUTED_VALUE"""),45.0)</f>
        <v>45</v>
      </c>
      <c r="X368" s="763">
        <f>IFERROR(__xludf.DUMMYFUNCTION("""COMPUTED_VALUE"""),45.0)</f>
        <v>45</v>
      </c>
      <c r="Y368" s="763"/>
      <c r="Z368" s="768" t="str">
        <f>IFERROR(__xludf.DUMMYFUNCTION("""COMPUTED_VALUE"""),"https://studio-gem.it/wp-admin/post.php?post=65418&amp;action=edit")</f>
        <v>https://studio-gem.it/wp-admin/post.php?post=65418&amp;action=edit</v>
      </c>
      <c r="AA368" s="763"/>
      <c r="AB368" s="763"/>
      <c r="AC368" s="763"/>
      <c r="AD368" s="763"/>
      <c r="AE368" s="763"/>
      <c r="AF368" s="763"/>
      <c r="AG368" s="763"/>
      <c r="AH368" s="763"/>
      <c r="AI368" s="763"/>
      <c r="AJ368" s="763"/>
      <c r="AK368" s="763"/>
      <c r="AL368" s="763"/>
      <c r="AM368" s="763"/>
      <c r="AN368" s="763"/>
      <c r="AO368" s="763"/>
      <c r="AP368" s="763"/>
      <c r="AQ368" s="763"/>
      <c r="AR368" s="763"/>
      <c r="AS368" s="763"/>
      <c r="AT368" s="763"/>
      <c r="AU368" s="763"/>
      <c r="AV368" s="763"/>
      <c r="AW368" s="763"/>
      <c r="AX368" s="763"/>
      <c r="AY368" s="763"/>
      <c r="AZ368" s="763"/>
      <c r="BA368" s="763"/>
      <c r="BB368" s="763"/>
      <c r="BC368" s="763"/>
      <c r="BD368" s="763"/>
      <c r="BE368" s="763"/>
      <c r="BF368" s="763"/>
      <c r="BG368" s="763" t="b">
        <f>IFERROR(__xludf.DUMMYFUNCTION("""COMPUTED_VALUE"""),TRUE)</f>
        <v>1</v>
      </c>
      <c r="BH368" s="763" t="b">
        <f>IFERROR(__xludf.DUMMYFUNCTION("""COMPUTED_VALUE"""),FALSE)</f>
        <v>0</v>
      </c>
      <c r="BI368" s="763" t="b">
        <f>IFERROR(__xludf.DUMMYFUNCTION("""COMPUTED_VALUE"""),TRUE)</f>
        <v>1</v>
      </c>
      <c r="BJ368" s="763" t="b">
        <f>IFERROR(__xludf.DUMMYFUNCTION("""COMPUTED_VALUE"""),FALSE)</f>
        <v>0</v>
      </c>
    </row>
    <row r="369">
      <c r="A369" s="763">
        <f>IFERROR(__xludf.DUMMYFUNCTION("""COMPUTED_VALUE"""),65423.0)</f>
        <v>65423</v>
      </c>
      <c r="B369" s="763">
        <f>IFERROR(__xludf.DUMMYFUNCTION("""COMPUTED_VALUE"""),65423.0)</f>
        <v>65423</v>
      </c>
      <c r="C369" s="763" t="str">
        <f>IFERROR(__xludf.DUMMYFUNCTION("""COMPUTED_VALUE"""),"2025-10-23 09:18:51")</f>
        <v>2025-10-23 09:18:51</v>
      </c>
      <c r="D369" s="763" t="str">
        <f>IFERROR(__xludf.DUMMYFUNCTION("""COMPUTED_VALUE"""),"pending")</f>
        <v>pending</v>
      </c>
      <c r="E369" s="763" t="str">
        <f>IFERROR(__xludf.DUMMYFUNCTION("""COMPUTED_VALUE"""),"Marpessa")</f>
        <v>Marpessa</v>
      </c>
      <c r="F369" s="763" t="str">
        <f>IFERROR(__xludf.DUMMYFUNCTION("""COMPUTED_VALUE"""),"Vergine")</f>
        <v>Vergine</v>
      </c>
      <c r="G369" s="763" t="str">
        <f>IFERROR(__xludf.DUMMYFUNCTION("""COMPUTED_VALUE"""),"marpevergine@gmail.com")</f>
        <v>marpevergine@gmail.com</v>
      </c>
      <c r="H369" s="763">
        <f>IFERROR(__xludf.DUMMYFUNCTION("""COMPUTED_VALUE"""),3.477106018E9)</f>
        <v>3477106018</v>
      </c>
      <c r="I369" s="763" t="str">
        <f>IFERROR(__xludf.DUMMYFUNCTION("""COMPUTED_VALUE"""),"Milano")</f>
        <v>Milano</v>
      </c>
      <c r="J369" s="763" t="str">
        <f>IFERROR(__xludf.DUMMYFUNCTION("""COMPUTED_VALUE"""),"Via Gian Luigi Banfi")</f>
        <v>Via Gian Luigi Banfi</v>
      </c>
      <c r="K369" s="763">
        <f>IFERROR(__xludf.DUMMYFUNCTION("""COMPUTED_VALUE"""),20142.0)</f>
        <v>20142</v>
      </c>
      <c r="L369" s="763" t="str">
        <f>IFERROR(__xludf.DUMMYFUNCTION("""COMPUTED_VALUE"""),"Apple Pay")</f>
        <v>Apple Pay</v>
      </c>
      <c r="M369" s="763"/>
      <c r="N369" s="763"/>
      <c r="O369" s="763">
        <f>IFERROR(__xludf.DUMMYFUNCTION("""COMPUTED_VALUE"""),0.0)</f>
        <v>0</v>
      </c>
      <c r="P369" s="767">
        <f>IFERROR(__xludf.DUMMYFUNCTION("""COMPUTED_VALUE"""),1.5416666666666667)</f>
        <v>1.541666667</v>
      </c>
      <c r="Q369" s="763" t="str">
        <f>IFERROR(__xludf.DUMMYFUNCTION("""COMPUTED_VALUE"""),"EUR")</f>
        <v>EUR</v>
      </c>
      <c r="R369" s="763">
        <f>IFERROR(__xludf.DUMMYFUNCTION("""COMPUTED_VALUE"""),809.0)</f>
        <v>809</v>
      </c>
      <c r="S369" s="763" t="str">
        <f>IFERROR(__xludf.DUMMYFUNCTION("""COMPUTED_VALUE"""),"Workshop Urban con Kumo - Workshop Kumo Urban")</f>
        <v>Workshop Urban con Kumo - Workshop Kumo Urban</v>
      </c>
      <c r="T369" s="763"/>
      <c r="U369" s="763"/>
      <c r="V369" s="763">
        <f>IFERROR(__xludf.DUMMYFUNCTION("""COMPUTED_VALUE"""),1.0)</f>
        <v>1</v>
      </c>
      <c r="W369" s="763">
        <f>IFERROR(__xludf.DUMMYFUNCTION("""COMPUTED_VALUE"""),37.0)</f>
        <v>37</v>
      </c>
      <c r="X369" s="763">
        <f>IFERROR(__xludf.DUMMYFUNCTION("""COMPUTED_VALUE"""),37.0)</f>
        <v>37</v>
      </c>
      <c r="Y369" s="763"/>
      <c r="Z369" s="768" t="str">
        <f>IFERROR(__xludf.DUMMYFUNCTION("""COMPUTED_VALUE"""),"https://studio-gem.it/wp-admin/post.php?post=65423&amp;action=edit")</f>
        <v>https://studio-gem.it/wp-admin/post.php?post=65423&amp;action=edit</v>
      </c>
      <c r="AA369" s="763"/>
      <c r="AB369" s="763"/>
      <c r="AC369" s="763"/>
      <c r="AD369" s="763"/>
      <c r="AE369" s="763"/>
      <c r="AF369" s="763"/>
      <c r="AG369" s="763"/>
      <c r="AH369" s="763"/>
      <c r="AI369" s="763"/>
      <c r="AJ369" s="763"/>
      <c r="AK369" s="763"/>
      <c r="AL369" s="763"/>
      <c r="AM369" s="763"/>
      <c r="AN369" s="763"/>
      <c r="AO369" s="763"/>
      <c r="AP369" s="763"/>
      <c r="AQ369" s="763"/>
      <c r="AR369" s="763"/>
      <c r="AS369" s="763"/>
      <c r="AT369" s="763"/>
      <c r="AU369" s="763"/>
      <c r="AV369" s="763"/>
      <c r="AW369" s="763"/>
      <c r="AX369" s="763"/>
      <c r="AY369" s="763"/>
      <c r="AZ369" s="763"/>
      <c r="BA369" s="763"/>
      <c r="BB369" s="763"/>
      <c r="BC369" s="763"/>
      <c r="BD369" s="763"/>
      <c r="BE369" s="763"/>
      <c r="BF369" s="763"/>
      <c r="BG369" s="763" t="b">
        <f>IFERROR(__xludf.DUMMYFUNCTION("""COMPUTED_VALUE"""),TRUE)</f>
        <v>1</v>
      </c>
      <c r="BH369" s="763" t="b">
        <f>IFERROR(__xludf.DUMMYFUNCTION("""COMPUTED_VALUE"""),FALSE)</f>
        <v>0</v>
      </c>
      <c r="BI369" s="763" t="b">
        <f>IFERROR(__xludf.DUMMYFUNCTION("""COMPUTED_VALUE"""),FALSE)</f>
        <v>0</v>
      </c>
      <c r="BJ369" s="763" t="b">
        <f>IFERROR(__xludf.DUMMYFUNCTION("""COMPUTED_VALUE"""),TRUE)</f>
        <v>1</v>
      </c>
    </row>
    <row r="370">
      <c r="A370" s="763">
        <f>IFERROR(__xludf.DUMMYFUNCTION("""COMPUTED_VALUE"""),65424.0)</f>
        <v>65424</v>
      </c>
      <c r="B370" s="763">
        <f>IFERROR(__xludf.DUMMYFUNCTION("""COMPUTED_VALUE"""),65424.0)</f>
        <v>65424</v>
      </c>
      <c r="C370" s="763" t="str">
        <f>IFERROR(__xludf.DUMMYFUNCTION("""COMPUTED_VALUE"""),"2025-10-23 09:20:11")</f>
        <v>2025-10-23 09:20:11</v>
      </c>
      <c r="D370" s="763" t="str">
        <f>IFERROR(__xludf.DUMMYFUNCTION("""COMPUTED_VALUE"""),"completed")</f>
        <v>completed</v>
      </c>
      <c r="E370" s="763" t="str">
        <f>IFERROR(__xludf.DUMMYFUNCTION("""COMPUTED_VALUE"""),"Marpessa")</f>
        <v>Marpessa</v>
      </c>
      <c r="F370" s="763" t="str">
        <f>IFERROR(__xludf.DUMMYFUNCTION("""COMPUTED_VALUE"""),"Vergine")</f>
        <v>Vergine</v>
      </c>
      <c r="G370" s="763" t="str">
        <f>IFERROR(__xludf.DUMMYFUNCTION("""COMPUTED_VALUE"""),"marpevergine@gmail.com")</f>
        <v>marpevergine@gmail.com</v>
      </c>
      <c r="H370" s="763">
        <f>IFERROR(__xludf.DUMMYFUNCTION("""COMPUTED_VALUE"""),3.477106018E9)</f>
        <v>3477106018</v>
      </c>
      <c r="I370" s="763" t="str">
        <f>IFERROR(__xludf.DUMMYFUNCTION("""COMPUTED_VALUE"""),"Milano")</f>
        <v>Milano</v>
      </c>
      <c r="J370" s="763" t="str">
        <f>IFERROR(__xludf.DUMMYFUNCTION("""COMPUTED_VALUE"""),"Via Gian Luigi Banfi")</f>
        <v>Via Gian Luigi Banfi</v>
      </c>
      <c r="K370" s="763">
        <f>IFERROR(__xludf.DUMMYFUNCTION("""COMPUTED_VALUE"""),20142.0)</f>
        <v>20142</v>
      </c>
      <c r="L370" s="763" t="str">
        <f>IFERROR(__xludf.DUMMYFUNCTION("""COMPUTED_VALUE"""),"Apple Pay")</f>
        <v>Apple Pay</v>
      </c>
      <c r="M370" s="763" t="str">
        <f>IFERROR(__xludf.DUMMYFUNCTION("""COMPUTED_VALUE"""),"sara02ws")</f>
        <v>sara02ws</v>
      </c>
      <c r="N370" s="763" t="str">
        <f>IFERROR(__xludf.DUMMYFUNCTION("""COMPUTED_VALUE"""),"65424-1761211213")</f>
        <v>65424-1761211213</v>
      </c>
      <c r="O370" s="763">
        <f>IFERROR(__xludf.DUMMYFUNCTION("""COMPUTED_VALUE"""),0.0)</f>
        <v>0</v>
      </c>
      <c r="P370" s="767">
        <f>IFERROR(__xludf.DUMMYFUNCTION("""COMPUTED_VALUE"""),1.4583333333333333)</f>
        <v>1.458333333</v>
      </c>
      <c r="Q370" s="763" t="str">
        <f>IFERROR(__xludf.DUMMYFUNCTION("""COMPUTED_VALUE"""),"EUR")</f>
        <v>EUR</v>
      </c>
      <c r="R370" s="763">
        <f>IFERROR(__xludf.DUMMYFUNCTION("""COMPUTED_VALUE"""),810.0)</f>
        <v>810</v>
      </c>
      <c r="S370" s="763" t="str">
        <f>IFERROR(__xludf.DUMMYFUNCTION("""COMPUTED_VALUE"""),"Workshop Urban con Kumo - Workshop Kumo Urban")</f>
        <v>Workshop Urban con Kumo - Workshop Kumo Urban</v>
      </c>
      <c r="T370" s="763"/>
      <c r="U370" s="763"/>
      <c r="V370" s="763">
        <f>IFERROR(__xludf.DUMMYFUNCTION("""COMPUTED_VALUE"""),1.0)</f>
        <v>1</v>
      </c>
      <c r="W370" s="763">
        <f>IFERROR(__xludf.DUMMYFUNCTION("""COMPUTED_VALUE"""),35.0)</f>
        <v>35</v>
      </c>
      <c r="X370" s="763">
        <f>IFERROR(__xludf.DUMMYFUNCTION("""COMPUTED_VALUE"""),35.0)</f>
        <v>35</v>
      </c>
      <c r="Y370" s="763"/>
      <c r="Z370" s="768" t="str">
        <f>IFERROR(__xludf.DUMMYFUNCTION("""COMPUTED_VALUE"""),"https://studio-gem.it/wp-admin/post.php?post=65424&amp;action=edit")</f>
        <v>https://studio-gem.it/wp-admin/post.php?post=65424&amp;action=edit</v>
      </c>
      <c r="AA370" s="763"/>
      <c r="AB370" s="763"/>
      <c r="AC370" s="763"/>
      <c r="AD370" s="763"/>
      <c r="AE370" s="763"/>
      <c r="AF370" s="763"/>
      <c r="AG370" s="763"/>
      <c r="AH370" s="763"/>
      <c r="AI370" s="763"/>
      <c r="AJ370" s="763"/>
      <c r="AK370" s="763"/>
      <c r="AL370" s="763"/>
      <c r="AM370" s="763"/>
      <c r="AN370" s="763"/>
      <c r="AO370" s="763"/>
      <c r="AP370" s="763"/>
      <c r="AQ370" s="763"/>
      <c r="AR370" s="763"/>
      <c r="AS370" s="763"/>
      <c r="AT370" s="763"/>
      <c r="AU370" s="763"/>
      <c r="AV370" s="763"/>
      <c r="AW370" s="763"/>
      <c r="AX370" s="763"/>
      <c r="AY370" s="763"/>
      <c r="AZ370" s="763"/>
      <c r="BA370" s="763"/>
      <c r="BB370" s="763"/>
      <c r="BC370" s="763"/>
      <c r="BD370" s="763"/>
      <c r="BE370" s="763"/>
      <c r="BF370" s="763"/>
      <c r="BG370" s="763" t="b">
        <f>IFERROR(__xludf.DUMMYFUNCTION("""COMPUTED_VALUE"""),TRUE)</f>
        <v>1</v>
      </c>
      <c r="BH370" s="763" t="b">
        <f>IFERROR(__xludf.DUMMYFUNCTION("""COMPUTED_VALUE"""),FALSE)</f>
        <v>0</v>
      </c>
      <c r="BI370" s="763" t="b">
        <f>IFERROR(__xludf.DUMMYFUNCTION("""COMPUTED_VALUE"""),TRUE)</f>
        <v>1</v>
      </c>
      <c r="BJ370" s="763" t="b">
        <f>IFERROR(__xludf.DUMMYFUNCTION("""COMPUTED_VALUE"""),TRUE)</f>
        <v>1</v>
      </c>
    </row>
    <row r="371">
      <c r="A371" s="763">
        <f>IFERROR(__xludf.DUMMYFUNCTION("""COMPUTED_VALUE"""),65445.0)</f>
        <v>65445</v>
      </c>
      <c r="B371" s="763">
        <f>IFERROR(__xludf.DUMMYFUNCTION("""COMPUTED_VALUE"""),65445.0)</f>
        <v>65445</v>
      </c>
      <c r="C371" s="763" t="str">
        <f>IFERROR(__xludf.DUMMYFUNCTION("""COMPUTED_VALUE"""),"2025-10-23 11:26:20")</f>
        <v>2025-10-23 11:26:20</v>
      </c>
      <c r="D371" s="763" t="str">
        <f>IFERROR(__xludf.DUMMYFUNCTION("""COMPUTED_VALUE"""),"cancelled")</f>
        <v>cancelled</v>
      </c>
      <c r="E371" s="763" t="str">
        <f>IFERROR(__xludf.DUMMYFUNCTION("""COMPUTED_VALUE"""),"Viola")</f>
        <v>Viola</v>
      </c>
      <c r="F371" s="763" t="str">
        <f>IFERROR(__xludf.DUMMYFUNCTION("""COMPUTED_VALUE"""),"Civa")</f>
        <v>Civa</v>
      </c>
      <c r="G371" s="763" t="str">
        <f>IFERROR(__xludf.DUMMYFUNCTION("""COMPUTED_VALUE"""),"violaxciva@gmail.com")</f>
        <v>violaxciva@gmail.com</v>
      </c>
      <c r="H371" s="763">
        <f>IFERROR(__xludf.DUMMYFUNCTION("""COMPUTED_VALUE"""),3.202625201E9)</f>
        <v>3202625201</v>
      </c>
      <c r="I371" s="763" t="str">
        <f>IFERROR(__xludf.DUMMYFUNCTION("""COMPUTED_VALUE"""),"Parma")</f>
        <v>Parma</v>
      </c>
      <c r="J371" s="763" t="str">
        <f>IFERROR(__xludf.DUMMYFUNCTION("""COMPUTED_VALUE"""),"Via Pietro Fiaccadori 7")</f>
        <v>Via Pietro Fiaccadori 7</v>
      </c>
      <c r="K371" s="763">
        <f>IFERROR(__xludf.DUMMYFUNCTION("""COMPUTED_VALUE"""),43125.0)</f>
        <v>43125</v>
      </c>
      <c r="L371" s="763" t="str">
        <f>IFERROR(__xludf.DUMMYFUNCTION("""COMPUTED_VALUE"""),"Satispay")</f>
        <v>Satispay</v>
      </c>
      <c r="M371" s="763"/>
      <c r="N371" s="763" t="str">
        <f>IFERROR(__xludf.DUMMYFUNCTION("""COMPUTED_VALUE"""),"019a10d1-ddd5-73ce-9a83-d518dc478a50")</f>
        <v>019a10d1-ddd5-73ce-9a83-d518dc478a50</v>
      </c>
      <c r="O371" s="763">
        <f>IFERROR(__xludf.DUMMYFUNCTION("""COMPUTED_VALUE"""),0.0)</f>
        <v>0</v>
      </c>
      <c r="P371" s="767">
        <f>IFERROR(__xludf.DUMMYFUNCTION("""COMPUTED_VALUE"""),1.5416666666666667)</f>
        <v>1.541666667</v>
      </c>
      <c r="Q371" s="763" t="str">
        <f>IFERROR(__xludf.DUMMYFUNCTION("""COMPUTED_VALUE"""),"EUR")</f>
        <v>EUR</v>
      </c>
      <c r="R371" s="763">
        <f>IFERROR(__xludf.DUMMYFUNCTION("""COMPUTED_VALUE"""),812.0)</f>
        <v>812</v>
      </c>
      <c r="S371" s="763" t="str">
        <f>IFERROR(__xludf.DUMMYFUNCTION("""COMPUTED_VALUE"""),"Workshop Urban con Kumo - Workshop Kumo Urban")</f>
        <v>Workshop Urban con Kumo - Workshop Kumo Urban</v>
      </c>
      <c r="T371" s="763"/>
      <c r="U371" s="763"/>
      <c r="V371" s="763">
        <f>IFERROR(__xludf.DUMMYFUNCTION("""COMPUTED_VALUE"""),1.0)</f>
        <v>1</v>
      </c>
      <c r="W371" s="763">
        <f>IFERROR(__xludf.DUMMYFUNCTION("""COMPUTED_VALUE"""),37.0)</f>
        <v>37</v>
      </c>
      <c r="X371" s="763">
        <f>IFERROR(__xludf.DUMMYFUNCTION("""COMPUTED_VALUE"""),37.0)</f>
        <v>37</v>
      </c>
      <c r="Y371" s="763"/>
      <c r="Z371" s="768" t="str">
        <f>IFERROR(__xludf.DUMMYFUNCTION("""COMPUTED_VALUE"""),"https://studio-gem.it/wp-admin/post.php?post=65445&amp;action=edit")</f>
        <v>https://studio-gem.it/wp-admin/post.php?post=65445&amp;action=edit</v>
      </c>
      <c r="AA371" s="763"/>
      <c r="AB371" s="763"/>
      <c r="AC371" s="763"/>
      <c r="AD371" s="763"/>
      <c r="AE371" s="763"/>
      <c r="AF371" s="763"/>
      <c r="AG371" s="763"/>
      <c r="AH371" s="763"/>
      <c r="AI371" s="763"/>
      <c r="AJ371" s="763"/>
      <c r="AK371" s="763"/>
      <c r="AL371" s="763"/>
      <c r="AM371" s="763"/>
      <c r="AN371" s="763"/>
      <c r="AO371" s="763"/>
      <c r="AP371" s="763"/>
      <c r="AQ371" s="763"/>
      <c r="AR371" s="763"/>
      <c r="AS371" s="763"/>
      <c r="AT371" s="763"/>
      <c r="AU371" s="763"/>
      <c r="AV371" s="763"/>
      <c r="AW371" s="763"/>
      <c r="AX371" s="763"/>
      <c r="AY371" s="763"/>
      <c r="AZ371" s="763"/>
      <c r="BA371" s="763"/>
      <c r="BB371" s="763"/>
      <c r="BC371" s="763"/>
      <c r="BD371" s="763"/>
      <c r="BE371" s="763"/>
      <c r="BF371" s="763"/>
      <c r="BG371" s="763" t="b">
        <f>IFERROR(__xludf.DUMMYFUNCTION("""COMPUTED_VALUE"""),FALSE)</f>
        <v>0</v>
      </c>
      <c r="BH371" s="763" t="b">
        <f>IFERROR(__xludf.DUMMYFUNCTION("""COMPUTED_VALUE"""),FALSE)</f>
        <v>0</v>
      </c>
      <c r="BI371" s="763" t="b">
        <f>IFERROR(__xludf.DUMMYFUNCTION("""COMPUTED_VALUE"""),FALSE)</f>
        <v>0</v>
      </c>
      <c r="BJ371" s="763" t="b">
        <f>IFERROR(__xludf.DUMMYFUNCTION("""COMPUTED_VALUE"""),FALSE)</f>
        <v>0</v>
      </c>
    </row>
    <row r="372">
      <c r="A372" s="763">
        <f>IFERROR(__xludf.DUMMYFUNCTION("""COMPUTED_VALUE"""),65446.0)</f>
        <v>65446</v>
      </c>
      <c r="B372" s="763">
        <f>IFERROR(__xludf.DUMMYFUNCTION("""COMPUTED_VALUE"""),65446.0)</f>
        <v>65446</v>
      </c>
      <c r="C372" s="763" t="str">
        <f>IFERROR(__xludf.DUMMYFUNCTION("""COMPUTED_VALUE"""),"2025-10-23 11:28:09")</f>
        <v>2025-10-23 11:28:09</v>
      </c>
      <c r="D372" s="763" t="str">
        <f>IFERROR(__xludf.DUMMYFUNCTION("""COMPUTED_VALUE"""),"pending")</f>
        <v>pending</v>
      </c>
      <c r="E372" s="763" t="str">
        <f>IFERROR(__xludf.DUMMYFUNCTION("""COMPUTED_VALUE"""),"Viola")</f>
        <v>Viola</v>
      </c>
      <c r="F372" s="763" t="str">
        <f>IFERROR(__xludf.DUMMYFUNCTION("""COMPUTED_VALUE"""),"Civa")</f>
        <v>Civa</v>
      </c>
      <c r="G372" s="763" t="str">
        <f>IFERROR(__xludf.DUMMYFUNCTION("""COMPUTED_VALUE"""),"violaxciva@gmail.com")</f>
        <v>violaxciva@gmail.com</v>
      </c>
      <c r="H372" s="763">
        <f>IFERROR(__xludf.DUMMYFUNCTION("""COMPUTED_VALUE"""),3.202625201E9)</f>
        <v>3202625201</v>
      </c>
      <c r="I372" s="763" t="str">
        <f>IFERROR(__xludf.DUMMYFUNCTION("""COMPUTED_VALUE"""),"Parma")</f>
        <v>Parma</v>
      </c>
      <c r="J372" s="763" t="str">
        <f>IFERROR(__xludf.DUMMYFUNCTION("""COMPUTED_VALUE"""),"Via Pietro Fiaccadori 7")</f>
        <v>Via Pietro Fiaccadori 7</v>
      </c>
      <c r="K372" s="763">
        <f>IFERROR(__xludf.DUMMYFUNCTION("""COMPUTED_VALUE"""),43125.0)</f>
        <v>43125</v>
      </c>
      <c r="L372" s="763" t="str">
        <f>IFERROR(__xludf.DUMMYFUNCTION("""COMPUTED_VALUE"""),"Carte di pagamento")</f>
        <v>Carte di pagamento</v>
      </c>
      <c r="M372" s="763"/>
      <c r="N372" s="763"/>
      <c r="O372" s="763">
        <f>IFERROR(__xludf.DUMMYFUNCTION("""COMPUTED_VALUE"""),0.0)</f>
        <v>0</v>
      </c>
      <c r="P372" s="767">
        <f>IFERROR(__xludf.DUMMYFUNCTION("""COMPUTED_VALUE"""),3.0833333333333335)</f>
        <v>3.083333333</v>
      </c>
      <c r="Q372" s="763" t="str">
        <f>IFERROR(__xludf.DUMMYFUNCTION("""COMPUTED_VALUE"""),"EUR")</f>
        <v>EUR</v>
      </c>
      <c r="R372" s="763">
        <f>IFERROR(__xludf.DUMMYFUNCTION("""COMPUTED_VALUE"""),813.0)</f>
        <v>813</v>
      </c>
      <c r="S372" s="763" t="str">
        <f>IFERROR(__xludf.DUMMYFUNCTION("""COMPUTED_VALUE"""),"Workshop Urban con Kumo - Workshop Kumo Urban")</f>
        <v>Workshop Urban con Kumo - Workshop Kumo Urban</v>
      </c>
      <c r="T372" s="763"/>
      <c r="U372" s="763"/>
      <c r="V372" s="763">
        <f>IFERROR(__xludf.DUMMYFUNCTION("""COMPUTED_VALUE"""),2.0)</f>
        <v>2</v>
      </c>
      <c r="W372" s="763">
        <f>IFERROR(__xludf.DUMMYFUNCTION("""COMPUTED_VALUE"""),37.0)</f>
        <v>37</v>
      </c>
      <c r="X372" s="763">
        <f>IFERROR(__xludf.DUMMYFUNCTION("""COMPUTED_VALUE"""),74.0)</f>
        <v>74</v>
      </c>
      <c r="Y372" s="763"/>
      <c r="Z372" s="768" t="str">
        <f>IFERROR(__xludf.DUMMYFUNCTION("""COMPUTED_VALUE"""),"https://studio-gem.it/wp-admin/post.php?post=65446&amp;action=edit")</f>
        <v>https://studio-gem.it/wp-admin/post.php?post=65446&amp;action=edit</v>
      </c>
      <c r="AA372" s="763"/>
      <c r="AB372" s="763"/>
      <c r="AC372" s="763"/>
      <c r="AD372" s="763"/>
      <c r="AE372" s="763"/>
      <c r="AF372" s="763"/>
      <c r="AG372" s="763"/>
      <c r="AH372" s="763"/>
      <c r="AI372" s="763"/>
      <c r="AJ372" s="763"/>
      <c r="AK372" s="763"/>
      <c r="AL372" s="763"/>
      <c r="AM372" s="763"/>
      <c r="AN372" s="763"/>
      <c r="AO372" s="763"/>
      <c r="AP372" s="763"/>
      <c r="AQ372" s="763"/>
      <c r="AR372" s="763"/>
      <c r="AS372" s="763"/>
      <c r="AT372" s="763"/>
      <c r="AU372" s="763"/>
      <c r="AV372" s="763"/>
      <c r="AW372" s="763"/>
      <c r="AX372" s="763"/>
      <c r="AY372" s="763"/>
      <c r="AZ372" s="763"/>
      <c r="BA372" s="763"/>
      <c r="BB372" s="763"/>
      <c r="BC372" s="763"/>
      <c r="BD372" s="763"/>
      <c r="BE372" s="763"/>
      <c r="BF372" s="763"/>
      <c r="BG372" s="763" t="b">
        <f>IFERROR(__xludf.DUMMYFUNCTION("""COMPUTED_VALUE"""),FALSE)</f>
        <v>0</v>
      </c>
      <c r="BH372" s="763" t="b">
        <f>IFERROR(__xludf.DUMMYFUNCTION("""COMPUTED_VALUE"""),FALSE)</f>
        <v>0</v>
      </c>
      <c r="BI372" s="763" t="b">
        <f>IFERROR(__xludf.DUMMYFUNCTION("""COMPUTED_VALUE"""),FALSE)</f>
        <v>0</v>
      </c>
      <c r="BJ372" s="763" t="b">
        <f>IFERROR(__xludf.DUMMYFUNCTION("""COMPUTED_VALUE"""),FALSE)</f>
        <v>0</v>
      </c>
    </row>
    <row r="373">
      <c r="A373" s="763">
        <f>IFERROR(__xludf.DUMMYFUNCTION("""COMPUTED_VALUE"""),65447.0)</f>
        <v>65447</v>
      </c>
      <c r="B373" s="763">
        <f>IFERROR(__xludf.DUMMYFUNCTION("""COMPUTED_VALUE"""),65447.0)</f>
        <v>65447</v>
      </c>
      <c r="C373" s="763" t="str">
        <f>IFERROR(__xludf.DUMMYFUNCTION("""COMPUTED_VALUE"""),"2025-10-23 11:42:49")</f>
        <v>2025-10-23 11:42:49</v>
      </c>
      <c r="D373" s="763" t="str">
        <f>IFERROR(__xludf.DUMMYFUNCTION("""COMPUTED_VALUE"""),"pending")</f>
        <v>pending</v>
      </c>
      <c r="E373" s="763" t="str">
        <f>IFERROR(__xludf.DUMMYFUNCTION("""COMPUTED_VALUE"""),"Viola")</f>
        <v>Viola</v>
      </c>
      <c r="F373" s="763" t="str">
        <f>IFERROR(__xludf.DUMMYFUNCTION("""COMPUTED_VALUE"""),"Civa")</f>
        <v>Civa</v>
      </c>
      <c r="G373" s="763" t="str">
        <f>IFERROR(__xludf.DUMMYFUNCTION("""COMPUTED_VALUE"""),"violaxciva@gmail.com")</f>
        <v>violaxciva@gmail.com</v>
      </c>
      <c r="H373" s="763">
        <f>IFERROR(__xludf.DUMMYFUNCTION("""COMPUTED_VALUE"""),3.202625201E9)</f>
        <v>3202625201</v>
      </c>
      <c r="I373" s="763" t="str">
        <f>IFERROR(__xludf.DUMMYFUNCTION("""COMPUTED_VALUE"""),"Parma")</f>
        <v>Parma</v>
      </c>
      <c r="J373" s="763" t="str">
        <f>IFERROR(__xludf.DUMMYFUNCTION("""COMPUTED_VALUE"""),"Via Pietro Fiaccadori 7")</f>
        <v>Via Pietro Fiaccadori 7</v>
      </c>
      <c r="K373" s="763">
        <f>IFERROR(__xludf.DUMMYFUNCTION("""COMPUTED_VALUE"""),43125.0)</f>
        <v>43125</v>
      </c>
      <c r="L373" s="763" t="str">
        <f>IFERROR(__xludf.DUMMYFUNCTION("""COMPUTED_VALUE"""),"Carte di pagamento")</f>
        <v>Carte di pagamento</v>
      </c>
      <c r="M373" s="763"/>
      <c r="N373" s="763"/>
      <c r="O373" s="763">
        <f>IFERROR(__xludf.DUMMYFUNCTION("""COMPUTED_VALUE"""),0.0)</f>
        <v>0</v>
      </c>
      <c r="P373" s="767">
        <f>IFERROR(__xludf.DUMMYFUNCTION("""COMPUTED_VALUE"""),1.5416666666666667)</f>
        <v>1.541666667</v>
      </c>
      <c r="Q373" s="763" t="str">
        <f>IFERROR(__xludf.DUMMYFUNCTION("""COMPUTED_VALUE"""),"EUR")</f>
        <v>EUR</v>
      </c>
      <c r="R373" s="763">
        <f>IFERROR(__xludf.DUMMYFUNCTION("""COMPUTED_VALUE"""),814.0)</f>
        <v>814</v>
      </c>
      <c r="S373" s="763" t="str">
        <f>IFERROR(__xludf.DUMMYFUNCTION("""COMPUTED_VALUE"""),"Workshop Urban con Kumo - Workshop Kumo Urban")</f>
        <v>Workshop Urban con Kumo - Workshop Kumo Urban</v>
      </c>
      <c r="T373" s="763"/>
      <c r="U373" s="763"/>
      <c r="V373" s="763">
        <f>IFERROR(__xludf.DUMMYFUNCTION("""COMPUTED_VALUE"""),1.0)</f>
        <v>1</v>
      </c>
      <c r="W373" s="763">
        <f>IFERROR(__xludf.DUMMYFUNCTION("""COMPUTED_VALUE"""),37.0)</f>
        <v>37</v>
      </c>
      <c r="X373" s="763">
        <f>IFERROR(__xludf.DUMMYFUNCTION("""COMPUTED_VALUE"""),37.0)</f>
        <v>37</v>
      </c>
      <c r="Y373" s="763"/>
      <c r="Z373" s="768" t="str">
        <f>IFERROR(__xludf.DUMMYFUNCTION("""COMPUTED_VALUE"""),"https://studio-gem.it/wp-admin/post.php?post=65447&amp;action=edit")</f>
        <v>https://studio-gem.it/wp-admin/post.php?post=65447&amp;action=edit</v>
      </c>
      <c r="AA373" s="763"/>
      <c r="AB373" s="763"/>
      <c r="AC373" s="763"/>
      <c r="AD373" s="763"/>
      <c r="AE373" s="763"/>
      <c r="AF373" s="763"/>
      <c r="AG373" s="763"/>
      <c r="AH373" s="763"/>
      <c r="AI373" s="763"/>
      <c r="AJ373" s="763"/>
      <c r="AK373" s="763"/>
      <c r="AL373" s="763"/>
      <c r="AM373" s="763"/>
      <c r="AN373" s="763"/>
      <c r="AO373" s="763"/>
      <c r="AP373" s="763"/>
      <c r="AQ373" s="763"/>
      <c r="AR373" s="763"/>
      <c r="AS373" s="763"/>
      <c r="AT373" s="763"/>
      <c r="AU373" s="763"/>
      <c r="AV373" s="763"/>
      <c r="AW373" s="763"/>
      <c r="AX373" s="763"/>
      <c r="AY373" s="763"/>
      <c r="AZ373" s="763"/>
      <c r="BA373" s="763"/>
      <c r="BB373" s="763"/>
      <c r="BC373" s="763"/>
      <c r="BD373" s="763"/>
      <c r="BE373" s="763"/>
      <c r="BF373" s="763"/>
      <c r="BG373" s="763" t="b">
        <f>IFERROR(__xludf.DUMMYFUNCTION("""COMPUTED_VALUE"""),TRUE)</f>
        <v>1</v>
      </c>
      <c r="BH373" s="763" t="b">
        <f>IFERROR(__xludf.DUMMYFUNCTION("""COMPUTED_VALUE"""),FALSE)</f>
        <v>0</v>
      </c>
      <c r="BI373" s="763" t="b">
        <f>IFERROR(__xludf.DUMMYFUNCTION("""COMPUTED_VALUE"""),TRUE)</f>
        <v>1</v>
      </c>
      <c r="BJ373" s="763" t="b">
        <f>IFERROR(__xludf.DUMMYFUNCTION("""COMPUTED_VALUE"""),TRUE)</f>
        <v>1</v>
      </c>
    </row>
    <row r="374">
      <c r="A374" s="763">
        <f>IFERROR(__xludf.DUMMYFUNCTION("""COMPUTED_VALUE"""),65448.0)</f>
        <v>65448</v>
      </c>
      <c r="B374" s="763">
        <f>IFERROR(__xludf.DUMMYFUNCTION("""COMPUTED_VALUE"""),65448.0)</f>
        <v>65448</v>
      </c>
      <c r="C374" s="763" t="str">
        <f>IFERROR(__xludf.DUMMYFUNCTION("""COMPUTED_VALUE"""),"2025-10-23 11:46:49")</f>
        <v>2025-10-23 11:46:49</v>
      </c>
      <c r="D374" s="763" t="str">
        <f>IFERROR(__xludf.DUMMYFUNCTION("""COMPUTED_VALUE"""),"pending")</f>
        <v>pending</v>
      </c>
      <c r="E374" s="763" t="str">
        <f>IFERROR(__xludf.DUMMYFUNCTION("""COMPUTED_VALUE"""),"Sandra Estefany")</f>
        <v>Sandra Estefany</v>
      </c>
      <c r="F374" s="763" t="str">
        <f>IFERROR(__xludf.DUMMYFUNCTION("""COMPUTED_VALUE"""),"Segura Pineda")</f>
        <v>Segura Pineda</v>
      </c>
      <c r="G374" s="763" t="str">
        <f>IFERROR(__xludf.DUMMYFUNCTION("""COMPUTED_VALUE"""),"sandrasegura5697@gmail.com")</f>
        <v>sandrasegura5697@gmail.com</v>
      </c>
      <c r="H374" s="763">
        <f>IFERROR(__xludf.DUMMYFUNCTION("""COMPUTED_VALUE"""),3.24580488E9)</f>
        <v>3245804880</v>
      </c>
      <c r="I374" s="763" t="str">
        <f>IFERROR(__xludf.DUMMYFUNCTION("""COMPUTED_VALUE"""),"Sesto San Giovanni")</f>
        <v>Sesto San Giovanni</v>
      </c>
      <c r="J374" s="763" t="str">
        <f>IFERROR(__xludf.DUMMYFUNCTION("""COMPUTED_VALUE"""),"Via a.")</f>
        <v>Via a.</v>
      </c>
      <c r="K374" s="763">
        <f>IFERROR(__xludf.DUMMYFUNCTION("""COMPUTED_VALUE"""),20099.0)</f>
        <v>20099</v>
      </c>
      <c r="L374" s="763" t="str">
        <f>IFERROR(__xludf.DUMMYFUNCTION("""COMPUTED_VALUE"""),"Google Pay")</f>
        <v>Google Pay</v>
      </c>
      <c r="M374" s="763"/>
      <c r="N374" s="763"/>
      <c r="O374" s="763">
        <f>IFERROR(__xludf.DUMMYFUNCTION("""COMPUTED_VALUE"""),0.0)</f>
        <v>0</v>
      </c>
      <c r="P374" s="767">
        <f>IFERROR(__xludf.DUMMYFUNCTION("""COMPUTED_VALUE"""),1.5416666666666667)</f>
        <v>1.541666667</v>
      </c>
      <c r="Q374" s="763" t="str">
        <f>IFERROR(__xludf.DUMMYFUNCTION("""COMPUTED_VALUE"""),"EUR")</f>
        <v>EUR</v>
      </c>
      <c r="R374" s="763">
        <f>IFERROR(__xludf.DUMMYFUNCTION("""COMPUTED_VALUE"""),815.0)</f>
        <v>815</v>
      </c>
      <c r="S374" s="763" t="str">
        <f>IFERROR(__xludf.DUMMYFUNCTION("""COMPUTED_VALUE"""),"Workshop Urban con Kumo - Workshop Kumo Urban")</f>
        <v>Workshop Urban con Kumo - Workshop Kumo Urban</v>
      </c>
      <c r="T374" s="763"/>
      <c r="U374" s="763"/>
      <c r="V374" s="763">
        <f>IFERROR(__xludf.DUMMYFUNCTION("""COMPUTED_VALUE"""),1.0)</f>
        <v>1</v>
      </c>
      <c r="W374" s="763">
        <f>IFERROR(__xludf.DUMMYFUNCTION("""COMPUTED_VALUE"""),37.0)</f>
        <v>37</v>
      </c>
      <c r="X374" s="763">
        <f>IFERROR(__xludf.DUMMYFUNCTION("""COMPUTED_VALUE"""),37.0)</f>
        <v>37</v>
      </c>
      <c r="Y374" s="763"/>
      <c r="Z374" s="768" t="str">
        <f>IFERROR(__xludf.DUMMYFUNCTION("""COMPUTED_VALUE"""),"https://studio-gem.it/wp-admin/post.php?post=65448&amp;action=edit")</f>
        <v>https://studio-gem.it/wp-admin/post.php?post=65448&amp;action=edit</v>
      </c>
      <c r="AA374" s="763"/>
      <c r="AB374" s="763"/>
      <c r="AC374" s="763"/>
      <c r="AD374" s="763"/>
      <c r="AE374" s="763"/>
      <c r="AF374" s="763"/>
      <c r="AG374" s="763"/>
      <c r="AH374" s="763"/>
      <c r="AI374" s="763"/>
      <c r="AJ374" s="763"/>
      <c r="AK374" s="763"/>
      <c r="AL374" s="763"/>
      <c r="AM374" s="763"/>
      <c r="AN374" s="763"/>
      <c r="AO374" s="763"/>
      <c r="AP374" s="763"/>
      <c r="AQ374" s="763"/>
      <c r="AR374" s="763"/>
      <c r="AS374" s="763"/>
      <c r="AT374" s="763"/>
      <c r="AU374" s="763"/>
      <c r="AV374" s="763"/>
      <c r="AW374" s="763"/>
      <c r="AX374" s="763"/>
      <c r="AY374" s="763"/>
      <c r="AZ374" s="763"/>
      <c r="BA374" s="763"/>
      <c r="BB374" s="763"/>
      <c r="BC374" s="763"/>
      <c r="BD374" s="763"/>
      <c r="BE374" s="763"/>
      <c r="BF374" s="763"/>
      <c r="BG374" s="763" t="b">
        <f>IFERROR(__xludf.DUMMYFUNCTION("""COMPUTED_VALUE"""),FALSE)</f>
        <v>0</v>
      </c>
      <c r="BH374" s="763" t="b">
        <f>IFERROR(__xludf.DUMMYFUNCTION("""COMPUTED_VALUE"""),FALSE)</f>
        <v>0</v>
      </c>
      <c r="BI374" s="763" t="b">
        <f>IFERROR(__xludf.DUMMYFUNCTION("""COMPUTED_VALUE"""),FALSE)</f>
        <v>0</v>
      </c>
      <c r="BJ374" s="763" t="b">
        <f>IFERROR(__xludf.DUMMYFUNCTION("""COMPUTED_VALUE"""),FALSE)</f>
        <v>0</v>
      </c>
    </row>
    <row r="375">
      <c r="A375" s="763">
        <f>IFERROR(__xludf.DUMMYFUNCTION("""COMPUTED_VALUE"""),65449.0)</f>
        <v>65449</v>
      </c>
      <c r="B375" s="763">
        <f>IFERROR(__xludf.DUMMYFUNCTION("""COMPUTED_VALUE"""),65449.0)</f>
        <v>65449</v>
      </c>
      <c r="C375" s="763" t="str">
        <f>IFERROR(__xludf.DUMMYFUNCTION("""COMPUTED_VALUE"""),"2025-10-23 11:53:22")</f>
        <v>2025-10-23 11:53:22</v>
      </c>
      <c r="D375" s="763" t="str">
        <f>IFERROR(__xludf.DUMMYFUNCTION("""COMPUTED_VALUE"""),"processing")</f>
        <v>processing</v>
      </c>
      <c r="E375" s="763" t="str">
        <f>IFERROR(__xludf.DUMMYFUNCTION("""COMPUTED_VALUE"""),"Viola")</f>
        <v>Viola</v>
      </c>
      <c r="F375" s="763" t="str">
        <f>IFERROR(__xludf.DUMMYFUNCTION("""COMPUTED_VALUE"""),"Civa")</f>
        <v>Civa</v>
      </c>
      <c r="G375" s="763" t="str">
        <f>IFERROR(__xludf.DUMMYFUNCTION("""COMPUTED_VALUE"""),"violaxciva@gmail.com")</f>
        <v>violaxciva@gmail.com</v>
      </c>
      <c r="H375" s="763">
        <f>IFERROR(__xludf.DUMMYFUNCTION("""COMPUTED_VALUE"""),3.202625201E9)</f>
        <v>3202625201</v>
      </c>
      <c r="I375" s="763" t="str">
        <f>IFERROR(__xludf.DUMMYFUNCTION("""COMPUTED_VALUE"""),"Parma")</f>
        <v>Parma</v>
      </c>
      <c r="J375" s="763" t="str">
        <f>IFERROR(__xludf.DUMMYFUNCTION("""COMPUTED_VALUE"""),"Via Pietro Fiaccadori 7")</f>
        <v>Via Pietro Fiaccadori 7</v>
      </c>
      <c r="K375" s="763">
        <f>IFERROR(__xludf.DUMMYFUNCTION("""COMPUTED_VALUE"""),43125.0)</f>
        <v>43125</v>
      </c>
      <c r="L375" s="763" t="str">
        <f>IFERROR(__xludf.DUMMYFUNCTION("""COMPUTED_VALUE"""),"Carte di pagamento")</f>
        <v>Carte di pagamento</v>
      </c>
      <c r="M375" s="763" t="str">
        <f>IFERROR(__xludf.DUMMYFUNCTION("""COMPUTED_VALUE"""),"estefany02ws")</f>
        <v>estefany02ws</v>
      </c>
      <c r="N375" s="763" t="str">
        <f>IFERROR(__xludf.DUMMYFUNCTION("""COMPUTED_VALUE"""),"65449-1761220404")</f>
        <v>65449-1761220404</v>
      </c>
      <c r="O375" s="763">
        <f>IFERROR(__xludf.DUMMYFUNCTION("""COMPUTED_VALUE"""),0.0)</f>
        <v>0</v>
      </c>
      <c r="P375" s="767">
        <f>IFERROR(__xludf.DUMMYFUNCTION("""COMPUTED_VALUE"""),1.4583333333333333)</f>
        <v>1.458333333</v>
      </c>
      <c r="Q375" s="763" t="str">
        <f>IFERROR(__xludf.DUMMYFUNCTION("""COMPUTED_VALUE"""),"EUR")</f>
        <v>EUR</v>
      </c>
      <c r="R375" s="763">
        <f>IFERROR(__xludf.DUMMYFUNCTION("""COMPUTED_VALUE"""),816.0)</f>
        <v>816</v>
      </c>
      <c r="S375" s="763" t="str">
        <f>IFERROR(__xludf.DUMMYFUNCTION("""COMPUTED_VALUE"""),"Workshop Urban con Kumo - Workshop Kumo Urban")</f>
        <v>Workshop Urban con Kumo - Workshop Kumo Urban</v>
      </c>
      <c r="T375" s="763"/>
      <c r="U375" s="763"/>
      <c r="V375" s="763">
        <f>IFERROR(__xludf.DUMMYFUNCTION("""COMPUTED_VALUE"""),1.0)</f>
        <v>1</v>
      </c>
      <c r="W375" s="763">
        <f>IFERROR(__xludf.DUMMYFUNCTION("""COMPUTED_VALUE"""),35.0)</f>
        <v>35</v>
      </c>
      <c r="X375" s="763">
        <f>IFERROR(__xludf.DUMMYFUNCTION("""COMPUTED_VALUE"""),35.0)</f>
        <v>35</v>
      </c>
      <c r="Y375" s="763"/>
      <c r="Z375" s="768" t="str">
        <f>IFERROR(__xludf.DUMMYFUNCTION("""COMPUTED_VALUE"""),"https://studio-gem.it/wp-admin/post.php?post=65449&amp;action=edit")</f>
        <v>https://studio-gem.it/wp-admin/post.php?post=65449&amp;action=edit</v>
      </c>
      <c r="AA375" s="763"/>
      <c r="AB375" s="763"/>
      <c r="AC375" s="763"/>
      <c r="AD375" s="763"/>
      <c r="AE375" s="763"/>
      <c r="AF375" s="763"/>
      <c r="AG375" s="763"/>
      <c r="AH375" s="763"/>
      <c r="AI375" s="763"/>
      <c r="AJ375" s="763"/>
      <c r="AK375" s="763"/>
      <c r="AL375" s="763"/>
      <c r="AM375" s="763"/>
      <c r="AN375" s="763"/>
      <c r="AO375" s="763"/>
      <c r="AP375" s="763"/>
      <c r="AQ375" s="763"/>
      <c r="AR375" s="763"/>
      <c r="AS375" s="763"/>
      <c r="AT375" s="763"/>
      <c r="AU375" s="763"/>
      <c r="AV375" s="763"/>
      <c r="AW375" s="763"/>
      <c r="AX375" s="763"/>
      <c r="AY375" s="763"/>
      <c r="AZ375" s="763"/>
      <c r="BA375" s="763"/>
      <c r="BB375" s="763"/>
      <c r="BC375" s="763"/>
      <c r="BD375" s="763"/>
      <c r="BE375" s="763"/>
      <c r="BF375" s="763"/>
      <c r="BG375" s="763" t="b">
        <f>IFERROR(__xludf.DUMMYFUNCTION("""COMPUTED_VALUE"""),TRUE)</f>
        <v>1</v>
      </c>
      <c r="BH375" s="763" t="b">
        <f>IFERROR(__xludf.DUMMYFUNCTION("""COMPUTED_VALUE"""),FALSE)</f>
        <v>0</v>
      </c>
      <c r="BI375" s="763" t="b">
        <f>IFERROR(__xludf.DUMMYFUNCTION("""COMPUTED_VALUE"""),TRUE)</f>
        <v>1</v>
      </c>
      <c r="BJ375" s="763" t="b">
        <f>IFERROR(__xludf.DUMMYFUNCTION("""COMPUTED_VALUE"""),TRUE)</f>
        <v>1</v>
      </c>
    </row>
    <row r="376">
      <c r="A376" s="763">
        <f>IFERROR(__xludf.DUMMYFUNCTION("""COMPUTED_VALUE"""),65450.0)</f>
        <v>65450</v>
      </c>
      <c r="B376" s="763">
        <f>IFERROR(__xludf.DUMMYFUNCTION("""COMPUTED_VALUE"""),65450.0)</f>
        <v>65450</v>
      </c>
      <c r="C376" s="763" t="str">
        <f>IFERROR(__xludf.DUMMYFUNCTION("""COMPUTED_VALUE"""),"2025-10-23 13:09:31")</f>
        <v>2025-10-23 13:09:31</v>
      </c>
      <c r="D376" s="763" t="str">
        <f>IFERROR(__xludf.DUMMYFUNCTION("""COMPUTED_VALUE"""),"completed")</f>
        <v>completed</v>
      </c>
      <c r="E376" s="763" t="str">
        <f>IFERROR(__xludf.DUMMYFUNCTION("""COMPUTED_VALUE"""),"Gioele")</f>
        <v>Gioele</v>
      </c>
      <c r="F376" s="763" t="str">
        <f>IFERROR(__xludf.DUMMYFUNCTION("""COMPUTED_VALUE"""),"Lo Monaco")</f>
        <v>Lo Monaco</v>
      </c>
      <c r="G376" s="763" t="str">
        <f>IFERROR(__xludf.DUMMYFUNCTION("""COMPUTED_VALUE"""),"gioelegio68@yahoo.it")</f>
        <v>gioelegio68@yahoo.it</v>
      </c>
      <c r="H376" s="763">
        <f>IFERROR(__xludf.DUMMYFUNCTION("""COMPUTED_VALUE"""),3.703106992E9)</f>
        <v>3703106992</v>
      </c>
      <c r="I376" s="763" t="str">
        <f>IFERROR(__xludf.DUMMYFUNCTION("""COMPUTED_VALUE"""),"Montelupo Fiorentino")</f>
        <v>Montelupo Fiorentino</v>
      </c>
      <c r="J376" s="763" t="str">
        <f>IFERROR(__xludf.DUMMYFUNCTION("""COMPUTED_VALUE"""),"Via Giovanni Minzoni")</f>
        <v>Via Giovanni Minzoni</v>
      </c>
      <c r="K376" s="763">
        <f>IFERROR(__xludf.DUMMYFUNCTION("""COMPUTED_VALUE"""),50056.0)</f>
        <v>50056</v>
      </c>
      <c r="L376" s="763" t="str">
        <f>IFERROR(__xludf.DUMMYFUNCTION("""COMPUTED_VALUE"""),"Apple Pay")</f>
        <v>Apple Pay</v>
      </c>
      <c r="M376" s="763"/>
      <c r="N376" s="763" t="str">
        <f>IFERROR(__xludf.DUMMYFUNCTION("""COMPUTED_VALUE"""),"65450-1761224973")</f>
        <v>65450-1761224973</v>
      </c>
      <c r="O376" s="763">
        <f>IFERROR(__xludf.DUMMYFUNCTION("""COMPUTED_VALUE"""),0.0)</f>
        <v>0</v>
      </c>
      <c r="P376" s="767">
        <f>IFERROR(__xludf.DUMMYFUNCTION("""COMPUTED_VALUE"""),1.875)</f>
        <v>1.875</v>
      </c>
      <c r="Q376" s="763" t="str">
        <f>IFERROR(__xludf.DUMMYFUNCTION("""COMPUTED_VALUE"""),"EUR")</f>
        <v>EUR</v>
      </c>
      <c r="R376" s="763">
        <f>IFERROR(__xludf.DUMMYFUNCTION("""COMPUTED_VALUE"""),818.0)</f>
        <v>818</v>
      </c>
      <c r="S376" s="763" t="str">
        <f>IFERROR(__xludf.DUMMYFUNCTION("""COMPUTED_VALUE"""),"Workshop Commercial con Timor Steffens - Workshop Commercial con Timor Steffens")</f>
        <v>Workshop Commercial con Timor Steffens - Workshop Commercial con Timor Steffens</v>
      </c>
      <c r="T376" s="763"/>
      <c r="U376" s="763"/>
      <c r="V376" s="763">
        <f>IFERROR(__xludf.DUMMYFUNCTION("""COMPUTED_VALUE"""),1.0)</f>
        <v>1</v>
      </c>
      <c r="W376" s="763">
        <f>IFERROR(__xludf.DUMMYFUNCTION("""COMPUTED_VALUE"""),45.0)</f>
        <v>45</v>
      </c>
      <c r="X376" s="763">
        <f>IFERROR(__xludf.DUMMYFUNCTION("""COMPUTED_VALUE"""),45.0)</f>
        <v>45</v>
      </c>
      <c r="Y376" s="763"/>
      <c r="Z376" s="768" t="str">
        <f>IFERROR(__xludf.DUMMYFUNCTION("""COMPUTED_VALUE"""),"https://studio-gem.it/wp-admin/post.php?post=65450&amp;action=edit")</f>
        <v>https://studio-gem.it/wp-admin/post.php?post=65450&amp;action=edit</v>
      </c>
      <c r="AA376" s="763"/>
      <c r="AB376" s="763"/>
      <c r="AC376" s="763"/>
      <c r="AD376" s="763"/>
      <c r="AE376" s="763"/>
      <c r="AF376" s="763"/>
      <c r="AG376" s="763"/>
      <c r="AH376" s="763"/>
      <c r="AI376" s="763"/>
      <c r="AJ376" s="763"/>
      <c r="AK376" s="763"/>
      <c r="AL376" s="763"/>
      <c r="AM376" s="763"/>
      <c r="AN376" s="763"/>
      <c r="AO376" s="763"/>
      <c r="AP376" s="763"/>
      <c r="AQ376" s="763"/>
      <c r="AR376" s="763"/>
      <c r="AS376" s="763"/>
      <c r="AT376" s="763"/>
      <c r="AU376" s="763"/>
      <c r="AV376" s="763"/>
      <c r="AW376" s="763"/>
      <c r="AX376" s="763"/>
      <c r="AY376" s="763"/>
      <c r="AZ376" s="763"/>
      <c r="BA376" s="763"/>
      <c r="BB376" s="763"/>
      <c r="BC376" s="763"/>
      <c r="BD376" s="763"/>
      <c r="BE376" s="763"/>
      <c r="BF376" s="763"/>
      <c r="BG376" s="763" t="b">
        <f>IFERROR(__xludf.DUMMYFUNCTION("""COMPUTED_VALUE"""),TRUE)</f>
        <v>1</v>
      </c>
      <c r="BH376" s="763" t="b">
        <f>IFERROR(__xludf.DUMMYFUNCTION("""COMPUTED_VALUE"""),FALSE)</f>
        <v>0</v>
      </c>
      <c r="BI376" s="763" t="b">
        <f>IFERROR(__xludf.DUMMYFUNCTION("""COMPUTED_VALUE"""),TRUE)</f>
        <v>1</v>
      </c>
      <c r="BJ376" s="763" t="b">
        <f>IFERROR(__xludf.DUMMYFUNCTION("""COMPUTED_VALUE"""),TRUE)</f>
        <v>1</v>
      </c>
    </row>
    <row r="377">
      <c r="A377" s="763">
        <f>IFERROR(__xludf.DUMMYFUNCTION("""COMPUTED_VALUE"""),65452.0)</f>
        <v>65452</v>
      </c>
      <c r="B377" s="763">
        <f>IFERROR(__xludf.DUMMYFUNCTION("""COMPUTED_VALUE"""),65452.0)</f>
        <v>65452</v>
      </c>
      <c r="C377" s="763" t="str">
        <f>IFERROR(__xludf.DUMMYFUNCTION("""COMPUTED_VALUE"""),"2025-10-23 14:20:38")</f>
        <v>2025-10-23 14:20:38</v>
      </c>
      <c r="D377" s="763" t="str">
        <f>IFERROR(__xludf.DUMMYFUNCTION("""COMPUTED_VALUE"""),"pending")</f>
        <v>pending</v>
      </c>
      <c r="E377" s="763" t="str">
        <f>IFERROR(__xludf.DUMMYFUNCTION("""COMPUTED_VALUE"""),"Fabio")</f>
        <v>Fabio</v>
      </c>
      <c r="F377" s="763" t="str">
        <f>IFERROR(__xludf.DUMMYFUNCTION("""COMPUTED_VALUE"""),"Rho")</f>
        <v>Rho</v>
      </c>
      <c r="G377" s="763" t="str">
        <f>IFERROR(__xludf.DUMMYFUNCTION("""COMPUTED_VALUE"""),"fabio_rho@hotmail.com")</f>
        <v>fabio_rho@hotmail.com</v>
      </c>
      <c r="H377" s="763">
        <f>IFERROR(__xludf.DUMMYFUNCTION("""COMPUTED_VALUE"""),3.282344198E9)</f>
        <v>3282344198</v>
      </c>
      <c r="I377" s="763" t="str">
        <f>IFERROR(__xludf.DUMMYFUNCTION("""COMPUTED_VALUE"""),"Mediglia")</f>
        <v>Mediglia</v>
      </c>
      <c r="J377" s="763" t="str">
        <f>IFERROR(__xludf.DUMMYFUNCTION("""COMPUTED_VALUE"""),"via Orsa Maggiore 1")</f>
        <v>via Orsa Maggiore 1</v>
      </c>
      <c r="K377" s="763">
        <f>IFERROR(__xludf.DUMMYFUNCTION("""COMPUTED_VALUE"""),20076.0)</f>
        <v>20076</v>
      </c>
      <c r="L377" s="763" t="str">
        <f>IFERROR(__xludf.DUMMYFUNCTION("""COMPUTED_VALUE"""),"Scalapay - Pay in 3")</f>
        <v>Scalapay - Pay in 3</v>
      </c>
      <c r="M377" s="763"/>
      <c r="N377" s="763"/>
      <c r="O377" s="763">
        <f>IFERROR(__xludf.DUMMYFUNCTION("""COMPUTED_VALUE"""),0.0)</f>
        <v>0</v>
      </c>
      <c r="P377" s="767">
        <f>IFERROR(__xludf.DUMMYFUNCTION("""COMPUTED_VALUE"""),1.875)</f>
        <v>1.875</v>
      </c>
      <c r="Q377" s="763" t="str">
        <f>IFERROR(__xludf.DUMMYFUNCTION("""COMPUTED_VALUE"""),"EUR")</f>
        <v>EUR</v>
      </c>
      <c r="R377" s="763">
        <f>IFERROR(__xludf.DUMMYFUNCTION("""COMPUTED_VALUE"""),819.0)</f>
        <v>819</v>
      </c>
      <c r="S377" s="763" t="str">
        <f>IFERROR(__xludf.DUMMYFUNCTION("""COMPUTED_VALUE"""),"Workshop Commercial con Timor Steffens - Workshop Commercial con Timor Steffens")</f>
        <v>Workshop Commercial con Timor Steffens - Workshop Commercial con Timor Steffens</v>
      </c>
      <c r="T377" s="763"/>
      <c r="U377" s="763"/>
      <c r="V377" s="763">
        <f>IFERROR(__xludf.DUMMYFUNCTION("""COMPUTED_VALUE"""),1.0)</f>
        <v>1</v>
      </c>
      <c r="W377" s="763">
        <f>IFERROR(__xludf.DUMMYFUNCTION("""COMPUTED_VALUE"""),45.0)</f>
        <v>45</v>
      </c>
      <c r="X377" s="763">
        <f>IFERROR(__xludf.DUMMYFUNCTION("""COMPUTED_VALUE"""),45.0)</f>
        <v>45</v>
      </c>
      <c r="Y377" s="763"/>
      <c r="Z377" s="768" t="str">
        <f>IFERROR(__xludf.DUMMYFUNCTION("""COMPUTED_VALUE"""),"https://studio-gem.it/wp-admin/post.php?post=65452&amp;action=edit")</f>
        <v>https://studio-gem.it/wp-admin/post.php?post=65452&amp;action=edit</v>
      </c>
      <c r="AA377" s="763"/>
      <c r="AB377" s="763"/>
      <c r="AC377" s="763"/>
      <c r="AD377" s="763"/>
      <c r="AE377" s="763"/>
      <c r="AF377" s="763"/>
      <c r="AG377" s="763"/>
      <c r="AH377" s="763"/>
      <c r="AI377" s="763"/>
      <c r="AJ377" s="763"/>
      <c r="AK377" s="763"/>
      <c r="AL377" s="763"/>
      <c r="AM377" s="763"/>
      <c r="AN377" s="763"/>
      <c r="AO377" s="763"/>
      <c r="AP377" s="763"/>
      <c r="AQ377" s="763"/>
      <c r="AR377" s="763"/>
      <c r="AS377" s="763"/>
      <c r="AT377" s="763"/>
      <c r="AU377" s="763"/>
      <c r="AV377" s="763"/>
      <c r="AW377" s="763"/>
      <c r="AX377" s="763"/>
      <c r="AY377" s="763"/>
      <c r="AZ377" s="763"/>
      <c r="BA377" s="763"/>
      <c r="BB377" s="763"/>
      <c r="BC377" s="763"/>
      <c r="BD377" s="763"/>
      <c r="BE377" s="763"/>
      <c r="BF377" s="763"/>
      <c r="BG377" s="763" t="b">
        <f>IFERROR(__xludf.DUMMYFUNCTION("""COMPUTED_VALUE"""),FALSE)</f>
        <v>0</v>
      </c>
      <c r="BH377" s="763" t="b">
        <f>IFERROR(__xludf.DUMMYFUNCTION("""COMPUTED_VALUE"""),FALSE)</f>
        <v>0</v>
      </c>
      <c r="BI377" s="763" t="b">
        <f>IFERROR(__xludf.DUMMYFUNCTION("""COMPUTED_VALUE"""),FALSE)</f>
        <v>0</v>
      </c>
      <c r="BJ377" s="763" t="b">
        <f>IFERROR(__xludf.DUMMYFUNCTION("""COMPUTED_VALUE"""),FALSE)</f>
        <v>0</v>
      </c>
    </row>
    <row r="378">
      <c r="A378" s="763">
        <f>IFERROR(__xludf.DUMMYFUNCTION("""COMPUTED_VALUE"""),65453.0)</f>
        <v>65453</v>
      </c>
      <c r="B378" s="763">
        <f>IFERROR(__xludf.DUMMYFUNCTION("""COMPUTED_VALUE"""),65453.0)</f>
        <v>65453</v>
      </c>
      <c r="C378" s="763" t="str">
        <f>IFERROR(__xludf.DUMMYFUNCTION("""COMPUTED_VALUE"""),"2025-10-23 14:34:18")</f>
        <v>2025-10-23 14:34:18</v>
      </c>
      <c r="D378" s="763" t="str">
        <f>IFERROR(__xludf.DUMMYFUNCTION("""COMPUTED_VALUE"""),"pending")</f>
        <v>pending</v>
      </c>
      <c r="E378" s="763" t="str">
        <f>IFERROR(__xludf.DUMMYFUNCTION("""COMPUTED_VALUE"""),"Fabio")</f>
        <v>Fabio</v>
      </c>
      <c r="F378" s="763" t="str">
        <f>IFERROR(__xludf.DUMMYFUNCTION("""COMPUTED_VALUE"""),"Rho")</f>
        <v>Rho</v>
      </c>
      <c r="G378" s="763" t="str">
        <f>IFERROR(__xludf.DUMMYFUNCTION("""COMPUTED_VALUE"""),"fabio_rho@hotmail.com")</f>
        <v>fabio_rho@hotmail.com</v>
      </c>
      <c r="H378" s="763">
        <f>IFERROR(__xludf.DUMMYFUNCTION("""COMPUTED_VALUE"""),3.282344198E9)</f>
        <v>3282344198</v>
      </c>
      <c r="I378" s="763" t="str">
        <f>IFERROR(__xludf.DUMMYFUNCTION("""COMPUTED_VALUE"""),"Mediglia")</f>
        <v>Mediglia</v>
      </c>
      <c r="J378" s="763" t="str">
        <f>IFERROR(__xludf.DUMMYFUNCTION("""COMPUTED_VALUE"""),"via Orsa Maggiore 1")</f>
        <v>via Orsa Maggiore 1</v>
      </c>
      <c r="K378" s="763">
        <f>IFERROR(__xludf.DUMMYFUNCTION("""COMPUTED_VALUE"""),20076.0)</f>
        <v>20076</v>
      </c>
      <c r="L378" s="763" t="str">
        <f>IFERROR(__xludf.DUMMYFUNCTION("""COMPUTED_VALUE"""),"Scalapay - Pay in 3")</f>
        <v>Scalapay - Pay in 3</v>
      </c>
      <c r="M378" s="763"/>
      <c r="N378" s="763"/>
      <c r="O378" s="763">
        <f>IFERROR(__xludf.DUMMYFUNCTION("""COMPUTED_VALUE"""),0.0)</f>
        <v>0</v>
      </c>
      <c r="P378" s="767">
        <f>IFERROR(__xludf.DUMMYFUNCTION("""COMPUTED_VALUE"""),3.75)</f>
        <v>3.75</v>
      </c>
      <c r="Q378" s="763" t="str">
        <f>IFERROR(__xludf.DUMMYFUNCTION("""COMPUTED_VALUE"""),"EUR")</f>
        <v>EUR</v>
      </c>
      <c r="R378" s="763">
        <f>IFERROR(__xludf.DUMMYFUNCTION("""COMPUTED_VALUE"""),820.0)</f>
        <v>820</v>
      </c>
      <c r="S378" s="763" t="str">
        <f>IFERROR(__xludf.DUMMYFUNCTION("""COMPUTED_VALUE"""),"Workshop Commercial con Timor Steffens - Workshop Commercial con Timor Steffens")</f>
        <v>Workshop Commercial con Timor Steffens - Workshop Commercial con Timor Steffens</v>
      </c>
      <c r="T378" s="763"/>
      <c r="U378" s="763"/>
      <c r="V378" s="763">
        <f>IFERROR(__xludf.DUMMYFUNCTION("""COMPUTED_VALUE"""),2.0)</f>
        <v>2</v>
      </c>
      <c r="W378" s="763">
        <f>IFERROR(__xludf.DUMMYFUNCTION("""COMPUTED_VALUE"""),45.0)</f>
        <v>45</v>
      </c>
      <c r="X378" s="763">
        <f>IFERROR(__xludf.DUMMYFUNCTION("""COMPUTED_VALUE"""),90.0)</f>
        <v>90</v>
      </c>
      <c r="Y378" s="763"/>
      <c r="Z378" s="768" t="str">
        <f>IFERROR(__xludf.DUMMYFUNCTION("""COMPUTED_VALUE"""),"https://studio-gem.it/wp-admin/post.php?post=65453&amp;action=edit")</f>
        <v>https://studio-gem.it/wp-admin/post.php?post=65453&amp;action=edit</v>
      </c>
      <c r="AA378" s="763"/>
      <c r="AB378" s="763"/>
      <c r="AC378" s="763"/>
      <c r="AD378" s="763"/>
      <c r="AE378" s="763"/>
      <c r="AF378" s="763"/>
      <c r="AG378" s="763"/>
      <c r="AH378" s="763"/>
      <c r="AI378" s="763"/>
      <c r="AJ378" s="763"/>
      <c r="AK378" s="763"/>
      <c r="AL378" s="763"/>
      <c r="AM378" s="763"/>
      <c r="AN378" s="763"/>
      <c r="AO378" s="763"/>
      <c r="AP378" s="763"/>
      <c r="AQ378" s="763"/>
      <c r="AR378" s="763"/>
      <c r="AS378" s="763"/>
      <c r="AT378" s="763"/>
      <c r="AU378" s="763"/>
      <c r="AV378" s="763"/>
      <c r="AW378" s="763"/>
      <c r="AX378" s="763"/>
      <c r="AY378" s="763"/>
      <c r="AZ378" s="763"/>
      <c r="BA378" s="763"/>
      <c r="BB378" s="763"/>
      <c r="BC378" s="763"/>
      <c r="BD378" s="763"/>
      <c r="BE378" s="763"/>
      <c r="BF378" s="763"/>
      <c r="BG378" s="763" t="b">
        <f>IFERROR(__xludf.DUMMYFUNCTION("""COMPUTED_VALUE"""),FALSE)</f>
        <v>0</v>
      </c>
      <c r="BH378" s="763" t="b">
        <f>IFERROR(__xludf.DUMMYFUNCTION("""COMPUTED_VALUE"""),FALSE)</f>
        <v>0</v>
      </c>
      <c r="BI378" s="763" t="b">
        <f>IFERROR(__xludf.DUMMYFUNCTION("""COMPUTED_VALUE"""),FALSE)</f>
        <v>0</v>
      </c>
      <c r="BJ378" s="763" t="b">
        <f>IFERROR(__xludf.DUMMYFUNCTION("""COMPUTED_VALUE"""),FALSE)</f>
        <v>0</v>
      </c>
    </row>
    <row r="379">
      <c r="A379" s="763">
        <f>IFERROR(__xludf.DUMMYFUNCTION("""COMPUTED_VALUE"""),65456.0)</f>
        <v>65456</v>
      </c>
      <c r="B379" s="763">
        <f>IFERROR(__xludf.DUMMYFUNCTION("""COMPUTED_VALUE"""),65456.0)</f>
        <v>65456</v>
      </c>
      <c r="C379" s="763" t="str">
        <f>IFERROR(__xludf.DUMMYFUNCTION("""COMPUTED_VALUE"""),"2025-10-23 20:07:48")</f>
        <v>2025-10-23 20:07:48</v>
      </c>
      <c r="D379" s="763" t="str">
        <f>IFERROR(__xludf.DUMMYFUNCTION("""COMPUTED_VALUE"""),"pending")</f>
        <v>pending</v>
      </c>
      <c r="E379" s="763" t="str">
        <f>IFERROR(__xludf.DUMMYFUNCTION("""COMPUTED_VALUE"""),"Nadia")</f>
        <v>Nadia</v>
      </c>
      <c r="F379" s="763" t="str">
        <f>IFERROR(__xludf.DUMMYFUNCTION("""COMPUTED_VALUE"""),"barrak")</f>
        <v>barrak</v>
      </c>
      <c r="G379" s="763" t="str">
        <f>IFERROR(__xludf.DUMMYFUNCTION("""COMPUTED_VALUE"""),"nadiabarrak93@gmail.com")</f>
        <v>nadiabarrak93@gmail.com</v>
      </c>
      <c r="H379" s="763" t="str">
        <f>IFERROR(__xludf.DUMMYFUNCTION("""COMPUTED_VALUE"""),"+393289249243")</f>
        <v>+393289249243</v>
      </c>
      <c r="I379" s="763" t="str">
        <f>IFERROR(__xludf.DUMMYFUNCTION("""COMPUTED_VALUE"""),"Albino")</f>
        <v>Albino</v>
      </c>
      <c r="J379" s="763" t="str">
        <f>IFERROR(__xludf.DUMMYFUNCTION("""COMPUTED_VALUE"""),"Via Ceroni 12")</f>
        <v>Via Ceroni 12</v>
      </c>
      <c r="K379" s="763">
        <f>IFERROR(__xludf.DUMMYFUNCTION("""COMPUTED_VALUE"""),24021.0)</f>
        <v>24021</v>
      </c>
      <c r="L379" s="763" t="str">
        <f>IFERROR(__xludf.DUMMYFUNCTION("""COMPUTED_VALUE"""),"Carte di pagamento")</f>
        <v>Carte di pagamento</v>
      </c>
      <c r="M379" s="763"/>
      <c r="N379" s="763"/>
      <c r="O379" s="763">
        <f>IFERROR(__xludf.DUMMYFUNCTION("""COMPUTED_VALUE"""),0.0)</f>
        <v>0</v>
      </c>
      <c r="P379" s="767">
        <f>IFERROR(__xludf.DUMMYFUNCTION("""COMPUTED_VALUE"""),9.583333333333334)</f>
        <v>9.583333333</v>
      </c>
      <c r="Q379" s="763" t="str">
        <f>IFERROR(__xludf.DUMMYFUNCTION("""COMPUTED_VALUE"""),"EUR")</f>
        <v>EUR</v>
      </c>
      <c r="R379" s="763">
        <f>IFERROR(__xludf.DUMMYFUNCTION("""COMPUTED_VALUE"""),823.0)</f>
        <v>823</v>
      </c>
      <c r="S379" s="763" t="str">
        <f>IFERROR(__xludf.DUMMYFUNCTION("""COMPUTED_VALUE"""),"Workshop Heels con Lulu Kulova - Workshop Lulu Heels")</f>
        <v>Workshop Heels con Lulu Kulova - Workshop Lulu Heels</v>
      </c>
      <c r="T379" s="763"/>
      <c r="U379" s="763"/>
      <c r="V379" s="763">
        <f>IFERROR(__xludf.DUMMYFUNCTION("""COMPUTED_VALUE"""),5.0)</f>
        <v>5</v>
      </c>
      <c r="W379" s="763">
        <f>IFERROR(__xludf.DUMMYFUNCTION("""COMPUTED_VALUE"""),37.0)</f>
        <v>37</v>
      </c>
      <c r="X379" s="763">
        <f>IFERROR(__xludf.DUMMYFUNCTION("""COMPUTED_VALUE"""),185.0)</f>
        <v>185</v>
      </c>
      <c r="Y379" s="763"/>
      <c r="Z379" s="768" t="str">
        <f>IFERROR(__xludf.DUMMYFUNCTION("""COMPUTED_VALUE"""),"https://studio-gem.it/wp-admin/post.php?post=65456&amp;action=edit")</f>
        <v>https://studio-gem.it/wp-admin/post.php?post=65456&amp;action=edit</v>
      </c>
      <c r="AA379" s="763"/>
      <c r="AB379" s="763"/>
      <c r="AC379" s="763"/>
      <c r="AD379" s="763"/>
      <c r="AE379" s="763"/>
      <c r="AF379" s="763"/>
      <c r="AG379" s="763"/>
      <c r="AH379" s="763"/>
      <c r="AI379" s="763"/>
      <c r="AJ379" s="763"/>
      <c r="AK379" s="763"/>
      <c r="AL379" s="763"/>
      <c r="AM379" s="763"/>
      <c r="AN379" s="763"/>
      <c r="AO379" s="763"/>
      <c r="AP379" s="763"/>
      <c r="AQ379" s="763"/>
      <c r="AR379" s="763"/>
      <c r="AS379" s="763"/>
      <c r="AT379" s="763"/>
      <c r="AU379" s="763"/>
      <c r="AV379" s="763"/>
      <c r="AW379" s="763"/>
      <c r="AX379" s="763"/>
      <c r="AY379" s="763"/>
      <c r="AZ379" s="763"/>
      <c r="BA379" s="763"/>
      <c r="BB379" s="763"/>
      <c r="BC379" s="763"/>
      <c r="BD379" s="763"/>
      <c r="BE379" s="763"/>
      <c r="BF379" s="763"/>
      <c r="BG379" s="763" t="b">
        <f>IFERROR(__xludf.DUMMYFUNCTION("""COMPUTED_VALUE"""),FALSE)</f>
        <v>0</v>
      </c>
      <c r="BH379" s="763" t="b">
        <f>IFERROR(__xludf.DUMMYFUNCTION("""COMPUTED_VALUE"""),FALSE)</f>
        <v>0</v>
      </c>
      <c r="BI379" s="763" t="b">
        <f>IFERROR(__xludf.DUMMYFUNCTION("""COMPUTED_VALUE"""),FALSE)</f>
        <v>0</v>
      </c>
      <c r="BJ379" s="763" t="b">
        <f>IFERROR(__xludf.DUMMYFUNCTION("""COMPUTED_VALUE"""),FALSE)</f>
        <v>0</v>
      </c>
    </row>
    <row r="380">
      <c r="A380" s="763">
        <f>IFERROR(__xludf.DUMMYFUNCTION("""COMPUTED_VALUE"""),65456.0)</f>
        <v>65456</v>
      </c>
      <c r="B380" s="763">
        <f>IFERROR(__xludf.DUMMYFUNCTION("""COMPUTED_VALUE"""),65456.0)</f>
        <v>65456</v>
      </c>
      <c r="C380" s="763" t="str">
        <f>IFERROR(__xludf.DUMMYFUNCTION("""COMPUTED_VALUE"""),"2025-10-23 20:07:48")</f>
        <v>2025-10-23 20:07:48</v>
      </c>
      <c r="D380" s="763" t="str">
        <f>IFERROR(__xludf.DUMMYFUNCTION("""COMPUTED_VALUE"""),"pending")</f>
        <v>pending</v>
      </c>
      <c r="E380" s="763" t="str">
        <f>IFERROR(__xludf.DUMMYFUNCTION("""COMPUTED_VALUE"""),"Nadia")</f>
        <v>Nadia</v>
      </c>
      <c r="F380" s="763" t="str">
        <f>IFERROR(__xludf.DUMMYFUNCTION("""COMPUTED_VALUE"""),"barrak")</f>
        <v>barrak</v>
      </c>
      <c r="G380" s="763" t="str">
        <f>IFERROR(__xludf.DUMMYFUNCTION("""COMPUTED_VALUE"""),"nadiabarrak93@gmail.com")</f>
        <v>nadiabarrak93@gmail.com</v>
      </c>
      <c r="H380" s="763" t="str">
        <f>IFERROR(__xludf.DUMMYFUNCTION("""COMPUTED_VALUE"""),"+393289249243")</f>
        <v>+393289249243</v>
      </c>
      <c r="I380" s="763" t="str">
        <f>IFERROR(__xludf.DUMMYFUNCTION("""COMPUTED_VALUE"""),"Albino")</f>
        <v>Albino</v>
      </c>
      <c r="J380" s="763" t="str">
        <f>IFERROR(__xludf.DUMMYFUNCTION("""COMPUTED_VALUE"""),"Via Ceroni 12")</f>
        <v>Via Ceroni 12</v>
      </c>
      <c r="K380" s="763">
        <f>IFERROR(__xludf.DUMMYFUNCTION("""COMPUTED_VALUE"""),24021.0)</f>
        <v>24021</v>
      </c>
      <c r="L380" s="763" t="str">
        <f>IFERROR(__xludf.DUMMYFUNCTION("""COMPUTED_VALUE"""),"Carte di pagamento")</f>
        <v>Carte di pagamento</v>
      </c>
      <c r="M380" s="763"/>
      <c r="N380" s="763"/>
      <c r="O380" s="763">
        <f>IFERROR(__xludf.DUMMYFUNCTION("""COMPUTED_VALUE"""),0.0)</f>
        <v>0</v>
      </c>
      <c r="P380" s="767">
        <f>IFERROR(__xludf.DUMMYFUNCTION("""COMPUTED_VALUE"""),9.583333333333334)</f>
        <v>9.583333333</v>
      </c>
      <c r="Q380" s="763" t="str">
        <f>IFERROR(__xludf.DUMMYFUNCTION("""COMPUTED_VALUE"""),"EUR")</f>
        <v>EUR</v>
      </c>
      <c r="R380" s="763">
        <f>IFERROR(__xludf.DUMMYFUNCTION("""COMPUTED_VALUE"""),824.0)</f>
        <v>824</v>
      </c>
      <c r="S380" s="763" t="str">
        <f>IFERROR(__xludf.DUMMYFUNCTION("""COMPUTED_VALUE"""),"Workshop Commercial con Timor Steffens - Workshop Commercial con Timor Steffens")</f>
        <v>Workshop Commercial con Timor Steffens - Workshop Commercial con Timor Steffens</v>
      </c>
      <c r="T380" s="763"/>
      <c r="U380" s="763"/>
      <c r="V380" s="763">
        <f>IFERROR(__xludf.DUMMYFUNCTION("""COMPUTED_VALUE"""),1.0)</f>
        <v>1</v>
      </c>
      <c r="W380" s="763">
        <f>IFERROR(__xludf.DUMMYFUNCTION("""COMPUTED_VALUE"""),45.0)</f>
        <v>45</v>
      </c>
      <c r="X380" s="763">
        <f>IFERROR(__xludf.DUMMYFUNCTION("""COMPUTED_VALUE"""),45.0)</f>
        <v>45</v>
      </c>
      <c r="Y380" s="763"/>
      <c r="Z380" s="768" t="str">
        <f>IFERROR(__xludf.DUMMYFUNCTION("""COMPUTED_VALUE"""),"https://studio-gem.it/wp-admin/post.php?post=65456&amp;action=edit")</f>
        <v>https://studio-gem.it/wp-admin/post.php?post=65456&amp;action=edit</v>
      </c>
      <c r="AA380" s="763"/>
      <c r="AB380" s="763"/>
      <c r="AC380" s="763"/>
      <c r="AD380" s="763"/>
      <c r="AE380" s="763"/>
      <c r="AF380" s="763"/>
      <c r="AG380" s="763"/>
      <c r="AH380" s="763"/>
      <c r="AI380" s="763"/>
      <c r="AJ380" s="763"/>
      <c r="AK380" s="763"/>
      <c r="AL380" s="763"/>
      <c r="AM380" s="763"/>
      <c r="AN380" s="763"/>
      <c r="AO380" s="763"/>
      <c r="AP380" s="763"/>
      <c r="AQ380" s="763"/>
      <c r="AR380" s="763"/>
      <c r="AS380" s="763"/>
      <c r="AT380" s="763"/>
      <c r="AU380" s="763"/>
      <c r="AV380" s="763"/>
      <c r="AW380" s="763"/>
      <c r="AX380" s="763"/>
      <c r="AY380" s="763"/>
      <c r="AZ380" s="763"/>
      <c r="BA380" s="763"/>
      <c r="BB380" s="763"/>
      <c r="BC380" s="763"/>
      <c r="BD380" s="763"/>
      <c r="BE380" s="763"/>
      <c r="BF380" s="763"/>
      <c r="BG380" s="763" t="b">
        <f>IFERROR(__xludf.DUMMYFUNCTION("""COMPUTED_VALUE"""),FALSE)</f>
        <v>0</v>
      </c>
      <c r="BH380" s="763" t="b">
        <f>IFERROR(__xludf.DUMMYFUNCTION("""COMPUTED_VALUE"""),FALSE)</f>
        <v>0</v>
      </c>
      <c r="BI380" s="763" t="b">
        <f>IFERROR(__xludf.DUMMYFUNCTION("""COMPUTED_VALUE"""),FALSE)</f>
        <v>0</v>
      </c>
      <c r="BJ380" s="763" t="b">
        <f>IFERROR(__xludf.DUMMYFUNCTION("""COMPUTED_VALUE"""),FALSE)</f>
        <v>0</v>
      </c>
    </row>
    <row r="381">
      <c r="A381" s="763">
        <f>IFERROR(__xludf.DUMMYFUNCTION("""COMPUTED_VALUE"""),65457.0)</f>
        <v>65457</v>
      </c>
      <c r="B381" s="763">
        <f>IFERROR(__xludf.DUMMYFUNCTION("""COMPUTED_VALUE"""),65457.0)</f>
        <v>65457</v>
      </c>
      <c r="C381" s="763" t="str">
        <f>IFERROR(__xludf.DUMMYFUNCTION("""COMPUTED_VALUE"""),"2025-10-23 20:29:16")</f>
        <v>2025-10-23 20:29:16</v>
      </c>
      <c r="D381" s="763" t="str">
        <f>IFERROR(__xludf.DUMMYFUNCTION("""COMPUTED_VALUE"""),"pending")</f>
        <v>pending</v>
      </c>
      <c r="E381" s="763" t="str">
        <f>IFERROR(__xludf.DUMMYFUNCTION("""COMPUTED_VALUE"""),"Kris")</f>
        <v>Kris</v>
      </c>
      <c r="F381" s="763" t="str">
        <f>IFERROR(__xludf.DUMMYFUNCTION("""COMPUTED_VALUE"""),"Langens")</f>
        <v>Langens</v>
      </c>
      <c r="G381" s="763" t="str">
        <f>IFERROR(__xludf.DUMMYFUNCTION("""COMPUTED_VALUE"""),"kris.langens@gmail.com")</f>
        <v>kris.langens@gmail.com</v>
      </c>
      <c r="H381" s="763">
        <f>IFERROR(__xludf.DUMMYFUNCTION("""COMPUTED_VALUE"""),6.148939E8)</f>
        <v>614893900</v>
      </c>
      <c r="I381" s="763" t="str">
        <f>IFERROR(__xludf.DUMMYFUNCTION("""COMPUTED_VALUE"""),"Trento")</f>
        <v>Trento</v>
      </c>
      <c r="J381" s="763" t="str">
        <f>IFERROR(__xludf.DUMMYFUNCTION("""COMPUTED_VALUE"""),"Via dei Solteri 56")</f>
        <v>Via dei Solteri 56</v>
      </c>
      <c r="K381" s="763">
        <f>IFERROR(__xludf.DUMMYFUNCTION("""COMPUTED_VALUE"""),38121.0)</f>
        <v>38121</v>
      </c>
      <c r="L381" s="763" t="str">
        <f>IFERROR(__xludf.DUMMYFUNCTION("""COMPUTED_VALUE"""),"Carte di pagamento")</f>
        <v>Carte di pagamento</v>
      </c>
      <c r="M381" s="763"/>
      <c r="N381" s="763"/>
      <c r="O381" s="763">
        <f>IFERROR(__xludf.DUMMYFUNCTION("""COMPUTED_VALUE"""),0.0)</f>
        <v>0</v>
      </c>
      <c r="P381" s="767">
        <f>IFERROR(__xludf.DUMMYFUNCTION("""COMPUTED_VALUE"""),1.875)</f>
        <v>1.875</v>
      </c>
      <c r="Q381" s="763" t="str">
        <f>IFERROR(__xludf.DUMMYFUNCTION("""COMPUTED_VALUE"""),"EUR")</f>
        <v>EUR</v>
      </c>
      <c r="R381" s="763">
        <f>IFERROR(__xludf.DUMMYFUNCTION("""COMPUTED_VALUE"""),826.0)</f>
        <v>826</v>
      </c>
      <c r="S381" s="763" t="str">
        <f>IFERROR(__xludf.DUMMYFUNCTION("""COMPUTED_VALUE"""),"Workshop Commercial con Timor Steffens - Workshop Commercial con Timor Steffens")</f>
        <v>Workshop Commercial con Timor Steffens - Workshop Commercial con Timor Steffens</v>
      </c>
      <c r="T381" s="763"/>
      <c r="U381" s="763"/>
      <c r="V381" s="763">
        <f>IFERROR(__xludf.DUMMYFUNCTION("""COMPUTED_VALUE"""),1.0)</f>
        <v>1</v>
      </c>
      <c r="W381" s="763">
        <f>IFERROR(__xludf.DUMMYFUNCTION("""COMPUTED_VALUE"""),45.0)</f>
        <v>45</v>
      </c>
      <c r="X381" s="763">
        <f>IFERROR(__xludf.DUMMYFUNCTION("""COMPUTED_VALUE"""),45.0)</f>
        <v>45</v>
      </c>
      <c r="Y381" s="763"/>
      <c r="Z381" s="768" t="str">
        <f>IFERROR(__xludf.DUMMYFUNCTION("""COMPUTED_VALUE"""),"https://studio-gem.it/wp-admin/post.php?post=65457&amp;action=edit")</f>
        <v>https://studio-gem.it/wp-admin/post.php?post=65457&amp;action=edit</v>
      </c>
      <c r="AA381" s="763"/>
      <c r="AB381" s="763"/>
      <c r="AC381" s="763"/>
      <c r="AD381" s="763"/>
      <c r="AE381" s="763"/>
      <c r="AF381" s="763"/>
      <c r="AG381" s="763"/>
      <c r="AH381" s="763"/>
      <c r="AI381" s="763"/>
      <c r="AJ381" s="763"/>
      <c r="AK381" s="763"/>
      <c r="AL381" s="763"/>
      <c r="AM381" s="763"/>
      <c r="AN381" s="763"/>
      <c r="AO381" s="763"/>
      <c r="AP381" s="763"/>
      <c r="AQ381" s="763"/>
      <c r="AR381" s="763"/>
      <c r="AS381" s="763"/>
      <c r="AT381" s="763"/>
      <c r="AU381" s="763"/>
      <c r="AV381" s="763"/>
      <c r="AW381" s="763"/>
      <c r="AX381" s="763"/>
      <c r="AY381" s="763"/>
      <c r="AZ381" s="763"/>
      <c r="BA381" s="763"/>
      <c r="BB381" s="763"/>
      <c r="BC381" s="763"/>
      <c r="BD381" s="763"/>
      <c r="BE381" s="763"/>
      <c r="BF381" s="763"/>
      <c r="BG381" s="763" t="b">
        <f>IFERROR(__xludf.DUMMYFUNCTION("""COMPUTED_VALUE"""),FALSE)</f>
        <v>0</v>
      </c>
      <c r="BH381" s="763" t="b">
        <f>IFERROR(__xludf.DUMMYFUNCTION("""COMPUTED_VALUE"""),FALSE)</f>
        <v>0</v>
      </c>
      <c r="BI381" s="763" t="b">
        <f>IFERROR(__xludf.DUMMYFUNCTION("""COMPUTED_VALUE"""),FALSE)</f>
        <v>0</v>
      </c>
      <c r="BJ381" s="763" t="b">
        <f>IFERROR(__xludf.DUMMYFUNCTION("""COMPUTED_VALUE"""),FALSE)</f>
        <v>0</v>
      </c>
    </row>
    <row r="382">
      <c r="A382" s="763">
        <f>IFERROR(__xludf.DUMMYFUNCTION("""COMPUTED_VALUE"""),65458.0)</f>
        <v>65458</v>
      </c>
      <c r="B382" s="763">
        <f>IFERROR(__xludf.DUMMYFUNCTION("""COMPUTED_VALUE"""),65458.0)</f>
        <v>65458</v>
      </c>
      <c r="C382" s="763" t="str">
        <f>IFERROR(__xludf.DUMMYFUNCTION("""COMPUTED_VALUE"""),"2025-10-24 07:37:51")</f>
        <v>2025-10-24 07:37:51</v>
      </c>
      <c r="D382" s="763" t="str">
        <f>IFERROR(__xludf.DUMMYFUNCTION("""COMPUTED_VALUE"""),"pending")</f>
        <v>pending</v>
      </c>
      <c r="E382" s="763" t="str">
        <f>IFERROR(__xludf.DUMMYFUNCTION("""COMPUTED_VALUE"""),"Heidy")</f>
        <v>Heidy</v>
      </c>
      <c r="F382" s="763" t="str">
        <f>IFERROR(__xludf.DUMMYFUNCTION("""COMPUTED_VALUE"""),"Rodrigues")</f>
        <v>Rodrigues</v>
      </c>
      <c r="G382" s="763" t="str">
        <f>IFERROR(__xludf.DUMMYFUNCTION("""COMPUTED_VALUE"""),"heidy.92@hotmail.it")</f>
        <v>heidy.92@hotmail.it</v>
      </c>
      <c r="H382" s="763">
        <f>IFERROR(__xludf.DUMMYFUNCTION("""COMPUTED_VALUE"""),3.456922361E9)</f>
        <v>3456922361</v>
      </c>
      <c r="I382" s="763" t="str">
        <f>IFERROR(__xludf.DUMMYFUNCTION("""COMPUTED_VALUE"""),"Genova")</f>
        <v>Genova</v>
      </c>
      <c r="J382" s="763" t="str">
        <f>IFERROR(__xludf.DUMMYFUNCTION("""COMPUTED_VALUE"""),"Bob io 9a")</f>
        <v>Bob io 9a</v>
      </c>
      <c r="K382" s="763">
        <f>IFERROR(__xludf.DUMMYFUNCTION("""COMPUTED_VALUE"""),16137.0)</f>
        <v>16137</v>
      </c>
      <c r="L382" s="763" t="str">
        <f>IFERROR(__xludf.DUMMYFUNCTION("""COMPUTED_VALUE"""),"Apple Pay")</f>
        <v>Apple Pay</v>
      </c>
      <c r="M382" s="763" t="str">
        <f>IFERROR(__xludf.DUMMYFUNCTION("""COMPUTED_VALUE"""),"nura02ws")</f>
        <v>nura02ws</v>
      </c>
      <c r="N382" s="763"/>
      <c r="O382" s="763">
        <f>IFERROR(__xludf.DUMMYFUNCTION("""COMPUTED_VALUE"""),0.0)</f>
        <v>0</v>
      </c>
      <c r="P382" s="767">
        <f>IFERROR(__xludf.DUMMYFUNCTION("""COMPUTED_VALUE"""),1.7916666666666667)</f>
        <v>1.791666667</v>
      </c>
      <c r="Q382" s="763" t="str">
        <f>IFERROR(__xludf.DUMMYFUNCTION("""COMPUTED_VALUE"""),"EUR")</f>
        <v>EUR</v>
      </c>
      <c r="R382" s="763">
        <f>IFERROR(__xludf.DUMMYFUNCTION("""COMPUTED_VALUE"""),827.0)</f>
        <v>827</v>
      </c>
      <c r="S382" s="763" t="str">
        <f>IFERROR(__xludf.DUMMYFUNCTION("""COMPUTED_VALUE"""),"Workshop Commercial con Timor Steffens - Workshop Commercial con Timor Steffens")</f>
        <v>Workshop Commercial con Timor Steffens - Workshop Commercial con Timor Steffens</v>
      </c>
      <c r="T382" s="763"/>
      <c r="U382" s="763"/>
      <c r="V382" s="763">
        <f>IFERROR(__xludf.DUMMYFUNCTION("""COMPUTED_VALUE"""),1.0)</f>
        <v>1</v>
      </c>
      <c r="W382" s="763">
        <f>IFERROR(__xludf.DUMMYFUNCTION("""COMPUTED_VALUE"""),43.0)</f>
        <v>43</v>
      </c>
      <c r="X382" s="763">
        <f>IFERROR(__xludf.DUMMYFUNCTION("""COMPUTED_VALUE"""),43.0)</f>
        <v>43</v>
      </c>
      <c r="Y382" s="763"/>
      <c r="Z382" s="768" t="str">
        <f>IFERROR(__xludf.DUMMYFUNCTION("""COMPUTED_VALUE"""),"https://studio-gem.it/wp-admin/post.php?post=65458&amp;action=edit")</f>
        <v>https://studio-gem.it/wp-admin/post.php?post=65458&amp;action=edit</v>
      </c>
      <c r="AA382" s="763"/>
      <c r="AB382" s="763"/>
      <c r="AC382" s="763"/>
      <c r="AD382" s="763"/>
      <c r="AE382" s="763"/>
      <c r="AF382" s="763"/>
      <c r="AG382" s="763"/>
      <c r="AH382" s="763"/>
      <c r="AI382" s="763"/>
      <c r="AJ382" s="763"/>
      <c r="AK382" s="763"/>
      <c r="AL382" s="763"/>
      <c r="AM382" s="763"/>
      <c r="AN382" s="763"/>
      <c r="AO382" s="763"/>
      <c r="AP382" s="763"/>
      <c r="AQ382" s="763"/>
      <c r="AR382" s="763"/>
      <c r="AS382" s="763"/>
      <c r="AT382" s="763"/>
      <c r="AU382" s="763"/>
      <c r="AV382" s="763"/>
      <c r="AW382" s="763"/>
      <c r="AX382" s="763"/>
      <c r="AY382" s="763"/>
      <c r="AZ382" s="763"/>
      <c r="BA382" s="763"/>
      <c r="BB382" s="763"/>
      <c r="BC382" s="763"/>
      <c r="BD382" s="763"/>
      <c r="BE382" s="763"/>
      <c r="BF382" s="763"/>
      <c r="BG382" s="763" t="b">
        <f>IFERROR(__xludf.DUMMYFUNCTION("""COMPUTED_VALUE"""),FALSE)</f>
        <v>0</v>
      </c>
      <c r="BH382" s="763" t="b">
        <f>IFERROR(__xludf.DUMMYFUNCTION("""COMPUTED_VALUE"""),FALSE)</f>
        <v>0</v>
      </c>
      <c r="BI382" s="763" t="b">
        <f>IFERROR(__xludf.DUMMYFUNCTION("""COMPUTED_VALUE"""),FALSE)</f>
        <v>0</v>
      </c>
      <c r="BJ382" s="763" t="b">
        <f>IFERROR(__xludf.DUMMYFUNCTION("""COMPUTED_VALUE"""),FALSE)</f>
        <v>0</v>
      </c>
    </row>
    <row r="383">
      <c r="A383" s="763">
        <f>IFERROR(__xludf.DUMMYFUNCTION("""COMPUTED_VALUE"""),65459.0)</f>
        <v>65459</v>
      </c>
      <c r="B383" s="763">
        <f>IFERROR(__xludf.DUMMYFUNCTION("""COMPUTED_VALUE"""),65459.0)</f>
        <v>65459</v>
      </c>
      <c r="C383" s="763" t="str">
        <f>IFERROR(__xludf.DUMMYFUNCTION("""COMPUTED_VALUE"""),"2025-10-24 07:50:45")</f>
        <v>2025-10-24 07:50:45</v>
      </c>
      <c r="D383" s="763" t="str">
        <f>IFERROR(__xludf.DUMMYFUNCTION("""COMPUTED_VALUE"""),"pending")</f>
        <v>pending</v>
      </c>
      <c r="E383" s="763" t="str">
        <f>IFERROR(__xludf.DUMMYFUNCTION("""COMPUTED_VALUE"""),"ago")</f>
        <v>ago</v>
      </c>
      <c r="F383" s="763" t="str">
        <f>IFERROR(__xludf.DUMMYFUNCTION("""COMPUTED_VALUE"""),"genc")</f>
        <v>genc</v>
      </c>
      <c r="G383" s="763" t="str">
        <f>IFERROR(__xludf.DUMMYFUNCTION("""COMPUTED_VALUE"""),"ago@agogo.it")</f>
        <v>ago@agogo.it</v>
      </c>
      <c r="H383" s="763">
        <f>IFERROR(__xludf.DUMMYFUNCTION("""COMPUTED_VALUE"""),3.356385854E9)</f>
        <v>3356385854</v>
      </c>
      <c r="I383" s="763" t="str">
        <f>IFERROR(__xludf.DUMMYFUNCTION("""COMPUTED_VALUE"""),"Bresso")</f>
        <v>Bresso</v>
      </c>
      <c r="J383" s="763" t="str">
        <f>IFERROR(__xludf.DUMMYFUNCTION("""COMPUTED_VALUE"""),"Via Aldo villa 16")</f>
        <v>Via Aldo villa 16</v>
      </c>
      <c r="K383" s="763">
        <f>IFERROR(__xludf.DUMMYFUNCTION("""COMPUTED_VALUE"""),20900.0)</f>
        <v>20900</v>
      </c>
      <c r="L383" s="763" t="str">
        <f>IFERROR(__xludf.DUMMYFUNCTION("""COMPUTED_VALUE"""),"Carte di pagamento")</f>
        <v>Carte di pagamento</v>
      </c>
      <c r="M383" s="763"/>
      <c r="N383" s="763"/>
      <c r="O383" s="763">
        <f>IFERROR(__xludf.DUMMYFUNCTION("""COMPUTED_VALUE"""),0.0)</f>
        <v>0</v>
      </c>
      <c r="P383" s="767">
        <f>IFERROR(__xludf.DUMMYFUNCTION("""COMPUTED_VALUE"""),6.625)</f>
        <v>6.625</v>
      </c>
      <c r="Q383" s="763" t="str">
        <f>IFERROR(__xludf.DUMMYFUNCTION("""COMPUTED_VALUE"""),"EUR")</f>
        <v>EUR</v>
      </c>
      <c r="R383" s="763">
        <f>IFERROR(__xludf.DUMMYFUNCTION("""COMPUTED_VALUE"""),829.0)</f>
        <v>829</v>
      </c>
      <c r="S383" s="763" t="str">
        <f>IFERROR(__xludf.DUMMYFUNCTION("""COMPUTED_VALUE"""),"Workshop Commercial con Timor Steffens - Workshop Commercial con Timor Steffens")</f>
        <v>Workshop Commercial con Timor Steffens - Workshop Commercial con Timor Steffens</v>
      </c>
      <c r="T383" s="763"/>
      <c r="U383" s="763"/>
      <c r="V383" s="763">
        <f>IFERROR(__xludf.DUMMYFUNCTION("""COMPUTED_VALUE"""),2.0)</f>
        <v>2</v>
      </c>
      <c r="W383" s="763">
        <f>IFERROR(__xludf.DUMMYFUNCTION("""COMPUTED_VALUE"""),45.0)</f>
        <v>45</v>
      </c>
      <c r="X383" s="763">
        <f>IFERROR(__xludf.DUMMYFUNCTION("""COMPUTED_VALUE"""),90.0)</f>
        <v>90</v>
      </c>
      <c r="Y383" s="763"/>
      <c r="Z383" s="768" t="str">
        <f>IFERROR(__xludf.DUMMYFUNCTION("""COMPUTED_VALUE"""),"https://studio-gem.it/wp-admin/post.php?post=65459&amp;action=edit")</f>
        <v>https://studio-gem.it/wp-admin/post.php?post=65459&amp;action=edit</v>
      </c>
      <c r="AA383" s="763"/>
      <c r="AB383" s="763"/>
      <c r="AC383" s="763"/>
      <c r="AD383" s="763"/>
      <c r="AE383" s="763"/>
      <c r="AF383" s="763"/>
      <c r="AG383" s="763"/>
      <c r="AH383" s="763"/>
      <c r="AI383" s="763"/>
      <c r="AJ383" s="763"/>
      <c r="AK383" s="763"/>
      <c r="AL383" s="763"/>
      <c r="AM383" s="763"/>
      <c r="AN383" s="763"/>
      <c r="AO383" s="763"/>
      <c r="AP383" s="763"/>
      <c r="AQ383" s="763"/>
      <c r="AR383" s="763"/>
      <c r="AS383" s="763"/>
      <c r="AT383" s="763"/>
      <c r="AU383" s="763"/>
      <c r="AV383" s="763"/>
      <c r="AW383" s="763"/>
      <c r="AX383" s="763"/>
      <c r="AY383" s="763"/>
      <c r="AZ383" s="763"/>
      <c r="BA383" s="763"/>
      <c r="BB383" s="763"/>
      <c r="BC383" s="763"/>
      <c r="BD383" s="763"/>
      <c r="BE383" s="763"/>
      <c r="BF383" s="763"/>
      <c r="BG383" s="763" t="b">
        <f>IFERROR(__xludf.DUMMYFUNCTION("""COMPUTED_VALUE"""),FALSE)</f>
        <v>0</v>
      </c>
      <c r="BH383" s="763" t="b">
        <f>IFERROR(__xludf.DUMMYFUNCTION("""COMPUTED_VALUE"""),FALSE)</f>
        <v>0</v>
      </c>
      <c r="BI383" s="763" t="b">
        <f>IFERROR(__xludf.DUMMYFUNCTION("""COMPUTED_VALUE"""),FALSE)</f>
        <v>0</v>
      </c>
      <c r="BJ383" s="763" t="b">
        <f>IFERROR(__xludf.DUMMYFUNCTION("""COMPUTED_VALUE"""),FALSE)</f>
        <v>0</v>
      </c>
    </row>
    <row r="384">
      <c r="A384" s="763">
        <f>IFERROR(__xludf.DUMMYFUNCTION("""COMPUTED_VALUE"""),65459.0)</f>
        <v>65459</v>
      </c>
      <c r="B384" s="763">
        <f>IFERROR(__xludf.DUMMYFUNCTION("""COMPUTED_VALUE"""),65459.0)</f>
        <v>65459</v>
      </c>
      <c r="C384" s="763" t="str">
        <f>IFERROR(__xludf.DUMMYFUNCTION("""COMPUTED_VALUE"""),"2025-10-24 07:50:45")</f>
        <v>2025-10-24 07:50:45</v>
      </c>
      <c r="D384" s="763" t="str">
        <f>IFERROR(__xludf.DUMMYFUNCTION("""COMPUTED_VALUE"""),"pending")</f>
        <v>pending</v>
      </c>
      <c r="E384" s="763" t="str">
        <f>IFERROR(__xludf.DUMMYFUNCTION("""COMPUTED_VALUE"""),"ago")</f>
        <v>ago</v>
      </c>
      <c r="F384" s="763" t="str">
        <f>IFERROR(__xludf.DUMMYFUNCTION("""COMPUTED_VALUE"""),"genc")</f>
        <v>genc</v>
      </c>
      <c r="G384" s="763" t="str">
        <f>IFERROR(__xludf.DUMMYFUNCTION("""COMPUTED_VALUE"""),"ago@agogo.it")</f>
        <v>ago@agogo.it</v>
      </c>
      <c r="H384" s="763">
        <f>IFERROR(__xludf.DUMMYFUNCTION("""COMPUTED_VALUE"""),3.356385854E9)</f>
        <v>3356385854</v>
      </c>
      <c r="I384" s="763" t="str">
        <f>IFERROR(__xludf.DUMMYFUNCTION("""COMPUTED_VALUE"""),"Bresso")</f>
        <v>Bresso</v>
      </c>
      <c r="J384" s="763" t="str">
        <f>IFERROR(__xludf.DUMMYFUNCTION("""COMPUTED_VALUE"""),"Via Aldo villa 16")</f>
        <v>Via Aldo villa 16</v>
      </c>
      <c r="K384" s="763">
        <f>IFERROR(__xludf.DUMMYFUNCTION("""COMPUTED_VALUE"""),20900.0)</f>
        <v>20900</v>
      </c>
      <c r="L384" s="763" t="str">
        <f>IFERROR(__xludf.DUMMYFUNCTION("""COMPUTED_VALUE"""),"Carte di pagamento")</f>
        <v>Carte di pagamento</v>
      </c>
      <c r="M384" s="763"/>
      <c r="N384" s="763"/>
      <c r="O384" s="763">
        <f>IFERROR(__xludf.DUMMYFUNCTION("""COMPUTED_VALUE"""),0.0)</f>
        <v>0</v>
      </c>
      <c r="P384" s="767">
        <f>IFERROR(__xludf.DUMMYFUNCTION("""COMPUTED_VALUE"""),6.625)</f>
        <v>6.625</v>
      </c>
      <c r="Q384" s="763" t="str">
        <f>IFERROR(__xludf.DUMMYFUNCTION("""COMPUTED_VALUE"""),"EUR")</f>
        <v>EUR</v>
      </c>
      <c r="R384" s="763">
        <f>IFERROR(__xludf.DUMMYFUNCTION("""COMPUTED_VALUE"""),830.0)</f>
        <v>830</v>
      </c>
      <c r="S384" s="763" t="str">
        <f>IFERROR(__xludf.DUMMYFUNCTION("""COMPUTED_VALUE"""),"Workshop Heels con Lulu Kulova - Workshop Lulu Heels")</f>
        <v>Workshop Heels con Lulu Kulova - Workshop Lulu Heels</v>
      </c>
      <c r="T384" s="763"/>
      <c r="U384" s="763"/>
      <c r="V384" s="763">
        <f>IFERROR(__xludf.DUMMYFUNCTION("""COMPUTED_VALUE"""),1.0)</f>
        <v>1</v>
      </c>
      <c r="W384" s="763">
        <f>IFERROR(__xludf.DUMMYFUNCTION("""COMPUTED_VALUE"""),37.0)</f>
        <v>37</v>
      </c>
      <c r="X384" s="763">
        <f>IFERROR(__xludf.DUMMYFUNCTION("""COMPUTED_VALUE"""),37.0)</f>
        <v>37</v>
      </c>
      <c r="Y384" s="763"/>
      <c r="Z384" s="768" t="str">
        <f>IFERROR(__xludf.DUMMYFUNCTION("""COMPUTED_VALUE"""),"https://studio-gem.it/wp-admin/post.php?post=65459&amp;action=edit")</f>
        <v>https://studio-gem.it/wp-admin/post.php?post=65459&amp;action=edit</v>
      </c>
      <c r="AA384" s="763"/>
      <c r="AB384" s="763"/>
      <c r="AC384" s="763"/>
      <c r="AD384" s="763"/>
      <c r="AE384" s="763"/>
      <c r="AF384" s="763"/>
      <c r="AG384" s="763"/>
      <c r="AH384" s="763"/>
      <c r="AI384" s="763"/>
      <c r="AJ384" s="763"/>
      <c r="AK384" s="763"/>
      <c r="AL384" s="763"/>
      <c r="AM384" s="763"/>
      <c r="AN384" s="763"/>
      <c r="AO384" s="763"/>
      <c r="AP384" s="763"/>
      <c r="AQ384" s="763"/>
      <c r="AR384" s="763"/>
      <c r="AS384" s="763"/>
      <c r="AT384" s="763"/>
      <c r="AU384" s="763"/>
      <c r="AV384" s="763"/>
      <c r="AW384" s="763"/>
      <c r="AX384" s="763"/>
      <c r="AY384" s="763"/>
      <c r="AZ384" s="763"/>
      <c r="BA384" s="763"/>
      <c r="BB384" s="763"/>
      <c r="BC384" s="763"/>
      <c r="BD384" s="763"/>
      <c r="BE384" s="763"/>
      <c r="BF384" s="763"/>
      <c r="BG384" s="763" t="b">
        <f>IFERROR(__xludf.DUMMYFUNCTION("""COMPUTED_VALUE"""),FALSE)</f>
        <v>0</v>
      </c>
      <c r="BH384" s="763" t="b">
        <f>IFERROR(__xludf.DUMMYFUNCTION("""COMPUTED_VALUE"""),FALSE)</f>
        <v>0</v>
      </c>
      <c r="BI384" s="763" t="b">
        <f>IFERROR(__xludf.DUMMYFUNCTION("""COMPUTED_VALUE"""),FALSE)</f>
        <v>0</v>
      </c>
      <c r="BJ384" s="763" t="b">
        <f>IFERROR(__xludf.DUMMYFUNCTION("""COMPUTED_VALUE"""),FALSE)</f>
        <v>0</v>
      </c>
    </row>
    <row r="385">
      <c r="A385" s="763">
        <f>IFERROR(__xludf.DUMMYFUNCTION("""COMPUTED_VALUE"""),65459.0)</f>
        <v>65459</v>
      </c>
      <c r="B385" s="763">
        <f>IFERROR(__xludf.DUMMYFUNCTION("""COMPUTED_VALUE"""),65459.0)</f>
        <v>65459</v>
      </c>
      <c r="C385" s="763" t="str">
        <f>IFERROR(__xludf.DUMMYFUNCTION("""COMPUTED_VALUE"""),"2025-10-24 07:50:45")</f>
        <v>2025-10-24 07:50:45</v>
      </c>
      <c r="D385" s="763" t="str">
        <f>IFERROR(__xludf.DUMMYFUNCTION("""COMPUTED_VALUE"""),"pending")</f>
        <v>pending</v>
      </c>
      <c r="E385" s="763" t="str">
        <f>IFERROR(__xludf.DUMMYFUNCTION("""COMPUTED_VALUE"""),"ago")</f>
        <v>ago</v>
      </c>
      <c r="F385" s="763" t="str">
        <f>IFERROR(__xludf.DUMMYFUNCTION("""COMPUTED_VALUE"""),"genc")</f>
        <v>genc</v>
      </c>
      <c r="G385" s="763" t="str">
        <f>IFERROR(__xludf.DUMMYFUNCTION("""COMPUTED_VALUE"""),"ago@agogo.it")</f>
        <v>ago@agogo.it</v>
      </c>
      <c r="H385" s="763">
        <f>IFERROR(__xludf.DUMMYFUNCTION("""COMPUTED_VALUE"""),3.356385854E9)</f>
        <v>3356385854</v>
      </c>
      <c r="I385" s="763" t="str">
        <f>IFERROR(__xludf.DUMMYFUNCTION("""COMPUTED_VALUE"""),"Bresso")</f>
        <v>Bresso</v>
      </c>
      <c r="J385" s="763" t="str">
        <f>IFERROR(__xludf.DUMMYFUNCTION("""COMPUTED_VALUE"""),"Via Aldo villa 16")</f>
        <v>Via Aldo villa 16</v>
      </c>
      <c r="K385" s="763">
        <f>IFERROR(__xludf.DUMMYFUNCTION("""COMPUTED_VALUE"""),20900.0)</f>
        <v>20900</v>
      </c>
      <c r="L385" s="763" t="str">
        <f>IFERROR(__xludf.DUMMYFUNCTION("""COMPUTED_VALUE"""),"Carte di pagamento")</f>
        <v>Carte di pagamento</v>
      </c>
      <c r="M385" s="763"/>
      <c r="N385" s="763"/>
      <c r="O385" s="763">
        <f>IFERROR(__xludf.DUMMYFUNCTION("""COMPUTED_VALUE"""),0.0)</f>
        <v>0</v>
      </c>
      <c r="P385" s="767">
        <f>IFERROR(__xludf.DUMMYFUNCTION("""COMPUTED_VALUE"""),6.625)</f>
        <v>6.625</v>
      </c>
      <c r="Q385" s="763" t="str">
        <f>IFERROR(__xludf.DUMMYFUNCTION("""COMPUTED_VALUE"""),"EUR")</f>
        <v>EUR</v>
      </c>
      <c r="R385" s="763">
        <f>IFERROR(__xludf.DUMMYFUNCTION("""COMPUTED_VALUE"""),831.0)</f>
        <v>831</v>
      </c>
      <c r="S385" s="763" t="str">
        <f>IFERROR(__xludf.DUMMYFUNCTION("""COMPUTED_VALUE"""),"Workshop Salsa Musicality con Nicolò De Angelis - Workshop Nicolò Salsa Musicality")</f>
        <v>Workshop Salsa Musicality con Nicolò De Angelis - Workshop Nicolò Salsa Musicality</v>
      </c>
      <c r="T385" s="763"/>
      <c r="U385" s="763"/>
      <c r="V385" s="763">
        <f>IFERROR(__xludf.DUMMYFUNCTION("""COMPUTED_VALUE"""),1.0)</f>
        <v>1</v>
      </c>
      <c r="W385" s="763">
        <f>IFERROR(__xludf.DUMMYFUNCTION("""COMPUTED_VALUE"""),32.0)</f>
        <v>32</v>
      </c>
      <c r="X385" s="763">
        <f>IFERROR(__xludf.DUMMYFUNCTION("""COMPUTED_VALUE"""),32.0)</f>
        <v>32</v>
      </c>
      <c r="Y385" s="763"/>
      <c r="Z385" s="768" t="str">
        <f>IFERROR(__xludf.DUMMYFUNCTION("""COMPUTED_VALUE"""),"https://studio-gem.it/wp-admin/post.php?post=65459&amp;action=edit")</f>
        <v>https://studio-gem.it/wp-admin/post.php?post=65459&amp;action=edit</v>
      </c>
      <c r="AA385" s="763"/>
      <c r="AB385" s="763"/>
      <c r="AC385" s="763"/>
      <c r="AD385" s="763"/>
      <c r="AE385" s="763"/>
      <c r="AF385" s="763"/>
      <c r="AG385" s="763"/>
      <c r="AH385" s="763"/>
      <c r="AI385" s="763"/>
      <c r="AJ385" s="763"/>
      <c r="AK385" s="763"/>
      <c r="AL385" s="763"/>
      <c r="AM385" s="763"/>
      <c r="AN385" s="763"/>
      <c r="AO385" s="763"/>
      <c r="AP385" s="763"/>
      <c r="AQ385" s="763"/>
      <c r="AR385" s="763"/>
      <c r="AS385" s="763"/>
      <c r="AT385" s="763"/>
      <c r="AU385" s="763"/>
      <c r="AV385" s="763"/>
      <c r="AW385" s="763"/>
      <c r="AX385" s="763"/>
      <c r="AY385" s="763"/>
      <c r="AZ385" s="763"/>
      <c r="BA385" s="763"/>
      <c r="BB385" s="763"/>
      <c r="BC385" s="763"/>
      <c r="BD385" s="763"/>
      <c r="BE385" s="763"/>
      <c r="BF385" s="763"/>
      <c r="BG385" s="763" t="b">
        <f>IFERROR(__xludf.DUMMYFUNCTION("""COMPUTED_VALUE"""),FALSE)</f>
        <v>0</v>
      </c>
      <c r="BH385" s="763" t="b">
        <f>IFERROR(__xludf.DUMMYFUNCTION("""COMPUTED_VALUE"""),FALSE)</f>
        <v>0</v>
      </c>
      <c r="BI385" s="763" t="b">
        <f>IFERROR(__xludf.DUMMYFUNCTION("""COMPUTED_VALUE"""),FALSE)</f>
        <v>0</v>
      </c>
      <c r="BJ385" s="763" t="b">
        <f>IFERROR(__xludf.DUMMYFUNCTION("""COMPUTED_VALUE"""),FALSE)</f>
        <v>0</v>
      </c>
    </row>
    <row r="386">
      <c r="A386" s="763">
        <f>IFERROR(__xludf.DUMMYFUNCTION("""COMPUTED_VALUE"""),65462.0)</f>
        <v>65462</v>
      </c>
      <c r="B386" s="763">
        <f>IFERROR(__xludf.DUMMYFUNCTION("""COMPUTED_VALUE"""),65462.0)</f>
        <v>65462</v>
      </c>
      <c r="C386" s="763" t="str">
        <f>IFERROR(__xludf.DUMMYFUNCTION("""COMPUTED_VALUE"""),"2025-10-24 09:08:10")</f>
        <v>2025-10-24 09:08:10</v>
      </c>
      <c r="D386" s="763" t="str">
        <f>IFERROR(__xludf.DUMMYFUNCTION("""COMPUTED_VALUE"""),"failed")</f>
        <v>failed</v>
      </c>
      <c r="E386" s="763" t="str">
        <f>IFERROR(__xludf.DUMMYFUNCTION("""COMPUTED_VALUE"""),"Anna Maria")</f>
        <v>Anna Maria</v>
      </c>
      <c r="F386" s="763" t="str">
        <f>IFERROR(__xludf.DUMMYFUNCTION("""COMPUTED_VALUE"""),"Comolli")</f>
        <v>Comolli</v>
      </c>
      <c r="G386" s="763" t="str">
        <f>IFERROR(__xludf.DUMMYFUNCTION("""COMPUTED_VALUE"""),"annacomolli98@gmail.com")</f>
        <v>annacomolli98@gmail.com</v>
      </c>
      <c r="H386" s="763">
        <f>IFERROR(__xludf.DUMMYFUNCTION("""COMPUTED_VALUE"""),3.314938368E9)</f>
        <v>3314938368</v>
      </c>
      <c r="I386" s="763" t="str">
        <f>IFERROR(__xludf.DUMMYFUNCTION("""COMPUTED_VALUE"""),"Seregno")</f>
        <v>Seregno</v>
      </c>
      <c r="J386" s="763" t="str">
        <f>IFERROR(__xludf.DUMMYFUNCTION("""COMPUTED_VALUE"""),"Via Ballerini 26")</f>
        <v>Via Ballerini 26</v>
      </c>
      <c r="K386" s="763">
        <f>IFERROR(__xludf.DUMMYFUNCTION("""COMPUTED_VALUE"""),20831.0)</f>
        <v>20831</v>
      </c>
      <c r="L386" s="763" t="str">
        <f>IFERROR(__xludf.DUMMYFUNCTION("""COMPUTED_VALUE"""),"Carte di pagamento")</f>
        <v>Carte di pagamento</v>
      </c>
      <c r="M386" s="763"/>
      <c r="N386" s="763"/>
      <c r="O386" s="763">
        <f>IFERROR(__xludf.DUMMYFUNCTION("""COMPUTED_VALUE"""),0.0)</f>
        <v>0</v>
      </c>
      <c r="P386" s="767">
        <f>IFERROR(__xludf.DUMMYFUNCTION("""COMPUTED_VALUE"""),1.875)</f>
        <v>1.875</v>
      </c>
      <c r="Q386" s="763" t="str">
        <f>IFERROR(__xludf.DUMMYFUNCTION("""COMPUTED_VALUE"""),"EUR")</f>
        <v>EUR</v>
      </c>
      <c r="R386" s="763">
        <f>IFERROR(__xludf.DUMMYFUNCTION("""COMPUTED_VALUE"""),832.0)</f>
        <v>832</v>
      </c>
      <c r="S386" s="763" t="str">
        <f>IFERROR(__xludf.DUMMYFUNCTION("""COMPUTED_VALUE"""),"Workshop Commercial con Timor Steffens - Workshop Commercial con Timor Steffens")</f>
        <v>Workshop Commercial con Timor Steffens - Workshop Commercial con Timor Steffens</v>
      </c>
      <c r="T386" s="763"/>
      <c r="U386" s="763"/>
      <c r="V386" s="763">
        <f>IFERROR(__xludf.DUMMYFUNCTION("""COMPUTED_VALUE"""),1.0)</f>
        <v>1</v>
      </c>
      <c r="W386" s="763">
        <f>IFERROR(__xludf.DUMMYFUNCTION("""COMPUTED_VALUE"""),45.0)</f>
        <v>45</v>
      </c>
      <c r="X386" s="763">
        <f>IFERROR(__xludf.DUMMYFUNCTION("""COMPUTED_VALUE"""),45.0)</f>
        <v>45</v>
      </c>
      <c r="Y386" s="763"/>
      <c r="Z386" s="768" t="str">
        <f>IFERROR(__xludf.DUMMYFUNCTION("""COMPUTED_VALUE"""),"https://studio-gem.it/wp-admin/post.php?post=65462&amp;action=edit")</f>
        <v>https://studio-gem.it/wp-admin/post.php?post=65462&amp;action=edit</v>
      </c>
      <c r="AA386" s="763"/>
      <c r="AB386" s="763"/>
      <c r="AC386" s="763"/>
      <c r="AD386" s="763"/>
      <c r="AE386" s="763"/>
      <c r="AF386" s="763"/>
      <c r="AG386" s="763"/>
      <c r="AH386" s="763"/>
      <c r="AI386" s="763"/>
      <c r="AJ386" s="763"/>
      <c r="AK386" s="763"/>
      <c r="AL386" s="763"/>
      <c r="AM386" s="763"/>
      <c r="AN386" s="763"/>
      <c r="AO386" s="763"/>
      <c r="AP386" s="763"/>
      <c r="AQ386" s="763"/>
      <c r="AR386" s="763"/>
      <c r="AS386" s="763"/>
      <c r="AT386" s="763"/>
      <c r="AU386" s="763"/>
      <c r="AV386" s="763"/>
      <c r="AW386" s="763"/>
      <c r="AX386" s="763"/>
      <c r="AY386" s="763"/>
      <c r="AZ386" s="763"/>
      <c r="BA386" s="763"/>
      <c r="BB386" s="763"/>
      <c r="BC386" s="763"/>
      <c r="BD386" s="763"/>
      <c r="BE386" s="763"/>
      <c r="BF386" s="763"/>
      <c r="BG386" s="763" t="b">
        <f>IFERROR(__xludf.DUMMYFUNCTION("""COMPUTED_VALUE"""),FALSE)</f>
        <v>0</v>
      </c>
      <c r="BH386" s="763" t="b">
        <f>IFERROR(__xludf.DUMMYFUNCTION("""COMPUTED_VALUE"""),FALSE)</f>
        <v>0</v>
      </c>
      <c r="BI386" s="763" t="b">
        <f>IFERROR(__xludf.DUMMYFUNCTION("""COMPUTED_VALUE"""),FALSE)</f>
        <v>0</v>
      </c>
      <c r="BJ386" s="763" t="b">
        <f>IFERROR(__xludf.DUMMYFUNCTION("""COMPUTED_VALUE"""),FALSE)</f>
        <v>0</v>
      </c>
    </row>
    <row r="387">
      <c r="A387" s="763">
        <f>IFERROR(__xludf.DUMMYFUNCTION("""COMPUTED_VALUE"""),65463.0)</f>
        <v>65463</v>
      </c>
      <c r="B387" s="763">
        <f>IFERROR(__xludf.DUMMYFUNCTION("""COMPUTED_VALUE"""),65463.0)</f>
        <v>65463</v>
      </c>
      <c r="C387" s="763" t="str">
        <f>IFERROR(__xludf.DUMMYFUNCTION("""COMPUTED_VALUE"""),"2025-10-24 09:08:53")</f>
        <v>2025-10-24 09:08:53</v>
      </c>
      <c r="D387" s="763" t="str">
        <f>IFERROR(__xludf.DUMMYFUNCTION("""COMPUTED_VALUE"""),"processing")</f>
        <v>processing</v>
      </c>
      <c r="E387" s="763" t="str">
        <f>IFERROR(__xludf.DUMMYFUNCTION("""COMPUTED_VALUE"""),"Yasmin")</f>
        <v>Yasmin</v>
      </c>
      <c r="F387" s="763" t="str">
        <f>IFERROR(__xludf.DUMMYFUNCTION("""COMPUTED_VALUE"""),"Khaibillina")</f>
        <v>Khaibillina</v>
      </c>
      <c r="G387" s="763" t="str">
        <f>IFERROR(__xludf.DUMMYFUNCTION("""COMPUTED_VALUE"""),"yasminkhaybullina@mail.ru")</f>
        <v>yasminkhaybullina@mail.ru</v>
      </c>
      <c r="H387" s="763">
        <f>IFERROR(__xludf.DUMMYFUNCTION("""COMPUTED_VALUE"""),3.792641976E9)</f>
        <v>3792641976</v>
      </c>
      <c r="I387" s="763" t="str">
        <f>IFERROR(__xludf.DUMMYFUNCTION("""COMPUTED_VALUE"""),"Milano")</f>
        <v>Milano</v>
      </c>
      <c r="J387" s="763" t="str">
        <f>IFERROR(__xludf.DUMMYFUNCTION("""COMPUTED_VALUE"""),"Viale Faenza 18")</f>
        <v>Viale Faenza 18</v>
      </c>
      <c r="K387" s="763">
        <f>IFERROR(__xludf.DUMMYFUNCTION("""COMPUTED_VALUE"""),20142.0)</f>
        <v>20142</v>
      </c>
      <c r="L387" s="763" t="str">
        <f>IFERROR(__xludf.DUMMYFUNCTION("""COMPUTED_VALUE"""),"Carte di pagamento")</f>
        <v>Carte di pagamento</v>
      </c>
      <c r="M387" s="763"/>
      <c r="N387" s="763" t="str">
        <f>IFERROR(__xludf.DUMMYFUNCTION("""COMPUTED_VALUE"""),"65463-1761296935")</f>
        <v>65463-1761296935</v>
      </c>
      <c r="O387" s="763">
        <f>IFERROR(__xludf.DUMMYFUNCTION("""COMPUTED_VALUE"""),0.0)</f>
        <v>0</v>
      </c>
      <c r="P387" s="767">
        <f>IFERROR(__xludf.DUMMYFUNCTION("""COMPUTED_VALUE"""),1.5416666666666667)</f>
        <v>1.541666667</v>
      </c>
      <c r="Q387" s="763" t="str">
        <f>IFERROR(__xludf.DUMMYFUNCTION("""COMPUTED_VALUE"""),"EUR")</f>
        <v>EUR</v>
      </c>
      <c r="R387" s="763">
        <f>IFERROR(__xludf.DUMMYFUNCTION("""COMPUTED_VALUE"""),833.0)</f>
        <v>833</v>
      </c>
      <c r="S387" s="763" t="str">
        <f>IFERROR(__xludf.DUMMYFUNCTION("""COMPUTED_VALUE"""),"Workshop Urban con Kumo - Workshop Kumo Urban")</f>
        <v>Workshop Urban con Kumo - Workshop Kumo Urban</v>
      </c>
      <c r="T387" s="763"/>
      <c r="U387" s="763"/>
      <c r="V387" s="763">
        <f>IFERROR(__xludf.DUMMYFUNCTION("""COMPUTED_VALUE"""),1.0)</f>
        <v>1</v>
      </c>
      <c r="W387" s="763">
        <f>IFERROR(__xludf.DUMMYFUNCTION("""COMPUTED_VALUE"""),37.0)</f>
        <v>37</v>
      </c>
      <c r="X387" s="763">
        <f>IFERROR(__xludf.DUMMYFUNCTION("""COMPUTED_VALUE"""),37.0)</f>
        <v>37</v>
      </c>
      <c r="Y387" s="763"/>
      <c r="Z387" s="768" t="str">
        <f>IFERROR(__xludf.DUMMYFUNCTION("""COMPUTED_VALUE"""),"https://studio-gem.it/wp-admin/post.php?post=65463&amp;action=edit")</f>
        <v>https://studio-gem.it/wp-admin/post.php?post=65463&amp;action=edit</v>
      </c>
      <c r="AA387" s="763"/>
      <c r="AB387" s="763"/>
      <c r="AC387" s="763"/>
      <c r="AD387" s="763"/>
      <c r="AE387" s="763"/>
      <c r="AF387" s="763"/>
      <c r="AG387" s="763"/>
      <c r="AH387" s="763"/>
      <c r="AI387" s="763"/>
      <c r="AJ387" s="763"/>
      <c r="AK387" s="763"/>
      <c r="AL387" s="763"/>
      <c r="AM387" s="763"/>
      <c r="AN387" s="763"/>
      <c r="AO387" s="763"/>
      <c r="AP387" s="763"/>
      <c r="AQ387" s="763"/>
      <c r="AR387" s="763"/>
      <c r="AS387" s="763"/>
      <c r="AT387" s="763"/>
      <c r="AU387" s="763"/>
      <c r="AV387" s="763"/>
      <c r="AW387" s="763"/>
      <c r="AX387" s="763"/>
      <c r="AY387" s="763"/>
      <c r="AZ387" s="763"/>
      <c r="BA387" s="763"/>
      <c r="BB387" s="763"/>
      <c r="BC387" s="763"/>
      <c r="BD387" s="763"/>
      <c r="BE387" s="763"/>
      <c r="BF387" s="763"/>
      <c r="BG387" s="763" t="b">
        <f>IFERROR(__xludf.DUMMYFUNCTION("""COMPUTED_VALUE"""),TRUE)</f>
        <v>1</v>
      </c>
      <c r="BH387" s="763" t="b">
        <f>IFERROR(__xludf.DUMMYFUNCTION("""COMPUTED_VALUE"""),FALSE)</f>
        <v>0</v>
      </c>
      <c r="BI387" s="763" t="b">
        <f>IFERROR(__xludf.DUMMYFUNCTION("""COMPUTED_VALUE"""),TRUE)</f>
        <v>1</v>
      </c>
      <c r="BJ387" s="763" t="b">
        <f>IFERROR(__xludf.DUMMYFUNCTION("""COMPUTED_VALUE"""),TRUE)</f>
        <v>1</v>
      </c>
    </row>
    <row r="388">
      <c r="A388" s="763">
        <f>IFERROR(__xludf.DUMMYFUNCTION("""COMPUTED_VALUE"""),65462.0)</f>
        <v>65462</v>
      </c>
      <c r="B388" s="763">
        <f>IFERROR(__xludf.DUMMYFUNCTION("""COMPUTED_VALUE"""),65462.0)</f>
        <v>65462</v>
      </c>
      <c r="C388" s="763" t="str">
        <f>IFERROR(__xludf.DUMMYFUNCTION("""COMPUTED_VALUE"""),"2025-10-24 09:08:10")</f>
        <v>2025-10-24 09:08:10</v>
      </c>
      <c r="D388" s="763" t="str">
        <f>IFERROR(__xludf.DUMMYFUNCTION("""COMPUTED_VALUE"""),"failed")</f>
        <v>failed</v>
      </c>
      <c r="E388" s="763" t="str">
        <f>IFERROR(__xludf.DUMMYFUNCTION("""COMPUTED_VALUE"""),"Anna Maria")</f>
        <v>Anna Maria</v>
      </c>
      <c r="F388" s="763" t="str">
        <f>IFERROR(__xludf.DUMMYFUNCTION("""COMPUTED_VALUE"""),"Comolli")</f>
        <v>Comolli</v>
      </c>
      <c r="G388" s="763" t="str">
        <f>IFERROR(__xludf.DUMMYFUNCTION("""COMPUTED_VALUE"""),"annacomolli98@gmail.com")</f>
        <v>annacomolli98@gmail.com</v>
      </c>
      <c r="H388" s="763">
        <f>IFERROR(__xludf.DUMMYFUNCTION("""COMPUTED_VALUE"""),3.314938368E9)</f>
        <v>3314938368</v>
      </c>
      <c r="I388" s="763" t="str">
        <f>IFERROR(__xludf.DUMMYFUNCTION("""COMPUTED_VALUE"""),"Seregno")</f>
        <v>Seregno</v>
      </c>
      <c r="J388" s="763" t="str">
        <f>IFERROR(__xludf.DUMMYFUNCTION("""COMPUTED_VALUE"""),"Via Ballerini 26")</f>
        <v>Via Ballerini 26</v>
      </c>
      <c r="K388" s="763">
        <f>IFERROR(__xludf.DUMMYFUNCTION("""COMPUTED_VALUE"""),20831.0)</f>
        <v>20831</v>
      </c>
      <c r="L388" s="763" t="str">
        <f>IFERROR(__xludf.DUMMYFUNCTION("""COMPUTED_VALUE"""),"Carte di pagamento")</f>
        <v>Carte di pagamento</v>
      </c>
      <c r="M388" s="763"/>
      <c r="N388" s="763"/>
      <c r="O388" s="763">
        <f>IFERROR(__xludf.DUMMYFUNCTION("""COMPUTED_VALUE"""),0.0)</f>
        <v>0</v>
      </c>
      <c r="P388" s="767">
        <f>IFERROR(__xludf.DUMMYFUNCTION("""COMPUTED_VALUE"""),1.875)</f>
        <v>1.875</v>
      </c>
      <c r="Q388" s="763" t="str">
        <f>IFERROR(__xludf.DUMMYFUNCTION("""COMPUTED_VALUE"""),"EUR")</f>
        <v>EUR</v>
      </c>
      <c r="R388" s="763">
        <f>IFERROR(__xludf.DUMMYFUNCTION("""COMPUTED_VALUE"""),834.0)</f>
        <v>834</v>
      </c>
      <c r="S388" s="763" t="str">
        <f>IFERROR(__xludf.DUMMYFUNCTION("""COMPUTED_VALUE"""),"Workshop Commercial con Timor Steffens - Workshop Commercial con Timor Steffens")</f>
        <v>Workshop Commercial con Timor Steffens - Workshop Commercial con Timor Steffens</v>
      </c>
      <c r="T388" s="763"/>
      <c r="U388" s="763"/>
      <c r="V388" s="763">
        <f>IFERROR(__xludf.DUMMYFUNCTION("""COMPUTED_VALUE"""),1.0)</f>
        <v>1</v>
      </c>
      <c r="W388" s="763">
        <f>IFERROR(__xludf.DUMMYFUNCTION("""COMPUTED_VALUE"""),45.0)</f>
        <v>45</v>
      </c>
      <c r="X388" s="763">
        <f>IFERROR(__xludf.DUMMYFUNCTION("""COMPUTED_VALUE"""),45.0)</f>
        <v>45</v>
      </c>
      <c r="Y388" s="763"/>
      <c r="Z388" s="768" t="str">
        <f>IFERROR(__xludf.DUMMYFUNCTION("""COMPUTED_VALUE"""),"https://studio-gem.it/wp-admin/post.php?post=65462&amp;action=edit")</f>
        <v>https://studio-gem.it/wp-admin/post.php?post=65462&amp;action=edit</v>
      </c>
      <c r="AA388" s="763"/>
      <c r="AB388" s="763"/>
      <c r="AC388" s="763"/>
      <c r="AD388" s="763"/>
      <c r="AE388" s="763"/>
      <c r="AF388" s="763"/>
      <c r="AG388" s="763"/>
      <c r="AH388" s="763"/>
      <c r="AI388" s="763"/>
      <c r="AJ388" s="763"/>
      <c r="AK388" s="763"/>
      <c r="AL388" s="763"/>
      <c r="AM388" s="763"/>
      <c r="AN388" s="763"/>
      <c r="AO388" s="763"/>
      <c r="AP388" s="763"/>
      <c r="AQ388" s="763"/>
      <c r="AR388" s="763"/>
      <c r="AS388" s="763"/>
      <c r="AT388" s="763"/>
      <c r="AU388" s="763"/>
      <c r="AV388" s="763"/>
      <c r="AW388" s="763"/>
      <c r="AX388" s="763"/>
      <c r="AY388" s="763"/>
      <c r="AZ388" s="763"/>
      <c r="BA388" s="763"/>
      <c r="BB388" s="763"/>
      <c r="BC388" s="763"/>
      <c r="BD388" s="763"/>
      <c r="BE388" s="763"/>
      <c r="BF388" s="763"/>
      <c r="BG388" s="763" t="b">
        <f>IFERROR(__xludf.DUMMYFUNCTION("""COMPUTED_VALUE"""),FALSE)</f>
        <v>0</v>
      </c>
      <c r="BH388" s="763" t="b">
        <f>IFERROR(__xludf.DUMMYFUNCTION("""COMPUTED_VALUE"""),FALSE)</f>
        <v>0</v>
      </c>
      <c r="BI388" s="763" t="b">
        <f>IFERROR(__xludf.DUMMYFUNCTION("""COMPUTED_VALUE"""),FALSE)</f>
        <v>0</v>
      </c>
      <c r="BJ388" s="763" t="b">
        <f>IFERROR(__xludf.DUMMYFUNCTION("""COMPUTED_VALUE"""),FALSE)</f>
        <v>0</v>
      </c>
    </row>
    <row r="389">
      <c r="A389" s="763">
        <f>IFERROR(__xludf.DUMMYFUNCTION("""COMPUTED_VALUE"""),65464.0)</f>
        <v>65464</v>
      </c>
      <c r="B389" s="763">
        <f>IFERROR(__xludf.DUMMYFUNCTION("""COMPUTED_VALUE"""),65464.0)</f>
        <v>65464</v>
      </c>
      <c r="C389" s="763" t="str">
        <f>IFERROR(__xludf.DUMMYFUNCTION("""COMPUTED_VALUE"""),"2025-10-24 09:22:26")</f>
        <v>2025-10-24 09:22:26</v>
      </c>
      <c r="D389" s="763" t="str">
        <f>IFERROR(__xludf.DUMMYFUNCTION("""COMPUTED_VALUE"""),"failed")</f>
        <v>failed</v>
      </c>
      <c r="E389" s="763" t="str">
        <f>IFERROR(__xludf.DUMMYFUNCTION("""COMPUTED_VALUE"""),"Anna Maria")</f>
        <v>Anna Maria</v>
      </c>
      <c r="F389" s="763" t="str">
        <f>IFERROR(__xludf.DUMMYFUNCTION("""COMPUTED_VALUE"""),"Comolli")</f>
        <v>Comolli</v>
      </c>
      <c r="G389" s="763" t="str">
        <f>IFERROR(__xludf.DUMMYFUNCTION("""COMPUTED_VALUE"""),"annacomolli98@gmail.com")</f>
        <v>annacomolli98@gmail.com</v>
      </c>
      <c r="H389" s="763">
        <f>IFERROR(__xludf.DUMMYFUNCTION("""COMPUTED_VALUE"""),3.314938368E9)</f>
        <v>3314938368</v>
      </c>
      <c r="I389" s="763" t="str">
        <f>IFERROR(__xludf.DUMMYFUNCTION("""COMPUTED_VALUE"""),"Seregno")</f>
        <v>Seregno</v>
      </c>
      <c r="J389" s="763" t="str">
        <f>IFERROR(__xludf.DUMMYFUNCTION("""COMPUTED_VALUE"""),"Via Ballerini 26")</f>
        <v>Via Ballerini 26</v>
      </c>
      <c r="K389" s="763">
        <f>IFERROR(__xludf.DUMMYFUNCTION("""COMPUTED_VALUE"""),20831.0)</f>
        <v>20831</v>
      </c>
      <c r="L389" s="763" t="str">
        <f>IFERROR(__xludf.DUMMYFUNCTION("""COMPUTED_VALUE"""),"Carte di pagamento")</f>
        <v>Carte di pagamento</v>
      </c>
      <c r="M389" s="763"/>
      <c r="N389" s="763"/>
      <c r="O389" s="763">
        <f>IFERROR(__xludf.DUMMYFUNCTION("""COMPUTED_VALUE"""),0.0)</f>
        <v>0</v>
      </c>
      <c r="P389" s="767">
        <f>IFERROR(__xludf.DUMMYFUNCTION("""COMPUTED_VALUE"""),1.875)</f>
        <v>1.875</v>
      </c>
      <c r="Q389" s="763" t="str">
        <f>IFERROR(__xludf.DUMMYFUNCTION("""COMPUTED_VALUE"""),"EUR")</f>
        <v>EUR</v>
      </c>
      <c r="R389" s="763">
        <f>IFERROR(__xludf.DUMMYFUNCTION("""COMPUTED_VALUE"""),835.0)</f>
        <v>835</v>
      </c>
      <c r="S389" s="763" t="str">
        <f>IFERROR(__xludf.DUMMYFUNCTION("""COMPUTED_VALUE"""),"Workshop Commercial con Timor Steffens - Workshop Commercial con Timor Steffens")</f>
        <v>Workshop Commercial con Timor Steffens - Workshop Commercial con Timor Steffens</v>
      </c>
      <c r="T389" s="763"/>
      <c r="U389" s="763"/>
      <c r="V389" s="763">
        <f>IFERROR(__xludf.DUMMYFUNCTION("""COMPUTED_VALUE"""),1.0)</f>
        <v>1</v>
      </c>
      <c r="W389" s="763">
        <f>IFERROR(__xludf.DUMMYFUNCTION("""COMPUTED_VALUE"""),45.0)</f>
        <v>45</v>
      </c>
      <c r="X389" s="763">
        <f>IFERROR(__xludf.DUMMYFUNCTION("""COMPUTED_VALUE"""),45.0)</f>
        <v>45</v>
      </c>
      <c r="Y389" s="763"/>
      <c r="Z389" s="768" t="str">
        <f>IFERROR(__xludf.DUMMYFUNCTION("""COMPUTED_VALUE"""),"https://studio-gem.it/wp-admin/post.php?post=65464&amp;action=edit")</f>
        <v>https://studio-gem.it/wp-admin/post.php?post=65464&amp;action=edit</v>
      </c>
      <c r="AA389" s="763"/>
      <c r="AB389" s="763"/>
      <c r="AC389" s="763"/>
      <c r="AD389" s="763"/>
      <c r="AE389" s="763"/>
      <c r="AF389" s="763"/>
      <c r="AG389" s="763"/>
      <c r="AH389" s="763"/>
      <c r="AI389" s="763"/>
      <c r="AJ389" s="763"/>
      <c r="AK389" s="763"/>
      <c r="AL389" s="763"/>
      <c r="AM389" s="763"/>
      <c r="AN389" s="763"/>
      <c r="AO389" s="763"/>
      <c r="AP389" s="763"/>
      <c r="AQ389" s="763"/>
      <c r="AR389" s="763"/>
      <c r="AS389" s="763"/>
      <c r="AT389" s="763"/>
      <c r="AU389" s="763"/>
      <c r="AV389" s="763"/>
      <c r="AW389" s="763"/>
      <c r="AX389" s="763"/>
      <c r="AY389" s="763"/>
      <c r="AZ389" s="763"/>
      <c r="BA389" s="763"/>
      <c r="BB389" s="763"/>
      <c r="BC389" s="763"/>
      <c r="BD389" s="763"/>
      <c r="BE389" s="763"/>
      <c r="BF389" s="763"/>
      <c r="BG389" s="763" t="b">
        <f>IFERROR(__xludf.DUMMYFUNCTION("""COMPUTED_VALUE"""),FALSE)</f>
        <v>0</v>
      </c>
      <c r="BH389" s="763" t="b">
        <f>IFERROR(__xludf.DUMMYFUNCTION("""COMPUTED_VALUE"""),FALSE)</f>
        <v>0</v>
      </c>
      <c r="BI389" s="763" t="b">
        <f>IFERROR(__xludf.DUMMYFUNCTION("""COMPUTED_VALUE"""),FALSE)</f>
        <v>0</v>
      </c>
      <c r="BJ389" s="763" t="b">
        <f>IFERROR(__xludf.DUMMYFUNCTION("""COMPUTED_VALUE"""),FALSE)</f>
        <v>0</v>
      </c>
    </row>
    <row r="390">
      <c r="A390" s="763">
        <f>IFERROR(__xludf.DUMMYFUNCTION("""COMPUTED_VALUE"""),65465.0)</f>
        <v>65465</v>
      </c>
      <c r="B390" s="763">
        <f>IFERROR(__xludf.DUMMYFUNCTION("""COMPUTED_VALUE"""),65465.0)</f>
        <v>65465</v>
      </c>
      <c r="C390" s="763" t="str">
        <f>IFERROR(__xludf.DUMMYFUNCTION("""COMPUTED_VALUE"""),"2025-10-24 09:37:06")</f>
        <v>2025-10-24 09:37:06</v>
      </c>
      <c r="D390" s="763" t="str">
        <f>IFERROR(__xludf.DUMMYFUNCTION("""COMPUTED_VALUE"""),"failed")</f>
        <v>failed</v>
      </c>
      <c r="E390" s="763" t="str">
        <f>IFERROR(__xludf.DUMMYFUNCTION("""COMPUTED_VALUE"""),"Anna Maria")</f>
        <v>Anna Maria</v>
      </c>
      <c r="F390" s="763" t="str">
        <f>IFERROR(__xludf.DUMMYFUNCTION("""COMPUTED_VALUE"""),"Comolli")</f>
        <v>Comolli</v>
      </c>
      <c r="G390" s="763" t="str">
        <f>IFERROR(__xludf.DUMMYFUNCTION("""COMPUTED_VALUE"""),"annacomolli98@gmail.com")</f>
        <v>annacomolli98@gmail.com</v>
      </c>
      <c r="H390" s="763">
        <f>IFERROR(__xludf.DUMMYFUNCTION("""COMPUTED_VALUE"""),3.314938368E9)</f>
        <v>3314938368</v>
      </c>
      <c r="I390" s="763" t="str">
        <f>IFERROR(__xludf.DUMMYFUNCTION("""COMPUTED_VALUE"""),"Seregno")</f>
        <v>Seregno</v>
      </c>
      <c r="J390" s="763" t="str">
        <f>IFERROR(__xludf.DUMMYFUNCTION("""COMPUTED_VALUE"""),"Via Ballerini 26")</f>
        <v>Via Ballerini 26</v>
      </c>
      <c r="K390" s="763">
        <f>IFERROR(__xludf.DUMMYFUNCTION("""COMPUTED_VALUE"""),20831.0)</f>
        <v>20831</v>
      </c>
      <c r="L390" s="763" t="str">
        <f>IFERROR(__xludf.DUMMYFUNCTION("""COMPUTED_VALUE"""),"Carte di pagamento")</f>
        <v>Carte di pagamento</v>
      </c>
      <c r="M390" s="763" t="str">
        <f>IFERROR(__xludf.DUMMYFUNCTION("""COMPUTED_VALUE"""),"nura02ws")</f>
        <v>nura02ws</v>
      </c>
      <c r="N390" s="763"/>
      <c r="O390" s="763">
        <f>IFERROR(__xludf.DUMMYFUNCTION("""COMPUTED_VALUE"""),0.0)</f>
        <v>0</v>
      </c>
      <c r="P390" s="767">
        <f>IFERROR(__xludf.DUMMYFUNCTION("""COMPUTED_VALUE"""),1.7916666666666667)</f>
        <v>1.791666667</v>
      </c>
      <c r="Q390" s="763" t="str">
        <f>IFERROR(__xludf.DUMMYFUNCTION("""COMPUTED_VALUE"""),"EUR")</f>
        <v>EUR</v>
      </c>
      <c r="R390" s="763">
        <f>IFERROR(__xludf.DUMMYFUNCTION("""COMPUTED_VALUE"""),836.0)</f>
        <v>836</v>
      </c>
      <c r="S390" s="763" t="str">
        <f>IFERROR(__xludf.DUMMYFUNCTION("""COMPUTED_VALUE"""),"Workshop Commercial con Timor Steffens - Workshop Commercial con Timor Steffens")</f>
        <v>Workshop Commercial con Timor Steffens - Workshop Commercial con Timor Steffens</v>
      </c>
      <c r="T390" s="763"/>
      <c r="U390" s="763"/>
      <c r="V390" s="763">
        <f>IFERROR(__xludf.DUMMYFUNCTION("""COMPUTED_VALUE"""),1.0)</f>
        <v>1</v>
      </c>
      <c r="W390" s="763">
        <f>IFERROR(__xludf.DUMMYFUNCTION("""COMPUTED_VALUE"""),43.0)</f>
        <v>43</v>
      </c>
      <c r="X390" s="763">
        <f>IFERROR(__xludf.DUMMYFUNCTION("""COMPUTED_VALUE"""),43.0)</f>
        <v>43</v>
      </c>
      <c r="Y390" s="763"/>
      <c r="Z390" s="768" t="str">
        <f>IFERROR(__xludf.DUMMYFUNCTION("""COMPUTED_VALUE"""),"https://studio-gem.it/wp-admin/post.php?post=65465&amp;action=edit")</f>
        <v>https://studio-gem.it/wp-admin/post.php?post=65465&amp;action=edit</v>
      </c>
      <c r="AA390" s="763"/>
      <c r="AB390" s="763"/>
      <c r="AC390" s="763"/>
      <c r="AD390" s="763"/>
      <c r="AE390" s="763"/>
      <c r="AF390" s="763"/>
      <c r="AG390" s="763"/>
      <c r="AH390" s="763"/>
      <c r="AI390" s="763"/>
      <c r="AJ390" s="763"/>
      <c r="AK390" s="763"/>
      <c r="AL390" s="763"/>
      <c r="AM390" s="763"/>
      <c r="AN390" s="763"/>
      <c r="AO390" s="763"/>
      <c r="AP390" s="763"/>
      <c r="AQ390" s="763"/>
      <c r="AR390" s="763"/>
      <c r="AS390" s="763"/>
      <c r="AT390" s="763"/>
      <c r="AU390" s="763"/>
      <c r="AV390" s="763"/>
      <c r="AW390" s="763"/>
      <c r="AX390" s="763"/>
      <c r="AY390" s="763"/>
      <c r="AZ390" s="763"/>
      <c r="BA390" s="763"/>
      <c r="BB390" s="763"/>
      <c r="BC390" s="763"/>
      <c r="BD390" s="763"/>
      <c r="BE390" s="763"/>
      <c r="BF390" s="763"/>
      <c r="BG390" s="763" t="b">
        <f>IFERROR(__xludf.DUMMYFUNCTION("""COMPUTED_VALUE"""),FALSE)</f>
        <v>0</v>
      </c>
      <c r="BH390" s="763" t="b">
        <f>IFERROR(__xludf.DUMMYFUNCTION("""COMPUTED_VALUE"""),FALSE)</f>
        <v>0</v>
      </c>
      <c r="BI390" s="763" t="b">
        <f>IFERROR(__xludf.DUMMYFUNCTION("""COMPUTED_VALUE"""),FALSE)</f>
        <v>0</v>
      </c>
      <c r="BJ390" s="763" t="b">
        <f>IFERROR(__xludf.DUMMYFUNCTION("""COMPUTED_VALUE"""),FALSE)</f>
        <v>0</v>
      </c>
    </row>
    <row r="391">
      <c r="A391" s="763">
        <f>IFERROR(__xludf.DUMMYFUNCTION("""COMPUTED_VALUE"""),65466.0)</f>
        <v>65466</v>
      </c>
      <c r="B391" s="763">
        <f>IFERROR(__xludf.DUMMYFUNCTION("""COMPUTED_VALUE"""),65466.0)</f>
        <v>65466</v>
      </c>
      <c r="C391" s="763" t="str">
        <f>IFERROR(__xludf.DUMMYFUNCTION("""COMPUTED_VALUE"""),"2025-10-24 09:54:44")</f>
        <v>2025-10-24 09:54:44</v>
      </c>
      <c r="D391" s="763" t="str">
        <f>IFERROR(__xludf.DUMMYFUNCTION("""COMPUTED_VALUE"""),"pending")</f>
        <v>pending</v>
      </c>
      <c r="E391" s="763" t="str">
        <f>IFERROR(__xludf.DUMMYFUNCTION("""COMPUTED_VALUE"""),"Fabio Bartolomeo Angelino")</f>
        <v>Fabio Bartolomeo Angelino</v>
      </c>
      <c r="F391" s="763" t="str">
        <f>IFERROR(__xludf.DUMMYFUNCTION("""COMPUTED_VALUE"""),"Rho")</f>
        <v>Rho</v>
      </c>
      <c r="G391" s="763" t="str">
        <f>IFERROR(__xludf.DUMMYFUNCTION("""COMPUTED_VALUE"""),"fabio_rho@hotmail.com")</f>
        <v>fabio_rho@hotmail.com</v>
      </c>
      <c r="H391" s="763">
        <f>IFERROR(__xludf.DUMMYFUNCTION("""COMPUTED_VALUE"""),3.282344198E9)</f>
        <v>3282344198</v>
      </c>
      <c r="I391" s="763" t="str">
        <f>IFERROR(__xludf.DUMMYFUNCTION("""COMPUTED_VALUE"""),"Mediglia")</f>
        <v>Mediglia</v>
      </c>
      <c r="J391" s="763" t="str">
        <f>IFERROR(__xludf.DUMMYFUNCTION("""COMPUTED_VALUE"""),"via Orsa Maggiore 1")</f>
        <v>via Orsa Maggiore 1</v>
      </c>
      <c r="K391" s="763">
        <f>IFERROR(__xludf.DUMMYFUNCTION("""COMPUTED_VALUE"""),20076.0)</f>
        <v>20076</v>
      </c>
      <c r="L391" s="763" t="str">
        <f>IFERROR(__xludf.DUMMYFUNCTION("""COMPUTED_VALUE"""),"Scalapay - Pay in 3")</f>
        <v>Scalapay - Pay in 3</v>
      </c>
      <c r="M391" s="763"/>
      <c r="N391" s="763"/>
      <c r="O391" s="763">
        <f>IFERROR(__xludf.DUMMYFUNCTION("""COMPUTED_VALUE"""),0.0)</f>
        <v>0</v>
      </c>
      <c r="P391" s="767">
        <f>IFERROR(__xludf.DUMMYFUNCTION("""COMPUTED_VALUE"""),1.875)</f>
        <v>1.875</v>
      </c>
      <c r="Q391" s="763" t="str">
        <f>IFERROR(__xludf.DUMMYFUNCTION("""COMPUTED_VALUE"""),"EUR")</f>
        <v>EUR</v>
      </c>
      <c r="R391" s="763">
        <f>IFERROR(__xludf.DUMMYFUNCTION("""COMPUTED_VALUE"""),838.0)</f>
        <v>838</v>
      </c>
      <c r="S391" s="763" t="str">
        <f>IFERROR(__xludf.DUMMYFUNCTION("""COMPUTED_VALUE"""),"Workshop Commercial con Timor Steffens - Workshop Commercial con Timor Steffens")</f>
        <v>Workshop Commercial con Timor Steffens - Workshop Commercial con Timor Steffens</v>
      </c>
      <c r="T391" s="763"/>
      <c r="U391" s="763"/>
      <c r="V391" s="763">
        <f>IFERROR(__xludf.DUMMYFUNCTION("""COMPUTED_VALUE"""),1.0)</f>
        <v>1</v>
      </c>
      <c r="W391" s="763">
        <f>IFERROR(__xludf.DUMMYFUNCTION("""COMPUTED_VALUE"""),45.0)</f>
        <v>45</v>
      </c>
      <c r="X391" s="763">
        <f>IFERROR(__xludf.DUMMYFUNCTION("""COMPUTED_VALUE"""),45.0)</f>
        <v>45</v>
      </c>
      <c r="Y391" s="763"/>
      <c r="Z391" s="768" t="str">
        <f>IFERROR(__xludf.DUMMYFUNCTION("""COMPUTED_VALUE"""),"https://studio-gem.it/wp-admin/post.php?post=65466&amp;action=edit")</f>
        <v>https://studio-gem.it/wp-admin/post.php?post=65466&amp;action=edit</v>
      </c>
      <c r="AA391" s="763"/>
      <c r="AB391" s="763"/>
      <c r="AC391" s="763"/>
      <c r="AD391" s="763"/>
      <c r="AE391" s="763"/>
      <c r="AF391" s="763"/>
      <c r="AG391" s="763"/>
      <c r="AH391" s="763"/>
      <c r="AI391" s="763"/>
      <c r="AJ391" s="763"/>
      <c r="AK391" s="763"/>
      <c r="AL391" s="763"/>
      <c r="AM391" s="763"/>
      <c r="AN391" s="763"/>
      <c r="AO391" s="763"/>
      <c r="AP391" s="763"/>
      <c r="AQ391" s="763"/>
      <c r="AR391" s="763"/>
      <c r="AS391" s="763"/>
      <c r="AT391" s="763"/>
      <c r="AU391" s="763"/>
      <c r="AV391" s="763"/>
      <c r="AW391" s="763"/>
      <c r="AX391" s="763"/>
      <c r="AY391" s="763"/>
      <c r="AZ391" s="763"/>
      <c r="BA391" s="763"/>
      <c r="BB391" s="763"/>
      <c r="BC391" s="763"/>
      <c r="BD391" s="763"/>
      <c r="BE391" s="763"/>
      <c r="BF391" s="763"/>
      <c r="BG391" s="763" t="b">
        <f>IFERROR(__xludf.DUMMYFUNCTION("""COMPUTED_VALUE"""),FALSE)</f>
        <v>0</v>
      </c>
      <c r="BH391" s="763" t="b">
        <f>IFERROR(__xludf.DUMMYFUNCTION("""COMPUTED_VALUE"""),FALSE)</f>
        <v>0</v>
      </c>
      <c r="BI391" s="763" t="b">
        <f>IFERROR(__xludf.DUMMYFUNCTION("""COMPUTED_VALUE"""),FALSE)</f>
        <v>0</v>
      </c>
      <c r="BJ391" s="763" t="b">
        <f>IFERROR(__xludf.DUMMYFUNCTION("""COMPUTED_VALUE"""),FALSE)</f>
        <v>0</v>
      </c>
    </row>
    <row r="392">
      <c r="A392" s="763">
        <f>IFERROR(__xludf.DUMMYFUNCTION("""COMPUTED_VALUE"""),65467.0)</f>
        <v>65467</v>
      </c>
      <c r="B392" s="763">
        <f>IFERROR(__xludf.DUMMYFUNCTION("""COMPUTED_VALUE"""),65467.0)</f>
        <v>65467</v>
      </c>
      <c r="C392" s="763" t="str">
        <f>IFERROR(__xludf.DUMMYFUNCTION("""COMPUTED_VALUE"""),"2025-10-24 10:04:18")</f>
        <v>2025-10-24 10:04:18</v>
      </c>
      <c r="D392" s="763" t="str">
        <f>IFERROR(__xludf.DUMMYFUNCTION("""COMPUTED_VALUE"""),"pending")</f>
        <v>pending</v>
      </c>
      <c r="E392" s="763" t="str">
        <f>IFERROR(__xludf.DUMMYFUNCTION("""COMPUTED_VALUE"""),"Kris")</f>
        <v>Kris</v>
      </c>
      <c r="F392" s="763" t="str">
        <f>IFERROR(__xludf.DUMMYFUNCTION("""COMPUTED_VALUE"""),"Langens")</f>
        <v>Langens</v>
      </c>
      <c r="G392" s="763" t="str">
        <f>IFERROR(__xludf.DUMMYFUNCTION("""COMPUTED_VALUE"""),"kris.langens@gmail.com")</f>
        <v>kris.langens@gmail.com</v>
      </c>
      <c r="H392" s="763">
        <f>IFERROR(__xludf.DUMMYFUNCTION("""COMPUTED_VALUE"""),6.148939E8)</f>
        <v>614893900</v>
      </c>
      <c r="I392" s="763" t="str">
        <f>IFERROR(__xludf.DUMMYFUNCTION("""COMPUTED_VALUE"""),"Trento")</f>
        <v>Trento</v>
      </c>
      <c r="J392" s="763" t="str">
        <f>IFERROR(__xludf.DUMMYFUNCTION("""COMPUTED_VALUE"""),"Via dei Solteri 56")</f>
        <v>Via dei Solteri 56</v>
      </c>
      <c r="K392" s="763">
        <f>IFERROR(__xludf.DUMMYFUNCTION("""COMPUTED_VALUE"""),38121.0)</f>
        <v>38121</v>
      </c>
      <c r="L392" s="763" t="str">
        <f>IFERROR(__xludf.DUMMYFUNCTION("""COMPUTED_VALUE"""),"Carte di pagamento")</f>
        <v>Carte di pagamento</v>
      </c>
      <c r="M392" s="763"/>
      <c r="N392" s="763"/>
      <c r="O392" s="763">
        <f>IFERROR(__xludf.DUMMYFUNCTION("""COMPUTED_VALUE"""),0.0)</f>
        <v>0</v>
      </c>
      <c r="P392" s="767">
        <f>IFERROR(__xludf.DUMMYFUNCTION("""COMPUTED_VALUE"""),1.875)</f>
        <v>1.875</v>
      </c>
      <c r="Q392" s="763" t="str">
        <f>IFERROR(__xludf.DUMMYFUNCTION("""COMPUTED_VALUE"""),"EUR")</f>
        <v>EUR</v>
      </c>
      <c r="R392" s="763">
        <f>IFERROR(__xludf.DUMMYFUNCTION("""COMPUTED_VALUE"""),839.0)</f>
        <v>839</v>
      </c>
      <c r="S392" s="763" t="str">
        <f>IFERROR(__xludf.DUMMYFUNCTION("""COMPUTED_VALUE"""),"Workshop Commercial con Timor Steffens - Workshop Commercial con Timor Steffens")</f>
        <v>Workshop Commercial con Timor Steffens - Workshop Commercial con Timor Steffens</v>
      </c>
      <c r="T392" s="763"/>
      <c r="U392" s="763"/>
      <c r="V392" s="763">
        <f>IFERROR(__xludf.DUMMYFUNCTION("""COMPUTED_VALUE"""),1.0)</f>
        <v>1</v>
      </c>
      <c r="W392" s="763">
        <f>IFERROR(__xludf.DUMMYFUNCTION("""COMPUTED_VALUE"""),45.0)</f>
        <v>45</v>
      </c>
      <c r="X392" s="763">
        <f>IFERROR(__xludf.DUMMYFUNCTION("""COMPUTED_VALUE"""),45.0)</f>
        <v>45</v>
      </c>
      <c r="Y392" s="763"/>
      <c r="Z392" s="768" t="str">
        <f>IFERROR(__xludf.DUMMYFUNCTION("""COMPUTED_VALUE"""),"https://studio-gem.it/wp-admin/post.php?post=65467&amp;action=edit")</f>
        <v>https://studio-gem.it/wp-admin/post.php?post=65467&amp;action=edit</v>
      </c>
      <c r="AA392" s="763"/>
      <c r="AB392" s="763"/>
      <c r="AC392" s="763"/>
      <c r="AD392" s="763"/>
      <c r="AE392" s="763"/>
      <c r="AF392" s="763"/>
      <c r="AG392" s="763"/>
      <c r="AH392" s="763"/>
      <c r="AI392" s="763"/>
      <c r="AJ392" s="763"/>
      <c r="AK392" s="763"/>
      <c r="AL392" s="763"/>
      <c r="AM392" s="763"/>
      <c r="AN392" s="763"/>
      <c r="AO392" s="763"/>
      <c r="AP392" s="763"/>
      <c r="AQ392" s="763"/>
      <c r="AR392" s="763"/>
      <c r="AS392" s="763"/>
      <c r="AT392" s="763"/>
      <c r="AU392" s="763"/>
      <c r="AV392" s="763"/>
      <c r="AW392" s="763"/>
      <c r="AX392" s="763"/>
      <c r="AY392" s="763"/>
      <c r="AZ392" s="763"/>
      <c r="BA392" s="763"/>
      <c r="BB392" s="763"/>
      <c r="BC392" s="763"/>
      <c r="BD392" s="763"/>
      <c r="BE392" s="763"/>
      <c r="BF392" s="763"/>
      <c r="BG392" s="763" t="b">
        <f>IFERROR(__xludf.DUMMYFUNCTION("""COMPUTED_VALUE"""),FALSE)</f>
        <v>0</v>
      </c>
      <c r="BH392" s="763" t="b">
        <f>IFERROR(__xludf.DUMMYFUNCTION("""COMPUTED_VALUE"""),FALSE)</f>
        <v>0</v>
      </c>
      <c r="BI392" s="763" t="b">
        <f>IFERROR(__xludf.DUMMYFUNCTION("""COMPUTED_VALUE"""),FALSE)</f>
        <v>0</v>
      </c>
      <c r="BJ392" s="763" t="b">
        <f>IFERROR(__xludf.DUMMYFUNCTION("""COMPUTED_VALUE"""),FALSE)</f>
        <v>0</v>
      </c>
    </row>
    <row r="393">
      <c r="A393" s="763">
        <f>IFERROR(__xludf.DUMMYFUNCTION("""COMPUTED_VALUE"""),65470.0)</f>
        <v>65470</v>
      </c>
      <c r="B393" s="763">
        <f>IFERROR(__xludf.DUMMYFUNCTION("""COMPUTED_VALUE"""),65470.0)</f>
        <v>65470</v>
      </c>
      <c r="C393" s="763" t="str">
        <f>IFERROR(__xludf.DUMMYFUNCTION("""COMPUTED_VALUE"""),"2025-10-24 11:35:37")</f>
        <v>2025-10-24 11:35:37</v>
      </c>
      <c r="D393" s="763" t="str">
        <f>IFERROR(__xludf.DUMMYFUNCTION("""COMPUTED_VALUE"""),"completed")</f>
        <v>completed</v>
      </c>
      <c r="E393" s="763" t="str">
        <f>IFERROR(__xludf.DUMMYFUNCTION("""COMPUTED_VALUE"""),"Camilla")</f>
        <v>Camilla</v>
      </c>
      <c r="F393" s="763" t="str">
        <f>IFERROR(__xludf.DUMMYFUNCTION("""COMPUTED_VALUE"""),"Vido")</f>
        <v>Vido</v>
      </c>
      <c r="G393" s="763" t="str">
        <f>IFERROR(__xludf.DUMMYFUNCTION("""COMPUTED_VALUE"""),"camillavidi24@gmail.com")</f>
        <v>camillavidi24@gmail.com</v>
      </c>
      <c r="H393" s="763">
        <f>IFERROR(__xludf.DUMMYFUNCTION("""COMPUTED_VALUE"""),3.479178545E9)</f>
        <v>3479178545</v>
      </c>
      <c r="I393" s="763" t="str">
        <f>IFERROR(__xludf.DUMMYFUNCTION("""COMPUTED_VALUE"""),"Sondrio")</f>
        <v>Sondrio</v>
      </c>
      <c r="J393" s="763" t="str">
        <f>IFERROR(__xludf.DUMMYFUNCTION("""COMPUTED_VALUE"""),"Via Giuseppe Piazzi 88")</f>
        <v>Via Giuseppe Piazzi 88</v>
      </c>
      <c r="K393" s="763">
        <f>IFERROR(__xludf.DUMMYFUNCTION("""COMPUTED_VALUE"""),23100.0)</f>
        <v>23100</v>
      </c>
      <c r="L393" s="763" t="str">
        <f>IFERROR(__xludf.DUMMYFUNCTION("""COMPUTED_VALUE"""),"Carte di pagamento")</f>
        <v>Carte di pagamento</v>
      </c>
      <c r="M393" s="763"/>
      <c r="N393" s="763" t="str">
        <f>IFERROR(__xludf.DUMMYFUNCTION("""COMPUTED_VALUE"""),"65470-1761305739")</f>
        <v>65470-1761305739</v>
      </c>
      <c r="O393" s="763">
        <f>IFERROR(__xludf.DUMMYFUNCTION("""COMPUTED_VALUE"""),0.0)</f>
        <v>0</v>
      </c>
      <c r="P393" s="767">
        <f>IFERROR(__xludf.DUMMYFUNCTION("""COMPUTED_VALUE"""),1.875)</f>
        <v>1.875</v>
      </c>
      <c r="Q393" s="763" t="str">
        <f>IFERROR(__xludf.DUMMYFUNCTION("""COMPUTED_VALUE"""),"EUR")</f>
        <v>EUR</v>
      </c>
      <c r="R393" s="763">
        <f>IFERROR(__xludf.DUMMYFUNCTION("""COMPUTED_VALUE"""),840.0)</f>
        <v>840</v>
      </c>
      <c r="S393" s="763" t="str">
        <f>IFERROR(__xludf.DUMMYFUNCTION("""COMPUTED_VALUE"""),"Workshop Commercial con Timor Steffens - Workshop Commercial con Timor Steffens")</f>
        <v>Workshop Commercial con Timor Steffens - Workshop Commercial con Timor Steffens</v>
      </c>
      <c r="T393" s="763"/>
      <c r="U393" s="763"/>
      <c r="V393" s="763">
        <f>IFERROR(__xludf.DUMMYFUNCTION("""COMPUTED_VALUE"""),1.0)</f>
        <v>1</v>
      </c>
      <c r="W393" s="763">
        <f>IFERROR(__xludf.DUMMYFUNCTION("""COMPUTED_VALUE"""),45.0)</f>
        <v>45</v>
      </c>
      <c r="X393" s="763">
        <f>IFERROR(__xludf.DUMMYFUNCTION("""COMPUTED_VALUE"""),45.0)</f>
        <v>45</v>
      </c>
      <c r="Y393" s="763"/>
      <c r="Z393" s="768" t="str">
        <f>IFERROR(__xludf.DUMMYFUNCTION("""COMPUTED_VALUE"""),"https://studio-gem.it/wp-admin/post.php?post=65470&amp;action=edit")</f>
        <v>https://studio-gem.it/wp-admin/post.php?post=65470&amp;action=edit</v>
      </c>
      <c r="AA393" s="763"/>
      <c r="AB393" s="763"/>
      <c r="AC393" s="763"/>
      <c r="AD393" s="763"/>
      <c r="AE393" s="763"/>
      <c r="AF393" s="763"/>
      <c r="AG393" s="763"/>
      <c r="AH393" s="763"/>
      <c r="AI393" s="763"/>
      <c r="AJ393" s="763"/>
      <c r="AK393" s="763"/>
      <c r="AL393" s="763"/>
      <c r="AM393" s="763"/>
      <c r="AN393" s="763"/>
      <c r="AO393" s="763"/>
      <c r="AP393" s="763"/>
      <c r="AQ393" s="763"/>
      <c r="AR393" s="763"/>
      <c r="AS393" s="763"/>
      <c r="AT393" s="763"/>
      <c r="AU393" s="763"/>
      <c r="AV393" s="763"/>
      <c r="AW393" s="763"/>
      <c r="AX393" s="763"/>
      <c r="AY393" s="763"/>
      <c r="AZ393" s="763"/>
      <c r="BA393" s="763"/>
      <c r="BB393" s="763"/>
      <c r="BC393" s="763"/>
      <c r="BD393" s="763"/>
      <c r="BE393" s="763"/>
      <c r="BF393" s="763"/>
      <c r="BG393" s="763" t="b">
        <f>IFERROR(__xludf.DUMMYFUNCTION("""COMPUTED_VALUE"""),TRUE)</f>
        <v>1</v>
      </c>
      <c r="BH393" s="763" t="b">
        <f>IFERROR(__xludf.DUMMYFUNCTION("""COMPUTED_VALUE"""),FALSE)</f>
        <v>0</v>
      </c>
      <c r="BI393" s="763" t="b">
        <f>IFERROR(__xludf.DUMMYFUNCTION("""COMPUTED_VALUE"""),TRUE)</f>
        <v>1</v>
      </c>
      <c r="BJ393" s="763" t="b">
        <f>IFERROR(__xludf.DUMMYFUNCTION("""COMPUTED_VALUE"""),TRUE)</f>
        <v>1</v>
      </c>
    </row>
    <row r="394">
      <c r="A394" s="763">
        <f>IFERROR(__xludf.DUMMYFUNCTION("""COMPUTED_VALUE"""),65471.0)</f>
        <v>65471</v>
      </c>
      <c r="B394" s="763">
        <f>IFERROR(__xludf.DUMMYFUNCTION("""COMPUTED_VALUE"""),65471.0)</f>
        <v>65471</v>
      </c>
      <c r="C394" s="763" t="str">
        <f>IFERROR(__xludf.DUMMYFUNCTION("""COMPUTED_VALUE"""),"2025-10-24 11:36:39")</f>
        <v>2025-10-24 11:36:39</v>
      </c>
      <c r="D394" s="763" t="str">
        <f>IFERROR(__xludf.DUMMYFUNCTION("""COMPUTED_VALUE"""),"completed")</f>
        <v>completed</v>
      </c>
      <c r="E394" s="763" t="str">
        <f>IFERROR(__xludf.DUMMYFUNCTION("""COMPUTED_VALUE"""),"Giada")</f>
        <v>Giada</v>
      </c>
      <c r="F394" s="763" t="str">
        <f>IFERROR(__xludf.DUMMYFUNCTION("""COMPUTED_VALUE"""),"Nana")</f>
        <v>Nana</v>
      </c>
      <c r="G394" s="763" t="str">
        <f>IFERROR(__xludf.DUMMYFUNCTION("""COMPUTED_VALUE"""),"giady1499@libero.it")</f>
        <v>giady1499@libero.it</v>
      </c>
      <c r="H394" s="763">
        <f>IFERROR(__xludf.DUMMYFUNCTION("""COMPUTED_VALUE"""),3.661312047E9)</f>
        <v>3661312047</v>
      </c>
      <c r="I394" s="763" t="str">
        <f>IFERROR(__xludf.DUMMYFUNCTION("""COMPUTED_VALUE"""),"Teglio")</f>
        <v>Teglio</v>
      </c>
      <c r="J394" s="763" t="str">
        <f>IFERROR(__xludf.DUMMYFUNCTION("""COMPUTED_VALUE"""),"Via San Gervasio 6")</f>
        <v>Via San Gervasio 6</v>
      </c>
      <c r="K394" s="763">
        <f>IFERROR(__xludf.DUMMYFUNCTION("""COMPUTED_VALUE"""),23036.0)</f>
        <v>23036</v>
      </c>
      <c r="L394" s="763" t="str">
        <f>IFERROR(__xludf.DUMMYFUNCTION("""COMPUTED_VALUE"""),"Carte di pagamento")</f>
        <v>Carte di pagamento</v>
      </c>
      <c r="M394" s="763"/>
      <c r="N394" s="763" t="str">
        <f>IFERROR(__xludf.DUMMYFUNCTION("""COMPUTED_VALUE"""),"65471-1761305801")</f>
        <v>65471-1761305801</v>
      </c>
      <c r="O394" s="763">
        <f>IFERROR(__xludf.DUMMYFUNCTION("""COMPUTED_VALUE"""),0.0)</f>
        <v>0</v>
      </c>
      <c r="P394" s="767">
        <f>IFERROR(__xludf.DUMMYFUNCTION("""COMPUTED_VALUE"""),1.875)</f>
        <v>1.875</v>
      </c>
      <c r="Q394" s="763" t="str">
        <f>IFERROR(__xludf.DUMMYFUNCTION("""COMPUTED_VALUE"""),"EUR")</f>
        <v>EUR</v>
      </c>
      <c r="R394" s="763">
        <f>IFERROR(__xludf.DUMMYFUNCTION("""COMPUTED_VALUE"""),841.0)</f>
        <v>841</v>
      </c>
      <c r="S394" s="763" t="str">
        <f>IFERROR(__xludf.DUMMYFUNCTION("""COMPUTED_VALUE"""),"Workshop Commercial con Timor Steffens - Workshop Commercial con Timor Steffens")</f>
        <v>Workshop Commercial con Timor Steffens - Workshop Commercial con Timor Steffens</v>
      </c>
      <c r="T394" s="763"/>
      <c r="U394" s="763"/>
      <c r="V394" s="763">
        <f>IFERROR(__xludf.DUMMYFUNCTION("""COMPUTED_VALUE"""),1.0)</f>
        <v>1</v>
      </c>
      <c r="W394" s="763">
        <f>IFERROR(__xludf.DUMMYFUNCTION("""COMPUTED_VALUE"""),45.0)</f>
        <v>45</v>
      </c>
      <c r="X394" s="763">
        <f>IFERROR(__xludf.DUMMYFUNCTION("""COMPUTED_VALUE"""),45.0)</f>
        <v>45</v>
      </c>
      <c r="Y394" s="763"/>
      <c r="Z394" s="768" t="str">
        <f>IFERROR(__xludf.DUMMYFUNCTION("""COMPUTED_VALUE"""),"https://studio-gem.it/wp-admin/post.php?post=65471&amp;action=edit")</f>
        <v>https://studio-gem.it/wp-admin/post.php?post=65471&amp;action=edit</v>
      </c>
      <c r="AA394" s="763"/>
      <c r="AB394" s="763"/>
      <c r="AC394" s="763"/>
      <c r="AD394" s="763"/>
      <c r="AE394" s="763"/>
      <c r="AF394" s="763"/>
      <c r="AG394" s="763"/>
      <c r="AH394" s="763"/>
      <c r="AI394" s="763"/>
      <c r="AJ394" s="763"/>
      <c r="AK394" s="763"/>
      <c r="AL394" s="763"/>
      <c r="AM394" s="763"/>
      <c r="AN394" s="763"/>
      <c r="AO394" s="763"/>
      <c r="AP394" s="763"/>
      <c r="AQ394" s="763"/>
      <c r="AR394" s="763"/>
      <c r="AS394" s="763"/>
      <c r="AT394" s="763"/>
      <c r="AU394" s="763"/>
      <c r="AV394" s="763"/>
      <c r="AW394" s="763"/>
      <c r="AX394" s="763"/>
      <c r="AY394" s="763"/>
      <c r="AZ394" s="763"/>
      <c r="BA394" s="763"/>
      <c r="BB394" s="763"/>
      <c r="BC394" s="763"/>
      <c r="BD394" s="763"/>
      <c r="BE394" s="763"/>
      <c r="BF394" s="763"/>
      <c r="BG394" s="763" t="b">
        <f>IFERROR(__xludf.DUMMYFUNCTION("""COMPUTED_VALUE"""),TRUE)</f>
        <v>1</v>
      </c>
      <c r="BH394" s="763" t="b">
        <f>IFERROR(__xludf.DUMMYFUNCTION("""COMPUTED_VALUE"""),FALSE)</f>
        <v>0</v>
      </c>
      <c r="BI394" s="763" t="b">
        <f>IFERROR(__xludf.DUMMYFUNCTION("""COMPUTED_VALUE"""),TRUE)</f>
        <v>1</v>
      </c>
      <c r="BJ394" s="763" t="b">
        <f>IFERROR(__xludf.DUMMYFUNCTION("""COMPUTED_VALUE"""),TRUE)</f>
        <v>1</v>
      </c>
    </row>
    <row r="395">
      <c r="A395" s="763">
        <f>IFERROR(__xludf.DUMMYFUNCTION("""COMPUTED_VALUE"""),65475.0)</f>
        <v>65475</v>
      </c>
      <c r="B395" s="763">
        <f>IFERROR(__xludf.DUMMYFUNCTION("""COMPUTED_VALUE"""),65475.0)</f>
        <v>65475</v>
      </c>
      <c r="C395" s="763" t="str">
        <f>IFERROR(__xludf.DUMMYFUNCTION("""COMPUTED_VALUE"""),"2025-10-24 15:15:38")</f>
        <v>2025-10-24 15:15:38</v>
      </c>
      <c r="D395" s="763" t="str">
        <f>IFERROR(__xludf.DUMMYFUNCTION("""COMPUTED_VALUE"""),"completed")</f>
        <v>completed</v>
      </c>
      <c r="E395" s="763" t="str">
        <f>IFERROR(__xludf.DUMMYFUNCTION("""COMPUTED_VALUE"""),"Cristina")</f>
        <v>Cristina</v>
      </c>
      <c r="F395" s="763" t="str">
        <f>IFERROR(__xludf.DUMMYFUNCTION("""COMPUTED_VALUE"""),"Bazzaro")</f>
        <v>Bazzaro</v>
      </c>
      <c r="G395" s="763" t="str">
        <f>IFERROR(__xludf.DUMMYFUNCTION("""COMPUTED_VALUE"""),"cribazar@yahoo.com")</f>
        <v>cribazar@yahoo.com</v>
      </c>
      <c r="H395" s="763">
        <f>IFERROR(__xludf.DUMMYFUNCTION("""COMPUTED_VALUE"""),3.346236628E9)</f>
        <v>3346236628</v>
      </c>
      <c r="I395" s="763" t="str">
        <f>IFERROR(__xludf.DUMMYFUNCTION("""COMPUTED_VALUE"""),"Milano")</f>
        <v>Milano</v>
      </c>
      <c r="J395" s="763" t="str">
        <f>IFERROR(__xludf.DUMMYFUNCTION("""COMPUTED_VALUE"""),"Piazza del Rosario 1")</f>
        <v>Piazza del Rosario 1</v>
      </c>
      <c r="K395" s="763">
        <f>IFERROR(__xludf.DUMMYFUNCTION("""COMPUTED_VALUE"""),20144.0)</f>
        <v>20144</v>
      </c>
      <c r="L395" s="763"/>
      <c r="M395" s="763"/>
      <c r="N395" s="763"/>
      <c r="O395" s="763">
        <f>IFERROR(__xludf.DUMMYFUNCTION("""COMPUTED_VALUE"""),0.0)</f>
        <v>0</v>
      </c>
      <c r="P395" s="767">
        <f>IFERROR(__xludf.DUMMYFUNCTION("""COMPUTED_VALUE"""),0.0)</f>
        <v>0</v>
      </c>
      <c r="Q395" s="763" t="str">
        <f>IFERROR(__xludf.DUMMYFUNCTION("""COMPUTED_VALUE"""),"EUR")</f>
        <v>EUR</v>
      </c>
      <c r="R395" s="763">
        <f>IFERROR(__xludf.DUMMYFUNCTION("""COMPUTED_VALUE"""),842.0)</f>
        <v>842</v>
      </c>
      <c r="S395" s="763" t="str">
        <f>IFERROR(__xludf.DUMMYFUNCTION("""COMPUTED_VALUE"""),"Domeniche in movimento - Gratuito per open fitness e open mattino 2 lezioni dalle 10 alle 11.50")</f>
        <v>Domeniche in movimento - Gratuito per open fitness e open mattino 2 lezioni dalle 10 alle 11.50</v>
      </c>
      <c r="T395" s="763"/>
      <c r="U395" s="763"/>
      <c r="V395" s="763">
        <f>IFERROR(__xludf.DUMMYFUNCTION("""COMPUTED_VALUE"""),1.0)</f>
        <v>1</v>
      </c>
      <c r="W395" s="763">
        <f>IFERROR(__xludf.DUMMYFUNCTION("""COMPUTED_VALUE"""),0.0)</f>
        <v>0</v>
      </c>
      <c r="X395" s="763">
        <f>IFERROR(__xludf.DUMMYFUNCTION("""COMPUTED_VALUE"""),0.0)</f>
        <v>0</v>
      </c>
      <c r="Y395" s="763"/>
      <c r="Z395" s="768" t="str">
        <f>IFERROR(__xludf.DUMMYFUNCTION("""COMPUTED_VALUE"""),"https://studio-gem.it/wp-admin/post.php?post=65475&amp;action=edit")</f>
        <v>https://studio-gem.it/wp-admin/post.php?post=65475&amp;action=edit</v>
      </c>
      <c r="AA395" s="763"/>
      <c r="AB395" s="763"/>
      <c r="AC395" s="763"/>
      <c r="AD395" s="763"/>
      <c r="AE395" s="763"/>
      <c r="AF395" s="763"/>
      <c r="AG395" s="763"/>
      <c r="AH395" s="763"/>
      <c r="AI395" s="763"/>
      <c r="AJ395" s="763"/>
      <c r="AK395" s="763"/>
      <c r="AL395" s="763"/>
      <c r="AM395" s="763"/>
      <c r="AN395" s="763"/>
      <c r="AO395" s="763"/>
      <c r="AP395" s="763"/>
      <c r="AQ395" s="763"/>
      <c r="AR395" s="763"/>
      <c r="AS395" s="763"/>
      <c r="AT395" s="763"/>
      <c r="AU395" s="763"/>
      <c r="AV395" s="763"/>
      <c r="AW395" s="763"/>
      <c r="AX395" s="763"/>
      <c r="AY395" s="763"/>
      <c r="AZ395" s="763"/>
      <c r="BA395" s="763"/>
      <c r="BB395" s="763"/>
      <c r="BC395" s="763"/>
      <c r="BD395" s="763"/>
      <c r="BE395" s="763"/>
      <c r="BF395" s="763"/>
      <c r="BG395" s="763" t="b">
        <f>IFERROR(__xludf.DUMMYFUNCTION("""COMPUTED_VALUE"""),FALSE)</f>
        <v>0</v>
      </c>
      <c r="BH395" s="763" t="b">
        <f>IFERROR(__xludf.DUMMYFUNCTION("""COMPUTED_VALUE"""),FALSE)</f>
        <v>0</v>
      </c>
      <c r="BI395" s="763" t="b">
        <f>IFERROR(__xludf.DUMMYFUNCTION("""COMPUTED_VALUE"""),FALSE)</f>
        <v>0</v>
      </c>
      <c r="BJ395" s="763" t="b">
        <f>IFERROR(__xludf.DUMMYFUNCTION("""COMPUTED_VALUE"""),FALSE)</f>
        <v>0</v>
      </c>
    </row>
    <row r="396">
      <c r="A396" s="763">
        <f>IFERROR(__xludf.DUMMYFUNCTION("""COMPUTED_VALUE"""),65478.0)</f>
        <v>65478</v>
      </c>
      <c r="B396" s="763">
        <f>IFERROR(__xludf.DUMMYFUNCTION("""COMPUTED_VALUE"""),65478.0)</f>
        <v>65478</v>
      </c>
      <c r="C396" s="763" t="str">
        <f>IFERROR(__xludf.DUMMYFUNCTION("""COMPUTED_VALUE"""),"2025-10-24 18:20:20")</f>
        <v>2025-10-24 18:20:20</v>
      </c>
      <c r="D396" s="763" t="str">
        <f>IFERROR(__xludf.DUMMYFUNCTION("""COMPUTED_VALUE"""),"completed")</f>
        <v>completed</v>
      </c>
      <c r="E396" s="763" t="str">
        <f>IFERROR(__xludf.DUMMYFUNCTION("""COMPUTED_VALUE"""),"Veronica")</f>
        <v>Veronica</v>
      </c>
      <c r="F396" s="763" t="str">
        <f>IFERROR(__xludf.DUMMYFUNCTION("""COMPUTED_VALUE"""),"Chittaro")</f>
        <v>Chittaro</v>
      </c>
      <c r="G396" s="763" t="str">
        <f>IFERROR(__xludf.DUMMYFUNCTION("""COMPUTED_VALUE"""),"veronicachittaro1@gmail.com")</f>
        <v>veronicachittaro1@gmail.com</v>
      </c>
      <c r="H396" s="763">
        <f>IFERROR(__xludf.DUMMYFUNCTION("""COMPUTED_VALUE"""),3.486902926E9)</f>
        <v>3486902926</v>
      </c>
      <c r="I396" s="763" t="str">
        <f>IFERROR(__xludf.DUMMYFUNCTION("""COMPUTED_VALUE"""),"Milano")</f>
        <v>Milano</v>
      </c>
      <c r="J396" s="763" t="str">
        <f>IFERROR(__xludf.DUMMYFUNCTION("""COMPUTED_VALUE"""),"Via Accademia 29")</f>
        <v>Via Accademia 29</v>
      </c>
      <c r="K396" s="763">
        <f>IFERROR(__xludf.DUMMYFUNCTION("""COMPUTED_VALUE"""),20131.0)</f>
        <v>20131</v>
      </c>
      <c r="L396" s="763" t="str">
        <f>IFERROR(__xludf.DUMMYFUNCTION("""COMPUTED_VALUE"""),"Apple Pay")</f>
        <v>Apple Pay</v>
      </c>
      <c r="M396" s="763"/>
      <c r="N396" s="763" t="str">
        <f>IFERROR(__xludf.DUMMYFUNCTION("""COMPUTED_VALUE"""),"65478-1761330022")</f>
        <v>65478-1761330022</v>
      </c>
      <c r="O396" s="763">
        <f>IFERROR(__xludf.DUMMYFUNCTION("""COMPUTED_VALUE"""),0.0)</f>
        <v>0</v>
      </c>
      <c r="P396" s="767">
        <f>IFERROR(__xludf.DUMMYFUNCTION("""COMPUTED_VALUE"""),1.5416666666666667)</f>
        <v>1.541666667</v>
      </c>
      <c r="Q396" s="763" t="str">
        <f>IFERROR(__xludf.DUMMYFUNCTION("""COMPUTED_VALUE"""),"EUR")</f>
        <v>EUR</v>
      </c>
      <c r="R396" s="763">
        <f>IFERROR(__xludf.DUMMYFUNCTION("""COMPUTED_VALUE"""),843.0)</f>
        <v>843</v>
      </c>
      <c r="S396" s="763" t="str">
        <f>IFERROR(__xludf.DUMMYFUNCTION("""COMPUTED_VALUE"""),"Workshop Heels con Lulu Kulova - Workshop Lulu Heels")</f>
        <v>Workshop Heels con Lulu Kulova - Workshop Lulu Heels</v>
      </c>
      <c r="T396" s="763"/>
      <c r="U396" s="763"/>
      <c r="V396" s="763">
        <f>IFERROR(__xludf.DUMMYFUNCTION("""COMPUTED_VALUE"""),1.0)</f>
        <v>1</v>
      </c>
      <c r="W396" s="763">
        <f>IFERROR(__xludf.DUMMYFUNCTION("""COMPUTED_VALUE"""),37.0)</f>
        <v>37</v>
      </c>
      <c r="X396" s="763">
        <f>IFERROR(__xludf.DUMMYFUNCTION("""COMPUTED_VALUE"""),37.0)</f>
        <v>37</v>
      </c>
      <c r="Y396" s="763"/>
      <c r="Z396" s="768" t="str">
        <f>IFERROR(__xludf.DUMMYFUNCTION("""COMPUTED_VALUE"""),"https://studio-gem.it/wp-admin/post.php?post=65478&amp;action=edit")</f>
        <v>https://studio-gem.it/wp-admin/post.php?post=65478&amp;action=edit</v>
      </c>
      <c r="AA396" s="763"/>
      <c r="AB396" s="763"/>
      <c r="AC396" s="763"/>
      <c r="AD396" s="763"/>
      <c r="AE396" s="763"/>
      <c r="AF396" s="763"/>
      <c r="AG396" s="763"/>
      <c r="AH396" s="763"/>
      <c r="AI396" s="763"/>
      <c r="AJ396" s="763"/>
      <c r="AK396" s="763"/>
      <c r="AL396" s="763"/>
      <c r="AM396" s="763"/>
      <c r="AN396" s="763"/>
      <c r="AO396" s="763"/>
      <c r="AP396" s="763"/>
      <c r="AQ396" s="763"/>
      <c r="AR396" s="763"/>
      <c r="AS396" s="763"/>
      <c r="AT396" s="763"/>
      <c r="AU396" s="763"/>
      <c r="AV396" s="763"/>
      <c r="AW396" s="763"/>
      <c r="AX396" s="763"/>
      <c r="AY396" s="763"/>
      <c r="AZ396" s="763"/>
      <c r="BA396" s="763"/>
      <c r="BB396" s="763"/>
      <c r="BC396" s="763"/>
      <c r="BD396" s="763"/>
      <c r="BE396" s="763"/>
      <c r="BF396" s="763"/>
      <c r="BG396" s="763" t="b">
        <f>IFERROR(__xludf.DUMMYFUNCTION("""COMPUTED_VALUE"""),TRUE)</f>
        <v>1</v>
      </c>
      <c r="BH396" s="763" t="b">
        <f>IFERROR(__xludf.DUMMYFUNCTION("""COMPUTED_VALUE"""),FALSE)</f>
        <v>0</v>
      </c>
      <c r="BI396" s="763" t="b">
        <f>IFERROR(__xludf.DUMMYFUNCTION("""COMPUTED_VALUE"""),TRUE)</f>
        <v>1</v>
      </c>
      <c r="BJ396" s="763" t="b">
        <f>IFERROR(__xludf.DUMMYFUNCTION("""COMPUTED_VALUE"""),TRUE)</f>
        <v>1</v>
      </c>
    </row>
    <row r="397">
      <c r="A397" s="763">
        <f>IFERROR(__xludf.DUMMYFUNCTION("""COMPUTED_VALUE"""),65481.0)</f>
        <v>65481</v>
      </c>
      <c r="B397" s="763">
        <f>IFERROR(__xludf.DUMMYFUNCTION("""COMPUTED_VALUE"""),65481.0)</f>
        <v>65481</v>
      </c>
      <c r="C397" s="763" t="str">
        <f>IFERROR(__xludf.DUMMYFUNCTION("""COMPUTED_VALUE"""),"2025-10-24 19:07:57")</f>
        <v>2025-10-24 19:07:57</v>
      </c>
      <c r="D397" s="763" t="str">
        <f>IFERROR(__xludf.DUMMYFUNCTION("""COMPUTED_VALUE"""),"pending")</f>
        <v>pending</v>
      </c>
      <c r="E397" s="763" t="str">
        <f>IFERROR(__xludf.DUMMYFUNCTION("""COMPUTED_VALUE"""),"Stefania")</f>
        <v>Stefania</v>
      </c>
      <c r="F397" s="763" t="str">
        <f>IFERROR(__xludf.DUMMYFUNCTION("""COMPUTED_VALUE"""),"Mazzoni")</f>
        <v>Mazzoni</v>
      </c>
      <c r="G397" s="763" t="str">
        <f>IFERROR(__xludf.DUMMYFUNCTION("""COMPUTED_VALUE"""),"stefania.mazzoni99@gmail.com")</f>
        <v>stefania.mazzoni99@gmail.com</v>
      </c>
      <c r="H397" s="763">
        <f>IFERROR(__xludf.DUMMYFUNCTION("""COMPUTED_VALUE"""),3.428069517E9)</f>
        <v>3428069517</v>
      </c>
      <c r="I397" s="763" t="str">
        <f>IFERROR(__xludf.DUMMYFUNCTION("""COMPUTED_VALUE"""),"Pavia")</f>
        <v>Pavia</v>
      </c>
      <c r="J397" s="763" t="str">
        <f>IFERROR(__xludf.DUMMYFUNCTION("""COMPUTED_VALUE"""),"Via Udine 9")</f>
        <v>Via Udine 9</v>
      </c>
      <c r="K397" s="763">
        <f>IFERROR(__xludf.DUMMYFUNCTION("""COMPUTED_VALUE"""),27100.0)</f>
        <v>27100</v>
      </c>
      <c r="L397" s="763" t="str">
        <f>IFERROR(__xludf.DUMMYFUNCTION("""COMPUTED_VALUE"""),"Carte di pagamento")</f>
        <v>Carte di pagamento</v>
      </c>
      <c r="M397" s="763"/>
      <c r="N397" s="763"/>
      <c r="O397" s="763">
        <f>IFERROR(__xludf.DUMMYFUNCTION("""COMPUTED_VALUE"""),0.0)</f>
        <v>0</v>
      </c>
      <c r="P397" s="767">
        <f>IFERROR(__xludf.DUMMYFUNCTION("""COMPUTED_VALUE"""),1.5416666666666667)</f>
        <v>1.541666667</v>
      </c>
      <c r="Q397" s="763" t="str">
        <f>IFERROR(__xludf.DUMMYFUNCTION("""COMPUTED_VALUE"""),"EUR")</f>
        <v>EUR</v>
      </c>
      <c r="R397" s="763">
        <f>IFERROR(__xludf.DUMMYFUNCTION("""COMPUTED_VALUE"""),844.0)</f>
        <v>844</v>
      </c>
      <c r="S397" s="763" t="str">
        <f>IFERROR(__xludf.DUMMYFUNCTION("""COMPUTED_VALUE"""),"Workshop Urban con Kumo - Workshop Kumo Urban")</f>
        <v>Workshop Urban con Kumo - Workshop Kumo Urban</v>
      </c>
      <c r="T397" s="763"/>
      <c r="U397" s="763"/>
      <c r="V397" s="763">
        <f>IFERROR(__xludf.DUMMYFUNCTION("""COMPUTED_VALUE"""),1.0)</f>
        <v>1</v>
      </c>
      <c r="W397" s="763">
        <f>IFERROR(__xludf.DUMMYFUNCTION("""COMPUTED_VALUE"""),37.0)</f>
        <v>37</v>
      </c>
      <c r="X397" s="763">
        <f>IFERROR(__xludf.DUMMYFUNCTION("""COMPUTED_VALUE"""),37.0)</f>
        <v>37</v>
      </c>
      <c r="Y397" s="763"/>
      <c r="Z397" s="768" t="str">
        <f>IFERROR(__xludf.DUMMYFUNCTION("""COMPUTED_VALUE"""),"https://studio-gem.it/wp-admin/post.php?post=65481&amp;action=edit")</f>
        <v>https://studio-gem.it/wp-admin/post.php?post=65481&amp;action=edit</v>
      </c>
      <c r="AA397" s="763"/>
      <c r="AB397" s="763"/>
      <c r="AC397" s="763"/>
      <c r="AD397" s="763"/>
      <c r="AE397" s="763"/>
      <c r="AF397" s="763"/>
      <c r="AG397" s="763"/>
      <c r="AH397" s="763"/>
      <c r="AI397" s="763"/>
      <c r="AJ397" s="763"/>
      <c r="AK397" s="763"/>
      <c r="AL397" s="763"/>
      <c r="AM397" s="763"/>
      <c r="AN397" s="763"/>
      <c r="AO397" s="763"/>
      <c r="AP397" s="763"/>
      <c r="AQ397" s="763"/>
      <c r="AR397" s="763"/>
      <c r="AS397" s="763"/>
      <c r="AT397" s="763"/>
      <c r="AU397" s="763"/>
      <c r="AV397" s="763"/>
      <c r="AW397" s="763"/>
      <c r="AX397" s="763"/>
      <c r="AY397" s="763"/>
      <c r="AZ397" s="763"/>
      <c r="BA397" s="763"/>
      <c r="BB397" s="763"/>
      <c r="BC397" s="763"/>
      <c r="BD397" s="763"/>
      <c r="BE397" s="763"/>
      <c r="BF397" s="763"/>
      <c r="BG397" s="763" t="b">
        <f>IFERROR(__xludf.DUMMYFUNCTION("""COMPUTED_VALUE"""),TRUE)</f>
        <v>1</v>
      </c>
      <c r="BH397" s="763" t="b">
        <f>IFERROR(__xludf.DUMMYFUNCTION("""COMPUTED_VALUE"""),FALSE)</f>
        <v>0</v>
      </c>
      <c r="BI397" s="763" t="b">
        <f>IFERROR(__xludf.DUMMYFUNCTION("""COMPUTED_VALUE"""),TRUE)</f>
        <v>1</v>
      </c>
      <c r="BJ397" s="763" t="b">
        <f>IFERROR(__xludf.DUMMYFUNCTION("""COMPUTED_VALUE"""),TRUE)</f>
        <v>1</v>
      </c>
    </row>
    <row r="398">
      <c r="A398" s="763">
        <f>IFERROR(__xludf.DUMMYFUNCTION("""COMPUTED_VALUE"""),65482.0)</f>
        <v>65482</v>
      </c>
      <c r="B398" s="763">
        <f>IFERROR(__xludf.DUMMYFUNCTION("""COMPUTED_VALUE"""),65482.0)</f>
        <v>65482</v>
      </c>
      <c r="C398" s="763" t="str">
        <f>IFERROR(__xludf.DUMMYFUNCTION("""COMPUTED_VALUE"""),"2025-10-25 08:08:20")</f>
        <v>2025-10-25 08:08:20</v>
      </c>
      <c r="D398" s="763" t="str">
        <f>IFERROR(__xludf.DUMMYFUNCTION("""COMPUTED_VALUE"""),"pending")</f>
        <v>pending</v>
      </c>
      <c r="E398" s="763" t="str">
        <f>IFERROR(__xludf.DUMMYFUNCTION("""COMPUTED_VALUE"""),"Kris")</f>
        <v>Kris</v>
      </c>
      <c r="F398" s="763" t="str">
        <f>IFERROR(__xludf.DUMMYFUNCTION("""COMPUTED_VALUE"""),"Langens")</f>
        <v>Langens</v>
      </c>
      <c r="G398" s="763" t="str">
        <f>IFERROR(__xludf.DUMMYFUNCTION("""COMPUTED_VALUE"""),"kris.langens@gmail.com")</f>
        <v>kris.langens@gmail.com</v>
      </c>
      <c r="H398" s="763">
        <f>IFERROR(__xludf.DUMMYFUNCTION("""COMPUTED_VALUE"""),3.16148939E10)</f>
        <v>31614893900</v>
      </c>
      <c r="I398" s="763" t="str">
        <f>IFERROR(__xludf.DUMMYFUNCTION("""COMPUTED_VALUE"""),"Trento")</f>
        <v>Trento</v>
      </c>
      <c r="J398" s="763" t="str">
        <f>IFERROR(__xludf.DUMMYFUNCTION("""COMPUTED_VALUE"""),"Via Dei Solteri 56")</f>
        <v>Via Dei Solteri 56</v>
      </c>
      <c r="K398" s="763">
        <f>IFERROR(__xludf.DUMMYFUNCTION("""COMPUTED_VALUE"""),38121.0)</f>
        <v>38121</v>
      </c>
      <c r="L398" s="763" t="str">
        <f>IFERROR(__xludf.DUMMYFUNCTION("""COMPUTED_VALUE"""),"Google Pay")</f>
        <v>Google Pay</v>
      </c>
      <c r="M398" s="763"/>
      <c r="N398" s="763"/>
      <c r="O398" s="763">
        <f>IFERROR(__xludf.DUMMYFUNCTION("""COMPUTED_VALUE"""),0.0)</f>
        <v>0</v>
      </c>
      <c r="P398" s="767">
        <f>IFERROR(__xludf.DUMMYFUNCTION("""COMPUTED_VALUE"""),1.875)</f>
        <v>1.875</v>
      </c>
      <c r="Q398" s="763" t="str">
        <f>IFERROR(__xludf.DUMMYFUNCTION("""COMPUTED_VALUE"""),"EUR")</f>
        <v>EUR</v>
      </c>
      <c r="R398" s="763">
        <f>IFERROR(__xludf.DUMMYFUNCTION("""COMPUTED_VALUE"""),845.0)</f>
        <v>845</v>
      </c>
      <c r="S398" s="763" t="str">
        <f>IFERROR(__xludf.DUMMYFUNCTION("""COMPUTED_VALUE"""),"Workshop Commercial con Timor Steffens - Workshop Commercial con Timor Steffens")</f>
        <v>Workshop Commercial con Timor Steffens - Workshop Commercial con Timor Steffens</v>
      </c>
      <c r="T398" s="763"/>
      <c r="U398" s="763"/>
      <c r="V398" s="763">
        <f>IFERROR(__xludf.DUMMYFUNCTION("""COMPUTED_VALUE"""),1.0)</f>
        <v>1</v>
      </c>
      <c r="W398" s="763">
        <f>IFERROR(__xludf.DUMMYFUNCTION("""COMPUTED_VALUE"""),45.0)</f>
        <v>45</v>
      </c>
      <c r="X398" s="763">
        <f>IFERROR(__xludf.DUMMYFUNCTION("""COMPUTED_VALUE"""),45.0)</f>
        <v>45</v>
      </c>
      <c r="Y398" s="763"/>
      <c r="Z398" s="768" t="str">
        <f>IFERROR(__xludf.DUMMYFUNCTION("""COMPUTED_VALUE"""),"https://studio-gem.it/wp-admin/post.php?post=65482&amp;action=edit")</f>
        <v>https://studio-gem.it/wp-admin/post.php?post=65482&amp;action=edit</v>
      </c>
      <c r="AA398" s="763"/>
      <c r="AB398" s="763"/>
      <c r="AC398" s="763"/>
      <c r="AD398" s="763"/>
      <c r="AE398" s="763"/>
      <c r="AF398" s="763"/>
      <c r="AG398" s="763"/>
      <c r="AH398" s="763"/>
      <c r="AI398" s="763"/>
      <c r="AJ398" s="763"/>
      <c r="AK398" s="763"/>
      <c r="AL398" s="763"/>
      <c r="AM398" s="763"/>
      <c r="AN398" s="763"/>
      <c r="AO398" s="763"/>
      <c r="AP398" s="763"/>
      <c r="AQ398" s="763"/>
      <c r="AR398" s="763"/>
      <c r="AS398" s="763"/>
      <c r="AT398" s="763"/>
      <c r="AU398" s="763"/>
      <c r="AV398" s="763"/>
      <c r="AW398" s="763"/>
      <c r="AX398" s="763"/>
      <c r="AY398" s="763"/>
      <c r="AZ398" s="763"/>
      <c r="BA398" s="763"/>
      <c r="BB398" s="763"/>
      <c r="BC398" s="763"/>
      <c r="BD398" s="763"/>
      <c r="BE398" s="763"/>
      <c r="BF398" s="763"/>
      <c r="BG398" s="763" t="b">
        <f>IFERROR(__xludf.DUMMYFUNCTION("""COMPUTED_VALUE"""),FALSE)</f>
        <v>0</v>
      </c>
      <c r="BH398" s="763" t="b">
        <f>IFERROR(__xludf.DUMMYFUNCTION("""COMPUTED_VALUE"""),FALSE)</f>
        <v>0</v>
      </c>
      <c r="BI398" s="763" t="b">
        <f>IFERROR(__xludf.DUMMYFUNCTION("""COMPUTED_VALUE"""),FALSE)</f>
        <v>0</v>
      </c>
      <c r="BJ398" s="763" t="b">
        <f>IFERROR(__xludf.DUMMYFUNCTION("""COMPUTED_VALUE"""),FALSE)</f>
        <v>0</v>
      </c>
    </row>
    <row r="399">
      <c r="A399" s="763">
        <f>IFERROR(__xludf.DUMMYFUNCTION("""COMPUTED_VALUE"""),65483.0)</f>
        <v>65483</v>
      </c>
      <c r="B399" s="763">
        <f>IFERROR(__xludf.DUMMYFUNCTION("""COMPUTED_VALUE"""),65483.0)</f>
        <v>65483</v>
      </c>
      <c r="C399" s="763" t="str">
        <f>IFERROR(__xludf.DUMMYFUNCTION("""COMPUTED_VALUE"""),"2025-10-25 08:51:55")</f>
        <v>2025-10-25 08:51:55</v>
      </c>
      <c r="D399" s="763" t="str">
        <f>IFERROR(__xludf.DUMMYFUNCTION("""COMPUTED_VALUE"""),"completed")</f>
        <v>completed</v>
      </c>
      <c r="E399" s="763" t="str">
        <f>IFERROR(__xludf.DUMMYFUNCTION("""COMPUTED_VALUE"""),"Stefania")</f>
        <v>Stefania</v>
      </c>
      <c r="F399" s="763" t="str">
        <f>IFERROR(__xludf.DUMMYFUNCTION("""COMPUTED_VALUE"""),"Mazzoni")</f>
        <v>Mazzoni</v>
      </c>
      <c r="G399" s="763" t="str">
        <f>IFERROR(__xludf.DUMMYFUNCTION("""COMPUTED_VALUE"""),"stefania.mazzoni99@gmail.com")</f>
        <v>stefania.mazzoni99@gmail.com</v>
      </c>
      <c r="H399" s="763">
        <f>IFERROR(__xludf.DUMMYFUNCTION("""COMPUTED_VALUE"""),3.428069517E9)</f>
        <v>3428069517</v>
      </c>
      <c r="I399" s="763" t="str">
        <f>IFERROR(__xludf.DUMMYFUNCTION("""COMPUTED_VALUE"""),"Pavia")</f>
        <v>Pavia</v>
      </c>
      <c r="J399" s="763" t="str">
        <f>IFERROR(__xludf.DUMMYFUNCTION("""COMPUTED_VALUE"""),"Via Udine 9")</f>
        <v>Via Udine 9</v>
      </c>
      <c r="K399" s="763">
        <f>IFERROR(__xludf.DUMMYFUNCTION("""COMPUTED_VALUE"""),27100.0)</f>
        <v>27100</v>
      </c>
      <c r="L399" s="763" t="str">
        <f>IFERROR(__xludf.DUMMYFUNCTION("""COMPUTED_VALUE"""),"Carte di pagamento")</f>
        <v>Carte di pagamento</v>
      </c>
      <c r="M399" s="763"/>
      <c r="N399" s="763" t="str">
        <f>IFERROR(__xludf.DUMMYFUNCTION("""COMPUTED_VALUE"""),"65483-1761382316")</f>
        <v>65483-1761382316</v>
      </c>
      <c r="O399" s="763">
        <f>IFERROR(__xludf.DUMMYFUNCTION("""COMPUTED_VALUE"""),0.0)</f>
        <v>0</v>
      </c>
      <c r="P399" s="767">
        <f>IFERROR(__xludf.DUMMYFUNCTION("""COMPUTED_VALUE"""),4.625)</f>
        <v>4.625</v>
      </c>
      <c r="Q399" s="763" t="str">
        <f>IFERROR(__xludf.DUMMYFUNCTION("""COMPUTED_VALUE"""),"EUR")</f>
        <v>EUR</v>
      </c>
      <c r="R399" s="763">
        <f>IFERROR(__xludf.DUMMYFUNCTION("""COMPUTED_VALUE"""),846.0)</f>
        <v>846</v>
      </c>
      <c r="S399" s="763" t="str">
        <f>IFERROR(__xludf.DUMMYFUNCTION("""COMPUTED_VALUE"""),"Workshop Urban con Kumo - Workshop Kumo Urban")</f>
        <v>Workshop Urban con Kumo - Workshop Kumo Urban</v>
      </c>
      <c r="T399" s="763"/>
      <c r="U399" s="763"/>
      <c r="V399" s="763">
        <f>IFERROR(__xludf.DUMMYFUNCTION("""COMPUTED_VALUE"""),3.0)</f>
        <v>3</v>
      </c>
      <c r="W399" s="763">
        <f>IFERROR(__xludf.DUMMYFUNCTION("""COMPUTED_VALUE"""),37.0)</f>
        <v>37</v>
      </c>
      <c r="X399" s="763">
        <f>IFERROR(__xludf.DUMMYFUNCTION("""COMPUTED_VALUE"""),111.0)</f>
        <v>111</v>
      </c>
      <c r="Y399" s="763"/>
      <c r="Z399" s="768" t="str">
        <f>IFERROR(__xludf.DUMMYFUNCTION("""COMPUTED_VALUE"""),"https://studio-gem.it/wp-admin/post.php?post=65483&amp;action=edit")</f>
        <v>https://studio-gem.it/wp-admin/post.php?post=65483&amp;action=edit</v>
      </c>
      <c r="AA399" s="763"/>
      <c r="AB399" s="763"/>
      <c r="AC399" s="763"/>
      <c r="AD399" s="763"/>
      <c r="AE399" s="763"/>
      <c r="AF399" s="763"/>
      <c r="AG399" s="763"/>
      <c r="AH399" s="763"/>
      <c r="AI399" s="763"/>
      <c r="AJ399" s="763"/>
      <c r="AK399" s="763"/>
      <c r="AL399" s="763"/>
      <c r="AM399" s="763"/>
      <c r="AN399" s="763"/>
      <c r="AO399" s="763"/>
      <c r="AP399" s="763"/>
      <c r="AQ399" s="763"/>
      <c r="AR399" s="763"/>
      <c r="AS399" s="763"/>
      <c r="AT399" s="763"/>
      <c r="AU399" s="763"/>
      <c r="AV399" s="763"/>
      <c r="AW399" s="763"/>
      <c r="AX399" s="763"/>
      <c r="AY399" s="763"/>
      <c r="AZ399" s="763"/>
      <c r="BA399" s="763"/>
      <c r="BB399" s="763"/>
      <c r="BC399" s="763"/>
      <c r="BD399" s="763"/>
      <c r="BE399" s="763"/>
      <c r="BF399" s="763"/>
      <c r="BG399" s="763" t="b">
        <f>IFERROR(__xludf.DUMMYFUNCTION("""COMPUTED_VALUE"""),TRUE)</f>
        <v>1</v>
      </c>
      <c r="BH399" s="763" t="b">
        <f>IFERROR(__xludf.DUMMYFUNCTION("""COMPUTED_VALUE"""),FALSE)</f>
        <v>0</v>
      </c>
      <c r="BI399" s="763" t="b">
        <f>IFERROR(__xludf.DUMMYFUNCTION("""COMPUTED_VALUE"""),FALSE)</f>
        <v>0</v>
      </c>
      <c r="BJ399" s="763" t="b">
        <f>IFERROR(__xludf.DUMMYFUNCTION("""COMPUTED_VALUE"""),TRUE)</f>
        <v>1</v>
      </c>
    </row>
    <row r="400">
      <c r="A400" s="763">
        <f>IFERROR(__xludf.DUMMYFUNCTION("""COMPUTED_VALUE"""),65485.0)</f>
        <v>65485</v>
      </c>
      <c r="B400" s="763">
        <f>IFERROR(__xludf.DUMMYFUNCTION("""COMPUTED_VALUE"""),65485.0)</f>
        <v>65485</v>
      </c>
      <c r="C400" s="763" t="str">
        <f>IFERROR(__xludf.DUMMYFUNCTION("""COMPUTED_VALUE"""),"2025-10-25 11:19:31")</f>
        <v>2025-10-25 11:19:31</v>
      </c>
      <c r="D400" s="763" t="str">
        <f>IFERROR(__xludf.DUMMYFUNCTION("""COMPUTED_VALUE"""),"pending")</f>
        <v>pending</v>
      </c>
      <c r="E400" s="763" t="str">
        <f>IFERROR(__xludf.DUMMYFUNCTION("""COMPUTED_VALUE"""),"Virginia")</f>
        <v>Virginia</v>
      </c>
      <c r="F400" s="763" t="str">
        <f>IFERROR(__xludf.DUMMYFUNCTION("""COMPUTED_VALUE"""),"Dell’Orto")</f>
        <v>Dell’Orto</v>
      </c>
      <c r="G400" s="763" t="str">
        <f>IFERROR(__xludf.DUMMYFUNCTION("""COMPUTED_VALUE"""),"virginiadellorto99@gmail.com")</f>
        <v>virginiadellorto99@gmail.com</v>
      </c>
      <c r="H400" s="763">
        <f>IFERROR(__xludf.DUMMYFUNCTION("""COMPUTED_VALUE"""),3.930314628E9)</f>
        <v>3930314628</v>
      </c>
      <c r="I400" s="763" t="str">
        <f>IFERROR(__xludf.DUMMYFUNCTION("""COMPUTED_VALUE"""),"Bovisio Masciago")</f>
        <v>Bovisio Masciago</v>
      </c>
      <c r="J400" s="763" t="str">
        <f>IFERROR(__xludf.DUMMYFUNCTION("""COMPUTED_VALUE"""),"Via Giuseppe Mazzini 18")</f>
        <v>Via Giuseppe Mazzini 18</v>
      </c>
      <c r="K400" s="763">
        <f>IFERROR(__xludf.DUMMYFUNCTION("""COMPUTED_VALUE"""),20813.0)</f>
        <v>20813</v>
      </c>
      <c r="L400" s="763" t="str">
        <f>IFERROR(__xludf.DUMMYFUNCTION("""COMPUTED_VALUE"""),"Carte di pagamento")</f>
        <v>Carte di pagamento</v>
      </c>
      <c r="M400" s="763"/>
      <c r="N400" s="763"/>
      <c r="O400" s="763">
        <f>IFERROR(__xludf.DUMMYFUNCTION("""COMPUTED_VALUE"""),0.0)</f>
        <v>0</v>
      </c>
      <c r="P400" s="767">
        <f>IFERROR(__xludf.DUMMYFUNCTION("""COMPUTED_VALUE"""),1.875)</f>
        <v>1.875</v>
      </c>
      <c r="Q400" s="763" t="str">
        <f>IFERROR(__xludf.DUMMYFUNCTION("""COMPUTED_VALUE"""),"EUR")</f>
        <v>EUR</v>
      </c>
      <c r="R400" s="763">
        <f>IFERROR(__xludf.DUMMYFUNCTION("""COMPUTED_VALUE"""),847.0)</f>
        <v>847</v>
      </c>
      <c r="S400" s="763" t="str">
        <f>IFERROR(__xludf.DUMMYFUNCTION("""COMPUTED_VALUE"""),"Workshop Commercial con Timor Steffens - Workshop Commercial con Timor Steffens")</f>
        <v>Workshop Commercial con Timor Steffens - Workshop Commercial con Timor Steffens</v>
      </c>
      <c r="T400" s="763"/>
      <c r="U400" s="763"/>
      <c r="V400" s="763">
        <f>IFERROR(__xludf.DUMMYFUNCTION("""COMPUTED_VALUE"""),1.0)</f>
        <v>1</v>
      </c>
      <c r="W400" s="763">
        <f>IFERROR(__xludf.DUMMYFUNCTION("""COMPUTED_VALUE"""),45.0)</f>
        <v>45</v>
      </c>
      <c r="X400" s="763">
        <f>IFERROR(__xludf.DUMMYFUNCTION("""COMPUTED_VALUE"""),45.0)</f>
        <v>45</v>
      </c>
      <c r="Y400" s="763"/>
      <c r="Z400" s="768" t="str">
        <f>IFERROR(__xludf.DUMMYFUNCTION("""COMPUTED_VALUE"""),"https://studio-gem.it/wp-admin/post.php?post=65485&amp;action=edit")</f>
        <v>https://studio-gem.it/wp-admin/post.php?post=65485&amp;action=edit</v>
      </c>
      <c r="AA400" s="763"/>
      <c r="AB400" s="763"/>
      <c r="AC400" s="763"/>
      <c r="AD400" s="763"/>
      <c r="AE400" s="763"/>
      <c r="AF400" s="763"/>
      <c r="AG400" s="763"/>
      <c r="AH400" s="763"/>
      <c r="AI400" s="763"/>
      <c r="AJ400" s="763"/>
      <c r="AK400" s="763"/>
      <c r="AL400" s="763"/>
      <c r="AM400" s="763"/>
      <c r="AN400" s="763"/>
      <c r="AO400" s="763"/>
      <c r="AP400" s="763"/>
      <c r="AQ400" s="763"/>
      <c r="AR400" s="763"/>
      <c r="AS400" s="763"/>
      <c r="AT400" s="763"/>
      <c r="AU400" s="763"/>
      <c r="AV400" s="763"/>
      <c r="AW400" s="763"/>
      <c r="AX400" s="763"/>
      <c r="AY400" s="763"/>
      <c r="AZ400" s="763"/>
      <c r="BA400" s="763"/>
      <c r="BB400" s="763"/>
      <c r="BC400" s="763"/>
      <c r="BD400" s="763"/>
      <c r="BE400" s="763"/>
      <c r="BF400" s="763"/>
      <c r="BG400" s="763" t="b">
        <f>IFERROR(__xludf.DUMMYFUNCTION("""COMPUTED_VALUE"""),FALSE)</f>
        <v>0</v>
      </c>
      <c r="BH400" s="763" t="b">
        <f>IFERROR(__xludf.DUMMYFUNCTION("""COMPUTED_VALUE"""),FALSE)</f>
        <v>0</v>
      </c>
      <c r="BI400" s="763" t="b">
        <f>IFERROR(__xludf.DUMMYFUNCTION("""COMPUTED_VALUE"""),FALSE)</f>
        <v>0</v>
      </c>
      <c r="BJ400" s="763" t="b">
        <f>IFERROR(__xludf.DUMMYFUNCTION("""COMPUTED_VALUE"""),FALSE)</f>
        <v>0</v>
      </c>
    </row>
    <row r="401">
      <c r="A401" s="763">
        <f>IFERROR(__xludf.DUMMYFUNCTION("""COMPUTED_VALUE"""),65486.0)</f>
        <v>65486</v>
      </c>
      <c r="B401" s="763">
        <f>IFERROR(__xludf.DUMMYFUNCTION("""COMPUTED_VALUE"""),65486.0)</f>
        <v>65486</v>
      </c>
      <c r="C401" s="763" t="str">
        <f>IFERROR(__xludf.DUMMYFUNCTION("""COMPUTED_VALUE"""),"2025-10-25 11:23:33")</f>
        <v>2025-10-25 11:23:33</v>
      </c>
      <c r="D401" s="763" t="str">
        <f>IFERROR(__xludf.DUMMYFUNCTION("""COMPUTED_VALUE"""),"completed")</f>
        <v>completed</v>
      </c>
      <c r="E401" s="763" t="str">
        <f>IFERROR(__xludf.DUMMYFUNCTION("""COMPUTED_VALUE"""),"Virginia")</f>
        <v>Virginia</v>
      </c>
      <c r="F401" s="763" t="str">
        <f>IFERROR(__xludf.DUMMYFUNCTION("""COMPUTED_VALUE"""),"Dell'Orto")</f>
        <v>Dell'Orto</v>
      </c>
      <c r="G401" s="763" t="str">
        <f>IFERROR(__xludf.DUMMYFUNCTION("""COMPUTED_VALUE"""),"virginiadellorto99@gmail.com")</f>
        <v>virginiadellorto99@gmail.com</v>
      </c>
      <c r="H401" s="763">
        <f>IFERROR(__xludf.DUMMYFUNCTION("""COMPUTED_VALUE"""),3.930314628E9)</f>
        <v>3930314628</v>
      </c>
      <c r="I401" s="763" t="str">
        <f>IFERROR(__xludf.DUMMYFUNCTION("""COMPUTED_VALUE"""),"Bovisio Masciago")</f>
        <v>Bovisio Masciago</v>
      </c>
      <c r="J401" s="763" t="str">
        <f>IFERROR(__xludf.DUMMYFUNCTION("""COMPUTED_VALUE"""),"Via Giuseppe Mazzini 18")</f>
        <v>Via Giuseppe Mazzini 18</v>
      </c>
      <c r="K401" s="763">
        <f>IFERROR(__xludf.DUMMYFUNCTION("""COMPUTED_VALUE"""),20813.0)</f>
        <v>20813</v>
      </c>
      <c r="L401" s="763" t="str">
        <f>IFERROR(__xludf.DUMMYFUNCTION("""COMPUTED_VALUE"""),"Carte di pagamento")</f>
        <v>Carte di pagamento</v>
      </c>
      <c r="M401" s="763"/>
      <c r="N401" s="763" t="str">
        <f>IFERROR(__xludf.DUMMYFUNCTION("""COMPUTED_VALUE"""),"65486-1761391414")</f>
        <v>65486-1761391414</v>
      </c>
      <c r="O401" s="763">
        <f>IFERROR(__xludf.DUMMYFUNCTION("""COMPUTED_VALUE"""),0.0)</f>
        <v>0</v>
      </c>
      <c r="P401" s="767">
        <f>IFERROR(__xludf.DUMMYFUNCTION("""COMPUTED_VALUE"""),1.875)</f>
        <v>1.875</v>
      </c>
      <c r="Q401" s="763" t="str">
        <f>IFERROR(__xludf.DUMMYFUNCTION("""COMPUTED_VALUE"""),"EUR")</f>
        <v>EUR</v>
      </c>
      <c r="R401" s="763">
        <f>IFERROR(__xludf.DUMMYFUNCTION("""COMPUTED_VALUE"""),848.0)</f>
        <v>848</v>
      </c>
      <c r="S401" s="763" t="str">
        <f>IFERROR(__xludf.DUMMYFUNCTION("""COMPUTED_VALUE"""),"Workshop Commercial con Timor Steffens - Workshop Commercial con Timor Steffens")</f>
        <v>Workshop Commercial con Timor Steffens - Workshop Commercial con Timor Steffens</v>
      </c>
      <c r="T401" s="763"/>
      <c r="U401" s="763"/>
      <c r="V401" s="763">
        <f>IFERROR(__xludf.DUMMYFUNCTION("""COMPUTED_VALUE"""),1.0)</f>
        <v>1</v>
      </c>
      <c r="W401" s="763">
        <f>IFERROR(__xludf.DUMMYFUNCTION("""COMPUTED_VALUE"""),45.0)</f>
        <v>45</v>
      </c>
      <c r="X401" s="763">
        <f>IFERROR(__xludf.DUMMYFUNCTION("""COMPUTED_VALUE"""),45.0)</f>
        <v>45</v>
      </c>
      <c r="Y401" s="763"/>
      <c r="Z401" s="768" t="str">
        <f>IFERROR(__xludf.DUMMYFUNCTION("""COMPUTED_VALUE"""),"https://studio-gem.it/wp-admin/post.php?post=65486&amp;action=edit")</f>
        <v>https://studio-gem.it/wp-admin/post.php?post=65486&amp;action=edit</v>
      </c>
      <c r="AA401" s="763"/>
      <c r="AB401" s="763"/>
      <c r="AC401" s="763"/>
      <c r="AD401" s="763"/>
      <c r="AE401" s="763"/>
      <c r="AF401" s="763"/>
      <c r="AG401" s="763"/>
      <c r="AH401" s="763"/>
      <c r="AI401" s="763"/>
      <c r="AJ401" s="763"/>
      <c r="AK401" s="763"/>
      <c r="AL401" s="763"/>
      <c r="AM401" s="763"/>
      <c r="AN401" s="763"/>
      <c r="AO401" s="763"/>
      <c r="AP401" s="763"/>
      <c r="AQ401" s="763"/>
      <c r="AR401" s="763"/>
      <c r="AS401" s="763"/>
      <c r="AT401" s="763"/>
      <c r="AU401" s="763"/>
      <c r="AV401" s="763"/>
      <c r="AW401" s="763"/>
      <c r="AX401" s="763"/>
      <c r="AY401" s="763"/>
      <c r="AZ401" s="763"/>
      <c r="BA401" s="763"/>
      <c r="BB401" s="763"/>
      <c r="BC401" s="763"/>
      <c r="BD401" s="763"/>
      <c r="BE401" s="763"/>
      <c r="BF401" s="763"/>
      <c r="BG401" s="763" t="b">
        <f>IFERROR(__xludf.DUMMYFUNCTION("""COMPUTED_VALUE"""),TRUE)</f>
        <v>1</v>
      </c>
      <c r="BH401" s="763" t="b">
        <f>IFERROR(__xludf.DUMMYFUNCTION("""COMPUTED_VALUE"""),FALSE)</f>
        <v>0</v>
      </c>
      <c r="BI401" s="763" t="b">
        <f>IFERROR(__xludf.DUMMYFUNCTION("""COMPUTED_VALUE"""),TRUE)</f>
        <v>1</v>
      </c>
      <c r="BJ401" s="763" t="b">
        <f>IFERROR(__xludf.DUMMYFUNCTION("""COMPUTED_VALUE"""),TRUE)</f>
        <v>1</v>
      </c>
    </row>
    <row r="402">
      <c r="A402" s="763">
        <f>IFERROR(__xludf.DUMMYFUNCTION("""COMPUTED_VALUE"""),65488.0)</f>
        <v>65488</v>
      </c>
      <c r="B402" s="763">
        <f>IFERROR(__xludf.DUMMYFUNCTION("""COMPUTED_VALUE"""),65488.0)</f>
        <v>65488</v>
      </c>
      <c r="C402" s="763" t="str">
        <f>IFERROR(__xludf.DUMMYFUNCTION("""COMPUTED_VALUE"""),"2025-10-25 12:08:56")</f>
        <v>2025-10-25 12:08:56</v>
      </c>
      <c r="D402" s="763" t="str">
        <f>IFERROR(__xludf.DUMMYFUNCTION("""COMPUTED_VALUE"""),"completed")</f>
        <v>completed</v>
      </c>
      <c r="E402" s="763" t="str">
        <f>IFERROR(__xludf.DUMMYFUNCTION("""COMPUTED_VALUE"""),"Sara")</f>
        <v>Sara</v>
      </c>
      <c r="F402" s="763" t="str">
        <f>IFERROR(__xludf.DUMMYFUNCTION("""COMPUTED_VALUE"""),"Trovato")</f>
        <v>Trovato</v>
      </c>
      <c r="G402" s="763" t="str">
        <f>IFERROR(__xludf.DUMMYFUNCTION("""COMPUTED_VALUE"""),"lucia.de.martino@snam.it")</f>
        <v>lucia.de.martino@snam.it</v>
      </c>
      <c r="H402" s="763">
        <f>IFERROR(__xludf.DUMMYFUNCTION("""COMPUTED_VALUE"""),3.488710026E9)</f>
        <v>3488710026</v>
      </c>
      <c r="I402" s="763" t="str">
        <f>IFERROR(__xludf.DUMMYFUNCTION("""COMPUTED_VALUE"""),"Milano")</f>
        <v>Milano</v>
      </c>
      <c r="J402" s="763" t="str">
        <f>IFERROR(__xludf.DUMMYFUNCTION("""COMPUTED_VALUE"""),"Via emilio morosini 27")</f>
        <v>Via emilio morosini 27</v>
      </c>
      <c r="K402" s="763">
        <f>IFERROR(__xludf.DUMMYFUNCTION("""COMPUTED_VALUE"""),20135.0)</f>
        <v>20135</v>
      </c>
      <c r="L402" s="763" t="str">
        <f>IFERROR(__xludf.DUMMYFUNCTION("""COMPUTED_VALUE"""),"Carte di pagamento")</f>
        <v>Carte di pagamento</v>
      </c>
      <c r="M402" s="763"/>
      <c r="N402" s="763" t="str">
        <f>IFERROR(__xludf.DUMMYFUNCTION("""COMPUTED_VALUE"""),"65488-1761394138")</f>
        <v>65488-1761394138</v>
      </c>
      <c r="O402" s="763">
        <f>IFERROR(__xludf.DUMMYFUNCTION("""COMPUTED_VALUE"""),0.0)</f>
        <v>0</v>
      </c>
      <c r="P402" s="767">
        <f>IFERROR(__xludf.DUMMYFUNCTION("""COMPUTED_VALUE"""),1.875)</f>
        <v>1.875</v>
      </c>
      <c r="Q402" s="763" t="str">
        <f>IFERROR(__xludf.DUMMYFUNCTION("""COMPUTED_VALUE"""),"EUR")</f>
        <v>EUR</v>
      </c>
      <c r="R402" s="763">
        <f>IFERROR(__xludf.DUMMYFUNCTION("""COMPUTED_VALUE"""),849.0)</f>
        <v>849</v>
      </c>
      <c r="S402" s="763" t="str">
        <f>IFERROR(__xludf.DUMMYFUNCTION("""COMPUTED_VALUE"""),"Workshop Commercial con Timor Steffens - Workshop Commercial con Timor Steffens")</f>
        <v>Workshop Commercial con Timor Steffens - Workshop Commercial con Timor Steffens</v>
      </c>
      <c r="T402" s="763"/>
      <c r="U402" s="763"/>
      <c r="V402" s="763">
        <f>IFERROR(__xludf.DUMMYFUNCTION("""COMPUTED_VALUE"""),1.0)</f>
        <v>1</v>
      </c>
      <c r="W402" s="763">
        <f>IFERROR(__xludf.DUMMYFUNCTION("""COMPUTED_VALUE"""),45.0)</f>
        <v>45</v>
      </c>
      <c r="X402" s="763">
        <f>IFERROR(__xludf.DUMMYFUNCTION("""COMPUTED_VALUE"""),45.0)</f>
        <v>45</v>
      </c>
      <c r="Y402" s="763"/>
      <c r="Z402" s="768" t="str">
        <f>IFERROR(__xludf.DUMMYFUNCTION("""COMPUTED_VALUE"""),"https://studio-gem.it/wp-admin/post.php?post=65488&amp;action=edit")</f>
        <v>https://studio-gem.it/wp-admin/post.php?post=65488&amp;action=edit</v>
      </c>
      <c r="AA402" s="763"/>
      <c r="AB402" s="763"/>
      <c r="AC402" s="763"/>
      <c r="AD402" s="763"/>
      <c r="AE402" s="763"/>
      <c r="AF402" s="763"/>
      <c r="AG402" s="763"/>
      <c r="AH402" s="763"/>
      <c r="AI402" s="763"/>
      <c r="AJ402" s="763"/>
      <c r="AK402" s="763"/>
      <c r="AL402" s="763"/>
      <c r="AM402" s="763"/>
      <c r="AN402" s="763"/>
      <c r="AO402" s="763"/>
      <c r="AP402" s="763"/>
      <c r="AQ402" s="763"/>
      <c r="AR402" s="763"/>
      <c r="AS402" s="763"/>
      <c r="AT402" s="763"/>
      <c r="AU402" s="763"/>
      <c r="AV402" s="763"/>
      <c r="AW402" s="763"/>
      <c r="AX402" s="763"/>
      <c r="AY402" s="763"/>
      <c r="AZ402" s="763"/>
      <c r="BA402" s="763"/>
      <c r="BB402" s="763"/>
      <c r="BC402" s="763"/>
      <c r="BD402" s="763"/>
      <c r="BE402" s="763"/>
      <c r="BF402" s="763"/>
      <c r="BG402" s="763" t="b">
        <f>IFERROR(__xludf.DUMMYFUNCTION("""COMPUTED_VALUE"""),TRUE)</f>
        <v>1</v>
      </c>
      <c r="BH402" s="763" t="b">
        <f>IFERROR(__xludf.DUMMYFUNCTION("""COMPUTED_VALUE"""),FALSE)</f>
        <v>0</v>
      </c>
      <c r="BI402" s="763" t="b">
        <f>IFERROR(__xludf.DUMMYFUNCTION("""COMPUTED_VALUE"""),TRUE)</f>
        <v>1</v>
      </c>
      <c r="BJ402" s="763" t="b">
        <f>IFERROR(__xludf.DUMMYFUNCTION("""COMPUTED_VALUE"""),TRUE)</f>
        <v>1</v>
      </c>
    </row>
    <row r="403">
      <c r="A403" s="763">
        <f>IFERROR(__xludf.DUMMYFUNCTION("""COMPUTED_VALUE"""),65490.0)</f>
        <v>65490</v>
      </c>
      <c r="B403" s="763">
        <f>IFERROR(__xludf.DUMMYFUNCTION("""COMPUTED_VALUE"""),65490.0)</f>
        <v>65490</v>
      </c>
      <c r="C403" s="763" t="str">
        <f>IFERROR(__xludf.DUMMYFUNCTION("""COMPUTED_VALUE"""),"2025-10-25 12:26:28")</f>
        <v>2025-10-25 12:26:28</v>
      </c>
      <c r="D403" s="763" t="str">
        <f>IFERROR(__xludf.DUMMYFUNCTION("""COMPUTED_VALUE"""),"completed")</f>
        <v>completed</v>
      </c>
      <c r="E403" s="763" t="str">
        <f>IFERROR(__xludf.DUMMYFUNCTION("""COMPUTED_VALUE"""),"Patrizia")</f>
        <v>Patrizia</v>
      </c>
      <c r="F403" s="763" t="str">
        <f>IFERROR(__xludf.DUMMYFUNCTION("""COMPUTED_VALUE"""),"Caruso")</f>
        <v>Caruso</v>
      </c>
      <c r="G403" s="763" t="str">
        <f>IFERROR(__xludf.DUMMYFUNCTION("""COMPUTED_VALUE"""),"patrizia1205@yahoo.it")</f>
        <v>patrizia1205@yahoo.it</v>
      </c>
      <c r="H403" s="763">
        <f>IFERROR(__xludf.DUMMYFUNCTION("""COMPUTED_VALUE"""),3.389317331E9)</f>
        <v>3389317331</v>
      </c>
      <c r="I403" s="763" t="str">
        <f>IFERROR(__xludf.DUMMYFUNCTION("""COMPUTED_VALUE"""),"Torino")</f>
        <v>Torino</v>
      </c>
      <c r="J403" s="763" t="str">
        <f>IFERROR(__xludf.DUMMYFUNCTION("""COMPUTED_VALUE"""),"Via Michele Coppino 77")</f>
        <v>Via Michele Coppino 77</v>
      </c>
      <c r="K403" s="763">
        <f>IFERROR(__xludf.DUMMYFUNCTION("""COMPUTED_VALUE"""),10147.0)</f>
        <v>10147</v>
      </c>
      <c r="L403" s="763" t="str">
        <f>IFERROR(__xludf.DUMMYFUNCTION("""COMPUTED_VALUE"""),"Satispay")</f>
        <v>Satispay</v>
      </c>
      <c r="M403" s="763"/>
      <c r="N403" s="763" t="str">
        <f>IFERROR(__xludf.DUMMYFUNCTION("""COMPUTED_VALUE"""),"019a1b55-a430-746f-b6c7-c9dfbae38b3d")</f>
        <v>019a1b55-a430-746f-b6c7-c9dfbae38b3d</v>
      </c>
      <c r="O403" s="763">
        <f>IFERROR(__xludf.DUMMYFUNCTION("""COMPUTED_VALUE"""),0.0)</f>
        <v>0</v>
      </c>
      <c r="P403" s="767">
        <f>IFERROR(__xludf.DUMMYFUNCTION("""COMPUTED_VALUE"""),1.5416666666666667)</f>
        <v>1.541666667</v>
      </c>
      <c r="Q403" s="763" t="str">
        <f>IFERROR(__xludf.DUMMYFUNCTION("""COMPUTED_VALUE"""),"EUR")</f>
        <v>EUR</v>
      </c>
      <c r="R403" s="763">
        <f>IFERROR(__xludf.DUMMYFUNCTION("""COMPUTED_VALUE"""),850.0)</f>
        <v>850</v>
      </c>
      <c r="S403" s="763" t="str">
        <f>IFERROR(__xludf.DUMMYFUNCTION("""COMPUTED_VALUE"""),"Workshop Urban con Kumo - Workshop Kumo Urban")</f>
        <v>Workshop Urban con Kumo - Workshop Kumo Urban</v>
      </c>
      <c r="T403" s="763"/>
      <c r="U403" s="763"/>
      <c r="V403" s="763">
        <f>IFERROR(__xludf.DUMMYFUNCTION("""COMPUTED_VALUE"""),1.0)</f>
        <v>1</v>
      </c>
      <c r="W403" s="763">
        <f>IFERROR(__xludf.DUMMYFUNCTION("""COMPUTED_VALUE"""),37.0)</f>
        <v>37</v>
      </c>
      <c r="X403" s="763">
        <f>IFERROR(__xludf.DUMMYFUNCTION("""COMPUTED_VALUE"""),37.0)</f>
        <v>37</v>
      </c>
      <c r="Y403" s="763"/>
      <c r="Z403" s="768" t="str">
        <f>IFERROR(__xludf.DUMMYFUNCTION("""COMPUTED_VALUE"""),"https://studio-gem.it/wp-admin/post.php?post=65490&amp;action=edit")</f>
        <v>https://studio-gem.it/wp-admin/post.php?post=65490&amp;action=edit</v>
      </c>
      <c r="AA403" s="763"/>
      <c r="AB403" s="763"/>
      <c r="AC403" s="763"/>
      <c r="AD403" s="763"/>
      <c r="AE403" s="763"/>
      <c r="AF403" s="763"/>
      <c r="AG403" s="763"/>
      <c r="AH403" s="763"/>
      <c r="AI403" s="763"/>
      <c r="AJ403" s="763"/>
      <c r="AK403" s="763"/>
      <c r="AL403" s="763"/>
      <c r="AM403" s="763"/>
      <c r="AN403" s="763"/>
      <c r="AO403" s="763"/>
      <c r="AP403" s="763"/>
      <c r="AQ403" s="763"/>
      <c r="AR403" s="763"/>
      <c r="AS403" s="763"/>
      <c r="AT403" s="763"/>
      <c r="AU403" s="763"/>
      <c r="AV403" s="763"/>
      <c r="AW403" s="763"/>
      <c r="AX403" s="763"/>
      <c r="AY403" s="763"/>
      <c r="AZ403" s="763"/>
      <c r="BA403" s="763"/>
      <c r="BB403" s="763"/>
      <c r="BC403" s="763"/>
      <c r="BD403" s="763"/>
      <c r="BE403" s="763"/>
      <c r="BF403" s="763"/>
      <c r="BG403" s="763" t="b">
        <f>IFERROR(__xludf.DUMMYFUNCTION("""COMPUTED_VALUE"""),TRUE)</f>
        <v>1</v>
      </c>
      <c r="BH403" s="763" t="b">
        <f>IFERROR(__xludf.DUMMYFUNCTION("""COMPUTED_VALUE"""),FALSE)</f>
        <v>0</v>
      </c>
      <c r="BI403" s="763" t="b">
        <f>IFERROR(__xludf.DUMMYFUNCTION("""COMPUTED_VALUE"""),TRUE)</f>
        <v>1</v>
      </c>
      <c r="BJ403" s="763" t="b">
        <f>IFERROR(__xludf.DUMMYFUNCTION("""COMPUTED_VALUE"""),TRUE)</f>
        <v>1</v>
      </c>
    </row>
    <row r="404">
      <c r="A404" s="763">
        <f>IFERROR(__xludf.DUMMYFUNCTION("""COMPUTED_VALUE"""),65492.0)</f>
        <v>65492</v>
      </c>
      <c r="B404" s="763">
        <f>IFERROR(__xludf.DUMMYFUNCTION("""COMPUTED_VALUE"""),65492.0)</f>
        <v>65492</v>
      </c>
      <c r="C404" s="763" t="str">
        <f>IFERROR(__xludf.DUMMYFUNCTION("""COMPUTED_VALUE"""),"2025-10-25 14:07:30")</f>
        <v>2025-10-25 14:07:30</v>
      </c>
      <c r="D404" s="763" t="str">
        <f>IFERROR(__xludf.DUMMYFUNCTION("""COMPUTED_VALUE"""),"completed")</f>
        <v>completed</v>
      </c>
      <c r="E404" s="763" t="str">
        <f>IFERROR(__xludf.DUMMYFUNCTION("""COMPUTED_VALUE"""),"Nicol")</f>
        <v>Nicol</v>
      </c>
      <c r="F404" s="763" t="str">
        <f>IFERROR(__xludf.DUMMYFUNCTION("""COMPUTED_VALUE"""),"Schiavoni")</f>
        <v>Schiavoni</v>
      </c>
      <c r="G404" s="763" t="str">
        <f>IFERROR(__xludf.DUMMYFUNCTION("""COMPUTED_VALUE"""),"nicol.schiavoni@gmail.com")</f>
        <v>nicol.schiavoni@gmail.com</v>
      </c>
      <c r="H404" s="763">
        <f>IFERROR(__xludf.DUMMYFUNCTION("""COMPUTED_VALUE"""),3.485872331E9)</f>
        <v>3485872331</v>
      </c>
      <c r="I404" s="763" t="str">
        <f>IFERROR(__xludf.DUMMYFUNCTION("""COMPUTED_VALUE"""),"Segrate")</f>
        <v>Segrate</v>
      </c>
      <c r="J404" s="763" t="str">
        <f>IFERROR(__xludf.DUMMYFUNCTION("""COMPUTED_VALUE"""),"Via Caravaggio 2")</f>
        <v>Via Caravaggio 2</v>
      </c>
      <c r="K404" s="763">
        <f>IFERROR(__xludf.DUMMYFUNCTION("""COMPUTED_VALUE"""),20054.0)</f>
        <v>20054</v>
      </c>
      <c r="L404" s="763" t="str">
        <f>IFERROR(__xludf.DUMMYFUNCTION("""COMPUTED_VALUE"""),"Carte di pagamento")</f>
        <v>Carte di pagamento</v>
      </c>
      <c r="M404" s="763"/>
      <c r="N404" s="763" t="str">
        <f>IFERROR(__xludf.DUMMYFUNCTION("""COMPUTED_VALUE"""),"65492-1761401251")</f>
        <v>65492-1761401251</v>
      </c>
      <c r="O404" s="763">
        <f>IFERROR(__xludf.DUMMYFUNCTION("""COMPUTED_VALUE"""),0.0)</f>
        <v>0</v>
      </c>
      <c r="P404" s="767">
        <f>IFERROR(__xludf.DUMMYFUNCTION("""COMPUTED_VALUE"""),1.875)</f>
        <v>1.875</v>
      </c>
      <c r="Q404" s="763" t="str">
        <f>IFERROR(__xludf.DUMMYFUNCTION("""COMPUTED_VALUE"""),"EUR")</f>
        <v>EUR</v>
      </c>
      <c r="R404" s="763">
        <f>IFERROR(__xludf.DUMMYFUNCTION("""COMPUTED_VALUE"""),851.0)</f>
        <v>851</v>
      </c>
      <c r="S404" s="763" t="str">
        <f>IFERROR(__xludf.DUMMYFUNCTION("""COMPUTED_VALUE"""),"Workshop Commercial con Timor Steffens - Workshop Commercial con Timor Steffens")</f>
        <v>Workshop Commercial con Timor Steffens - Workshop Commercial con Timor Steffens</v>
      </c>
      <c r="T404" s="763"/>
      <c r="U404" s="763"/>
      <c r="V404" s="763">
        <f>IFERROR(__xludf.DUMMYFUNCTION("""COMPUTED_VALUE"""),1.0)</f>
        <v>1</v>
      </c>
      <c r="W404" s="763">
        <f>IFERROR(__xludf.DUMMYFUNCTION("""COMPUTED_VALUE"""),45.0)</f>
        <v>45</v>
      </c>
      <c r="X404" s="763">
        <f>IFERROR(__xludf.DUMMYFUNCTION("""COMPUTED_VALUE"""),45.0)</f>
        <v>45</v>
      </c>
      <c r="Y404" s="763"/>
      <c r="Z404" s="768" t="str">
        <f>IFERROR(__xludf.DUMMYFUNCTION("""COMPUTED_VALUE"""),"https://studio-gem.it/wp-admin/post.php?post=65492&amp;action=edit")</f>
        <v>https://studio-gem.it/wp-admin/post.php?post=65492&amp;action=edit</v>
      </c>
      <c r="AA404" s="763"/>
      <c r="AB404" s="763"/>
      <c r="AC404" s="763"/>
      <c r="AD404" s="763"/>
      <c r="AE404" s="763"/>
      <c r="AF404" s="763"/>
      <c r="AG404" s="763"/>
      <c r="AH404" s="763"/>
      <c r="AI404" s="763"/>
      <c r="AJ404" s="763"/>
      <c r="AK404" s="763"/>
      <c r="AL404" s="763"/>
      <c r="AM404" s="763"/>
      <c r="AN404" s="763"/>
      <c r="AO404" s="763"/>
      <c r="AP404" s="763"/>
      <c r="AQ404" s="763"/>
      <c r="AR404" s="763"/>
      <c r="AS404" s="763"/>
      <c r="AT404" s="763"/>
      <c r="AU404" s="763"/>
      <c r="AV404" s="763"/>
      <c r="AW404" s="763"/>
      <c r="AX404" s="763"/>
      <c r="AY404" s="763"/>
      <c r="AZ404" s="763"/>
      <c r="BA404" s="763"/>
      <c r="BB404" s="763"/>
      <c r="BC404" s="763"/>
      <c r="BD404" s="763"/>
      <c r="BE404" s="763"/>
      <c r="BF404" s="763"/>
      <c r="BG404" s="763" t="b">
        <f>IFERROR(__xludf.DUMMYFUNCTION("""COMPUTED_VALUE"""),TRUE)</f>
        <v>1</v>
      </c>
      <c r="BH404" s="763" t="b">
        <f>IFERROR(__xludf.DUMMYFUNCTION("""COMPUTED_VALUE"""),FALSE)</f>
        <v>0</v>
      </c>
      <c r="BI404" s="763" t="b">
        <f>IFERROR(__xludf.DUMMYFUNCTION("""COMPUTED_VALUE"""),TRUE)</f>
        <v>1</v>
      </c>
      <c r="BJ404" s="763" t="b">
        <f>IFERROR(__xludf.DUMMYFUNCTION("""COMPUTED_VALUE"""),TRUE)</f>
        <v>1</v>
      </c>
    </row>
    <row r="405">
      <c r="A405" s="763">
        <f>IFERROR(__xludf.DUMMYFUNCTION("""COMPUTED_VALUE"""),65494.0)</f>
        <v>65494</v>
      </c>
      <c r="B405" s="763">
        <f>IFERROR(__xludf.DUMMYFUNCTION("""COMPUTED_VALUE"""),65494.0)</f>
        <v>65494</v>
      </c>
      <c r="C405" s="763" t="str">
        <f>IFERROR(__xludf.DUMMYFUNCTION("""COMPUTED_VALUE"""),"2025-10-25 14:59:59")</f>
        <v>2025-10-25 14:59:59</v>
      </c>
      <c r="D405" s="763" t="str">
        <f>IFERROR(__xludf.DUMMYFUNCTION("""COMPUTED_VALUE"""),"completed")</f>
        <v>completed</v>
      </c>
      <c r="E405" s="763" t="str">
        <f>IFERROR(__xludf.DUMMYFUNCTION("""COMPUTED_VALUE"""),"Edoardo")</f>
        <v>Edoardo</v>
      </c>
      <c r="F405" s="763" t="str">
        <f>IFERROR(__xludf.DUMMYFUNCTION("""COMPUTED_VALUE"""),"Marverti")</f>
        <v>Marverti</v>
      </c>
      <c r="G405" s="763" t="str">
        <f>IFERROR(__xludf.DUMMYFUNCTION("""COMPUTED_VALUE"""),"21edoardo06@gmail.com")</f>
        <v>21edoardo06@gmail.com</v>
      </c>
      <c r="H405" s="763">
        <f>IFERROR(__xludf.DUMMYFUNCTION("""COMPUTED_VALUE"""),3.319182094E9)</f>
        <v>3319182094</v>
      </c>
      <c r="I405" s="763" t="str">
        <f>IFERROR(__xludf.DUMMYFUNCTION("""COMPUTED_VALUE"""),"Casalgrande")</f>
        <v>Casalgrande</v>
      </c>
      <c r="J405" s="763" t="str">
        <f>IFERROR(__xludf.DUMMYFUNCTION("""COMPUTED_VALUE"""),"Via Salvatore Quasimodo 11")</f>
        <v>Via Salvatore Quasimodo 11</v>
      </c>
      <c r="K405" s="763">
        <f>IFERROR(__xludf.DUMMYFUNCTION("""COMPUTED_VALUE"""),42013.0)</f>
        <v>42013</v>
      </c>
      <c r="L405" s="763" t="str">
        <f>IFERROR(__xludf.DUMMYFUNCTION("""COMPUTED_VALUE"""),"Apple Pay")</f>
        <v>Apple Pay</v>
      </c>
      <c r="M405" s="763"/>
      <c r="N405" s="763" t="str">
        <f>IFERROR(__xludf.DUMMYFUNCTION("""COMPUTED_VALUE"""),"65494-1761404400")</f>
        <v>65494-1761404400</v>
      </c>
      <c r="O405" s="763">
        <f>IFERROR(__xludf.DUMMYFUNCTION("""COMPUTED_VALUE"""),0.0)</f>
        <v>0</v>
      </c>
      <c r="P405" s="767">
        <f>IFERROR(__xludf.DUMMYFUNCTION("""COMPUTED_VALUE"""),1.875)</f>
        <v>1.875</v>
      </c>
      <c r="Q405" s="763" t="str">
        <f>IFERROR(__xludf.DUMMYFUNCTION("""COMPUTED_VALUE"""),"EUR")</f>
        <v>EUR</v>
      </c>
      <c r="R405" s="763">
        <f>IFERROR(__xludf.DUMMYFUNCTION("""COMPUTED_VALUE"""),852.0)</f>
        <v>852</v>
      </c>
      <c r="S405" s="763" t="str">
        <f>IFERROR(__xludf.DUMMYFUNCTION("""COMPUTED_VALUE"""),"Workshop Commercial con Timor Steffens - Workshop Commercial con Timor Steffens")</f>
        <v>Workshop Commercial con Timor Steffens - Workshop Commercial con Timor Steffens</v>
      </c>
      <c r="T405" s="763"/>
      <c r="U405" s="763"/>
      <c r="V405" s="763">
        <f>IFERROR(__xludf.DUMMYFUNCTION("""COMPUTED_VALUE"""),1.0)</f>
        <v>1</v>
      </c>
      <c r="W405" s="763">
        <f>IFERROR(__xludf.DUMMYFUNCTION("""COMPUTED_VALUE"""),45.0)</f>
        <v>45</v>
      </c>
      <c r="X405" s="763">
        <f>IFERROR(__xludf.DUMMYFUNCTION("""COMPUTED_VALUE"""),45.0)</f>
        <v>45</v>
      </c>
      <c r="Y405" s="763"/>
      <c r="Z405" s="768" t="str">
        <f>IFERROR(__xludf.DUMMYFUNCTION("""COMPUTED_VALUE"""),"https://studio-gem.it/wp-admin/post.php?post=65494&amp;action=edit")</f>
        <v>https://studio-gem.it/wp-admin/post.php?post=65494&amp;action=edit</v>
      </c>
      <c r="AA405" s="763"/>
      <c r="AB405" s="763"/>
      <c r="AC405" s="763"/>
      <c r="AD405" s="763"/>
      <c r="AE405" s="763"/>
      <c r="AF405" s="763"/>
      <c r="AG405" s="763"/>
      <c r="AH405" s="763"/>
      <c r="AI405" s="763"/>
      <c r="AJ405" s="763"/>
      <c r="AK405" s="763"/>
      <c r="AL405" s="763"/>
      <c r="AM405" s="763"/>
      <c r="AN405" s="763"/>
      <c r="AO405" s="763"/>
      <c r="AP405" s="763"/>
      <c r="AQ405" s="763"/>
      <c r="AR405" s="763"/>
      <c r="AS405" s="763"/>
      <c r="AT405" s="763"/>
      <c r="AU405" s="763"/>
      <c r="AV405" s="763"/>
      <c r="AW405" s="763"/>
      <c r="AX405" s="763"/>
      <c r="AY405" s="763"/>
      <c r="AZ405" s="763"/>
      <c r="BA405" s="763"/>
      <c r="BB405" s="763"/>
      <c r="BC405" s="763"/>
      <c r="BD405" s="763"/>
      <c r="BE405" s="763"/>
      <c r="BF405" s="763"/>
      <c r="BG405" s="763" t="b">
        <f>IFERROR(__xludf.DUMMYFUNCTION("""COMPUTED_VALUE"""),TRUE)</f>
        <v>1</v>
      </c>
      <c r="BH405" s="763" t="b">
        <f>IFERROR(__xludf.DUMMYFUNCTION("""COMPUTED_VALUE"""),FALSE)</f>
        <v>0</v>
      </c>
      <c r="BI405" s="763" t="b">
        <f>IFERROR(__xludf.DUMMYFUNCTION("""COMPUTED_VALUE"""),TRUE)</f>
        <v>1</v>
      </c>
      <c r="BJ405" s="763" t="b">
        <f>IFERROR(__xludf.DUMMYFUNCTION("""COMPUTED_VALUE"""),TRUE)</f>
        <v>1</v>
      </c>
    </row>
    <row r="406">
      <c r="A406" s="763">
        <f>IFERROR(__xludf.DUMMYFUNCTION("""COMPUTED_VALUE"""),65496.0)</f>
        <v>65496</v>
      </c>
      <c r="B406" s="763">
        <f>IFERROR(__xludf.DUMMYFUNCTION("""COMPUTED_VALUE"""),65496.0)</f>
        <v>65496</v>
      </c>
      <c r="C406" s="763" t="str">
        <f>IFERROR(__xludf.DUMMYFUNCTION("""COMPUTED_VALUE"""),"2025-10-25 16:16:09")</f>
        <v>2025-10-25 16:16:09</v>
      </c>
      <c r="D406" s="763" t="str">
        <f>IFERROR(__xludf.DUMMYFUNCTION("""COMPUTED_VALUE"""),"processing")</f>
        <v>processing</v>
      </c>
      <c r="E406" s="763" t="str">
        <f>IFERROR(__xludf.DUMMYFUNCTION("""COMPUTED_VALUE"""),"Angelina")</f>
        <v>Angelina</v>
      </c>
      <c r="F406" s="763" t="str">
        <f>IFERROR(__xludf.DUMMYFUNCTION("""COMPUTED_VALUE"""),"Zarate")</f>
        <v>Zarate</v>
      </c>
      <c r="G406" s="763" t="str">
        <f>IFERROR(__xludf.DUMMYFUNCTION("""COMPUTED_VALUE"""),"angelinagrazer@gmail.com")</f>
        <v>angelinagrazer@gmail.com</v>
      </c>
      <c r="H406" s="763">
        <f>IFERROR(__xludf.DUMMYFUNCTION("""COMPUTED_VALUE"""),3.31223105E9)</f>
        <v>3312231050</v>
      </c>
      <c r="I406" s="763" t="str">
        <f>IFERROR(__xludf.DUMMYFUNCTION("""COMPUTED_VALUE"""),"Milano")</f>
        <v>Milano</v>
      </c>
      <c r="J406" s="763" t="str">
        <f>IFERROR(__xludf.DUMMYFUNCTION("""COMPUTED_VALUE"""),"Via Privata Tina di Lorenzo 9")</f>
        <v>Via Privata Tina di Lorenzo 9</v>
      </c>
      <c r="K406" s="763">
        <f>IFERROR(__xludf.DUMMYFUNCTION("""COMPUTED_VALUE"""),20157.0)</f>
        <v>20157</v>
      </c>
      <c r="L406" s="763" t="str">
        <f>IFERROR(__xludf.DUMMYFUNCTION("""COMPUTED_VALUE"""),"Carte di pagamento")</f>
        <v>Carte di pagamento</v>
      </c>
      <c r="M406" s="763"/>
      <c r="N406" s="763" t="str">
        <f>IFERROR(__xludf.DUMMYFUNCTION("""COMPUTED_VALUE"""),"65496-1761408970")</f>
        <v>65496-1761408970</v>
      </c>
      <c r="O406" s="763">
        <f>IFERROR(__xludf.DUMMYFUNCTION("""COMPUTED_VALUE"""),0.0)</f>
        <v>0</v>
      </c>
      <c r="P406" s="767">
        <f>IFERROR(__xludf.DUMMYFUNCTION("""COMPUTED_VALUE"""),1.875)</f>
        <v>1.875</v>
      </c>
      <c r="Q406" s="763" t="str">
        <f>IFERROR(__xludf.DUMMYFUNCTION("""COMPUTED_VALUE"""),"EUR")</f>
        <v>EUR</v>
      </c>
      <c r="R406" s="763">
        <f>IFERROR(__xludf.DUMMYFUNCTION("""COMPUTED_VALUE"""),853.0)</f>
        <v>853</v>
      </c>
      <c r="S406" s="763" t="str">
        <f>IFERROR(__xludf.DUMMYFUNCTION("""COMPUTED_VALUE"""),"Workshop Commercial con Timor Steffens - Workshop Commercial con Timor Steffens")</f>
        <v>Workshop Commercial con Timor Steffens - Workshop Commercial con Timor Steffens</v>
      </c>
      <c r="T406" s="763"/>
      <c r="U406" s="763"/>
      <c r="V406" s="763">
        <f>IFERROR(__xludf.DUMMYFUNCTION("""COMPUTED_VALUE"""),1.0)</f>
        <v>1</v>
      </c>
      <c r="W406" s="763">
        <f>IFERROR(__xludf.DUMMYFUNCTION("""COMPUTED_VALUE"""),45.0)</f>
        <v>45</v>
      </c>
      <c r="X406" s="763">
        <f>IFERROR(__xludf.DUMMYFUNCTION("""COMPUTED_VALUE"""),45.0)</f>
        <v>45</v>
      </c>
      <c r="Y406" s="763"/>
      <c r="Z406" s="768" t="str">
        <f>IFERROR(__xludf.DUMMYFUNCTION("""COMPUTED_VALUE"""),"https://studio-gem.it/wp-admin/post.php?post=65496&amp;action=edit")</f>
        <v>https://studio-gem.it/wp-admin/post.php?post=65496&amp;action=edit</v>
      </c>
      <c r="AA406" s="763"/>
      <c r="AB406" s="763"/>
      <c r="AC406" s="763"/>
      <c r="AD406" s="763"/>
      <c r="AE406" s="763"/>
      <c r="AF406" s="763"/>
      <c r="AG406" s="763"/>
      <c r="AH406" s="763"/>
      <c r="AI406" s="763"/>
      <c r="AJ406" s="763"/>
      <c r="AK406" s="763"/>
      <c r="AL406" s="763"/>
      <c r="AM406" s="763"/>
      <c r="AN406" s="763"/>
      <c r="AO406" s="763"/>
      <c r="AP406" s="763"/>
      <c r="AQ406" s="763"/>
      <c r="AR406" s="763"/>
      <c r="AS406" s="763"/>
      <c r="AT406" s="763"/>
      <c r="AU406" s="763"/>
      <c r="AV406" s="763"/>
      <c r="AW406" s="763"/>
      <c r="AX406" s="763"/>
      <c r="AY406" s="763"/>
      <c r="AZ406" s="763"/>
      <c r="BA406" s="763"/>
      <c r="BB406" s="763"/>
      <c r="BC406" s="763"/>
      <c r="BD406" s="763"/>
      <c r="BE406" s="763"/>
      <c r="BF406" s="763"/>
      <c r="BG406" s="763" t="b">
        <f>IFERROR(__xludf.DUMMYFUNCTION("""COMPUTED_VALUE"""),TRUE)</f>
        <v>1</v>
      </c>
      <c r="BH406" s="763" t="b">
        <f>IFERROR(__xludf.DUMMYFUNCTION("""COMPUTED_VALUE"""),FALSE)</f>
        <v>0</v>
      </c>
      <c r="BI406" s="763" t="b">
        <f>IFERROR(__xludf.DUMMYFUNCTION("""COMPUTED_VALUE"""),TRUE)</f>
        <v>1</v>
      </c>
      <c r="BJ406" s="763" t="b">
        <f>IFERROR(__xludf.DUMMYFUNCTION("""COMPUTED_VALUE"""),TRUE)</f>
        <v>1</v>
      </c>
    </row>
    <row r="407">
      <c r="A407" s="763">
        <f>IFERROR(__xludf.DUMMYFUNCTION("""COMPUTED_VALUE"""),65497.0)</f>
        <v>65497</v>
      </c>
      <c r="B407" s="763">
        <f>IFERROR(__xludf.DUMMYFUNCTION("""COMPUTED_VALUE"""),65497.0)</f>
        <v>65497</v>
      </c>
      <c r="C407" s="763" t="str">
        <f>IFERROR(__xludf.DUMMYFUNCTION("""COMPUTED_VALUE"""),"2025-10-25 16:39:38")</f>
        <v>2025-10-25 16:39:38</v>
      </c>
      <c r="D407" s="763" t="str">
        <f>IFERROR(__xludf.DUMMYFUNCTION("""COMPUTED_VALUE"""),"completed")</f>
        <v>completed</v>
      </c>
      <c r="E407" s="763" t="str">
        <f>IFERROR(__xludf.DUMMYFUNCTION("""COMPUTED_VALUE"""),"Elisabetta")</f>
        <v>Elisabetta</v>
      </c>
      <c r="F407" s="763" t="str">
        <f>IFERROR(__xludf.DUMMYFUNCTION("""COMPUTED_VALUE"""),"Grottola")</f>
        <v>Grottola</v>
      </c>
      <c r="G407" s="763" t="str">
        <f>IFERROR(__xludf.DUMMYFUNCTION("""COMPUTED_VALUE"""),"grottolapalagiano1998@gmail.com")</f>
        <v>grottolapalagiano1998@gmail.com</v>
      </c>
      <c r="H407" s="763">
        <f>IFERROR(__xludf.DUMMYFUNCTION("""COMPUTED_VALUE"""),3.427445543E9)</f>
        <v>3427445543</v>
      </c>
      <c r="I407" s="763" t="str">
        <f>IFERROR(__xludf.DUMMYFUNCTION("""COMPUTED_VALUE"""),"Milano")</f>
        <v>Milano</v>
      </c>
      <c r="J407" s="763" t="str">
        <f>IFERROR(__xludf.DUMMYFUNCTION("""COMPUTED_VALUE"""),"Via Giovanni Battista Ramusio n 2")</f>
        <v>Via Giovanni Battista Ramusio n 2</v>
      </c>
      <c r="K407" s="763">
        <f>IFERROR(__xludf.DUMMYFUNCTION("""COMPUTED_VALUE"""),20139.0)</f>
        <v>20139</v>
      </c>
      <c r="L407" s="763" t="str">
        <f>IFERROR(__xludf.DUMMYFUNCTION("""COMPUTED_VALUE"""),"Apple Pay")</f>
        <v>Apple Pay</v>
      </c>
      <c r="M407" s="763"/>
      <c r="N407" s="763" t="str">
        <f>IFERROR(__xludf.DUMMYFUNCTION("""COMPUTED_VALUE"""),"65497-1761410379")</f>
        <v>65497-1761410379</v>
      </c>
      <c r="O407" s="763">
        <f>IFERROR(__xludf.DUMMYFUNCTION("""COMPUTED_VALUE"""),0.0)</f>
        <v>0</v>
      </c>
      <c r="P407" s="767">
        <f>IFERROR(__xludf.DUMMYFUNCTION("""COMPUTED_VALUE"""),1.5416666666666667)</f>
        <v>1.541666667</v>
      </c>
      <c r="Q407" s="763" t="str">
        <f>IFERROR(__xludf.DUMMYFUNCTION("""COMPUTED_VALUE"""),"EUR")</f>
        <v>EUR</v>
      </c>
      <c r="R407" s="763">
        <f>IFERROR(__xludf.DUMMYFUNCTION("""COMPUTED_VALUE"""),854.0)</f>
        <v>854</v>
      </c>
      <c r="S407" s="763" t="str">
        <f>IFERROR(__xludf.DUMMYFUNCTION("""COMPUTED_VALUE"""),"Workshop Heels con Lulu Kulova - Workshop Lulu Heels")</f>
        <v>Workshop Heels con Lulu Kulova - Workshop Lulu Heels</v>
      </c>
      <c r="T407" s="763"/>
      <c r="U407" s="763"/>
      <c r="V407" s="763">
        <f>IFERROR(__xludf.DUMMYFUNCTION("""COMPUTED_VALUE"""),1.0)</f>
        <v>1</v>
      </c>
      <c r="W407" s="763">
        <f>IFERROR(__xludf.DUMMYFUNCTION("""COMPUTED_VALUE"""),37.0)</f>
        <v>37</v>
      </c>
      <c r="X407" s="763">
        <f>IFERROR(__xludf.DUMMYFUNCTION("""COMPUTED_VALUE"""),37.0)</f>
        <v>37</v>
      </c>
      <c r="Y407" s="763"/>
      <c r="Z407" s="768" t="str">
        <f>IFERROR(__xludf.DUMMYFUNCTION("""COMPUTED_VALUE"""),"https://studio-gem.it/wp-admin/post.php?post=65497&amp;action=edit")</f>
        <v>https://studio-gem.it/wp-admin/post.php?post=65497&amp;action=edit</v>
      </c>
      <c r="AA407" s="763"/>
      <c r="AB407" s="763"/>
      <c r="AC407" s="763"/>
      <c r="AD407" s="763"/>
      <c r="AE407" s="763"/>
      <c r="AF407" s="763"/>
      <c r="AG407" s="763"/>
      <c r="AH407" s="763"/>
      <c r="AI407" s="763"/>
      <c r="AJ407" s="763"/>
      <c r="AK407" s="763"/>
      <c r="AL407" s="763"/>
      <c r="AM407" s="763"/>
      <c r="AN407" s="763"/>
      <c r="AO407" s="763"/>
      <c r="AP407" s="763"/>
      <c r="AQ407" s="763"/>
      <c r="AR407" s="763"/>
      <c r="AS407" s="763"/>
      <c r="AT407" s="763"/>
      <c r="AU407" s="763"/>
      <c r="AV407" s="763"/>
      <c r="AW407" s="763"/>
      <c r="AX407" s="763"/>
      <c r="AY407" s="763"/>
      <c r="AZ407" s="763"/>
      <c r="BA407" s="763"/>
      <c r="BB407" s="763"/>
      <c r="BC407" s="763"/>
      <c r="BD407" s="763"/>
      <c r="BE407" s="763"/>
      <c r="BF407" s="763"/>
      <c r="BG407" s="763" t="b">
        <f>IFERROR(__xludf.DUMMYFUNCTION("""COMPUTED_VALUE"""),TRUE)</f>
        <v>1</v>
      </c>
      <c r="BH407" s="763" t="b">
        <f>IFERROR(__xludf.DUMMYFUNCTION("""COMPUTED_VALUE"""),FALSE)</f>
        <v>0</v>
      </c>
      <c r="BI407" s="763" t="b">
        <f>IFERROR(__xludf.DUMMYFUNCTION("""COMPUTED_VALUE"""),TRUE)</f>
        <v>1</v>
      </c>
      <c r="BJ407" s="763" t="b">
        <f>IFERROR(__xludf.DUMMYFUNCTION("""COMPUTED_VALUE"""),TRUE)</f>
        <v>1</v>
      </c>
    </row>
    <row r="408">
      <c r="A408" s="763">
        <f>IFERROR(__xludf.DUMMYFUNCTION("""COMPUTED_VALUE"""),65499.0)</f>
        <v>65499</v>
      </c>
      <c r="B408" s="763">
        <f>IFERROR(__xludf.DUMMYFUNCTION("""COMPUTED_VALUE"""),65499.0)</f>
        <v>65499</v>
      </c>
      <c r="C408" s="763" t="str">
        <f>IFERROR(__xludf.DUMMYFUNCTION("""COMPUTED_VALUE"""),"2025-10-25 17:00:32")</f>
        <v>2025-10-25 17:00:32</v>
      </c>
      <c r="D408" s="763" t="str">
        <f>IFERROR(__xludf.DUMMYFUNCTION("""COMPUTED_VALUE"""),"completed")</f>
        <v>completed</v>
      </c>
      <c r="E408" s="763" t="str">
        <f>IFERROR(__xludf.DUMMYFUNCTION("""COMPUTED_VALUE"""),"Francesca")</f>
        <v>Francesca</v>
      </c>
      <c r="F408" s="763" t="str">
        <f>IFERROR(__xludf.DUMMYFUNCTION("""COMPUTED_VALUE"""),"Pini")</f>
        <v>Pini</v>
      </c>
      <c r="G408" s="763" t="str">
        <f>IFERROR(__xludf.DUMMYFUNCTION("""COMPUTED_VALUE"""),"francesca.pini303@gmail.com")</f>
        <v>francesca.pini303@gmail.com</v>
      </c>
      <c r="H408" s="763">
        <f>IFERROR(__xludf.DUMMYFUNCTION("""COMPUTED_VALUE"""),3.496136343E9)</f>
        <v>3496136343</v>
      </c>
      <c r="I408" s="763" t="str">
        <f>IFERROR(__xludf.DUMMYFUNCTION("""COMPUTED_VALUE"""),"Milano")</f>
        <v>Milano</v>
      </c>
      <c r="J408" s="763" t="str">
        <f>IFERROR(__xludf.DUMMYFUNCTION("""COMPUTED_VALUE"""),"Via Principe Eugenio 23")</f>
        <v>Via Principe Eugenio 23</v>
      </c>
      <c r="K408" s="763">
        <f>IFERROR(__xludf.DUMMYFUNCTION("""COMPUTED_VALUE"""),20155.0)</f>
        <v>20155</v>
      </c>
      <c r="L408" s="763" t="str">
        <f>IFERROR(__xludf.DUMMYFUNCTION("""COMPUTED_VALUE"""),"Apple Pay")</f>
        <v>Apple Pay</v>
      </c>
      <c r="M408" s="763"/>
      <c r="N408" s="763" t="str">
        <f>IFERROR(__xludf.DUMMYFUNCTION("""COMPUTED_VALUE"""),"65499-1761411633")</f>
        <v>65499-1761411633</v>
      </c>
      <c r="O408" s="763">
        <f>IFERROR(__xludf.DUMMYFUNCTION("""COMPUTED_VALUE"""),0.0)</f>
        <v>0</v>
      </c>
      <c r="P408" s="767">
        <f>IFERROR(__xludf.DUMMYFUNCTION("""COMPUTED_VALUE"""),3.0833333333333335)</f>
        <v>3.083333333</v>
      </c>
      <c r="Q408" s="763" t="str">
        <f>IFERROR(__xludf.DUMMYFUNCTION("""COMPUTED_VALUE"""),"EUR")</f>
        <v>EUR</v>
      </c>
      <c r="R408" s="763">
        <f>IFERROR(__xludf.DUMMYFUNCTION("""COMPUTED_VALUE"""),855.0)</f>
        <v>855</v>
      </c>
      <c r="S408" s="763" t="str">
        <f>IFERROR(__xludf.DUMMYFUNCTION("""COMPUTED_VALUE"""),"Workshop Urban con Kumo - Workshop Kumo Urban")</f>
        <v>Workshop Urban con Kumo - Workshop Kumo Urban</v>
      </c>
      <c r="T408" s="763"/>
      <c r="U408" s="763"/>
      <c r="V408" s="763">
        <f>IFERROR(__xludf.DUMMYFUNCTION("""COMPUTED_VALUE"""),2.0)</f>
        <v>2</v>
      </c>
      <c r="W408" s="763">
        <f>IFERROR(__xludf.DUMMYFUNCTION("""COMPUTED_VALUE"""),37.0)</f>
        <v>37</v>
      </c>
      <c r="X408" s="763">
        <f>IFERROR(__xludf.DUMMYFUNCTION("""COMPUTED_VALUE"""),74.0)</f>
        <v>74</v>
      </c>
      <c r="Y408" s="763"/>
      <c r="Z408" s="768" t="str">
        <f>IFERROR(__xludf.DUMMYFUNCTION("""COMPUTED_VALUE"""),"https://studio-gem.it/wp-admin/post.php?post=65499&amp;action=edit")</f>
        <v>https://studio-gem.it/wp-admin/post.php?post=65499&amp;action=edit</v>
      </c>
      <c r="AA408" s="763"/>
      <c r="AB408" s="763"/>
      <c r="AC408" s="763"/>
      <c r="AD408" s="763"/>
      <c r="AE408" s="763"/>
      <c r="AF408" s="763"/>
      <c r="AG408" s="763"/>
      <c r="AH408" s="763"/>
      <c r="AI408" s="763"/>
      <c r="AJ408" s="763"/>
      <c r="AK408" s="763"/>
      <c r="AL408" s="763"/>
      <c r="AM408" s="763"/>
      <c r="AN408" s="763"/>
      <c r="AO408" s="763"/>
      <c r="AP408" s="763"/>
      <c r="AQ408" s="763"/>
      <c r="AR408" s="763"/>
      <c r="AS408" s="763"/>
      <c r="AT408" s="763"/>
      <c r="AU408" s="763"/>
      <c r="AV408" s="763"/>
      <c r="AW408" s="763"/>
      <c r="AX408" s="763"/>
      <c r="AY408" s="763"/>
      <c r="AZ408" s="763"/>
      <c r="BA408" s="763"/>
      <c r="BB408" s="763"/>
      <c r="BC408" s="763"/>
      <c r="BD408" s="763"/>
      <c r="BE408" s="763"/>
      <c r="BF408" s="763"/>
      <c r="BG408" s="763" t="b">
        <f>IFERROR(__xludf.DUMMYFUNCTION("""COMPUTED_VALUE"""),TRUE)</f>
        <v>1</v>
      </c>
      <c r="BH408" s="763" t="b">
        <f>IFERROR(__xludf.DUMMYFUNCTION("""COMPUTED_VALUE"""),FALSE)</f>
        <v>0</v>
      </c>
      <c r="BI408" s="763" t="b">
        <f>IFERROR(__xludf.DUMMYFUNCTION("""COMPUTED_VALUE"""),TRUE)</f>
        <v>1</v>
      </c>
      <c r="BJ408" s="763" t="b">
        <f>IFERROR(__xludf.DUMMYFUNCTION("""COMPUTED_VALUE"""),TRUE)</f>
        <v>1</v>
      </c>
    </row>
    <row r="409">
      <c r="A409" s="763">
        <f>IFERROR(__xludf.DUMMYFUNCTION("""COMPUTED_VALUE"""),65501.0)</f>
        <v>65501</v>
      </c>
      <c r="B409" s="763">
        <f>IFERROR(__xludf.DUMMYFUNCTION("""COMPUTED_VALUE"""),65501.0)</f>
        <v>65501</v>
      </c>
      <c r="C409" s="763" t="str">
        <f>IFERROR(__xludf.DUMMYFUNCTION("""COMPUTED_VALUE"""),"2025-10-25 18:07:39")</f>
        <v>2025-10-25 18:07:39</v>
      </c>
      <c r="D409" s="763" t="str">
        <f>IFERROR(__xludf.DUMMYFUNCTION("""COMPUTED_VALUE"""),"completed")</f>
        <v>completed</v>
      </c>
      <c r="E409" s="763" t="str">
        <f>IFERROR(__xludf.DUMMYFUNCTION("""COMPUTED_VALUE"""),"Silvia")</f>
        <v>Silvia</v>
      </c>
      <c r="F409" s="763" t="str">
        <f>IFERROR(__xludf.DUMMYFUNCTION("""COMPUTED_VALUE"""),"Barberini")</f>
        <v>Barberini</v>
      </c>
      <c r="G409" s="763" t="str">
        <f>IFERROR(__xludf.DUMMYFUNCTION("""COMPUTED_VALUE"""),"nutty1996@gmail.com")</f>
        <v>nutty1996@gmail.com</v>
      </c>
      <c r="H409" s="763">
        <f>IFERROR(__xludf.DUMMYFUNCTION("""COMPUTED_VALUE"""),3.347449735E9)</f>
        <v>3347449735</v>
      </c>
      <c r="I409" s="763" t="str">
        <f>IFERROR(__xludf.DUMMYFUNCTION("""COMPUTED_VALUE"""),"Milano")</f>
        <v>Milano</v>
      </c>
      <c r="J409" s="763" t="str">
        <f>IFERROR(__xludf.DUMMYFUNCTION("""COMPUTED_VALUE"""),"Via Erice 8/I")</f>
        <v>Via Erice 8/I</v>
      </c>
      <c r="K409" s="763">
        <f>IFERROR(__xludf.DUMMYFUNCTION("""COMPUTED_VALUE"""),20141.0)</f>
        <v>20141</v>
      </c>
      <c r="L409" s="763" t="str">
        <f>IFERROR(__xludf.DUMMYFUNCTION("""COMPUTED_VALUE"""),"Apple Pay")</f>
        <v>Apple Pay</v>
      </c>
      <c r="M409" s="763"/>
      <c r="N409" s="763" t="str">
        <f>IFERROR(__xludf.DUMMYFUNCTION("""COMPUTED_VALUE"""),"65501-1761415661")</f>
        <v>65501-1761415661</v>
      </c>
      <c r="O409" s="763">
        <f>IFERROR(__xludf.DUMMYFUNCTION("""COMPUTED_VALUE"""),0.0)</f>
        <v>0</v>
      </c>
      <c r="P409" s="767">
        <f>IFERROR(__xludf.DUMMYFUNCTION("""COMPUTED_VALUE"""),1.875)</f>
        <v>1.875</v>
      </c>
      <c r="Q409" s="763" t="str">
        <f>IFERROR(__xludf.DUMMYFUNCTION("""COMPUTED_VALUE"""),"EUR")</f>
        <v>EUR</v>
      </c>
      <c r="R409" s="763">
        <f>IFERROR(__xludf.DUMMYFUNCTION("""COMPUTED_VALUE"""),856.0)</f>
        <v>856</v>
      </c>
      <c r="S409" s="763" t="str">
        <f>IFERROR(__xludf.DUMMYFUNCTION("""COMPUTED_VALUE"""),"Workshop Commercial con Timor Steffens - Workshop Commercial con Timor Steffens")</f>
        <v>Workshop Commercial con Timor Steffens - Workshop Commercial con Timor Steffens</v>
      </c>
      <c r="T409" s="763"/>
      <c r="U409" s="763"/>
      <c r="V409" s="763">
        <f>IFERROR(__xludf.DUMMYFUNCTION("""COMPUTED_VALUE"""),1.0)</f>
        <v>1</v>
      </c>
      <c r="W409" s="763">
        <f>IFERROR(__xludf.DUMMYFUNCTION("""COMPUTED_VALUE"""),45.0)</f>
        <v>45</v>
      </c>
      <c r="X409" s="763">
        <f>IFERROR(__xludf.DUMMYFUNCTION("""COMPUTED_VALUE"""),45.0)</f>
        <v>45</v>
      </c>
      <c r="Y409" s="763"/>
      <c r="Z409" s="768" t="str">
        <f>IFERROR(__xludf.DUMMYFUNCTION("""COMPUTED_VALUE"""),"https://studio-gem.it/wp-admin/post.php?post=65501&amp;action=edit")</f>
        <v>https://studio-gem.it/wp-admin/post.php?post=65501&amp;action=edit</v>
      </c>
      <c r="AA409" s="763"/>
      <c r="AB409" s="763"/>
      <c r="AC409" s="763"/>
      <c r="AD409" s="763"/>
      <c r="AE409" s="763"/>
      <c r="AF409" s="763"/>
      <c r="AG409" s="763"/>
      <c r="AH409" s="763"/>
      <c r="AI409" s="763"/>
      <c r="AJ409" s="763"/>
      <c r="AK409" s="763"/>
      <c r="AL409" s="763"/>
      <c r="AM409" s="763"/>
      <c r="AN409" s="763"/>
      <c r="AO409" s="763"/>
      <c r="AP409" s="763"/>
      <c r="AQ409" s="763"/>
      <c r="AR409" s="763"/>
      <c r="AS409" s="763"/>
      <c r="AT409" s="763"/>
      <c r="AU409" s="763"/>
      <c r="AV409" s="763"/>
      <c r="AW409" s="763"/>
      <c r="AX409" s="763"/>
      <c r="AY409" s="763"/>
      <c r="AZ409" s="763"/>
      <c r="BA409" s="763"/>
      <c r="BB409" s="763"/>
      <c r="BC409" s="763"/>
      <c r="BD409" s="763"/>
      <c r="BE409" s="763"/>
      <c r="BF409" s="763"/>
      <c r="BG409" s="763" t="b">
        <f>IFERROR(__xludf.DUMMYFUNCTION("""COMPUTED_VALUE"""),TRUE)</f>
        <v>1</v>
      </c>
      <c r="BH409" s="763" t="b">
        <f>IFERROR(__xludf.DUMMYFUNCTION("""COMPUTED_VALUE"""),FALSE)</f>
        <v>0</v>
      </c>
      <c r="BI409" s="763" t="b">
        <f>IFERROR(__xludf.DUMMYFUNCTION("""COMPUTED_VALUE"""),TRUE)</f>
        <v>1</v>
      </c>
      <c r="BJ409" s="763" t="b">
        <f>IFERROR(__xludf.DUMMYFUNCTION("""COMPUTED_VALUE"""),TRUE)</f>
        <v>1</v>
      </c>
    </row>
    <row r="410">
      <c r="A410" s="763">
        <f>IFERROR(__xludf.DUMMYFUNCTION("""COMPUTED_VALUE"""),65503.0)</f>
        <v>65503</v>
      </c>
      <c r="B410" s="763">
        <f>IFERROR(__xludf.DUMMYFUNCTION("""COMPUTED_VALUE"""),65503.0)</f>
        <v>65503</v>
      </c>
      <c r="C410" s="763" t="str">
        <f>IFERROR(__xludf.DUMMYFUNCTION("""COMPUTED_VALUE"""),"2025-10-25 18:35:23")</f>
        <v>2025-10-25 18:35:23</v>
      </c>
      <c r="D410" s="763" t="str">
        <f>IFERROR(__xludf.DUMMYFUNCTION("""COMPUTED_VALUE"""),"completed")</f>
        <v>completed</v>
      </c>
      <c r="E410" s="763" t="str">
        <f>IFERROR(__xludf.DUMMYFUNCTION("""COMPUTED_VALUE"""),"Giulia")</f>
        <v>Giulia</v>
      </c>
      <c r="F410" s="763" t="str">
        <f>IFERROR(__xludf.DUMMYFUNCTION("""COMPUTED_VALUE"""),"Lombardi")</f>
        <v>Lombardi</v>
      </c>
      <c r="G410" s="763" t="str">
        <f>IFERROR(__xludf.DUMMYFUNCTION("""COMPUTED_VALUE"""),"giulia.lombardi@icloud.com")</f>
        <v>giulia.lombardi@icloud.com</v>
      </c>
      <c r="H410" s="763">
        <f>IFERROR(__xludf.DUMMYFUNCTION("""COMPUTED_VALUE"""),3.291548555E9)</f>
        <v>3291548555</v>
      </c>
      <c r="I410" s="763" t="str">
        <f>IFERROR(__xludf.DUMMYFUNCTION("""COMPUTED_VALUE"""),"Milano")</f>
        <v>Milano</v>
      </c>
      <c r="J410" s="763" t="str">
        <f>IFERROR(__xludf.DUMMYFUNCTION("""COMPUTED_VALUE"""),"Via Gaspare Aselli 14")</f>
        <v>Via Gaspare Aselli 14</v>
      </c>
      <c r="K410" s="763">
        <f>IFERROR(__xludf.DUMMYFUNCTION("""COMPUTED_VALUE"""),20133.0)</f>
        <v>20133</v>
      </c>
      <c r="L410" s="763" t="str">
        <f>IFERROR(__xludf.DUMMYFUNCTION("""COMPUTED_VALUE"""),"Satispay")</f>
        <v>Satispay</v>
      </c>
      <c r="M410" s="763"/>
      <c r="N410" s="763" t="str">
        <f>IFERROR(__xludf.DUMMYFUNCTION("""COMPUTED_VALUE"""),"019a1ca7-63e3-7fa6-865e-06f95cbad460")</f>
        <v>019a1ca7-63e3-7fa6-865e-06f95cbad460</v>
      </c>
      <c r="O410" s="763">
        <f>IFERROR(__xludf.DUMMYFUNCTION("""COMPUTED_VALUE"""),0.0)</f>
        <v>0</v>
      </c>
      <c r="P410" s="767">
        <f>IFERROR(__xludf.DUMMYFUNCTION("""COMPUTED_VALUE"""),1.875)</f>
        <v>1.875</v>
      </c>
      <c r="Q410" s="763" t="str">
        <f>IFERROR(__xludf.DUMMYFUNCTION("""COMPUTED_VALUE"""),"EUR")</f>
        <v>EUR</v>
      </c>
      <c r="R410" s="763">
        <f>IFERROR(__xludf.DUMMYFUNCTION("""COMPUTED_VALUE"""),857.0)</f>
        <v>857</v>
      </c>
      <c r="S410" s="763" t="str">
        <f>IFERROR(__xludf.DUMMYFUNCTION("""COMPUTED_VALUE"""),"Workshop Commercial con Timor Steffens - Workshop Commercial con Timor Steffens")</f>
        <v>Workshop Commercial con Timor Steffens - Workshop Commercial con Timor Steffens</v>
      </c>
      <c r="T410" s="763"/>
      <c r="U410" s="763"/>
      <c r="V410" s="763">
        <f>IFERROR(__xludf.DUMMYFUNCTION("""COMPUTED_VALUE"""),1.0)</f>
        <v>1</v>
      </c>
      <c r="W410" s="763">
        <f>IFERROR(__xludf.DUMMYFUNCTION("""COMPUTED_VALUE"""),45.0)</f>
        <v>45</v>
      </c>
      <c r="X410" s="763">
        <f>IFERROR(__xludf.DUMMYFUNCTION("""COMPUTED_VALUE"""),45.0)</f>
        <v>45</v>
      </c>
      <c r="Y410" s="763"/>
      <c r="Z410" s="768" t="str">
        <f>IFERROR(__xludf.DUMMYFUNCTION("""COMPUTED_VALUE"""),"https://studio-gem.it/wp-admin/post.php?post=65503&amp;action=edit")</f>
        <v>https://studio-gem.it/wp-admin/post.php?post=65503&amp;action=edit</v>
      </c>
      <c r="AA410" s="763"/>
      <c r="AB410" s="763"/>
      <c r="AC410" s="763"/>
      <c r="AD410" s="763"/>
      <c r="AE410" s="763"/>
      <c r="AF410" s="763"/>
      <c r="AG410" s="763"/>
      <c r="AH410" s="763"/>
      <c r="AI410" s="763"/>
      <c r="AJ410" s="763"/>
      <c r="AK410" s="763"/>
      <c r="AL410" s="763"/>
      <c r="AM410" s="763"/>
      <c r="AN410" s="763"/>
      <c r="AO410" s="763"/>
      <c r="AP410" s="763"/>
      <c r="AQ410" s="763"/>
      <c r="AR410" s="763"/>
      <c r="AS410" s="763"/>
      <c r="AT410" s="763"/>
      <c r="AU410" s="763"/>
      <c r="AV410" s="763"/>
      <c r="AW410" s="763"/>
      <c r="AX410" s="763"/>
      <c r="AY410" s="763"/>
      <c r="AZ410" s="763"/>
      <c r="BA410" s="763"/>
      <c r="BB410" s="763"/>
      <c r="BC410" s="763"/>
      <c r="BD410" s="763"/>
      <c r="BE410" s="763"/>
      <c r="BF410" s="763"/>
      <c r="BG410" s="763" t="b">
        <f>IFERROR(__xludf.DUMMYFUNCTION("""COMPUTED_VALUE"""),TRUE)</f>
        <v>1</v>
      </c>
      <c r="BH410" s="763" t="b">
        <f>IFERROR(__xludf.DUMMYFUNCTION("""COMPUTED_VALUE"""),FALSE)</f>
        <v>0</v>
      </c>
      <c r="BI410" s="763" t="b">
        <f>IFERROR(__xludf.DUMMYFUNCTION("""COMPUTED_VALUE"""),TRUE)</f>
        <v>1</v>
      </c>
      <c r="BJ410" s="763" t="b">
        <f>IFERROR(__xludf.DUMMYFUNCTION("""COMPUTED_VALUE"""),TRUE)</f>
        <v>1</v>
      </c>
    </row>
    <row r="411">
      <c r="A411" s="763">
        <f>IFERROR(__xludf.DUMMYFUNCTION("""COMPUTED_VALUE"""),65505.0)</f>
        <v>65505</v>
      </c>
      <c r="B411" s="763">
        <f>IFERROR(__xludf.DUMMYFUNCTION("""COMPUTED_VALUE"""),65505.0)</f>
        <v>65505</v>
      </c>
      <c r="C411" s="763" t="str">
        <f>IFERROR(__xludf.DUMMYFUNCTION("""COMPUTED_VALUE"""),"2025-10-26 07:57:57")</f>
        <v>2025-10-26 07:57:57</v>
      </c>
      <c r="D411" s="763" t="str">
        <f>IFERROR(__xludf.DUMMYFUNCTION("""COMPUTED_VALUE"""),"completed")</f>
        <v>completed</v>
      </c>
      <c r="E411" s="763" t="str">
        <f>IFERROR(__xludf.DUMMYFUNCTION("""COMPUTED_VALUE"""),"Heidy")</f>
        <v>Heidy</v>
      </c>
      <c r="F411" s="763" t="str">
        <f>IFERROR(__xludf.DUMMYFUNCTION("""COMPUTED_VALUE"""),"Rodrigues")</f>
        <v>Rodrigues</v>
      </c>
      <c r="G411" s="763" t="str">
        <f>IFERROR(__xludf.DUMMYFUNCTION("""COMPUTED_VALUE"""),"heidy.92@hotmail.it")</f>
        <v>heidy.92@hotmail.it</v>
      </c>
      <c r="H411" s="763">
        <f>IFERROR(__xludf.DUMMYFUNCTION("""COMPUTED_VALUE"""),3.456922361E9)</f>
        <v>3456922361</v>
      </c>
      <c r="I411" s="763" t="str">
        <f>IFERROR(__xludf.DUMMYFUNCTION("""COMPUTED_VALUE"""),"Genova")</f>
        <v>Genova</v>
      </c>
      <c r="J411" s="763" t="str">
        <f>IFERROR(__xludf.DUMMYFUNCTION("""COMPUTED_VALUE"""),"Via Bobbio 9a")</f>
        <v>Via Bobbio 9a</v>
      </c>
      <c r="K411" s="763">
        <f>IFERROR(__xludf.DUMMYFUNCTION("""COMPUTED_VALUE"""),16137.0)</f>
        <v>16137</v>
      </c>
      <c r="L411" s="763" t="str">
        <f>IFERROR(__xludf.DUMMYFUNCTION("""COMPUTED_VALUE"""),"Apple Pay")</f>
        <v>Apple Pay</v>
      </c>
      <c r="M411" s="763"/>
      <c r="N411" s="763" t="str">
        <f>IFERROR(__xludf.DUMMYFUNCTION("""COMPUTED_VALUE"""),"65505-1761465478")</f>
        <v>65505-1761465478</v>
      </c>
      <c r="O411" s="763">
        <f>IFERROR(__xludf.DUMMYFUNCTION("""COMPUTED_VALUE"""),0.0)</f>
        <v>0</v>
      </c>
      <c r="P411" s="767">
        <f>IFERROR(__xludf.DUMMYFUNCTION("""COMPUTED_VALUE"""),1.875)</f>
        <v>1.875</v>
      </c>
      <c r="Q411" s="763" t="str">
        <f>IFERROR(__xludf.DUMMYFUNCTION("""COMPUTED_VALUE"""),"EUR")</f>
        <v>EUR</v>
      </c>
      <c r="R411" s="763">
        <f>IFERROR(__xludf.DUMMYFUNCTION("""COMPUTED_VALUE"""),858.0)</f>
        <v>858</v>
      </c>
      <c r="S411" s="763" t="str">
        <f>IFERROR(__xludf.DUMMYFUNCTION("""COMPUTED_VALUE"""),"Workshop Commercial con Timor Steffens - Workshop Commercial con Timor Steffens")</f>
        <v>Workshop Commercial con Timor Steffens - Workshop Commercial con Timor Steffens</v>
      </c>
      <c r="T411" s="763"/>
      <c r="U411" s="763"/>
      <c r="V411" s="763">
        <f>IFERROR(__xludf.DUMMYFUNCTION("""COMPUTED_VALUE"""),1.0)</f>
        <v>1</v>
      </c>
      <c r="W411" s="763">
        <f>IFERROR(__xludf.DUMMYFUNCTION("""COMPUTED_VALUE"""),45.0)</f>
        <v>45</v>
      </c>
      <c r="X411" s="763">
        <f>IFERROR(__xludf.DUMMYFUNCTION("""COMPUTED_VALUE"""),45.0)</f>
        <v>45</v>
      </c>
      <c r="Y411" s="763"/>
      <c r="Z411" s="768" t="str">
        <f>IFERROR(__xludf.DUMMYFUNCTION("""COMPUTED_VALUE"""),"https://studio-gem.it/wp-admin/post.php?post=65505&amp;action=edit")</f>
        <v>https://studio-gem.it/wp-admin/post.php?post=65505&amp;action=edit</v>
      </c>
      <c r="AA411" s="763"/>
      <c r="AB411" s="763"/>
      <c r="AC411" s="763"/>
      <c r="AD411" s="763"/>
      <c r="AE411" s="763"/>
      <c r="AF411" s="763"/>
      <c r="AG411" s="763"/>
      <c r="AH411" s="763"/>
      <c r="AI411" s="763"/>
      <c r="AJ411" s="763"/>
      <c r="AK411" s="763"/>
      <c r="AL411" s="763"/>
      <c r="AM411" s="763"/>
      <c r="AN411" s="763"/>
      <c r="AO411" s="763"/>
      <c r="AP411" s="763"/>
      <c r="AQ411" s="763"/>
      <c r="AR411" s="763"/>
      <c r="AS411" s="763"/>
      <c r="AT411" s="763"/>
      <c r="AU411" s="763"/>
      <c r="AV411" s="763"/>
      <c r="AW411" s="763"/>
      <c r="AX411" s="763"/>
      <c r="AY411" s="763"/>
      <c r="AZ411" s="763"/>
      <c r="BA411" s="763"/>
      <c r="BB411" s="763"/>
      <c r="BC411" s="763"/>
      <c r="BD411" s="763"/>
      <c r="BE411" s="763"/>
      <c r="BF411" s="763"/>
      <c r="BG411" s="763" t="b">
        <f>IFERROR(__xludf.DUMMYFUNCTION("""COMPUTED_VALUE"""),TRUE)</f>
        <v>1</v>
      </c>
      <c r="BH411" s="763" t="b">
        <f>IFERROR(__xludf.DUMMYFUNCTION("""COMPUTED_VALUE"""),FALSE)</f>
        <v>0</v>
      </c>
      <c r="BI411" s="763" t="b">
        <f>IFERROR(__xludf.DUMMYFUNCTION("""COMPUTED_VALUE"""),TRUE)</f>
        <v>1</v>
      </c>
      <c r="BJ411" s="763" t="b">
        <f>IFERROR(__xludf.DUMMYFUNCTION("""COMPUTED_VALUE"""),TRUE)</f>
        <v>1</v>
      </c>
    </row>
    <row r="412">
      <c r="A412" s="763">
        <f>IFERROR(__xludf.DUMMYFUNCTION("""COMPUTED_VALUE"""),65507.0)</f>
        <v>65507</v>
      </c>
      <c r="B412" s="763">
        <f>IFERROR(__xludf.DUMMYFUNCTION("""COMPUTED_VALUE"""),65507.0)</f>
        <v>65507</v>
      </c>
      <c r="C412" s="763" t="str">
        <f>IFERROR(__xludf.DUMMYFUNCTION("""COMPUTED_VALUE"""),"2025-10-26 08:11:06")</f>
        <v>2025-10-26 08:11:06</v>
      </c>
      <c r="D412" s="763" t="str">
        <f>IFERROR(__xludf.DUMMYFUNCTION("""COMPUTED_VALUE"""),"completed")</f>
        <v>completed</v>
      </c>
      <c r="E412" s="763" t="str">
        <f>IFERROR(__xludf.DUMMYFUNCTION("""COMPUTED_VALUE"""),"Elena")</f>
        <v>Elena</v>
      </c>
      <c r="F412" s="763" t="str">
        <f>IFERROR(__xludf.DUMMYFUNCTION("""COMPUTED_VALUE"""),"Leroux")</f>
        <v>Leroux</v>
      </c>
      <c r="G412" s="763" t="str">
        <f>IFERROR(__xludf.DUMMYFUNCTION("""COMPUTED_VALUE"""),"elenalerouxgon@gmail.com")</f>
        <v>elenalerouxgon@gmail.com</v>
      </c>
      <c r="H412" s="763">
        <f>IFERROR(__xludf.DUMMYFUNCTION("""COMPUTED_VALUE"""),8.492824055E9)</f>
        <v>8492824055</v>
      </c>
      <c r="I412" s="763" t="str">
        <f>IFERROR(__xludf.DUMMYFUNCTION("""COMPUTED_VALUE"""),"Milan")</f>
        <v>Milan</v>
      </c>
      <c r="J412" s="763" t="str">
        <f>IFERROR(__xludf.DUMMYFUNCTION("""COMPUTED_VALUE"""),"Corso di Porta Vittoria 56")</f>
        <v>Corso di Porta Vittoria 56</v>
      </c>
      <c r="K412" s="763">
        <f>IFERROR(__xludf.DUMMYFUNCTION("""COMPUTED_VALUE"""),20122.0)</f>
        <v>20122</v>
      </c>
      <c r="L412" s="763" t="str">
        <f>IFERROR(__xludf.DUMMYFUNCTION("""COMPUTED_VALUE"""),"Carte di pagamento")</f>
        <v>Carte di pagamento</v>
      </c>
      <c r="M412" s="763"/>
      <c r="N412" s="763" t="str">
        <f>IFERROR(__xludf.DUMMYFUNCTION("""COMPUTED_VALUE"""),"65507-1761466268")</f>
        <v>65507-1761466268</v>
      </c>
      <c r="O412" s="763">
        <f>IFERROR(__xludf.DUMMYFUNCTION("""COMPUTED_VALUE"""),0.0)</f>
        <v>0</v>
      </c>
      <c r="P412" s="767">
        <f>IFERROR(__xludf.DUMMYFUNCTION("""COMPUTED_VALUE"""),1.875)</f>
        <v>1.875</v>
      </c>
      <c r="Q412" s="763" t="str">
        <f>IFERROR(__xludf.DUMMYFUNCTION("""COMPUTED_VALUE"""),"EUR")</f>
        <v>EUR</v>
      </c>
      <c r="R412" s="763">
        <f>IFERROR(__xludf.DUMMYFUNCTION("""COMPUTED_VALUE"""),859.0)</f>
        <v>859</v>
      </c>
      <c r="S412" s="763" t="str">
        <f>IFERROR(__xludf.DUMMYFUNCTION("""COMPUTED_VALUE"""),"Workshop Commercial con Timor Steffens - Workshop Commercial con Timor Steffens")</f>
        <v>Workshop Commercial con Timor Steffens - Workshop Commercial con Timor Steffens</v>
      </c>
      <c r="T412" s="763"/>
      <c r="U412" s="763"/>
      <c r="V412" s="763">
        <f>IFERROR(__xludf.DUMMYFUNCTION("""COMPUTED_VALUE"""),1.0)</f>
        <v>1</v>
      </c>
      <c r="W412" s="763">
        <f>IFERROR(__xludf.DUMMYFUNCTION("""COMPUTED_VALUE"""),45.0)</f>
        <v>45</v>
      </c>
      <c r="X412" s="763">
        <f>IFERROR(__xludf.DUMMYFUNCTION("""COMPUTED_VALUE"""),45.0)</f>
        <v>45</v>
      </c>
      <c r="Y412" s="763"/>
      <c r="Z412" s="768" t="str">
        <f>IFERROR(__xludf.DUMMYFUNCTION("""COMPUTED_VALUE"""),"https://studio-gem.it/wp-admin/post.php?post=65507&amp;action=edit")</f>
        <v>https://studio-gem.it/wp-admin/post.php?post=65507&amp;action=edit</v>
      </c>
      <c r="AA412" s="763"/>
      <c r="AB412" s="763"/>
      <c r="AC412" s="763"/>
      <c r="AD412" s="763"/>
      <c r="AE412" s="763"/>
      <c r="AF412" s="763"/>
      <c r="AG412" s="763"/>
      <c r="AH412" s="763"/>
      <c r="AI412" s="763"/>
      <c r="AJ412" s="763"/>
      <c r="AK412" s="763"/>
      <c r="AL412" s="763"/>
      <c r="AM412" s="763"/>
      <c r="AN412" s="763"/>
      <c r="AO412" s="763"/>
      <c r="AP412" s="763"/>
      <c r="AQ412" s="763"/>
      <c r="AR412" s="763"/>
      <c r="AS412" s="763"/>
      <c r="AT412" s="763"/>
      <c r="AU412" s="763"/>
      <c r="AV412" s="763"/>
      <c r="AW412" s="763"/>
      <c r="AX412" s="763"/>
      <c r="AY412" s="763"/>
      <c r="AZ412" s="763"/>
      <c r="BA412" s="763"/>
      <c r="BB412" s="763"/>
      <c r="BC412" s="763"/>
      <c r="BD412" s="763"/>
      <c r="BE412" s="763"/>
      <c r="BF412" s="763"/>
      <c r="BG412" s="763" t="b">
        <f>IFERROR(__xludf.DUMMYFUNCTION("""COMPUTED_VALUE"""),TRUE)</f>
        <v>1</v>
      </c>
      <c r="BH412" s="763" t="b">
        <f>IFERROR(__xludf.DUMMYFUNCTION("""COMPUTED_VALUE"""),FALSE)</f>
        <v>0</v>
      </c>
      <c r="BI412" s="763" t="b">
        <f>IFERROR(__xludf.DUMMYFUNCTION("""COMPUTED_VALUE"""),TRUE)</f>
        <v>1</v>
      </c>
      <c r="BJ412" s="763" t="b">
        <f>IFERROR(__xludf.DUMMYFUNCTION("""COMPUTED_VALUE"""),TRUE)</f>
        <v>1</v>
      </c>
    </row>
    <row r="413">
      <c r="A413" s="763">
        <f>IFERROR(__xludf.DUMMYFUNCTION("""COMPUTED_VALUE"""),65511.0)</f>
        <v>65511</v>
      </c>
      <c r="B413" s="763">
        <f>IFERROR(__xludf.DUMMYFUNCTION("""COMPUTED_VALUE"""),65511.0)</f>
        <v>65511</v>
      </c>
      <c r="C413" s="763" t="str">
        <f>IFERROR(__xludf.DUMMYFUNCTION("""COMPUTED_VALUE"""),"2025-10-26 16:36:00")</f>
        <v>2025-10-26 16:36:00</v>
      </c>
      <c r="D413" s="763" t="str">
        <f>IFERROR(__xludf.DUMMYFUNCTION("""COMPUTED_VALUE"""),"completed")</f>
        <v>completed</v>
      </c>
      <c r="E413" s="763" t="str">
        <f>IFERROR(__xludf.DUMMYFUNCTION("""COMPUTED_VALUE"""),"Siria")</f>
        <v>Siria</v>
      </c>
      <c r="F413" s="763" t="str">
        <f>IFERROR(__xludf.DUMMYFUNCTION("""COMPUTED_VALUE"""),"Diaco")</f>
        <v>Diaco</v>
      </c>
      <c r="G413" s="763" t="str">
        <f>IFERROR(__xludf.DUMMYFUNCTION("""COMPUTED_VALUE"""),"siriadiaco@hotmail.it")</f>
        <v>siriadiaco@hotmail.it</v>
      </c>
      <c r="H413" s="763">
        <f>IFERROR(__xludf.DUMMYFUNCTION("""COMPUTED_VALUE"""),3.661461214E9)</f>
        <v>3661461214</v>
      </c>
      <c r="I413" s="763" t="str">
        <f>IFERROR(__xludf.DUMMYFUNCTION("""COMPUTED_VALUE"""),"Milano")</f>
        <v>Milano</v>
      </c>
      <c r="J413" s="763" t="str">
        <f>IFERROR(__xludf.DUMMYFUNCTION("""COMPUTED_VALUE"""),"Via Bellerio 1")</f>
        <v>Via Bellerio 1</v>
      </c>
      <c r="K413" s="763">
        <f>IFERROR(__xludf.DUMMYFUNCTION("""COMPUTED_VALUE"""),20161.0)</f>
        <v>20161</v>
      </c>
      <c r="L413" s="763" t="str">
        <f>IFERROR(__xludf.DUMMYFUNCTION("""COMPUTED_VALUE"""),"Apple Pay")</f>
        <v>Apple Pay</v>
      </c>
      <c r="M413" s="763"/>
      <c r="N413" s="763" t="str">
        <f>IFERROR(__xludf.DUMMYFUNCTION("""COMPUTED_VALUE"""),"65511-1761496561")</f>
        <v>65511-1761496561</v>
      </c>
      <c r="O413" s="763">
        <f>IFERROR(__xludf.DUMMYFUNCTION("""COMPUTED_VALUE"""),0.0)</f>
        <v>0</v>
      </c>
      <c r="P413" s="767">
        <f>IFERROR(__xludf.DUMMYFUNCTION("""COMPUTED_VALUE"""),1.5416666666666667)</f>
        <v>1.541666667</v>
      </c>
      <c r="Q413" s="763" t="str">
        <f>IFERROR(__xludf.DUMMYFUNCTION("""COMPUTED_VALUE"""),"EUR")</f>
        <v>EUR</v>
      </c>
      <c r="R413" s="763">
        <f>IFERROR(__xludf.DUMMYFUNCTION("""COMPUTED_VALUE"""),860.0)</f>
        <v>860</v>
      </c>
      <c r="S413" s="763" t="str">
        <f>IFERROR(__xludf.DUMMYFUNCTION("""COMPUTED_VALUE"""),"Workshop Urban con Kumo - Workshop Kumo Urban")</f>
        <v>Workshop Urban con Kumo - Workshop Kumo Urban</v>
      </c>
      <c r="T413" s="763"/>
      <c r="U413" s="763"/>
      <c r="V413" s="763">
        <f>IFERROR(__xludf.DUMMYFUNCTION("""COMPUTED_VALUE"""),1.0)</f>
        <v>1</v>
      </c>
      <c r="W413" s="763">
        <f>IFERROR(__xludf.DUMMYFUNCTION("""COMPUTED_VALUE"""),37.0)</f>
        <v>37</v>
      </c>
      <c r="X413" s="763">
        <f>IFERROR(__xludf.DUMMYFUNCTION("""COMPUTED_VALUE"""),37.0)</f>
        <v>37</v>
      </c>
      <c r="Y413" s="763"/>
      <c r="Z413" s="768" t="str">
        <f>IFERROR(__xludf.DUMMYFUNCTION("""COMPUTED_VALUE"""),"https://studio-gem.it/wp-admin/post.php?post=65511&amp;action=edit")</f>
        <v>https://studio-gem.it/wp-admin/post.php?post=65511&amp;action=edit</v>
      </c>
      <c r="AA413" s="763"/>
      <c r="AB413" s="763"/>
      <c r="AC413" s="763"/>
      <c r="AD413" s="763"/>
      <c r="AE413" s="763"/>
      <c r="AF413" s="763"/>
      <c r="AG413" s="763"/>
      <c r="AH413" s="763"/>
      <c r="AI413" s="763"/>
      <c r="AJ413" s="763"/>
      <c r="AK413" s="763"/>
      <c r="AL413" s="763"/>
      <c r="AM413" s="763"/>
      <c r="AN413" s="763"/>
      <c r="AO413" s="763"/>
      <c r="AP413" s="763"/>
      <c r="AQ413" s="763"/>
      <c r="AR413" s="763"/>
      <c r="AS413" s="763"/>
      <c r="AT413" s="763"/>
      <c r="AU413" s="763"/>
      <c r="AV413" s="763"/>
      <c r="AW413" s="763"/>
      <c r="AX413" s="763"/>
      <c r="AY413" s="763"/>
      <c r="AZ413" s="763"/>
      <c r="BA413" s="763"/>
      <c r="BB413" s="763"/>
      <c r="BC413" s="763"/>
      <c r="BD413" s="763"/>
      <c r="BE413" s="763"/>
      <c r="BF413" s="763"/>
      <c r="BG413" s="763" t="b">
        <f>IFERROR(__xludf.DUMMYFUNCTION("""COMPUTED_VALUE"""),TRUE)</f>
        <v>1</v>
      </c>
      <c r="BH413" s="763" t="b">
        <f>IFERROR(__xludf.DUMMYFUNCTION("""COMPUTED_VALUE"""),FALSE)</f>
        <v>0</v>
      </c>
      <c r="BI413" s="763" t="b">
        <f>IFERROR(__xludf.DUMMYFUNCTION("""COMPUTED_VALUE"""),TRUE)</f>
        <v>1</v>
      </c>
      <c r="BJ413" s="763" t="b">
        <f>IFERROR(__xludf.DUMMYFUNCTION("""COMPUTED_VALUE"""),TRUE)</f>
        <v>1</v>
      </c>
    </row>
    <row r="414">
      <c r="A414" s="763">
        <f>IFERROR(__xludf.DUMMYFUNCTION("""COMPUTED_VALUE"""),65514.0)</f>
        <v>65514</v>
      </c>
      <c r="B414" s="763">
        <f>IFERROR(__xludf.DUMMYFUNCTION("""COMPUTED_VALUE"""),65514.0)</f>
        <v>65514</v>
      </c>
      <c r="C414" s="763" t="str">
        <f>IFERROR(__xludf.DUMMYFUNCTION("""COMPUTED_VALUE"""),"2025-10-26 18:25:20")</f>
        <v>2025-10-26 18:25:20</v>
      </c>
      <c r="D414" s="763" t="str">
        <f>IFERROR(__xludf.DUMMYFUNCTION("""COMPUTED_VALUE"""),"completed")</f>
        <v>completed</v>
      </c>
      <c r="E414" s="763" t="str">
        <f>IFERROR(__xludf.DUMMYFUNCTION("""COMPUTED_VALUE"""),"elisa")</f>
        <v>elisa</v>
      </c>
      <c r="F414" s="763" t="str">
        <f>IFERROR(__xludf.DUMMYFUNCTION("""COMPUTED_VALUE"""),"brozzelli")</f>
        <v>brozzelli</v>
      </c>
      <c r="G414" s="763" t="str">
        <f>IFERROR(__xludf.DUMMYFUNCTION("""COMPUTED_VALUE"""),"elisa.brozzelli@libero.it")</f>
        <v>elisa.brozzelli@libero.it</v>
      </c>
      <c r="H414" s="763" t="str">
        <f>IFERROR(__xludf.DUMMYFUNCTION("""COMPUTED_VALUE"""),"+393481029850")</f>
        <v>+393481029850</v>
      </c>
      <c r="I414" s="763" t="str">
        <f>IFERROR(__xludf.DUMMYFUNCTION("""COMPUTED_VALUE"""),"Milano")</f>
        <v>Milano</v>
      </c>
      <c r="J414" s="763" t="str">
        <f>IFERROR(__xludf.DUMMYFUNCTION("""COMPUTED_VALUE"""),"Viale Famagosta, 42")</f>
        <v>Viale Famagosta, 42</v>
      </c>
      <c r="K414" s="763">
        <f>IFERROR(__xludf.DUMMYFUNCTION("""COMPUTED_VALUE"""),20142.0)</f>
        <v>20142</v>
      </c>
      <c r="L414" s="763" t="str">
        <f>IFERROR(__xludf.DUMMYFUNCTION("""COMPUTED_VALUE"""),"Google Pay")</f>
        <v>Google Pay</v>
      </c>
      <c r="M414" s="763"/>
      <c r="N414" s="763" t="str">
        <f>IFERROR(__xludf.DUMMYFUNCTION("""COMPUTED_VALUE"""),"65514-1761503122")</f>
        <v>65514-1761503122</v>
      </c>
      <c r="O414" s="763">
        <f>IFERROR(__xludf.DUMMYFUNCTION("""COMPUTED_VALUE"""),0.0)</f>
        <v>0</v>
      </c>
      <c r="P414" s="767">
        <f>IFERROR(__xludf.DUMMYFUNCTION("""COMPUTED_VALUE"""),1.3333333333333333)</f>
        <v>1.333333333</v>
      </c>
      <c r="Q414" s="763" t="str">
        <f>IFERROR(__xludf.DUMMYFUNCTION("""COMPUTED_VALUE"""),"EUR")</f>
        <v>EUR</v>
      </c>
      <c r="R414" s="763">
        <f>IFERROR(__xludf.DUMMYFUNCTION("""COMPUTED_VALUE"""),861.0)</f>
        <v>861</v>
      </c>
      <c r="S414" s="763" t="str">
        <f>IFERROR(__xludf.DUMMYFUNCTION("""COMPUTED_VALUE"""),"Workshop Indian Fusion con Leli - Workshop Leli Indian Fusion")</f>
        <v>Workshop Indian Fusion con Leli - Workshop Leli Indian Fusion</v>
      </c>
      <c r="T414" s="763"/>
      <c r="U414" s="763"/>
      <c r="V414" s="763">
        <f>IFERROR(__xludf.DUMMYFUNCTION("""COMPUTED_VALUE"""),1.0)</f>
        <v>1</v>
      </c>
      <c r="W414" s="763">
        <f>IFERROR(__xludf.DUMMYFUNCTION("""COMPUTED_VALUE"""),32.0)</f>
        <v>32</v>
      </c>
      <c r="X414" s="763">
        <f>IFERROR(__xludf.DUMMYFUNCTION("""COMPUTED_VALUE"""),32.0)</f>
        <v>32</v>
      </c>
      <c r="Y414" s="763"/>
      <c r="Z414" s="768" t="str">
        <f>IFERROR(__xludf.DUMMYFUNCTION("""COMPUTED_VALUE"""),"https://studio-gem.it/wp-admin/post.php?post=65514&amp;action=edit")</f>
        <v>https://studio-gem.it/wp-admin/post.php?post=65514&amp;action=edit</v>
      </c>
      <c r="AA414" s="763"/>
      <c r="AB414" s="763"/>
      <c r="AC414" s="763"/>
      <c r="AD414" s="763"/>
      <c r="AE414" s="763"/>
      <c r="AF414" s="763"/>
      <c r="AG414" s="763"/>
      <c r="AH414" s="763"/>
      <c r="AI414" s="763"/>
      <c r="AJ414" s="763"/>
      <c r="AK414" s="763"/>
      <c r="AL414" s="763"/>
      <c r="AM414" s="763"/>
      <c r="AN414" s="763"/>
      <c r="AO414" s="763"/>
      <c r="AP414" s="763"/>
      <c r="AQ414" s="763"/>
      <c r="AR414" s="763"/>
      <c r="AS414" s="763"/>
      <c r="AT414" s="763"/>
      <c r="AU414" s="763"/>
      <c r="AV414" s="763"/>
      <c r="AW414" s="763"/>
      <c r="AX414" s="763"/>
      <c r="AY414" s="763"/>
      <c r="AZ414" s="763"/>
      <c r="BA414" s="763"/>
      <c r="BB414" s="763"/>
      <c r="BC414" s="763"/>
      <c r="BD414" s="763"/>
      <c r="BE414" s="763"/>
      <c r="BF414" s="763"/>
      <c r="BG414" s="763" t="b">
        <f>IFERROR(__xludf.DUMMYFUNCTION("""COMPUTED_VALUE"""),TRUE)</f>
        <v>1</v>
      </c>
      <c r="BH414" s="763" t="b">
        <f>IFERROR(__xludf.DUMMYFUNCTION("""COMPUTED_VALUE"""),FALSE)</f>
        <v>0</v>
      </c>
      <c r="BI414" s="763" t="b">
        <f>IFERROR(__xludf.DUMMYFUNCTION("""COMPUTED_VALUE"""),TRUE)</f>
        <v>1</v>
      </c>
      <c r="BJ414" s="763" t="b">
        <f>IFERROR(__xludf.DUMMYFUNCTION("""COMPUTED_VALUE"""),TRUE)</f>
        <v>1</v>
      </c>
    </row>
    <row r="415">
      <c r="A415" s="763">
        <f>IFERROR(__xludf.DUMMYFUNCTION("""COMPUTED_VALUE"""),65516.0)</f>
        <v>65516</v>
      </c>
      <c r="B415" s="763">
        <f>IFERROR(__xludf.DUMMYFUNCTION("""COMPUTED_VALUE"""),65516.0)</f>
        <v>65516</v>
      </c>
      <c r="C415" s="763" t="str">
        <f>IFERROR(__xludf.DUMMYFUNCTION("""COMPUTED_VALUE"""),"2025-10-26 18:33:17")</f>
        <v>2025-10-26 18:33:17</v>
      </c>
      <c r="D415" s="763" t="str">
        <f>IFERROR(__xludf.DUMMYFUNCTION("""COMPUTED_VALUE"""),"completed")</f>
        <v>completed</v>
      </c>
      <c r="E415" s="763" t="str">
        <f>IFERROR(__xludf.DUMMYFUNCTION("""COMPUTED_VALUE"""),"Federica")</f>
        <v>Federica</v>
      </c>
      <c r="F415" s="763" t="str">
        <f>IFERROR(__xludf.DUMMYFUNCTION("""COMPUTED_VALUE"""),"Aghemo")</f>
        <v>Aghemo</v>
      </c>
      <c r="G415" s="763" t="str">
        <f>IFERROR(__xludf.DUMMYFUNCTION("""COMPUTED_VALUE"""),"federica_aghemo@hotmail.it")</f>
        <v>federica_aghemo@hotmail.it</v>
      </c>
      <c r="H415" s="763">
        <f>IFERROR(__xludf.DUMMYFUNCTION("""COMPUTED_VALUE"""),3.355330089E9)</f>
        <v>3355330089</v>
      </c>
      <c r="I415" s="763" t="str">
        <f>IFERROR(__xludf.DUMMYFUNCTION("""COMPUTED_VALUE"""),"Milano")</f>
        <v>Milano</v>
      </c>
      <c r="J415" s="763" t="str">
        <f>IFERROR(__xludf.DUMMYFUNCTION("""COMPUTED_VALUE"""),"Corso Porta Romana 57")</f>
        <v>Corso Porta Romana 57</v>
      </c>
      <c r="K415" s="763">
        <f>IFERROR(__xludf.DUMMYFUNCTION("""COMPUTED_VALUE"""),20122.0)</f>
        <v>20122</v>
      </c>
      <c r="L415" s="763"/>
      <c r="M415" s="763"/>
      <c r="N415" s="763"/>
      <c r="O415" s="763">
        <f>IFERROR(__xludf.DUMMYFUNCTION("""COMPUTED_VALUE"""),0.0)</f>
        <v>0</v>
      </c>
      <c r="P415" s="767">
        <f>IFERROR(__xludf.DUMMYFUNCTION("""COMPUTED_VALUE"""),0.0)</f>
        <v>0</v>
      </c>
      <c r="Q415" s="763" t="str">
        <f>IFERROR(__xludf.DUMMYFUNCTION("""COMPUTED_VALUE"""),"EUR")</f>
        <v>EUR</v>
      </c>
      <c r="R415" s="763">
        <f>IFERROR(__xludf.DUMMYFUNCTION("""COMPUTED_VALUE"""),862.0)</f>
        <v>862</v>
      </c>
      <c r="S415" s="763" t="str">
        <f>IFERROR(__xludf.DUMMYFUNCTION("""COMPUTED_VALUE"""),"Domeniche in movimento - Gratuito per open fitness e open mattino 2 lezioni dalle 10 alle 11.50")</f>
        <v>Domeniche in movimento - Gratuito per open fitness e open mattino 2 lezioni dalle 10 alle 11.50</v>
      </c>
      <c r="T415" s="763"/>
      <c r="U415" s="763"/>
      <c r="V415" s="763">
        <f>IFERROR(__xludf.DUMMYFUNCTION("""COMPUTED_VALUE"""),1.0)</f>
        <v>1</v>
      </c>
      <c r="W415" s="763">
        <f>IFERROR(__xludf.DUMMYFUNCTION("""COMPUTED_VALUE"""),0.0)</f>
        <v>0</v>
      </c>
      <c r="X415" s="763">
        <f>IFERROR(__xludf.DUMMYFUNCTION("""COMPUTED_VALUE"""),0.0)</f>
        <v>0</v>
      </c>
      <c r="Y415" s="763"/>
      <c r="Z415" s="768" t="str">
        <f>IFERROR(__xludf.DUMMYFUNCTION("""COMPUTED_VALUE"""),"https://studio-gem.it/wp-admin/post.php?post=65516&amp;action=edit")</f>
        <v>https://studio-gem.it/wp-admin/post.php?post=65516&amp;action=edit</v>
      </c>
      <c r="AA415" s="763"/>
      <c r="AB415" s="763"/>
      <c r="AC415" s="763"/>
      <c r="AD415" s="763"/>
      <c r="AE415" s="763"/>
      <c r="AF415" s="763"/>
      <c r="AG415" s="763"/>
      <c r="AH415" s="763"/>
      <c r="AI415" s="763"/>
      <c r="AJ415" s="763"/>
      <c r="AK415" s="763"/>
      <c r="AL415" s="763"/>
      <c r="AM415" s="763"/>
      <c r="AN415" s="763"/>
      <c r="AO415" s="763"/>
      <c r="AP415" s="763"/>
      <c r="AQ415" s="763"/>
      <c r="AR415" s="763"/>
      <c r="AS415" s="763"/>
      <c r="AT415" s="763"/>
      <c r="AU415" s="763"/>
      <c r="AV415" s="763"/>
      <c r="AW415" s="763"/>
      <c r="AX415" s="763"/>
      <c r="AY415" s="763"/>
      <c r="AZ415" s="763"/>
      <c r="BA415" s="763"/>
      <c r="BB415" s="763"/>
      <c r="BC415" s="763"/>
      <c r="BD415" s="763"/>
      <c r="BE415" s="763"/>
      <c r="BF415" s="763"/>
      <c r="BG415" s="763" t="b">
        <f>IFERROR(__xludf.DUMMYFUNCTION("""COMPUTED_VALUE"""),FALSE)</f>
        <v>0</v>
      </c>
      <c r="BH415" s="763" t="b">
        <f>IFERROR(__xludf.DUMMYFUNCTION("""COMPUTED_VALUE"""),FALSE)</f>
        <v>0</v>
      </c>
      <c r="BI415" s="763" t="b">
        <f>IFERROR(__xludf.DUMMYFUNCTION("""COMPUTED_VALUE"""),FALSE)</f>
        <v>0</v>
      </c>
      <c r="BJ415" s="763" t="b">
        <f>IFERROR(__xludf.DUMMYFUNCTION("""COMPUTED_VALUE"""),FALSE)</f>
        <v>0</v>
      </c>
    </row>
    <row r="416">
      <c r="A416" s="763">
        <f>IFERROR(__xludf.DUMMYFUNCTION("""COMPUTED_VALUE"""),65519.0)</f>
        <v>65519</v>
      </c>
      <c r="B416" s="763">
        <f>IFERROR(__xludf.DUMMYFUNCTION("""COMPUTED_VALUE"""),65519.0)</f>
        <v>65519</v>
      </c>
      <c r="C416" s="763" t="str">
        <f>IFERROR(__xludf.DUMMYFUNCTION("""COMPUTED_VALUE"""),"2025-10-26 20:28:50")</f>
        <v>2025-10-26 20:28:50</v>
      </c>
      <c r="D416" s="763" t="str">
        <f>IFERROR(__xludf.DUMMYFUNCTION("""COMPUTED_VALUE"""),"pending")</f>
        <v>pending</v>
      </c>
      <c r="E416" s="763" t="str">
        <f>IFERROR(__xludf.DUMMYFUNCTION("""COMPUTED_VALUE"""),"Rebecca")</f>
        <v>Rebecca</v>
      </c>
      <c r="F416" s="763" t="str">
        <f>IFERROR(__xludf.DUMMYFUNCTION("""COMPUTED_VALUE"""),"Muciaccia")</f>
        <v>Muciaccia</v>
      </c>
      <c r="G416" s="763" t="str">
        <f>IFERROR(__xludf.DUMMYFUNCTION("""COMPUTED_VALUE"""),"rebeccamuciaccia2096@gmail.com")</f>
        <v>rebeccamuciaccia2096@gmail.com</v>
      </c>
      <c r="H416" s="763">
        <f>IFERROR(__xludf.DUMMYFUNCTION("""COMPUTED_VALUE"""),3.475605123E9)</f>
        <v>3475605123</v>
      </c>
      <c r="I416" s="763" t="str">
        <f>IFERROR(__xludf.DUMMYFUNCTION("""COMPUTED_VALUE"""),"Milano")</f>
        <v>Milano</v>
      </c>
      <c r="J416" s="763" t="str">
        <f>IFERROR(__xludf.DUMMYFUNCTION("""COMPUTED_VALUE"""),"Via Gallura 7")</f>
        <v>Via Gallura 7</v>
      </c>
      <c r="K416" s="763">
        <f>IFERROR(__xludf.DUMMYFUNCTION("""COMPUTED_VALUE"""),20141.0)</f>
        <v>20141</v>
      </c>
      <c r="L416" s="763" t="str">
        <f>IFERROR(__xludf.DUMMYFUNCTION("""COMPUTED_VALUE"""),"Apple Pay")</f>
        <v>Apple Pay</v>
      </c>
      <c r="M416" s="763"/>
      <c r="N416" s="763"/>
      <c r="O416" s="763">
        <f>IFERROR(__xludf.DUMMYFUNCTION("""COMPUTED_VALUE"""),0.0)</f>
        <v>0</v>
      </c>
      <c r="P416" s="767">
        <f>IFERROR(__xludf.DUMMYFUNCTION("""COMPUTED_VALUE"""),1.5416666666666667)</f>
        <v>1.541666667</v>
      </c>
      <c r="Q416" s="763" t="str">
        <f>IFERROR(__xludf.DUMMYFUNCTION("""COMPUTED_VALUE"""),"EUR")</f>
        <v>EUR</v>
      </c>
      <c r="R416" s="763">
        <f>IFERROR(__xludf.DUMMYFUNCTION("""COMPUTED_VALUE"""),863.0)</f>
        <v>863</v>
      </c>
      <c r="S416" s="763" t="str">
        <f>IFERROR(__xludf.DUMMYFUNCTION("""COMPUTED_VALUE"""),"Workshop Urban con Kumo - Workshop Kumo Urban")</f>
        <v>Workshop Urban con Kumo - Workshop Kumo Urban</v>
      </c>
      <c r="T416" s="763"/>
      <c r="U416" s="763"/>
      <c r="V416" s="763">
        <f>IFERROR(__xludf.DUMMYFUNCTION("""COMPUTED_VALUE"""),1.0)</f>
        <v>1</v>
      </c>
      <c r="W416" s="763">
        <f>IFERROR(__xludf.DUMMYFUNCTION("""COMPUTED_VALUE"""),37.0)</f>
        <v>37</v>
      </c>
      <c r="X416" s="763">
        <f>IFERROR(__xludf.DUMMYFUNCTION("""COMPUTED_VALUE"""),37.0)</f>
        <v>37</v>
      </c>
      <c r="Y416" s="763"/>
      <c r="Z416" s="768" t="str">
        <f>IFERROR(__xludf.DUMMYFUNCTION("""COMPUTED_VALUE"""),"https://studio-gem.it/wp-admin/post.php?post=65519&amp;action=edit")</f>
        <v>https://studio-gem.it/wp-admin/post.php?post=65519&amp;action=edit</v>
      </c>
      <c r="AA416" s="763"/>
      <c r="AB416" s="763"/>
      <c r="AC416" s="763"/>
      <c r="AD416" s="763"/>
      <c r="AE416" s="763"/>
      <c r="AF416" s="763"/>
      <c r="AG416" s="763"/>
      <c r="AH416" s="763"/>
      <c r="AI416" s="763"/>
      <c r="AJ416" s="763"/>
      <c r="AK416" s="763"/>
      <c r="AL416" s="763"/>
      <c r="AM416" s="763"/>
      <c r="AN416" s="763"/>
      <c r="AO416" s="763"/>
      <c r="AP416" s="763"/>
      <c r="AQ416" s="763"/>
      <c r="AR416" s="763"/>
      <c r="AS416" s="763"/>
      <c r="AT416" s="763"/>
      <c r="AU416" s="763"/>
      <c r="AV416" s="763"/>
      <c r="AW416" s="763"/>
      <c r="AX416" s="763"/>
      <c r="AY416" s="763"/>
      <c r="AZ416" s="763"/>
      <c r="BA416" s="763"/>
      <c r="BB416" s="763"/>
      <c r="BC416" s="763"/>
      <c r="BD416" s="763"/>
      <c r="BE416" s="763"/>
      <c r="BF416" s="763"/>
      <c r="BG416" s="763" t="b">
        <f>IFERROR(__xludf.DUMMYFUNCTION("""COMPUTED_VALUE"""),FALSE)</f>
        <v>0</v>
      </c>
      <c r="BH416" s="763" t="b">
        <f>IFERROR(__xludf.DUMMYFUNCTION("""COMPUTED_VALUE"""),FALSE)</f>
        <v>0</v>
      </c>
      <c r="BI416" s="763" t="b">
        <f>IFERROR(__xludf.DUMMYFUNCTION("""COMPUTED_VALUE"""),FALSE)</f>
        <v>0</v>
      </c>
      <c r="BJ416" s="763" t="b">
        <f>IFERROR(__xludf.DUMMYFUNCTION("""COMPUTED_VALUE"""),FALSE)</f>
        <v>0</v>
      </c>
    </row>
    <row r="417">
      <c r="A417" s="763">
        <f>IFERROR(__xludf.DUMMYFUNCTION("""COMPUTED_VALUE"""),65546.0)</f>
        <v>65546</v>
      </c>
      <c r="B417" s="763">
        <f>IFERROR(__xludf.DUMMYFUNCTION("""COMPUTED_VALUE"""),65546.0)</f>
        <v>65546</v>
      </c>
      <c r="C417" s="763" t="str">
        <f>IFERROR(__xludf.DUMMYFUNCTION("""COMPUTED_VALUE"""),"2025-10-27 19:26:19")</f>
        <v>2025-10-27 19:26:19</v>
      </c>
      <c r="D417" s="763" t="str">
        <f>IFERROR(__xludf.DUMMYFUNCTION("""COMPUTED_VALUE"""),"completed")</f>
        <v>completed</v>
      </c>
      <c r="E417" s="763" t="str">
        <f>IFERROR(__xludf.DUMMYFUNCTION("""COMPUTED_VALUE"""),"Angelica")</f>
        <v>Angelica</v>
      </c>
      <c r="F417" s="763" t="str">
        <f>IFERROR(__xludf.DUMMYFUNCTION("""COMPUTED_VALUE"""),"Averoldi")</f>
        <v>Averoldi</v>
      </c>
      <c r="G417" s="763" t="str">
        <f>IFERROR(__xludf.DUMMYFUNCTION("""COMPUTED_VALUE"""),"averoldi.angelica@gmail.com")</f>
        <v>averoldi.angelica@gmail.com</v>
      </c>
      <c r="H417" s="763">
        <f>IFERROR(__xludf.DUMMYFUNCTION("""COMPUTED_VALUE"""),3.349244594E9)</f>
        <v>3349244594</v>
      </c>
      <c r="I417" s="763" t="str">
        <f>IFERROR(__xludf.DUMMYFUNCTION("""COMPUTED_VALUE"""),"Milano")</f>
        <v>Milano</v>
      </c>
      <c r="J417" s="763" t="str">
        <f>IFERROR(__xludf.DUMMYFUNCTION("""COMPUTED_VALUE"""),"Via Giovanni Boccaccio 45")</f>
        <v>Via Giovanni Boccaccio 45</v>
      </c>
      <c r="K417" s="763">
        <f>IFERROR(__xludf.DUMMYFUNCTION("""COMPUTED_VALUE"""),20123.0)</f>
        <v>20123</v>
      </c>
      <c r="L417" s="763" t="str">
        <f>IFERROR(__xludf.DUMMYFUNCTION("""COMPUTED_VALUE"""),"Apple Pay")</f>
        <v>Apple Pay</v>
      </c>
      <c r="M417" s="763"/>
      <c r="N417" s="763" t="str">
        <f>IFERROR(__xludf.DUMMYFUNCTION("""COMPUTED_VALUE"""),"65546-1761593181")</f>
        <v>65546-1761593181</v>
      </c>
      <c r="O417" s="763">
        <f>IFERROR(__xludf.DUMMYFUNCTION("""COMPUTED_VALUE"""),0.0)</f>
        <v>0</v>
      </c>
      <c r="P417" s="767">
        <f>IFERROR(__xludf.DUMMYFUNCTION("""COMPUTED_VALUE"""),1.5416666666666667)</f>
        <v>1.541666667</v>
      </c>
      <c r="Q417" s="763" t="str">
        <f>IFERROR(__xludf.DUMMYFUNCTION("""COMPUTED_VALUE"""),"EUR")</f>
        <v>EUR</v>
      </c>
      <c r="R417" s="763">
        <f>IFERROR(__xludf.DUMMYFUNCTION("""COMPUTED_VALUE"""),864.0)</f>
        <v>864</v>
      </c>
      <c r="S417" s="763" t="str">
        <f>IFERROR(__xludf.DUMMYFUNCTION("""COMPUTED_VALUE"""),"Workshop Heels con Deborah Esposito - Workshop Heels con Deborah Esposito")</f>
        <v>Workshop Heels con Deborah Esposito - Workshop Heels con Deborah Esposito</v>
      </c>
      <c r="T417" s="763"/>
      <c r="U417" s="763"/>
      <c r="V417" s="763">
        <f>IFERROR(__xludf.DUMMYFUNCTION("""COMPUTED_VALUE"""),1.0)</f>
        <v>1</v>
      </c>
      <c r="W417" s="763">
        <f>IFERROR(__xludf.DUMMYFUNCTION("""COMPUTED_VALUE"""),37.0)</f>
        <v>37</v>
      </c>
      <c r="X417" s="763">
        <f>IFERROR(__xludf.DUMMYFUNCTION("""COMPUTED_VALUE"""),37.0)</f>
        <v>37</v>
      </c>
      <c r="Y417" s="763"/>
      <c r="Z417" s="768" t="str">
        <f>IFERROR(__xludf.DUMMYFUNCTION("""COMPUTED_VALUE"""),"https://studio-gem.it/wp-admin/post.php?post=65546&amp;action=edit")</f>
        <v>https://studio-gem.it/wp-admin/post.php?post=65546&amp;action=edit</v>
      </c>
      <c r="AA417" s="763"/>
      <c r="AB417" s="763"/>
      <c r="AC417" s="763"/>
      <c r="AD417" s="763"/>
      <c r="AE417" s="763"/>
      <c r="AF417" s="763"/>
      <c r="AG417" s="763"/>
      <c r="AH417" s="763"/>
      <c r="AI417" s="763"/>
      <c r="AJ417" s="763"/>
      <c r="AK417" s="763"/>
      <c r="AL417" s="763"/>
      <c r="AM417" s="763"/>
      <c r="AN417" s="763"/>
      <c r="AO417" s="763"/>
      <c r="AP417" s="763"/>
      <c r="AQ417" s="763"/>
      <c r="AR417" s="763"/>
      <c r="AS417" s="763"/>
      <c r="AT417" s="763"/>
      <c r="AU417" s="763"/>
      <c r="AV417" s="763"/>
      <c r="AW417" s="763"/>
      <c r="AX417" s="763"/>
      <c r="AY417" s="763"/>
      <c r="AZ417" s="763"/>
      <c r="BA417" s="763"/>
      <c r="BB417" s="763"/>
      <c r="BC417" s="763"/>
      <c r="BD417" s="763"/>
      <c r="BE417" s="763"/>
      <c r="BF417" s="763"/>
      <c r="BG417" s="763" t="b">
        <f>IFERROR(__xludf.DUMMYFUNCTION("""COMPUTED_VALUE"""),TRUE)</f>
        <v>1</v>
      </c>
      <c r="BH417" s="763" t="b">
        <f>IFERROR(__xludf.DUMMYFUNCTION("""COMPUTED_VALUE"""),FALSE)</f>
        <v>0</v>
      </c>
      <c r="BI417" s="763" t="b">
        <f>IFERROR(__xludf.DUMMYFUNCTION("""COMPUTED_VALUE"""),TRUE)</f>
        <v>1</v>
      </c>
      <c r="BJ417" s="763" t="b">
        <f>IFERROR(__xludf.DUMMYFUNCTION("""COMPUTED_VALUE"""),TRUE)</f>
        <v>1</v>
      </c>
    </row>
    <row r="418">
      <c r="A418" s="763">
        <f>IFERROR(__xludf.DUMMYFUNCTION("""COMPUTED_VALUE"""),65548.0)</f>
        <v>65548</v>
      </c>
      <c r="B418" s="763">
        <f>IFERROR(__xludf.DUMMYFUNCTION("""COMPUTED_VALUE"""),65548.0)</f>
        <v>65548</v>
      </c>
      <c r="C418" s="763" t="str">
        <f>IFERROR(__xludf.DUMMYFUNCTION("""COMPUTED_VALUE"""),"2025-10-27 19:27:05")</f>
        <v>2025-10-27 19:27:05</v>
      </c>
      <c r="D418" s="763" t="str">
        <f>IFERROR(__xludf.DUMMYFUNCTION("""COMPUTED_VALUE"""),"completed")</f>
        <v>completed</v>
      </c>
      <c r="E418" s="763" t="str">
        <f>IFERROR(__xludf.DUMMYFUNCTION("""COMPUTED_VALUE"""),"Francesca")</f>
        <v>Francesca</v>
      </c>
      <c r="F418" s="763" t="str">
        <f>IFERROR(__xludf.DUMMYFUNCTION("""COMPUTED_VALUE"""),"Pini")</f>
        <v>Pini</v>
      </c>
      <c r="G418" s="763" t="str">
        <f>IFERROR(__xludf.DUMMYFUNCTION("""COMPUTED_VALUE"""),"francesca.pini303@gmail.com")</f>
        <v>francesca.pini303@gmail.com</v>
      </c>
      <c r="H418" s="763">
        <f>IFERROR(__xludf.DUMMYFUNCTION("""COMPUTED_VALUE"""),3.496136343E9)</f>
        <v>3496136343</v>
      </c>
      <c r="I418" s="763" t="str">
        <f>IFERROR(__xludf.DUMMYFUNCTION("""COMPUTED_VALUE"""),"Milano")</f>
        <v>Milano</v>
      </c>
      <c r="J418" s="763" t="str">
        <f>IFERROR(__xludf.DUMMYFUNCTION("""COMPUTED_VALUE"""),"Via Principe Eugenio")</f>
        <v>Via Principe Eugenio</v>
      </c>
      <c r="K418" s="763">
        <f>IFERROR(__xludf.DUMMYFUNCTION("""COMPUTED_VALUE"""),20155.0)</f>
        <v>20155</v>
      </c>
      <c r="L418" s="763" t="str">
        <f>IFERROR(__xludf.DUMMYFUNCTION("""COMPUTED_VALUE"""),"Apple Pay")</f>
        <v>Apple Pay</v>
      </c>
      <c r="M418" s="763"/>
      <c r="N418" s="763" t="str">
        <f>IFERROR(__xludf.DUMMYFUNCTION("""COMPUTED_VALUE"""),"65548-1761593227")</f>
        <v>65548-1761593227</v>
      </c>
      <c r="O418" s="763">
        <f>IFERROR(__xludf.DUMMYFUNCTION("""COMPUTED_VALUE"""),0.0)</f>
        <v>0</v>
      </c>
      <c r="P418" s="767">
        <f>IFERROR(__xludf.DUMMYFUNCTION("""COMPUTED_VALUE"""),1.5416666666666667)</f>
        <v>1.541666667</v>
      </c>
      <c r="Q418" s="763" t="str">
        <f>IFERROR(__xludf.DUMMYFUNCTION("""COMPUTED_VALUE"""),"EUR")</f>
        <v>EUR</v>
      </c>
      <c r="R418" s="763">
        <f>IFERROR(__xludf.DUMMYFUNCTION("""COMPUTED_VALUE"""),865.0)</f>
        <v>865</v>
      </c>
      <c r="S418" s="763" t="str">
        <f>IFERROR(__xludf.DUMMYFUNCTION("""COMPUTED_VALUE"""),"Workshop Heels con Deborah Esposito - Workshop Heels con Deborah Esposito")</f>
        <v>Workshop Heels con Deborah Esposito - Workshop Heels con Deborah Esposito</v>
      </c>
      <c r="T418" s="763"/>
      <c r="U418" s="763"/>
      <c r="V418" s="763">
        <f>IFERROR(__xludf.DUMMYFUNCTION("""COMPUTED_VALUE"""),1.0)</f>
        <v>1</v>
      </c>
      <c r="W418" s="763">
        <f>IFERROR(__xludf.DUMMYFUNCTION("""COMPUTED_VALUE"""),37.0)</f>
        <v>37</v>
      </c>
      <c r="X418" s="763">
        <f>IFERROR(__xludf.DUMMYFUNCTION("""COMPUTED_VALUE"""),37.0)</f>
        <v>37</v>
      </c>
      <c r="Y418" s="763"/>
      <c r="Z418" s="768" t="str">
        <f>IFERROR(__xludf.DUMMYFUNCTION("""COMPUTED_VALUE"""),"https://studio-gem.it/wp-admin/post.php?post=65548&amp;action=edit")</f>
        <v>https://studio-gem.it/wp-admin/post.php?post=65548&amp;action=edit</v>
      </c>
      <c r="AA418" s="763"/>
      <c r="AB418" s="763"/>
      <c r="AC418" s="763"/>
      <c r="AD418" s="763"/>
      <c r="AE418" s="763"/>
      <c r="AF418" s="763"/>
      <c r="AG418" s="763"/>
      <c r="AH418" s="763"/>
      <c r="AI418" s="763"/>
      <c r="AJ418" s="763"/>
      <c r="AK418" s="763"/>
      <c r="AL418" s="763"/>
      <c r="AM418" s="763"/>
      <c r="AN418" s="763"/>
      <c r="AO418" s="763"/>
      <c r="AP418" s="763"/>
      <c r="AQ418" s="763"/>
      <c r="AR418" s="763"/>
      <c r="AS418" s="763"/>
      <c r="AT418" s="763"/>
      <c r="AU418" s="763"/>
      <c r="AV418" s="763"/>
      <c r="AW418" s="763"/>
      <c r="AX418" s="763"/>
      <c r="AY418" s="763"/>
      <c r="AZ418" s="763"/>
      <c r="BA418" s="763"/>
      <c r="BB418" s="763"/>
      <c r="BC418" s="763"/>
      <c r="BD418" s="763"/>
      <c r="BE418" s="763"/>
      <c r="BF418" s="763"/>
      <c r="BG418" s="763" t="b">
        <f>IFERROR(__xludf.DUMMYFUNCTION("""COMPUTED_VALUE"""),TRUE)</f>
        <v>1</v>
      </c>
      <c r="BH418" s="763" t="b">
        <f>IFERROR(__xludf.DUMMYFUNCTION("""COMPUTED_VALUE"""),FALSE)</f>
        <v>0</v>
      </c>
      <c r="BI418" s="763" t="b">
        <f>IFERROR(__xludf.DUMMYFUNCTION("""COMPUTED_VALUE"""),TRUE)</f>
        <v>1</v>
      </c>
      <c r="BJ418" s="763" t="b">
        <f>IFERROR(__xludf.DUMMYFUNCTION("""COMPUTED_VALUE"""),TRUE)</f>
        <v>1</v>
      </c>
    </row>
    <row r="419">
      <c r="A419" s="763">
        <f>IFERROR(__xludf.DUMMYFUNCTION("""COMPUTED_VALUE"""),65550.0)</f>
        <v>65550</v>
      </c>
      <c r="B419" s="763">
        <f>IFERROR(__xludf.DUMMYFUNCTION("""COMPUTED_VALUE"""),65550.0)</f>
        <v>65550</v>
      </c>
      <c r="C419" s="763" t="str">
        <f>IFERROR(__xludf.DUMMYFUNCTION("""COMPUTED_VALUE"""),"2025-10-28 08:54:34")</f>
        <v>2025-10-28 08:54:34</v>
      </c>
      <c r="D419" s="763" t="str">
        <f>IFERROR(__xludf.DUMMYFUNCTION("""COMPUTED_VALUE"""),"completed")</f>
        <v>completed</v>
      </c>
      <c r="E419" s="763" t="str">
        <f>IFERROR(__xludf.DUMMYFUNCTION("""COMPUTED_VALUE"""),"mafalda")</f>
        <v>mafalda</v>
      </c>
      <c r="F419" s="763" t="str">
        <f>IFERROR(__xludf.DUMMYFUNCTION("""COMPUTED_VALUE"""),"Cerrito")</f>
        <v>Cerrito</v>
      </c>
      <c r="G419" s="763" t="str">
        <f>IFERROR(__xludf.DUMMYFUNCTION("""COMPUTED_VALUE"""),"cerrito.mafalda.978@gmail.com")</f>
        <v>cerrito.mafalda.978@gmail.com</v>
      </c>
      <c r="H419" s="763">
        <f>IFERROR(__xludf.DUMMYFUNCTION("""COMPUTED_VALUE"""),3.755486889E9)</f>
        <v>3755486889</v>
      </c>
      <c r="I419" s="763" t="str">
        <f>IFERROR(__xludf.DUMMYFUNCTION("""COMPUTED_VALUE"""),"Carugo")</f>
        <v>Carugo</v>
      </c>
      <c r="J419" s="763" t="str">
        <f>IFERROR(__xludf.DUMMYFUNCTION("""COMPUTED_VALUE"""),"Via Luigi Cadorna 29")</f>
        <v>Via Luigi Cadorna 29</v>
      </c>
      <c r="K419" s="763">
        <f>IFERROR(__xludf.DUMMYFUNCTION("""COMPUTED_VALUE"""),22060.0)</f>
        <v>22060</v>
      </c>
      <c r="L419" s="763" t="str">
        <f>IFERROR(__xludf.DUMMYFUNCTION("""COMPUTED_VALUE"""),"Carte di pagamento")</f>
        <v>Carte di pagamento</v>
      </c>
      <c r="M419" s="763"/>
      <c r="N419" s="763" t="str">
        <f>IFERROR(__xludf.DUMMYFUNCTION("""COMPUTED_VALUE"""),"65550-1761641675")</f>
        <v>65550-1761641675</v>
      </c>
      <c r="O419" s="763">
        <f>IFERROR(__xludf.DUMMYFUNCTION("""COMPUTED_VALUE"""),0.0)</f>
        <v>0</v>
      </c>
      <c r="P419" s="767">
        <f>IFERROR(__xludf.DUMMYFUNCTION("""COMPUTED_VALUE"""),1.5416666666666667)</f>
        <v>1.541666667</v>
      </c>
      <c r="Q419" s="763" t="str">
        <f>IFERROR(__xludf.DUMMYFUNCTION("""COMPUTED_VALUE"""),"EUR")</f>
        <v>EUR</v>
      </c>
      <c r="R419" s="763">
        <f>IFERROR(__xludf.DUMMYFUNCTION("""COMPUTED_VALUE"""),866.0)</f>
        <v>866</v>
      </c>
      <c r="S419" s="763" t="str">
        <f>IFERROR(__xludf.DUMMYFUNCTION("""COMPUTED_VALUE"""),"Workshop Heels con Deborah Esposito - Workshop Heels con Deborah Esposito")</f>
        <v>Workshop Heels con Deborah Esposito - Workshop Heels con Deborah Esposito</v>
      </c>
      <c r="T419" s="763"/>
      <c r="U419" s="763"/>
      <c r="V419" s="763">
        <f>IFERROR(__xludf.DUMMYFUNCTION("""COMPUTED_VALUE"""),1.0)</f>
        <v>1</v>
      </c>
      <c r="W419" s="763">
        <f>IFERROR(__xludf.DUMMYFUNCTION("""COMPUTED_VALUE"""),37.0)</f>
        <v>37</v>
      </c>
      <c r="X419" s="763">
        <f>IFERROR(__xludf.DUMMYFUNCTION("""COMPUTED_VALUE"""),37.0)</f>
        <v>37</v>
      </c>
      <c r="Y419" s="763"/>
      <c r="Z419" s="768" t="str">
        <f>IFERROR(__xludf.DUMMYFUNCTION("""COMPUTED_VALUE"""),"https://studio-gem.it/wp-admin/post.php?post=65550&amp;action=edit")</f>
        <v>https://studio-gem.it/wp-admin/post.php?post=65550&amp;action=edit</v>
      </c>
      <c r="AA419" s="763"/>
      <c r="AB419" s="763"/>
      <c r="AC419" s="763"/>
      <c r="AD419" s="763"/>
      <c r="AE419" s="763"/>
      <c r="AF419" s="763"/>
      <c r="AG419" s="763"/>
      <c r="AH419" s="763"/>
      <c r="AI419" s="763"/>
      <c r="AJ419" s="763"/>
      <c r="AK419" s="763"/>
      <c r="AL419" s="763"/>
      <c r="AM419" s="763"/>
      <c r="AN419" s="763"/>
      <c r="AO419" s="763"/>
      <c r="AP419" s="763"/>
      <c r="AQ419" s="763"/>
      <c r="AR419" s="763"/>
      <c r="AS419" s="763"/>
      <c r="AT419" s="763"/>
      <c r="AU419" s="763"/>
      <c r="AV419" s="763"/>
      <c r="AW419" s="763"/>
      <c r="AX419" s="763"/>
      <c r="AY419" s="763"/>
      <c r="AZ419" s="763"/>
      <c r="BA419" s="763"/>
      <c r="BB419" s="763"/>
      <c r="BC419" s="763"/>
      <c r="BD419" s="763"/>
      <c r="BE419" s="763"/>
      <c r="BF419" s="763"/>
      <c r="BG419" s="763" t="b">
        <f>IFERROR(__xludf.DUMMYFUNCTION("""COMPUTED_VALUE"""),TRUE)</f>
        <v>1</v>
      </c>
      <c r="BH419" s="763" t="b">
        <f>IFERROR(__xludf.DUMMYFUNCTION("""COMPUTED_VALUE"""),FALSE)</f>
        <v>0</v>
      </c>
      <c r="BI419" s="763" t="b">
        <f>IFERROR(__xludf.DUMMYFUNCTION("""COMPUTED_VALUE"""),TRUE)</f>
        <v>1</v>
      </c>
      <c r="BJ419" s="763" t="b">
        <f>IFERROR(__xludf.DUMMYFUNCTION("""COMPUTED_VALUE"""),TRUE)</f>
        <v>1</v>
      </c>
    </row>
    <row r="420">
      <c r="A420" s="763">
        <f>IFERROR(__xludf.DUMMYFUNCTION("""COMPUTED_VALUE"""),65566.0)</f>
        <v>65566</v>
      </c>
      <c r="B420" s="763">
        <f>IFERROR(__xludf.DUMMYFUNCTION("""COMPUTED_VALUE"""),65566.0)</f>
        <v>65566</v>
      </c>
      <c r="C420" s="763" t="str">
        <f>IFERROR(__xludf.DUMMYFUNCTION("""COMPUTED_VALUE"""),"2025-10-28 19:46:35")</f>
        <v>2025-10-28 19:46:35</v>
      </c>
      <c r="D420" s="763" t="str">
        <f>IFERROR(__xludf.DUMMYFUNCTION("""COMPUTED_VALUE"""),"completed")</f>
        <v>completed</v>
      </c>
      <c r="E420" s="763" t="str">
        <f>IFERROR(__xludf.DUMMYFUNCTION("""COMPUTED_VALUE"""),"Katia")</f>
        <v>Katia</v>
      </c>
      <c r="F420" s="763" t="str">
        <f>IFERROR(__xludf.DUMMYFUNCTION("""COMPUTED_VALUE"""),"Vossio")</f>
        <v>Vossio</v>
      </c>
      <c r="G420" s="763" t="str">
        <f>IFERROR(__xludf.DUMMYFUNCTION("""COMPUTED_VALUE"""),"katia.vossio@katamail.com")</f>
        <v>katia.vossio@katamail.com</v>
      </c>
      <c r="H420" s="763">
        <f>IFERROR(__xludf.DUMMYFUNCTION("""COMPUTED_VALUE"""),3.478540691E9)</f>
        <v>3478540691</v>
      </c>
      <c r="I420" s="763" t="str">
        <f>IFERROR(__xludf.DUMMYFUNCTION("""COMPUTED_VALUE"""),"Milano")</f>
        <v>Milano</v>
      </c>
      <c r="J420" s="763" t="str">
        <f>IFERROR(__xludf.DUMMYFUNCTION("""COMPUTED_VALUE"""),"Via santa sofia 22")</f>
        <v>Via santa sofia 22</v>
      </c>
      <c r="K420" s="763">
        <f>IFERROR(__xludf.DUMMYFUNCTION("""COMPUTED_VALUE"""),20122.0)</f>
        <v>20122</v>
      </c>
      <c r="L420" s="763"/>
      <c r="M420" s="763"/>
      <c r="N420" s="763"/>
      <c r="O420" s="763">
        <f>IFERROR(__xludf.DUMMYFUNCTION("""COMPUTED_VALUE"""),0.0)</f>
        <v>0</v>
      </c>
      <c r="P420" s="767">
        <f>IFERROR(__xludf.DUMMYFUNCTION("""COMPUTED_VALUE"""),0.0)</f>
        <v>0</v>
      </c>
      <c r="Q420" s="763" t="str">
        <f>IFERROR(__xludf.DUMMYFUNCTION("""COMPUTED_VALUE"""),"EUR")</f>
        <v>EUR</v>
      </c>
      <c r="R420" s="763">
        <f>IFERROR(__xludf.DUMMYFUNCTION("""COMPUTED_VALUE"""),867.0)</f>
        <v>867</v>
      </c>
      <c r="S420" s="763" t="str">
        <f>IFERROR(__xludf.DUMMYFUNCTION("""COMPUTED_VALUE"""),"Domeniche in movimento - Gratuito per open fitness e open mattino 2 lezioni dalle 10 alle 11.50")</f>
        <v>Domeniche in movimento - Gratuito per open fitness e open mattino 2 lezioni dalle 10 alle 11.50</v>
      </c>
      <c r="T420" s="763"/>
      <c r="U420" s="763"/>
      <c r="V420" s="763">
        <f>IFERROR(__xludf.DUMMYFUNCTION("""COMPUTED_VALUE"""),1.0)</f>
        <v>1</v>
      </c>
      <c r="W420" s="763">
        <f>IFERROR(__xludf.DUMMYFUNCTION("""COMPUTED_VALUE"""),0.0)</f>
        <v>0</v>
      </c>
      <c r="X420" s="763">
        <f>IFERROR(__xludf.DUMMYFUNCTION("""COMPUTED_VALUE"""),0.0)</f>
        <v>0</v>
      </c>
      <c r="Y420" s="763"/>
      <c r="Z420" s="768" t="str">
        <f>IFERROR(__xludf.DUMMYFUNCTION("""COMPUTED_VALUE"""),"https://studio-gem.it/wp-admin/post.php?post=65566&amp;action=edit")</f>
        <v>https://studio-gem.it/wp-admin/post.php?post=65566&amp;action=edit</v>
      </c>
      <c r="AA420" s="763"/>
      <c r="AB420" s="763"/>
      <c r="AC420" s="763"/>
      <c r="AD420" s="763"/>
      <c r="AE420" s="763"/>
      <c r="AF420" s="763"/>
      <c r="AG420" s="763"/>
      <c r="AH420" s="763"/>
      <c r="AI420" s="763"/>
      <c r="AJ420" s="763"/>
      <c r="AK420" s="763"/>
      <c r="AL420" s="763"/>
      <c r="AM420" s="763"/>
      <c r="AN420" s="763"/>
      <c r="AO420" s="763"/>
      <c r="AP420" s="763"/>
      <c r="AQ420" s="763"/>
      <c r="AR420" s="763"/>
      <c r="AS420" s="763"/>
      <c r="AT420" s="763"/>
      <c r="AU420" s="763"/>
      <c r="AV420" s="763"/>
      <c r="AW420" s="763"/>
      <c r="AX420" s="763"/>
      <c r="AY420" s="763"/>
      <c r="AZ420" s="763"/>
      <c r="BA420" s="763"/>
      <c r="BB420" s="763"/>
      <c r="BC420" s="763"/>
      <c r="BD420" s="763"/>
      <c r="BE420" s="763"/>
      <c r="BF420" s="763"/>
      <c r="BG420" s="763" t="b">
        <f>IFERROR(__xludf.DUMMYFUNCTION("""COMPUTED_VALUE"""),FALSE)</f>
        <v>0</v>
      </c>
      <c r="BH420" s="763" t="b">
        <f>IFERROR(__xludf.DUMMYFUNCTION("""COMPUTED_VALUE"""),FALSE)</f>
        <v>0</v>
      </c>
      <c r="BI420" s="763" t="b">
        <f>IFERROR(__xludf.DUMMYFUNCTION("""COMPUTED_VALUE"""),FALSE)</f>
        <v>0</v>
      </c>
      <c r="BJ420" s="763" t="b">
        <f>IFERROR(__xludf.DUMMYFUNCTION("""COMPUTED_VALUE"""),FALSE)</f>
        <v>0</v>
      </c>
    </row>
    <row r="421">
      <c r="A421" s="763">
        <f>IFERROR(__xludf.DUMMYFUNCTION("""COMPUTED_VALUE"""),65640.0)</f>
        <v>65640</v>
      </c>
      <c r="B421" s="763">
        <f>IFERROR(__xludf.DUMMYFUNCTION("""COMPUTED_VALUE"""),65640.0)</f>
        <v>65640</v>
      </c>
      <c r="C421" s="763" t="str">
        <f>IFERROR(__xludf.DUMMYFUNCTION("""COMPUTED_VALUE"""),"2025-10-29 13:49:22")</f>
        <v>2025-10-29 13:49:22</v>
      </c>
      <c r="D421" s="763" t="str">
        <f>IFERROR(__xludf.DUMMYFUNCTION("""COMPUTED_VALUE"""),"pending")</f>
        <v>pending</v>
      </c>
      <c r="E421" s="763" t="str">
        <f>IFERROR(__xludf.DUMMYFUNCTION("""COMPUTED_VALUE"""),"Lucia")</f>
        <v>Lucia</v>
      </c>
      <c r="F421" s="763" t="str">
        <f>IFERROR(__xludf.DUMMYFUNCTION("""COMPUTED_VALUE"""),"Brizzolara")</f>
        <v>Brizzolara</v>
      </c>
      <c r="G421" s="763" t="str">
        <f>IFERROR(__xludf.DUMMYFUNCTION("""COMPUTED_VALUE"""),"lu.brizzolara@gmail.com")</f>
        <v>lu.brizzolara@gmail.com</v>
      </c>
      <c r="H421" s="763">
        <f>IFERROR(__xludf.DUMMYFUNCTION("""COMPUTED_VALUE"""),3.387838344E9)</f>
        <v>3387838344</v>
      </c>
      <c r="I421" s="763" t="str">
        <f>IFERROR(__xludf.DUMMYFUNCTION("""COMPUTED_VALUE"""),"Como")</f>
        <v>Como</v>
      </c>
      <c r="J421" s="763" t="str">
        <f>IFERROR(__xludf.DUMMYFUNCTION("""COMPUTED_VALUE"""),"Via Morazzone 14")</f>
        <v>Via Morazzone 14</v>
      </c>
      <c r="K421" s="763">
        <f>IFERROR(__xludf.DUMMYFUNCTION("""COMPUTED_VALUE"""),22100.0)</f>
        <v>22100</v>
      </c>
      <c r="L421" s="763" t="str">
        <f>IFERROR(__xludf.DUMMYFUNCTION("""COMPUTED_VALUE"""),"Carte di pagamento")</f>
        <v>Carte di pagamento</v>
      </c>
      <c r="M421" s="763"/>
      <c r="N421" s="763"/>
      <c r="O421" s="763">
        <f>IFERROR(__xludf.DUMMYFUNCTION("""COMPUTED_VALUE"""),0.0)</f>
        <v>0</v>
      </c>
      <c r="P421" s="767">
        <f>IFERROR(__xludf.DUMMYFUNCTION("""COMPUTED_VALUE"""),2.1666666666666665)</f>
        <v>2.166666667</v>
      </c>
      <c r="Q421" s="763" t="str">
        <f>IFERROR(__xludf.DUMMYFUNCTION("""COMPUTED_VALUE"""),"EUR")</f>
        <v>EUR</v>
      </c>
      <c r="R421" s="763">
        <f>IFERROR(__xludf.DUMMYFUNCTION("""COMPUTED_VALUE"""),868.0)</f>
        <v>868</v>
      </c>
      <c r="S421" s="763" t="str">
        <f>IFERROR(__xludf.DUMMYFUNCTION("""COMPUTED_VALUE"""),"Domeniche in movimento - Afroheels con Consuelo €15")</f>
        <v>Domeniche in movimento - Afroheels con Consuelo €15</v>
      </c>
      <c r="T421" s="763"/>
      <c r="U421" s="763"/>
      <c r="V421" s="763">
        <f>IFERROR(__xludf.DUMMYFUNCTION("""COMPUTED_VALUE"""),1.0)</f>
        <v>1</v>
      </c>
      <c r="W421" s="763">
        <f>IFERROR(__xludf.DUMMYFUNCTION("""COMPUTED_VALUE"""),15.0)</f>
        <v>15</v>
      </c>
      <c r="X421" s="763">
        <f>IFERROR(__xludf.DUMMYFUNCTION("""COMPUTED_VALUE"""),15.0)</f>
        <v>15</v>
      </c>
      <c r="Y421" s="763"/>
      <c r="Z421" s="768" t="str">
        <f>IFERROR(__xludf.DUMMYFUNCTION("""COMPUTED_VALUE"""),"https://studio-gem.it/wp-admin/post.php?post=65640&amp;action=edit")</f>
        <v>https://studio-gem.it/wp-admin/post.php?post=65640&amp;action=edit</v>
      </c>
      <c r="AA421" s="763"/>
      <c r="AB421" s="763"/>
      <c r="AC421" s="763"/>
      <c r="AD421" s="763"/>
      <c r="AE421" s="763"/>
      <c r="AF421" s="763"/>
      <c r="AG421" s="763"/>
      <c r="AH421" s="763"/>
      <c r="AI421" s="763"/>
      <c r="AJ421" s="763"/>
      <c r="AK421" s="763"/>
      <c r="AL421" s="763"/>
      <c r="AM421" s="763"/>
      <c r="AN421" s="763"/>
      <c r="AO421" s="763"/>
      <c r="AP421" s="763"/>
      <c r="AQ421" s="763"/>
      <c r="AR421" s="763"/>
      <c r="AS421" s="763"/>
      <c r="AT421" s="763"/>
      <c r="AU421" s="763"/>
      <c r="AV421" s="763"/>
      <c r="AW421" s="763"/>
      <c r="AX421" s="763"/>
      <c r="AY421" s="763"/>
      <c r="AZ421" s="763"/>
      <c r="BA421" s="763"/>
      <c r="BB421" s="763"/>
      <c r="BC421" s="763"/>
      <c r="BD421" s="763"/>
      <c r="BE421" s="763"/>
      <c r="BF421" s="763"/>
      <c r="BG421" s="763" t="b">
        <f>IFERROR(__xludf.DUMMYFUNCTION("""COMPUTED_VALUE"""),FALSE)</f>
        <v>0</v>
      </c>
      <c r="BH421" s="763" t="b">
        <f>IFERROR(__xludf.DUMMYFUNCTION("""COMPUTED_VALUE"""),FALSE)</f>
        <v>0</v>
      </c>
      <c r="BI421" s="763" t="b">
        <f>IFERROR(__xludf.DUMMYFUNCTION("""COMPUTED_VALUE"""),FALSE)</f>
        <v>0</v>
      </c>
      <c r="BJ421" s="763" t="b">
        <f>IFERROR(__xludf.DUMMYFUNCTION("""COMPUTED_VALUE"""),FALSE)</f>
        <v>0</v>
      </c>
    </row>
    <row r="422">
      <c r="A422" s="763">
        <f>IFERROR(__xludf.DUMMYFUNCTION("""COMPUTED_VALUE"""),65640.0)</f>
        <v>65640</v>
      </c>
      <c r="B422" s="763">
        <f>IFERROR(__xludf.DUMMYFUNCTION("""COMPUTED_VALUE"""),65640.0)</f>
        <v>65640</v>
      </c>
      <c r="C422" s="763" t="str">
        <f>IFERROR(__xludf.DUMMYFUNCTION("""COMPUTED_VALUE"""),"2025-10-29 13:49:22")</f>
        <v>2025-10-29 13:49:22</v>
      </c>
      <c r="D422" s="763" t="str">
        <f>IFERROR(__xludf.DUMMYFUNCTION("""COMPUTED_VALUE"""),"pending")</f>
        <v>pending</v>
      </c>
      <c r="E422" s="763" t="str">
        <f>IFERROR(__xludf.DUMMYFUNCTION("""COMPUTED_VALUE"""),"Lucia")</f>
        <v>Lucia</v>
      </c>
      <c r="F422" s="763" t="str">
        <f>IFERROR(__xludf.DUMMYFUNCTION("""COMPUTED_VALUE"""),"Brizzolara")</f>
        <v>Brizzolara</v>
      </c>
      <c r="G422" s="763" t="str">
        <f>IFERROR(__xludf.DUMMYFUNCTION("""COMPUTED_VALUE"""),"lu.brizzolara@gmail.com")</f>
        <v>lu.brizzolara@gmail.com</v>
      </c>
      <c r="H422" s="763">
        <f>IFERROR(__xludf.DUMMYFUNCTION("""COMPUTED_VALUE"""),3.387838344E9)</f>
        <v>3387838344</v>
      </c>
      <c r="I422" s="763" t="str">
        <f>IFERROR(__xludf.DUMMYFUNCTION("""COMPUTED_VALUE"""),"Como")</f>
        <v>Como</v>
      </c>
      <c r="J422" s="763" t="str">
        <f>IFERROR(__xludf.DUMMYFUNCTION("""COMPUTED_VALUE"""),"Via Morazzone 14")</f>
        <v>Via Morazzone 14</v>
      </c>
      <c r="K422" s="763">
        <f>IFERROR(__xludf.DUMMYFUNCTION("""COMPUTED_VALUE"""),22100.0)</f>
        <v>22100</v>
      </c>
      <c r="L422" s="763" t="str">
        <f>IFERROR(__xludf.DUMMYFUNCTION("""COMPUTED_VALUE"""),"Carte di pagamento")</f>
        <v>Carte di pagamento</v>
      </c>
      <c r="M422" s="763"/>
      <c r="N422" s="763"/>
      <c r="O422" s="763">
        <f>IFERROR(__xludf.DUMMYFUNCTION("""COMPUTED_VALUE"""),0.0)</f>
        <v>0</v>
      </c>
      <c r="P422" s="767">
        <f>IFERROR(__xludf.DUMMYFUNCTION("""COMPUTED_VALUE"""),2.1666666666666665)</f>
        <v>2.166666667</v>
      </c>
      <c r="Q422" s="763" t="str">
        <f>IFERROR(__xludf.DUMMYFUNCTION("""COMPUTED_VALUE"""),"EUR")</f>
        <v>EUR</v>
      </c>
      <c r="R422" s="763">
        <f>IFERROR(__xludf.DUMMYFUNCTION("""COMPUTED_VALUE"""),869.0)</f>
        <v>869</v>
      </c>
      <c r="S422" s="763" t="str">
        <f>IFERROR(__xludf.DUMMYFUNCTION("""COMPUTED_VALUE"""),"Workshop Heels con Deborah Esposito - Workshop Heels con Deborah Esposito")</f>
        <v>Workshop Heels con Deborah Esposito - Workshop Heels con Deborah Esposito</v>
      </c>
      <c r="T422" s="763"/>
      <c r="U422" s="763"/>
      <c r="V422" s="763">
        <f>IFERROR(__xludf.DUMMYFUNCTION("""COMPUTED_VALUE"""),1.0)</f>
        <v>1</v>
      </c>
      <c r="W422" s="763">
        <f>IFERROR(__xludf.DUMMYFUNCTION("""COMPUTED_VALUE"""),37.0)</f>
        <v>37</v>
      </c>
      <c r="X422" s="763">
        <f>IFERROR(__xludf.DUMMYFUNCTION("""COMPUTED_VALUE"""),37.0)</f>
        <v>37</v>
      </c>
      <c r="Y422" s="763"/>
      <c r="Z422" s="768" t="str">
        <f>IFERROR(__xludf.DUMMYFUNCTION("""COMPUTED_VALUE"""),"https://studio-gem.it/wp-admin/post.php?post=65640&amp;action=edit")</f>
        <v>https://studio-gem.it/wp-admin/post.php?post=65640&amp;action=edit</v>
      </c>
      <c r="AA422" s="763"/>
      <c r="AB422" s="763"/>
      <c r="AC422" s="763"/>
      <c r="AD422" s="763"/>
      <c r="AE422" s="763"/>
      <c r="AF422" s="763"/>
      <c r="AG422" s="763"/>
      <c r="AH422" s="763"/>
      <c r="AI422" s="763"/>
      <c r="AJ422" s="763"/>
      <c r="AK422" s="763"/>
      <c r="AL422" s="763"/>
      <c r="AM422" s="763"/>
      <c r="AN422" s="763"/>
      <c r="AO422" s="763"/>
      <c r="AP422" s="763"/>
      <c r="AQ422" s="763"/>
      <c r="AR422" s="763"/>
      <c r="AS422" s="763"/>
      <c r="AT422" s="763"/>
      <c r="AU422" s="763"/>
      <c r="AV422" s="763"/>
      <c r="AW422" s="763"/>
      <c r="AX422" s="763"/>
      <c r="AY422" s="763"/>
      <c r="AZ422" s="763"/>
      <c r="BA422" s="763"/>
      <c r="BB422" s="763"/>
      <c r="BC422" s="763"/>
      <c r="BD422" s="763"/>
      <c r="BE422" s="763"/>
      <c r="BF422" s="763"/>
      <c r="BG422" s="763" t="b">
        <f>IFERROR(__xludf.DUMMYFUNCTION("""COMPUTED_VALUE"""),FALSE)</f>
        <v>0</v>
      </c>
      <c r="BH422" s="763" t="b">
        <f>IFERROR(__xludf.DUMMYFUNCTION("""COMPUTED_VALUE"""),FALSE)</f>
        <v>0</v>
      </c>
      <c r="BI422" s="763" t="b">
        <f>IFERROR(__xludf.DUMMYFUNCTION("""COMPUTED_VALUE"""),FALSE)</f>
        <v>0</v>
      </c>
      <c r="BJ422" s="763" t="b">
        <f>IFERROR(__xludf.DUMMYFUNCTION("""COMPUTED_VALUE"""),FALSE)</f>
        <v>0</v>
      </c>
    </row>
    <row r="423">
      <c r="A423" s="763">
        <f>IFERROR(__xludf.DUMMYFUNCTION("""COMPUTED_VALUE"""),65641.0)</f>
        <v>65641</v>
      </c>
      <c r="B423" s="763">
        <f>IFERROR(__xludf.DUMMYFUNCTION("""COMPUTED_VALUE"""),65641.0)</f>
        <v>65641</v>
      </c>
      <c r="C423" s="763" t="str">
        <f>IFERROR(__xludf.DUMMYFUNCTION("""COMPUTED_VALUE"""),"2025-10-29 13:50:03")</f>
        <v>2025-10-29 13:50:03</v>
      </c>
      <c r="D423" s="763" t="str">
        <f>IFERROR(__xludf.DUMMYFUNCTION("""COMPUTED_VALUE"""),"completed")</f>
        <v>completed</v>
      </c>
      <c r="E423" s="763" t="str">
        <f>IFERROR(__xludf.DUMMYFUNCTION("""COMPUTED_VALUE"""),"Lucia")</f>
        <v>Lucia</v>
      </c>
      <c r="F423" s="763" t="str">
        <f>IFERROR(__xludf.DUMMYFUNCTION("""COMPUTED_VALUE"""),"Brizzolara")</f>
        <v>Brizzolara</v>
      </c>
      <c r="G423" s="763" t="str">
        <f>IFERROR(__xludf.DUMMYFUNCTION("""COMPUTED_VALUE"""),"lu.brizzolara@gmail.com")</f>
        <v>lu.brizzolara@gmail.com</v>
      </c>
      <c r="H423" s="763">
        <f>IFERROR(__xludf.DUMMYFUNCTION("""COMPUTED_VALUE"""),3.387838344E9)</f>
        <v>3387838344</v>
      </c>
      <c r="I423" s="763" t="str">
        <f>IFERROR(__xludf.DUMMYFUNCTION("""COMPUTED_VALUE"""),"Como")</f>
        <v>Como</v>
      </c>
      <c r="J423" s="763" t="str">
        <f>IFERROR(__xludf.DUMMYFUNCTION("""COMPUTED_VALUE"""),"Via Morazzone 14")</f>
        <v>Via Morazzone 14</v>
      </c>
      <c r="K423" s="763">
        <f>IFERROR(__xludf.DUMMYFUNCTION("""COMPUTED_VALUE"""),22100.0)</f>
        <v>22100</v>
      </c>
      <c r="L423" s="763" t="str">
        <f>IFERROR(__xludf.DUMMYFUNCTION("""COMPUTED_VALUE"""),"Carte di pagamento")</f>
        <v>Carte di pagamento</v>
      </c>
      <c r="M423" s="763" t="str">
        <f>IFERROR(__xludf.DUMMYFUNCTION("""COMPUTED_VALUE"""),"estefany02ws")</f>
        <v>estefany02ws</v>
      </c>
      <c r="N423" s="763" t="str">
        <f>IFERROR(__xludf.DUMMYFUNCTION("""COMPUTED_VALUE"""),"65641-1761745804")</f>
        <v>65641-1761745804</v>
      </c>
      <c r="O423" s="763">
        <f>IFERROR(__xludf.DUMMYFUNCTION("""COMPUTED_VALUE"""),0.0)</f>
        <v>0</v>
      </c>
      <c r="P423" s="767">
        <f>IFERROR(__xludf.DUMMYFUNCTION("""COMPUTED_VALUE"""),2.0833333333333335)</f>
        <v>2.083333333</v>
      </c>
      <c r="Q423" s="763" t="str">
        <f>IFERROR(__xludf.DUMMYFUNCTION("""COMPUTED_VALUE"""),"EUR")</f>
        <v>EUR</v>
      </c>
      <c r="R423" s="763">
        <f>IFERROR(__xludf.DUMMYFUNCTION("""COMPUTED_VALUE"""),870.0)</f>
        <v>870</v>
      </c>
      <c r="S423" s="763" t="str">
        <f>IFERROR(__xludf.DUMMYFUNCTION("""COMPUTED_VALUE"""),"Domeniche in movimento - Afroheels con Consuelo €15")</f>
        <v>Domeniche in movimento - Afroheels con Consuelo €15</v>
      </c>
      <c r="T423" s="763"/>
      <c r="U423" s="763"/>
      <c r="V423" s="763">
        <f>IFERROR(__xludf.DUMMYFUNCTION("""COMPUTED_VALUE"""),1.0)</f>
        <v>1</v>
      </c>
      <c r="W423" s="763">
        <f>IFERROR(__xludf.DUMMYFUNCTION("""COMPUTED_VALUE"""),14.0)</f>
        <v>14</v>
      </c>
      <c r="X423" s="763">
        <f>IFERROR(__xludf.DUMMYFUNCTION("""COMPUTED_VALUE"""),14.0)</f>
        <v>14</v>
      </c>
      <c r="Y423" s="763"/>
      <c r="Z423" s="768" t="str">
        <f>IFERROR(__xludf.DUMMYFUNCTION("""COMPUTED_VALUE"""),"https://studio-gem.it/wp-admin/post.php?post=65641&amp;action=edit")</f>
        <v>https://studio-gem.it/wp-admin/post.php?post=65641&amp;action=edit</v>
      </c>
      <c r="AA423" s="763"/>
      <c r="AB423" s="763"/>
      <c r="AC423" s="763"/>
      <c r="AD423" s="763"/>
      <c r="AE423" s="763"/>
      <c r="AF423" s="763"/>
      <c r="AG423" s="763"/>
      <c r="AH423" s="763"/>
      <c r="AI423" s="763"/>
      <c r="AJ423" s="763"/>
      <c r="AK423" s="763"/>
      <c r="AL423" s="763"/>
      <c r="AM423" s="763"/>
      <c r="AN423" s="763"/>
      <c r="AO423" s="763"/>
      <c r="AP423" s="763"/>
      <c r="AQ423" s="763"/>
      <c r="AR423" s="763"/>
      <c r="AS423" s="763"/>
      <c r="AT423" s="763"/>
      <c r="AU423" s="763"/>
      <c r="AV423" s="763"/>
      <c r="AW423" s="763"/>
      <c r="AX423" s="763"/>
      <c r="AY423" s="763"/>
      <c r="AZ423" s="763"/>
      <c r="BA423" s="763"/>
      <c r="BB423" s="763"/>
      <c r="BC423" s="763"/>
      <c r="BD423" s="763"/>
      <c r="BE423" s="763"/>
      <c r="BF423" s="763"/>
      <c r="BG423" s="763" t="b">
        <f>IFERROR(__xludf.DUMMYFUNCTION("""COMPUTED_VALUE"""),TRUE)</f>
        <v>1</v>
      </c>
      <c r="BH423" s="763" t="b">
        <f>IFERROR(__xludf.DUMMYFUNCTION("""COMPUTED_VALUE"""),FALSE)</f>
        <v>0</v>
      </c>
      <c r="BI423" s="763" t="b">
        <f>IFERROR(__xludf.DUMMYFUNCTION("""COMPUTED_VALUE"""),TRUE)</f>
        <v>1</v>
      </c>
      <c r="BJ423" s="763" t="b">
        <f>IFERROR(__xludf.DUMMYFUNCTION("""COMPUTED_VALUE"""),TRUE)</f>
        <v>1</v>
      </c>
    </row>
    <row r="424">
      <c r="A424" s="763">
        <f>IFERROR(__xludf.DUMMYFUNCTION("""COMPUTED_VALUE"""),65641.0)</f>
        <v>65641</v>
      </c>
      <c r="B424" s="763">
        <f>IFERROR(__xludf.DUMMYFUNCTION("""COMPUTED_VALUE"""),65641.0)</f>
        <v>65641</v>
      </c>
      <c r="C424" s="763" t="str">
        <f>IFERROR(__xludf.DUMMYFUNCTION("""COMPUTED_VALUE"""),"2025-10-29 13:50:03")</f>
        <v>2025-10-29 13:50:03</v>
      </c>
      <c r="D424" s="763" t="str">
        <f>IFERROR(__xludf.DUMMYFUNCTION("""COMPUTED_VALUE"""),"completed")</f>
        <v>completed</v>
      </c>
      <c r="E424" s="763" t="str">
        <f>IFERROR(__xludf.DUMMYFUNCTION("""COMPUTED_VALUE"""),"Lucia")</f>
        <v>Lucia</v>
      </c>
      <c r="F424" s="763" t="str">
        <f>IFERROR(__xludf.DUMMYFUNCTION("""COMPUTED_VALUE"""),"Brizzolara")</f>
        <v>Brizzolara</v>
      </c>
      <c r="G424" s="763" t="str">
        <f>IFERROR(__xludf.DUMMYFUNCTION("""COMPUTED_VALUE"""),"lu.brizzolara@gmail.com")</f>
        <v>lu.brizzolara@gmail.com</v>
      </c>
      <c r="H424" s="763">
        <f>IFERROR(__xludf.DUMMYFUNCTION("""COMPUTED_VALUE"""),3.387838344E9)</f>
        <v>3387838344</v>
      </c>
      <c r="I424" s="763" t="str">
        <f>IFERROR(__xludf.DUMMYFUNCTION("""COMPUTED_VALUE"""),"Como")</f>
        <v>Como</v>
      </c>
      <c r="J424" s="763" t="str">
        <f>IFERROR(__xludf.DUMMYFUNCTION("""COMPUTED_VALUE"""),"Via Morazzone 14")</f>
        <v>Via Morazzone 14</v>
      </c>
      <c r="K424" s="763">
        <f>IFERROR(__xludf.DUMMYFUNCTION("""COMPUTED_VALUE"""),22100.0)</f>
        <v>22100</v>
      </c>
      <c r="L424" s="763" t="str">
        <f>IFERROR(__xludf.DUMMYFUNCTION("""COMPUTED_VALUE"""),"Carte di pagamento")</f>
        <v>Carte di pagamento</v>
      </c>
      <c r="M424" s="763" t="str">
        <f>IFERROR(__xludf.DUMMYFUNCTION("""COMPUTED_VALUE"""),"estefany02ws")</f>
        <v>estefany02ws</v>
      </c>
      <c r="N424" s="763" t="str">
        <f>IFERROR(__xludf.DUMMYFUNCTION("""COMPUTED_VALUE"""),"65641-1761745804")</f>
        <v>65641-1761745804</v>
      </c>
      <c r="O424" s="763">
        <f>IFERROR(__xludf.DUMMYFUNCTION("""COMPUTED_VALUE"""),0.0)</f>
        <v>0</v>
      </c>
      <c r="P424" s="767">
        <f>IFERROR(__xludf.DUMMYFUNCTION("""COMPUTED_VALUE"""),2.0833333333333335)</f>
        <v>2.083333333</v>
      </c>
      <c r="Q424" s="763" t="str">
        <f>IFERROR(__xludf.DUMMYFUNCTION("""COMPUTED_VALUE"""),"EUR")</f>
        <v>EUR</v>
      </c>
      <c r="R424" s="763">
        <f>IFERROR(__xludf.DUMMYFUNCTION("""COMPUTED_VALUE"""),871.0)</f>
        <v>871</v>
      </c>
      <c r="S424" s="763" t="str">
        <f>IFERROR(__xludf.DUMMYFUNCTION("""COMPUTED_VALUE"""),"Workshop Heels con Deborah Esposito - Workshop Heels con Deborah Esposito")</f>
        <v>Workshop Heels con Deborah Esposito - Workshop Heels con Deborah Esposito</v>
      </c>
      <c r="T424" s="763"/>
      <c r="U424" s="763"/>
      <c r="V424" s="763">
        <f>IFERROR(__xludf.DUMMYFUNCTION("""COMPUTED_VALUE"""),1.0)</f>
        <v>1</v>
      </c>
      <c r="W424" s="763">
        <f>IFERROR(__xludf.DUMMYFUNCTION("""COMPUTED_VALUE"""),36.0)</f>
        <v>36</v>
      </c>
      <c r="X424" s="763">
        <f>IFERROR(__xludf.DUMMYFUNCTION("""COMPUTED_VALUE"""),36.0)</f>
        <v>36</v>
      </c>
      <c r="Y424" s="763"/>
      <c r="Z424" s="768" t="str">
        <f>IFERROR(__xludf.DUMMYFUNCTION("""COMPUTED_VALUE"""),"https://studio-gem.it/wp-admin/post.php?post=65641&amp;action=edit")</f>
        <v>https://studio-gem.it/wp-admin/post.php?post=65641&amp;action=edit</v>
      </c>
      <c r="AA424" s="763"/>
      <c r="AB424" s="763"/>
      <c r="AC424" s="763"/>
      <c r="AD424" s="763"/>
      <c r="AE424" s="763"/>
      <c r="AF424" s="763"/>
      <c r="AG424" s="763"/>
      <c r="AH424" s="763"/>
      <c r="AI424" s="763"/>
      <c r="AJ424" s="763"/>
      <c r="AK424" s="763"/>
      <c r="AL424" s="763"/>
      <c r="AM424" s="763"/>
      <c r="AN424" s="763"/>
      <c r="AO424" s="763"/>
      <c r="AP424" s="763"/>
      <c r="AQ424" s="763"/>
      <c r="AR424" s="763"/>
      <c r="AS424" s="763"/>
      <c r="AT424" s="763"/>
      <c r="AU424" s="763"/>
      <c r="AV424" s="763"/>
      <c r="AW424" s="763"/>
      <c r="AX424" s="763"/>
      <c r="AY424" s="763"/>
      <c r="AZ424" s="763"/>
      <c r="BA424" s="763"/>
      <c r="BB424" s="763"/>
      <c r="BC424" s="763"/>
      <c r="BD424" s="763"/>
      <c r="BE424" s="763"/>
      <c r="BF424" s="763"/>
      <c r="BG424" s="763" t="b">
        <f>IFERROR(__xludf.DUMMYFUNCTION("""COMPUTED_VALUE"""),TRUE)</f>
        <v>1</v>
      </c>
      <c r="BH424" s="763" t="b">
        <f>IFERROR(__xludf.DUMMYFUNCTION("""COMPUTED_VALUE"""),FALSE)</f>
        <v>0</v>
      </c>
      <c r="BI424" s="763" t="b">
        <f>IFERROR(__xludf.DUMMYFUNCTION("""COMPUTED_VALUE"""),TRUE)</f>
        <v>1</v>
      </c>
      <c r="BJ424" s="763" t="b">
        <f>IFERROR(__xludf.DUMMYFUNCTION("""COMPUTED_VALUE"""),TRUE)</f>
        <v>1</v>
      </c>
    </row>
    <row r="425">
      <c r="A425" s="763">
        <f>IFERROR(__xludf.DUMMYFUNCTION("""COMPUTED_VALUE"""),65669.0)</f>
        <v>65669</v>
      </c>
      <c r="B425" s="763">
        <f>IFERROR(__xludf.DUMMYFUNCTION("""COMPUTED_VALUE"""),65669.0)</f>
        <v>65669</v>
      </c>
      <c r="C425" s="763" t="str">
        <f>IFERROR(__xludf.DUMMYFUNCTION("""COMPUTED_VALUE"""),"2025-10-29 16:17:02")</f>
        <v>2025-10-29 16:17:02</v>
      </c>
      <c r="D425" s="763" t="str">
        <f>IFERROR(__xludf.DUMMYFUNCTION("""COMPUTED_VALUE"""),"completed")</f>
        <v>completed</v>
      </c>
      <c r="E425" s="763" t="str">
        <f>IFERROR(__xludf.DUMMYFUNCTION("""COMPUTED_VALUE"""),"Lara")</f>
        <v>Lara</v>
      </c>
      <c r="F425" s="763" t="str">
        <f>IFERROR(__xludf.DUMMYFUNCTION("""COMPUTED_VALUE"""),"Martella")</f>
        <v>Martella</v>
      </c>
      <c r="G425" s="763" t="str">
        <f>IFERROR(__xludf.DUMMYFUNCTION("""COMPUTED_VALUE"""),"lara.martella24@gmail.com")</f>
        <v>lara.martella24@gmail.com</v>
      </c>
      <c r="H425" s="763">
        <f>IFERROR(__xludf.DUMMYFUNCTION("""COMPUTED_VALUE"""),3.756793687E9)</f>
        <v>3756793687</v>
      </c>
      <c r="I425" s="763" t="str">
        <f>IFERROR(__xludf.DUMMYFUNCTION("""COMPUTED_VALUE"""),"Milano")</f>
        <v>Milano</v>
      </c>
      <c r="J425" s="763" t="str">
        <f>IFERROR(__xludf.DUMMYFUNCTION("""COMPUTED_VALUE"""),"Viale Gran Sasso 23")</f>
        <v>Viale Gran Sasso 23</v>
      </c>
      <c r="K425" s="763">
        <f>IFERROR(__xludf.DUMMYFUNCTION("""COMPUTED_VALUE"""),20131.0)</f>
        <v>20131</v>
      </c>
      <c r="L425" s="763" t="str">
        <f>IFERROR(__xludf.DUMMYFUNCTION("""COMPUTED_VALUE"""),"Apple Pay")</f>
        <v>Apple Pay</v>
      </c>
      <c r="M425" s="763"/>
      <c r="N425" s="763" t="str">
        <f>IFERROR(__xludf.DUMMYFUNCTION("""COMPUTED_VALUE"""),"65669-1761754623")</f>
        <v>65669-1761754623</v>
      </c>
      <c r="O425" s="763">
        <f>IFERROR(__xludf.DUMMYFUNCTION("""COMPUTED_VALUE"""),0.0)</f>
        <v>0</v>
      </c>
      <c r="P425" s="767">
        <f>IFERROR(__xludf.DUMMYFUNCTION("""COMPUTED_VALUE"""),1.5416666666666667)</f>
        <v>1.541666667</v>
      </c>
      <c r="Q425" s="763" t="str">
        <f>IFERROR(__xludf.DUMMYFUNCTION("""COMPUTED_VALUE"""),"EUR")</f>
        <v>EUR</v>
      </c>
      <c r="R425" s="763">
        <f>IFERROR(__xludf.DUMMYFUNCTION("""COMPUTED_VALUE"""),873.0)</f>
        <v>873</v>
      </c>
      <c r="S425" s="763" t="str">
        <f>IFERROR(__xludf.DUMMYFUNCTION("""COMPUTED_VALUE"""),"Workshop Urban con Kumo - Workshop Kumo Urban")</f>
        <v>Workshop Urban con Kumo - Workshop Kumo Urban</v>
      </c>
      <c r="T425" s="763"/>
      <c r="U425" s="763"/>
      <c r="V425" s="763">
        <f>IFERROR(__xludf.DUMMYFUNCTION("""COMPUTED_VALUE"""),1.0)</f>
        <v>1</v>
      </c>
      <c r="W425" s="763">
        <f>IFERROR(__xludf.DUMMYFUNCTION("""COMPUTED_VALUE"""),37.0)</f>
        <v>37</v>
      </c>
      <c r="X425" s="763">
        <f>IFERROR(__xludf.DUMMYFUNCTION("""COMPUTED_VALUE"""),37.0)</f>
        <v>37</v>
      </c>
      <c r="Y425" s="763"/>
      <c r="Z425" s="768" t="str">
        <f>IFERROR(__xludf.DUMMYFUNCTION("""COMPUTED_VALUE"""),"https://studio-gem.it/wp-admin/post.php?post=65669&amp;action=edit")</f>
        <v>https://studio-gem.it/wp-admin/post.php?post=65669&amp;action=edit</v>
      </c>
      <c r="AA425" s="763"/>
      <c r="AB425" s="763"/>
      <c r="AC425" s="763"/>
      <c r="AD425" s="763"/>
      <c r="AE425" s="763"/>
      <c r="AF425" s="763"/>
      <c r="AG425" s="763"/>
      <c r="AH425" s="763"/>
      <c r="AI425" s="763"/>
      <c r="AJ425" s="763"/>
      <c r="AK425" s="763"/>
      <c r="AL425" s="763"/>
      <c r="AM425" s="763"/>
      <c r="AN425" s="763"/>
      <c r="AO425" s="763"/>
      <c r="AP425" s="763"/>
      <c r="AQ425" s="763"/>
      <c r="AR425" s="763"/>
      <c r="AS425" s="763"/>
      <c r="AT425" s="763"/>
      <c r="AU425" s="763"/>
      <c r="AV425" s="763"/>
      <c r="AW425" s="763"/>
      <c r="AX425" s="763"/>
      <c r="AY425" s="763"/>
      <c r="AZ425" s="763"/>
      <c r="BA425" s="763"/>
      <c r="BB425" s="763"/>
      <c r="BC425" s="763"/>
      <c r="BD425" s="763"/>
      <c r="BE425" s="763"/>
      <c r="BF425" s="763"/>
      <c r="BG425" s="763" t="b">
        <f>IFERROR(__xludf.DUMMYFUNCTION("""COMPUTED_VALUE"""),TRUE)</f>
        <v>1</v>
      </c>
      <c r="BH425" s="763" t="b">
        <f>IFERROR(__xludf.DUMMYFUNCTION("""COMPUTED_VALUE"""),FALSE)</f>
        <v>0</v>
      </c>
      <c r="BI425" s="763" t="b">
        <f>IFERROR(__xludf.DUMMYFUNCTION("""COMPUTED_VALUE"""),TRUE)</f>
        <v>1</v>
      </c>
      <c r="BJ425" s="763" t="b">
        <f>IFERROR(__xludf.DUMMYFUNCTION("""COMPUTED_VALUE"""),TRUE)</f>
        <v>1</v>
      </c>
    </row>
    <row r="426">
      <c r="A426" s="763">
        <f>IFERROR(__xludf.DUMMYFUNCTION("""COMPUTED_VALUE"""),65671.0)</f>
        <v>65671</v>
      </c>
      <c r="B426" s="763">
        <f>IFERROR(__xludf.DUMMYFUNCTION("""COMPUTED_VALUE"""),65671.0)</f>
        <v>65671</v>
      </c>
      <c r="C426" s="763" t="str">
        <f>IFERROR(__xludf.DUMMYFUNCTION("""COMPUTED_VALUE"""),"2025-10-29 17:09:33")</f>
        <v>2025-10-29 17:09:33</v>
      </c>
      <c r="D426" s="763" t="str">
        <f>IFERROR(__xludf.DUMMYFUNCTION("""COMPUTED_VALUE"""),"processing")</f>
        <v>processing</v>
      </c>
      <c r="E426" s="763" t="str">
        <f>IFERROR(__xludf.DUMMYFUNCTION("""COMPUTED_VALUE"""),"Gaia")</f>
        <v>Gaia</v>
      </c>
      <c r="F426" s="763" t="str">
        <f>IFERROR(__xludf.DUMMYFUNCTION("""COMPUTED_VALUE"""),"Cappuccino")</f>
        <v>Cappuccino</v>
      </c>
      <c r="G426" s="763" t="str">
        <f>IFERROR(__xludf.DUMMYFUNCTION("""COMPUTED_VALUE"""),"gaia.cappuccino@hotmail.it")</f>
        <v>gaia.cappuccino@hotmail.it</v>
      </c>
      <c r="H426" s="763">
        <f>IFERROR(__xludf.DUMMYFUNCTION("""COMPUTED_VALUE"""),3.496239749E9)</f>
        <v>3496239749</v>
      </c>
      <c r="I426" s="763" t="str">
        <f>IFERROR(__xludf.DUMMYFUNCTION("""COMPUTED_VALUE"""),"Milano")</f>
        <v>Milano</v>
      </c>
      <c r="J426" s="763" t="str">
        <f>IFERROR(__xludf.DUMMYFUNCTION("""COMPUTED_VALUE"""),"Via Crema, 2")</f>
        <v>Via Crema, 2</v>
      </c>
      <c r="K426" s="763">
        <f>IFERROR(__xludf.DUMMYFUNCTION("""COMPUTED_VALUE"""),20135.0)</f>
        <v>20135</v>
      </c>
      <c r="L426" s="763" t="str">
        <f>IFERROR(__xludf.DUMMYFUNCTION("""COMPUTED_VALUE"""),"Carte di pagamento")</f>
        <v>Carte di pagamento</v>
      </c>
      <c r="M426" s="763"/>
      <c r="N426" s="763" t="str">
        <f>IFERROR(__xludf.DUMMYFUNCTION("""COMPUTED_VALUE"""),"65671-1761757774")</f>
        <v>65671-1761757774</v>
      </c>
      <c r="O426" s="763">
        <f>IFERROR(__xludf.DUMMYFUNCTION("""COMPUTED_VALUE"""),0.0)</f>
        <v>0</v>
      </c>
      <c r="P426" s="767">
        <f>IFERROR(__xludf.DUMMYFUNCTION("""COMPUTED_VALUE"""),0.625)</f>
        <v>0.625</v>
      </c>
      <c r="Q426" s="763" t="str">
        <f>IFERROR(__xludf.DUMMYFUNCTION("""COMPUTED_VALUE"""),"EUR")</f>
        <v>EUR</v>
      </c>
      <c r="R426" s="763">
        <f>IFERROR(__xludf.DUMMYFUNCTION("""COMPUTED_VALUE"""),874.0)</f>
        <v>874</v>
      </c>
      <c r="S426" s="763" t="str">
        <f>IFERROR(__xludf.DUMMYFUNCTION("""COMPUTED_VALUE"""),"Domeniche in movimento - Gratuito per open fitness e open mattino 1 lezione dalle 11 alle 11.50")</f>
        <v>Domeniche in movimento - Gratuito per open fitness e open mattino 1 lezione dalle 11 alle 11.50</v>
      </c>
      <c r="T426" s="763"/>
      <c r="U426" s="763"/>
      <c r="V426" s="763">
        <f>IFERROR(__xludf.DUMMYFUNCTION("""COMPUTED_VALUE"""),1.0)</f>
        <v>1</v>
      </c>
      <c r="W426" s="763">
        <f>IFERROR(__xludf.DUMMYFUNCTION("""COMPUTED_VALUE"""),0.0)</f>
        <v>0</v>
      </c>
      <c r="X426" s="763">
        <f>IFERROR(__xludf.DUMMYFUNCTION("""COMPUTED_VALUE"""),0.0)</f>
        <v>0</v>
      </c>
      <c r="Y426" s="763"/>
      <c r="Z426" s="768" t="str">
        <f>IFERROR(__xludf.DUMMYFUNCTION("""COMPUTED_VALUE"""),"https://studio-gem.it/wp-admin/post.php?post=65671&amp;action=edit")</f>
        <v>https://studio-gem.it/wp-admin/post.php?post=65671&amp;action=edit</v>
      </c>
      <c r="AA426" s="763"/>
      <c r="AB426" s="763"/>
      <c r="AC426" s="763"/>
      <c r="AD426" s="763"/>
      <c r="AE426" s="763"/>
      <c r="AF426" s="763"/>
      <c r="AG426" s="763"/>
      <c r="AH426" s="763"/>
      <c r="AI426" s="763"/>
      <c r="AJ426" s="763"/>
      <c r="AK426" s="763"/>
      <c r="AL426" s="763"/>
      <c r="AM426" s="763"/>
      <c r="AN426" s="763"/>
      <c r="AO426" s="763"/>
      <c r="AP426" s="763"/>
      <c r="AQ426" s="763"/>
      <c r="AR426" s="763"/>
      <c r="AS426" s="763"/>
      <c r="AT426" s="763"/>
      <c r="AU426" s="763"/>
      <c r="AV426" s="763"/>
      <c r="AW426" s="763"/>
      <c r="AX426" s="763"/>
      <c r="AY426" s="763"/>
      <c r="AZ426" s="763"/>
      <c r="BA426" s="763"/>
      <c r="BB426" s="763"/>
      <c r="BC426" s="763"/>
      <c r="BD426" s="763"/>
      <c r="BE426" s="763"/>
      <c r="BF426" s="763"/>
      <c r="BG426" s="763" t="b">
        <f>IFERROR(__xludf.DUMMYFUNCTION("""COMPUTED_VALUE"""),FALSE)</f>
        <v>0</v>
      </c>
      <c r="BH426" s="763" t="b">
        <f>IFERROR(__xludf.DUMMYFUNCTION("""COMPUTED_VALUE"""),FALSE)</f>
        <v>0</v>
      </c>
      <c r="BI426" s="763" t="b">
        <f>IFERROR(__xludf.DUMMYFUNCTION("""COMPUTED_VALUE"""),FALSE)</f>
        <v>0</v>
      </c>
      <c r="BJ426" s="763" t="b">
        <f>IFERROR(__xludf.DUMMYFUNCTION("""COMPUTED_VALUE"""),FALSE)</f>
        <v>0</v>
      </c>
    </row>
    <row r="427">
      <c r="A427" s="763">
        <f>IFERROR(__xludf.DUMMYFUNCTION("""COMPUTED_VALUE"""),65671.0)</f>
        <v>65671</v>
      </c>
      <c r="B427" s="763">
        <f>IFERROR(__xludf.DUMMYFUNCTION("""COMPUTED_VALUE"""),65671.0)</f>
        <v>65671</v>
      </c>
      <c r="C427" s="763" t="str">
        <f>IFERROR(__xludf.DUMMYFUNCTION("""COMPUTED_VALUE"""),"2025-10-29 17:09:33")</f>
        <v>2025-10-29 17:09:33</v>
      </c>
      <c r="D427" s="763" t="str">
        <f>IFERROR(__xludf.DUMMYFUNCTION("""COMPUTED_VALUE"""),"processing")</f>
        <v>processing</v>
      </c>
      <c r="E427" s="763" t="str">
        <f>IFERROR(__xludf.DUMMYFUNCTION("""COMPUTED_VALUE"""),"Gaia")</f>
        <v>Gaia</v>
      </c>
      <c r="F427" s="763" t="str">
        <f>IFERROR(__xludf.DUMMYFUNCTION("""COMPUTED_VALUE"""),"Cappuccino")</f>
        <v>Cappuccino</v>
      </c>
      <c r="G427" s="763" t="str">
        <f>IFERROR(__xludf.DUMMYFUNCTION("""COMPUTED_VALUE"""),"gaia.cappuccino@hotmail.it")</f>
        <v>gaia.cappuccino@hotmail.it</v>
      </c>
      <c r="H427" s="763">
        <f>IFERROR(__xludf.DUMMYFUNCTION("""COMPUTED_VALUE"""),3.496239749E9)</f>
        <v>3496239749</v>
      </c>
      <c r="I427" s="763" t="str">
        <f>IFERROR(__xludf.DUMMYFUNCTION("""COMPUTED_VALUE"""),"Milano")</f>
        <v>Milano</v>
      </c>
      <c r="J427" s="763" t="str">
        <f>IFERROR(__xludf.DUMMYFUNCTION("""COMPUTED_VALUE"""),"Via Crema, 2")</f>
        <v>Via Crema, 2</v>
      </c>
      <c r="K427" s="763">
        <f>IFERROR(__xludf.DUMMYFUNCTION("""COMPUTED_VALUE"""),20135.0)</f>
        <v>20135</v>
      </c>
      <c r="L427" s="763" t="str">
        <f>IFERROR(__xludf.DUMMYFUNCTION("""COMPUTED_VALUE"""),"Carte di pagamento")</f>
        <v>Carte di pagamento</v>
      </c>
      <c r="M427" s="763"/>
      <c r="N427" s="763" t="str">
        <f>IFERROR(__xludf.DUMMYFUNCTION("""COMPUTED_VALUE"""),"65671-1761757774")</f>
        <v>65671-1761757774</v>
      </c>
      <c r="O427" s="763">
        <f>IFERROR(__xludf.DUMMYFUNCTION("""COMPUTED_VALUE"""),0.0)</f>
        <v>0</v>
      </c>
      <c r="P427" s="767">
        <f>IFERROR(__xludf.DUMMYFUNCTION("""COMPUTED_VALUE"""),0.625)</f>
        <v>0.625</v>
      </c>
      <c r="Q427" s="763" t="str">
        <f>IFERROR(__xludf.DUMMYFUNCTION("""COMPUTED_VALUE"""),"EUR")</f>
        <v>EUR</v>
      </c>
      <c r="R427" s="763">
        <f>IFERROR(__xludf.DUMMYFUNCTION("""COMPUTED_VALUE"""),875.0)</f>
        <v>875</v>
      </c>
      <c r="S427" s="763" t="str">
        <f>IFERROR(__xludf.DUMMYFUNCTION("""COMPUTED_VALUE"""),"Domeniche in movimento - Afroheels con Consuelo €15")</f>
        <v>Domeniche in movimento - Afroheels con Consuelo €15</v>
      </c>
      <c r="T427" s="763"/>
      <c r="U427" s="763"/>
      <c r="V427" s="763">
        <f>IFERROR(__xludf.DUMMYFUNCTION("""COMPUTED_VALUE"""),1.0)</f>
        <v>1</v>
      </c>
      <c r="W427" s="763">
        <f>IFERROR(__xludf.DUMMYFUNCTION("""COMPUTED_VALUE"""),15.0)</f>
        <v>15</v>
      </c>
      <c r="X427" s="763">
        <f>IFERROR(__xludf.DUMMYFUNCTION("""COMPUTED_VALUE"""),15.0)</f>
        <v>15</v>
      </c>
      <c r="Y427" s="763"/>
      <c r="Z427" s="768" t="str">
        <f>IFERROR(__xludf.DUMMYFUNCTION("""COMPUTED_VALUE"""),"https://studio-gem.it/wp-admin/post.php?post=65671&amp;action=edit")</f>
        <v>https://studio-gem.it/wp-admin/post.php?post=65671&amp;action=edit</v>
      </c>
      <c r="AA427" s="763"/>
      <c r="AB427" s="763"/>
      <c r="AC427" s="763"/>
      <c r="AD427" s="763"/>
      <c r="AE427" s="763"/>
      <c r="AF427" s="763"/>
      <c r="AG427" s="763"/>
      <c r="AH427" s="763"/>
      <c r="AI427" s="763"/>
      <c r="AJ427" s="763"/>
      <c r="AK427" s="763"/>
      <c r="AL427" s="763"/>
      <c r="AM427" s="763"/>
      <c r="AN427" s="763"/>
      <c r="AO427" s="763"/>
      <c r="AP427" s="763"/>
      <c r="AQ427" s="763"/>
      <c r="AR427" s="763"/>
      <c r="AS427" s="763"/>
      <c r="AT427" s="763"/>
      <c r="AU427" s="763"/>
      <c r="AV427" s="763"/>
      <c r="AW427" s="763"/>
      <c r="AX427" s="763"/>
      <c r="AY427" s="763"/>
      <c r="AZ427" s="763"/>
      <c r="BA427" s="763"/>
      <c r="BB427" s="763"/>
      <c r="BC427" s="763"/>
      <c r="BD427" s="763"/>
      <c r="BE427" s="763"/>
      <c r="BF427" s="763"/>
      <c r="BG427" s="763" t="b">
        <f>IFERROR(__xludf.DUMMYFUNCTION("""COMPUTED_VALUE"""),FALSE)</f>
        <v>0</v>
      </c>
      <c r="BH427" s="763" t="b">
        <f>IFERROR(__xludf.DUMMYFUNCTION("""COMPUTED_VALUE"""),FALSE)</f>
        <v>0</v>
      </c>
      <c r="BI427" s="763" t="b">
        <f>IFERROR(__xludf.DUMMYFUNCTION("""COMPUTED_VALUE"""),FALSE)</f>
        <v>0</v>
      </c>
      <c r="BJ427" s="763" t="b">
        <f>IFERROR(__xludf.DUMMYFUNCTION("""COMPUTED_VALUE"""),FALSE)</f>
        <v>0</v>
      </c>
    </row>
    <row r="428">
      <c r="A428" s="763">
        <f>IFERROR(__xludf.DUMMYFUNCTION("""COMPUTED_VALUE"""),65673.0)</f>
        <v>65673</v>
      </c>
      <c r="B428" s="763">
        <f>IFERROR(__xludf.DUMMYFUNCTION("""COMPUTED_VALUE"""),65673.0)</f>
        <v>65673</v>
      </c>
      <c r="C428" s="763" t="str">
        <f>IFERROR(__xludf.DUMMYFUNCTION("""COMPUTED_VALUE"""),"2025-10-29 22:52:05")</f>
        <v>2025-10-29 22:52:05</v>
      </c>
      <c r="D428" s="763" t="str">
        <f>IFERROR(__xludf.DUMMYFUNCTION("""COMPUTED_VALUE"""),"completed")</f>
        <v>completed</v>
      </c>
      <c r="E428" s="763" t="str">
        <f>IFERROR(__xludf.DUMMYFUNCTION("""COMPUTED_VALUE"""),"Sofia")</f>
        <v>Sofia</v>
      </c>
      <c r="F428" s="763" t="str">
        <f>IFERROR(__xludf.DUMMYFUNCTION("""COMPUTED_VALUE"""),"Derivi")</f>
        <v>Derivi</v>
      </c>
      <c r="G428" s="763" t="str">
        <f>IFERROR(__xludf.DUMMYFUNCTION("""COMPUTED_VALUE"""),"sofiaderivi04@gmail.com")</f>
        <v>sofiaderivi04@gmail.com</v>
      </c>
      <c r="H428" s="763">
        <f>IFERROR(__xludf.DUMMYFUNCTION("""COMPUTED_VALUE"""),3.343116824E9)</f>
        <v>3343116824</v>
      </c>
      <c r="I428" s="763" t="str">
        <f>IFERROR(__xludf.DUMMYFUNCTION("""COMPUTED_VALUE"""),"Cesano Maderno")</f>
        <v>Cesano Maderno</v>
      </c>
      <c r="J428" s="763" t="str">
        <f>IFERROR(__xludf.DUMMYFUNCTION("""COMPUTED_VALUE"""),"via padre boga 10")</f>
        <v>via padre boga 10</v>
      </c>
      <c r="K428" s="763">
        <f>IFERROR(__xludf.DUMMYFUNCTION("""COMPUTED_VALUE"""),20811.0)</f>
        <v>20811</v>
      </c>
      <c r="L428" s="763" t="str">
        <f>IFERROR(__xludf.DUMMYFUNCTION("""COMPUTED_VALUE"""),"Apple Pay")</f>
        <v>Apple Pay</v>
      </c>
      <c r="M428" s="763"/>
      <c r="N428" s="763" t="str">
        <f>IFERROR(__xludf.DUMMYFUNCTION("""COMPUTED_VALUE"""),"65673-1761778326")</f>
        <v>65673-1761778326</v>
      </c>
      <c r="O428" s="763">
        <f>IFERROR(__xludf.DUMMYFUNCTION("""COMPUTED_VALUE"""),0.0)</f>
        <v>0</v>
      </c>
      <c r="P428" s="767">
        <f>IFERROR(__xludf.DUMMYFUNCTION("""COMPUTED_VALUE"""),1.5416666666666667)</f>
        <v>1.541666667</v>
      </c>
      <c r="Q428" s="763" t="str">
        <f>IFERROR(__xludf.DUMMYFUNCTION("""COMPUTED_VALUE"""),"EUR")</f>
        <v>EUR</v>
      </c>
      <c r="R428" s="763">
        <f>IFERROR(__xludf.DUMMYFUNCTION("""COMPUTED_VALUE"""),876.0)</f>
        <v>876</v>
      </c>
      <c r="S428" s="763" t="str">
        <f>IFERROR(__xludf.DUMMYFUNCTION("""COMPUTED_VALUE"""),"Workshop Heels con Deborah Esposito - Workshop Heels con Deborah Esposito")</f>
        <v>Workshop Heels con Deborah Esposito - Workshop Heels con Deborah Esposito</v>
      </c>
      <c r="T428" s="763"/>
      <c r="U428" s="763"/>
      <c r="V428" s="763">
        <f>IFERROR(__xludf.DUMMYFUNCTION("""COMPUTED_VALUE"""),1.0)</f>
        <v>1</v>
      </c>
      <c r="W428" s="763">
        <f>IFERROR(__xludf.DUMMYFUNCTION("""COMPUTED_VALUE"""),37.0)</f>
        <v>37</v>
      </c>
      <c r="X428" s="763">
        <f>IFERROR(__xludf.DUMMYFUNCTION("""COMPUTED_VALUE"""),37.0)</f>
        <v>37</v>
      </c>
      <c r="Y428" s="763"/>
      <c r="Z428" s="768" t="str">
        <f>IFERROR(__xludf.DUMMYFUNCTION("""COMPUTED_VALUE"""),"https://studio-gem.it/wp-admin/post.php?post=65673&amp;action=edit")</f>
        <v>https://studio-gem.it/wp-admin/post.php?post=65673&amp;action=edit</v>
      </c>
      <c r="AA428" s="763"/>
      <c r="AB428" s="763"/>
      <c r="AC428" s="763"/>
      <c r="AD428" s="763"/>
      <c r="AE428" s="763"/>
      <c r="AF428" s="763"/>
      <c r="AG428" s="763"/>
      <c r="AH428" s="763"/>
      <c r="AI428" s="763"/>
      <c r="AJ428" s="763"/>
      <c r="AK428" s="763"/>
      <c r="AL428" s="763"/>
      <c r="AM428" s="763"/>
      <c r="AN428" s="763"/>
      <c r="AO428" s="763"/>
      <c r="AP428" s="763"/>
      <c r="AQ428" s="763"/>
      <c r="AR428" s="763"/>
      <c r="AS428" s="763"/>
      <c r="AT428" s="763"/>
      <c r="AU428" s="763"/>
      <c r="AV428" s="763"/>
      <c r="AW428" s="763"/>
      <c r="AX428" s="763"/>
      <c r="AY428" s="763"/>
      <c r="AZ428" s="763"/>
      <c r="BA428" s="763"/>
      <c r="BB428" s="763"/>
      <c r="BC428" s="763"/>
      <c r="BD428" s="763"/>
      <c r="BE428" s="763"/>
      <c r="BF428" s="763"/>
      <c r="BG428" s="763" t="b">
        <f>IFERROR(__xludf.DUMMYFUNCTION("""COMPUTED_VALUE"""),TRUE)</f>
        <v>1</v>
      </c>
      <c r="BH428" s="763" t="b">
        <f>IFERROR(__xludf.DUMMYFUNCTION("""COMPUTED_VALUE"""),FALSE)</f>
        <v>0</v>
      </c>
      <c r="BI428" s="763" t="b">
        <f>IFERROR(__xludf.DUMMYFUNCTION("""COMPUTED_VALUE"""),TRUE)</f>
        <v>1</v>
      </c>
      <c r="BJ428" s="763" t="b">
        <f>IFERROR(__xludf.DUMMYFUNCTION("""COMPUTED_VALUE"""),TRUE)</f>
        <v>1</v>
      </c>
    </row>
    <row r="429">
      <c r="A429" s="763">
        <f>IFERROR(__xludf.DUMMYFUNCTION("""COMPUTED_VALUE"""),65675.0)</f>
        <v>65675</v>
      </c>
      <c r="B429" s="763">
        <f>IFERROR(__xludf.DUMMYFUNCTION("""COMPUTED_VALUE"""),65675.0)</f>
        <v>65675</v>
      </c>
      <c r="C429" s="763" t="str">
        <f>IFERROR(__xludf.DUMMYFUNCTION("""COMPUTED_VALUE"""),"2025-10-30 11:00:04")</f>
        <v>2025-10-30 11:00:04</v>
      </c>
      <c r="D429" s="763" t="str">
        <f>IFERROR(__xludf.DUMMYFUNCTION("""COMPUTED_VALUE"""),"pending")</f>
        <v>pending</v>
      </c>
      <c r="E429" s="763" t="str">
        <f>IFERROR(__xludf.DUMMYFUNCTION("""COMPUTED_VALUE"""),"Serena")</f>
        <v>Serena</v>
      </c>
      <c r="F429" s="763" t="str">
        <f>IFERROR(__xludf.DUMMYFUNCTION("""COMPUTED_VALUE"""),"Di Vito")</f>
        <v>Di Vito</v>
      </c>
      <c r="G429" s="763" t="str">
        <f>IFERROR(__xludf.DUMMYFUNCTION("""COMPUTED_VALUE"""),"enadivito@gmail.com")</f>
        <v>enadivito@gmail.com</v>
      </c>
      <c r="H429" s="763">
        <f>IFERROR(__xludf.DUMMYFUNCTION("""COMPUTED_VALUE"""),3.458837665E9)</f>
        <v>3458837665</v>
      </c>
      <c r="I429" s="763" t="str">
        <f>IFERROR(__xludf.DUMMYFUNCTION("""COMPUTED_VALUE"""),"Lainate")</f>
        <v>Lainate</v>
      </c>
      <c r="J429" s="763" t="str">
        <f>IFERROR(__xludf.DUMMYFUNCTION("""COMPUTED_VALUE"""),"Via Tevere 7")</f>
        <v>Via Tevere 7</v>
      </c>
      <c r="K429" s="763">
        <f>IFERROR(__xludf.DUMMYFUNCTION("""COMPUTED_VALUE"""),20045.0)</f>
        <v>20045</v>
      </c>
      <c r="L429" s="763" t="str">
        <f>IFERROR(__xludf.DUMMYFUNCTION("""COMPUTED_VALUE"""),"Carte di pagamento")</f>
        <v>Carte di pagamento</v>
      </c>
      <c r="M429" s="763" t="str">
        <f>IFERROR(__xludf.DUMMYFUNCTION("""COMPUTED_VALUE"""),"alexandra02ws")</f>
        <v>alexandra02ws</v>
      </c>
      <c r="N429" s="763"/>
      <c r="O429" s="763">
        <f>IFERROR(__xludf.DUMMYFUNCTION("""COMPUTED_VALUE"""),0.0)</f>
        <v>0</v>
      </c>
      <c r="P429" s="767">
        <f>IFERROR(__xludf.DUMMYFUNCTION("""COMPUTED_VALUE"""),1.4583333333333333)</f>
        <v>1.458333333</v>
      </c>
      <c r="Q429" s="763" t="str">
        <f>IFERROR(__xludf.DUMMYFUNCTION("""COMPUTED_VALUE"""),"EUR")</f>
        <v>EUR</v>
      </c>
      <c r="R429" s="763">
        <f>IFERROR(__xludf.DUMMYFUNCTION("""COMPUTED_VALUE"""),877.0)</f>
        <v>877</v>
      </c>
      <c r="S429" s="763" t="str">
        <f>IFERROR(__xludf.DUMMYFUNCTION("""COMPUTED_VALUE"""),"Workshop Heels con Deborah Esposito - Workshop Heels con Deborah Esposito")</f>
        <v>Workshop Heels con Deborah Esposito - Workshop Heels con Deborah Esposito</v>
      </c>
      <c r="T429" s="763"/>
      <c r="U429" s="763"/>
      <c r="V429" s="763">
        <f>IFERROR(__xludf.DUMMYFUNCTION("""COMPUTED_VALUE"""),1.0)</f>
        <v>1</v>
      </c>
      <c r="W429" s="763">
        <f>IFERROR(__xludf.DUMMYFUNCTION("""COMPUTED_VALUE"""),35.0)</f>
        <v>35</v>
      </c>
      <c r="X429" s="763">
        <f>IFERROR(__xludf.DUMMYFUNCTION("""COMPUTED_VALUE"""),35.0)</f>
        <v>35</v>
      </c>
      <c r="Y429" s="763"/>
      <c r="Z429" s="768" t="str">
        <f>IFERROR(__xludf.DUMMYFUNCTION("""COMPUTED_VALUE"""),"https://studio-gem.it/wp-admin/post.php?post=65675&amp;action=edit")</f>
        <v>https://studio-gem.it/wp-admin/post.php?post=65675&amp;action=edit</v>
      </c>
      <c r="AA429" s="763"/>
      <c r="AB429" s="763"/>
      <c r="AC429" s="763"/>
      <c r="AD429" s="763"/>
      <c r="AE429" s="763"/>
      <c r="AF429" s="763"/>
      <c r="AG429" s="763"/>
      <c r="AH429" s="763"/>
      <c r="AI429" s="763"/>
      <c r="AJ429" s="763"/>
      <c r="AK429" s="763"/>
      <c r="AL429" s="763"/>
      <c r="AM429" s="763"/>
      <c r="AN429" s="763"/>
      <c r="AO429" s="763"/>
      <c r="AP429" s="763"/>
      <c r="AQ429" s="763"/>
      <c r="AR429" s="763"/>
      <c r="AS429" s="763"/>
      <c r="AT429" s="763"/>
      <c r="AU429" s="763"/>
      <c r="AV429" s="763"/>
      <c r="AW429" s="763"/>
      <c r="AX429" s="763"/>
      <c r="AY429" s="763"/>
      <c r="AZ429" s="763"/>
      <c r="BA429" s="763"/>
      <c r="BB429" s="763"/>
      <c r="BC429" s="763"/>
      <c r="BD429" s="763"/>
      <c r="BE429" s="763"/>
      <c r="BF429" s="763"/>
      <c r="BG429" s="763" t="b">
        <f>IFERROR(__xludf.DUMMYFUNCTION("""COMPUTED_VALUE"""),TRUE)</f>
        <v>1</v>
      </c>
      <c r="BH429" s="763" t="b">
        <f>IFERROR(__xludf.DUMMYFUNCTION("""COMPUTED_VALUE"""),FALSE)</f>
        <v>0</v>
      </c>
      <c r="BI429" s="763" t="b">
        <f>IFERROR(__xludf.DUMMYFUNCTION("""COMPUTED_VALUE"""),TRUE)</f>
        <v>1</v>
      </c>
      <c r="BJ429" s="763" t="b">
        <f>IFERROR(__xludf.DUMMYFUNCTION("""COMPUTED_VALUE"""),TRUE)</f>
        <v>1</v>
      </c>
    </row>
    <row r="430">
      <c r="A430" s="763">
        <f>IFERROR(__xludf.DUMMYFUNCTION("""COMPUTED_VALUE"""),65676.0)</f>
        <v>65676</v>
      </c>
      <c r="B430" s="763">
        <f>IFERROR(__xludf.DUMMYFUNCTION("""COMPUTED_VALUE"""),65676.0)</f>
        <v>65676</v>
      </c>
      <c r="C430" s="763" t="str">
        <f>IFERROR(__xludf.DUMMYFUNCTION("""COMPUTED_VALUE"""),"2025-10-30 11:01:42")</f>
        <v>2025-10-30 11:01:42</v>
      </c>
      <c r="D430" s="763" t="str">
        <f>IFERROR(__xludf.DUMMYFUNCTION("""COMPUTED_VALUE"""),"processing")</f>
        <v>processing</v>
      </c>
      <c r="E430" s="763" t="str">
        <f>IFERROR(__xludf.DUMMYFUNCTION("""COMPUTED_VALUE"""),"Letizia")</f>
        <v>Letizia</v>
      </c>
      <c r="F430" s="763" t="str">
        <f>IFERROR(__xludf.DUMMYFUNCTION("""COMPUTED_VALUE"""),"Bua")</f>
        <v>Bua</v>
      </c>
      <c r="G430" s="763" t="str">
        <f>IFERROR(__xludf.DUMMYFUNCTION("""COMPUTED_VALUE"""),"perrie2013@libero.it")</f>
        <v>perrie2013@libero.it</v>
      </c>
      <c r="H430" s="763">
        <f>IFERROR(__xludf.DUMMYFUNCTION("""COMPUTED_VALUE"""),3.896980899E9)</f>
        <v>3896980899</v>
      </c>
      <c r="I430" s="763" t="str">
        <f>IFERROR(__xludf.DUMMYFUNCTION("""COMPUTED_VALUE"""),"Milano")</f>
        <v>Milano</v>
      </c>
      <c r="J430" s="763" t="str">
        <f>IFERROR(__xludf.DUMMYFUNCTION("""COMPUTED_VALUE"""),"via Aldo tarabella 11")</f>
        <v>via Aldo tarabella 11</v>
      </c>
      <c r="K430" s="763">
        <f>IFERROR(__xludf.DUMMYFUNCTION("""COMPUTED_VALUE"""),20132.0)</f>
        <v>20132</v>
      </c>
      <c r="L430" s="763" t="str">
        <f>IFERROR(__xludf.DUMMYFUNCTION("""COMPUTED_VALUE"""),"Carte di pagamento")</f>
        <v>Carte di pagamento</v>
      </c>
      <c r="M430" s="763"/>
      <c r="N430" s="763" t="str">
        <f>IFERROR(__xludf.DUMMYFUNCTION("""COMPUTED_VALUE"""),"65676-1761822104")</f>
        <v>65676-1761822104</v>
      </c>
      <c r="O430" s="763">
        <f>IFERROR(__xludf.DUMMYFUNCTION("""COMPUTED_VALUE"""),0.0)</f>
        <v>0</v>
      </c>
      <c r="P430" s="767">
        <f>IFERROR(__xludf.DUMMYFUNCTION("""COMPUTED_VALUE"""),0.625)</f>
        <v>0.625</v>
      </c>
      <c r="Q430" s="763" t="str">
        <f>IFERROR(__xludf.DUMMYFUNCTION("""COMPUTED_VALUE"""),"EUR")</f>
        <v>EUR</v>
      </c>
      <c r="R430" s="763">
        <f>IFERROR(__xludf.DUMMYFUNCTION("""COMPUTED_VALUE"""),879.0)</f>
        <v>879</v>
      </c>
      <c r="S430" s="763" t="str">
        <f>IFERROR(__xludf.DUMMYFUNCTION("""COMPUTED_VALUE"""),"Domeniche in movimento - Gestualità con Consuelo €15")</f>
        <v>Domeniche in movimento - Gestualità con Consuelo €15</v>
      </c>
      <c r="T430" s="763"/>
      <c r="U430" s="763"/>
      <c r="V430" s="763">
        <f>IFERROR(__xludf.DUMMYFUNCTION("""COMPUTED_VALUE"""),1.0)</f>
        <v>1</v>
      </c>
      <c r="W430" s="763">
        <f>IFERROR(__xludf.DUMMYFUNCTION("""COMPUTED_VALUE"""),15.0)</f>
        <v>15</v>
      </c>
      <c r="X430" s="763">
        <f>IFERROR(__xludf.DUMMYFUNCTION("""COMPUTED_VALUE"""),15.0)</f>
        <v>15</v>
      </c>
      <c r="Y430" s="763"/>
      <c r="Z430" s="768" t="str">
        <f>IFERROR(__xludf.DUMMYFUNCTION("""COMPUTED_VALUE"""),"https://studio-gem.it/wp-admin/post.php?post=65676&amp;action=edit")</f>
        <v>https://studio-gem.it/wp-admin/post.php?post=65676&amp;action=edit</v>
      </c>
      <c r="AA430" s="763"/>
      <c r="AB430" s="763"/>
      <c r="AC430" s="763"/>
      <c r="AD430" s="763"/>
      <c r="AE430" s="763"/>
      <c r="AF430" s="763"/>
      <c r="AG430" s="763"/>
      <c r="AH430" s="763"/>
      <c r="AI430" s="763"/>
      <c r="AJ430" s="763"/>
      <c r="AK430" s="763"/>
      <c r="AL430" s="763"/>
      <c r="AM430" s="763"/>
      <c r="AN430" s="763"/>
      <c r="AO430" s="763"/>
      <c r="AP430" s="763"/>
      <c r="AQ430" s="763"/>
      <c r="AR430" s="763"/>
      <c r="AS430" s="763"/>
      <c r="AT430" s="763"/>
      <c r="AU430" s="763"/>
      <c r="AV430" s="763"/>
      <c r="AW430" s="763"/>
      <c r="AX430" s="763"/>
      <c r="AY430" s="763"/>
      <c r="AZ430" s="763"/>
      <c r="BA430" s="763"/>
      <c r="BB430" s="763"/>
      <c r="BC430" s="763"/>
      <c r="BD430" s="763"/>
      <c r="BE430" s="763"/>
      <c r="BF430" s="763"/>
      <c r="BG430" s="763" t="b">
        <f>IFERROR(__xludf.DUMMYFUNCTION("""COMPUTED_VALUE"""),TRUE)</f>
        <v>1</v>
      </c>
      <c r="BH430" s="763" t="b">
        <f>IFERROR(__xludf.DUMMYFUNCTION("""COMPUTED_VALUE"""),FALSE)</f>
        <v>0</v>
      </c>
      <c r="BI430" s="763" t="b">
        <f>IFERROR(__xludf.DUMMYFUNCTION("""COMPUTED_VALUE"""),TRUE)</f>
        <v>1</v>
      </c>
      <c r="BJ430" s="763" t="b">
        <f>IFERROR(__xludf.DUMMYFUNCTION("""COMPUTED_VALUE"""),TRUE)</f>
        <v>1</v>
      </c>
    </row>
    <row r="431">
      <c r="A431" s="763">
        <f>IFERROR(__xludf.DUMMYFUNCTION("""COMPUTED_VALUE"""),65690.0)</f>
        <v>65690</v>
      </c>
      <c r="B431" s="763">
        <f>IFERROR(__xludf.DUMMYFUNCTION("""COMPUTED_VALUE"""),65690.0)</f>
        <v>65690</v>
      </c>
      <c r="C431" s="763" t="str">
        <f>IFERROR(__xludf.DUMMYFUNCTION("""COMPUTED_VALUE"""),"2025-10-31 11:10:25")</f>
        <v>2025-10-31 11:10:25</v>
      </c>
      <c r="D431" s="763" t="str">
        <f>IFERROR(__xludf.DUMMYFUNCTION("""COMPUTED_VALUE"""),"pending")</f>
        <v>pending</v>
      </c>
      <c r="E431" s="763" t="str">
        <f>IFERROR(__xludf.DUMMYFUNCTION("""COMPUTED_VALUE"""),"Serena")</f>
        <v>Serena</v>
      </c>
      <c r="F431" s="763" t="str">
        <f>IFERROR(__xludf.DUMMYFUNCTION("""COMPUTED_VALUE"""),"Ghirlandi")</f>
        <v>Ghirlandi</v>
      </c>
      <c r="G431" s="763" t="str">
        <f>IFERROR(__xludf.DUMMYFUNCTION("""COMPUTED_VALUE"""),"serenaghirlandi@gmail.com")</f>
        <v>serenaghirlandi@gmail.com</v>
      </c>
      <c r="H431" s="763">
        <f>IFERROR(__xludf.DUMMYFUNCTION("""COMPUTED_VALUE"""),3.922034571E9)</f>
        <v>3922034571</v>
      </c>
      <c r="I431" s="763" t="str">
        <f>IFERROR(__xludf.DUMMYFUNCTION("""COMPUTED_VALUE"""),"Milano")</f>
        <v>Milano</v>
      </c>
      <c r="J431" s="763" t="str">
        <f>IFERROR(__xludf.DUMMYFUNCTION("""COMPUTED_VALUE"""),"via lazzaro papi 17")</f>
        <v>via lazzaro papi 17</v>
      </c>
      <c r="K431" s="763">
        <f>IFERROR(__xludf.DUMMYFUNCTION("""COMPUTED_VALUE"""),20100.0)</f>
        <v>20100</v>
      </c>
      <c r="L431" s="763" t="str">
        <f>IFERROR(__xludf.DUMMYFUNCTION("""COMPUTED_VALUE"""),"Carte di pagamento")</f>
        <v>Carte di pagamento</v>
      </c>
      <c r="M431" s="763"/>
      <c r="N431" s="763"/>
      <c r="O431" s="763">
        <f>IFERROR(__xludf.DUMMYFUNCTION("""COMPUTED_VALUE"""),0.0)</f>
        <v>0</v>
      </c>
      <c r="P431" s="767">
        <f>IFERROR(__xludf.DUMMYFUNCTION("""COMPUTED_VALUE"""),1.5416666666666667)</f>
        <v>1.541666667</v>
      </c>
      <c r="Q431" s="763" t="str">
        <f>IFERROR(__xludf.DUMMYFUNCTION("""COMPUTED_VALUE"""),"EUR")</f>
        <v>EUR</v>
      </c>
      <c r="R431" s="763">
        <f>IFERROR(__xludf.DUMMYFUNCTION("""COMPUTED_VALUE"""),880.0)</f>
        <v>880</v>
      </c>
      <c r="S431" s="763" t="str">
        <f>IFERROR(__xludf.DUMMYFUNCTION("""COMPUTED_VALUE"""),"Workshop Urban con Kumo - Workshop Kumo Urban")</f>
        <v>Workshop Urban con Kumo - Workshop Kumo Urban</v>
      </c>
      <c r="T431" s="763"/>
      <c r="U431" s="763"/>
      <c r="V431" s="763">
        <f>IFERROR(__xludf.DUMMYFUNCTION("""COMPUTED_VALUE"""),1.0)</f>
        <v>1</v>
      </c>
      <c r="W431" s="763">
        <f>IFERROR(__xludf.DUMMYFUNCTION("""COMPUTED_VALUE"""),37.0)</f>
        <v>37</v>
      </c>
      <c r="X431" s="763">
        <f>IFERROR(__xludf.DUMMYFUNCTION("""COMPUTED_VALUE"""),37.0)</f>
        <v>37</v>
      </c>
      <c r="Y431" s="763"/>
      <c r="Z431" s="768" t="str">
        <f>IFERROR(__xludf.DUMMYFUNCTION("""COMPUTED_VALUE"""),"https://studio-gem.it/wp-admin/post.php?post=65690&amp;action=edit")</f>
        <v>https://studio-gem.it/wp-admin/post.php?post=65690&amp;action=edit</v>
      </c>
      <c r="AA431" s="763"/>
      <c r="AB431" s="763"/>
      <c r="AC431" s="763"/>
      <c r="AD431" s="763"/>
      <c r="AE431" s="763"/>
      <c r="AF431" s="763"/>
      <c r="AG431" s="763"/>
      <c r="AH431" s="763"/>
      <c r="AI431" s="763"/>
      <c r="AJ431" s="763"/>
      <c r="AK431" s="763"/>
      <c r="AL431" s="763"/>
      <c r="AM431" s="763"/>
      <c r="AN431" s="763"/>
      <c r="AO431" s="763"/>
      <c r="AP431" s="763"/>
      <c r="AQ431" s="763"/>
      <c r="AR431" s="763"/>
      <c r="AS431" s="763"/>
      <c r="AT431" s="763"/>
      <c r="AU431" s="763"/>
      <c r="AV431" s="763"/>
      <c r="AW431" s="763"/>
      <c r="AX431" s="763"/>
      <c r="AY431" s="763"/>
      <c r="AZ431" s="763"/>
      <c r="BA431" s="763"/>
      <c r="BB431" s="763"/>
      <c r="BC431" s="763"/>
      <c r="BD431" s="763"/>
      <c r="BE431" s="763"/>
      <c r="BF431" s="763"/>
      <c r="BG431" s="763" t="b">
        <f>IFERROR(__xludf.DUMMYFUNCTION("""COMPUTED_VALUE"""),TRUE)</f>
        <v>1</v>
      </c>
      <c r="BH431" s="763" t="b">
        <f>IFERROR(__xludf.DUMMYFUNCTION("""COMPUTED_VALUE"""),FALSE)</f>
        <v>0</v>
      </c>
      <c r="BI431" s="763" t="b">
        <f>IFERROR(__xludf.DUMMYFUNCTION("""COMPUTED_VALUE"""),TRUE)</f>
        <v>1</v>
      </c>
      <c r="BJ431" s="763" t="b">
        <f>IFERROR(__xludf.DUMMYFUNCTION("""COMPUTED_VALUE"""),TRUE)</f>
        <v>1</v>
      </c>
    </row>
    <row r="432">
      <c r="A432" s="763">
        <f>IFERROR(__xludf.DUMMYFUNCTION("""COMPUTED_VALUE"""),65692.0)</f>
        <v>65692</v>
      </c>
      <c r="B432" s="763">
        <f>IFERROR(__xludf.DUMMYFUNCTION("""COMPUTED_VALUE"""),65692.0)</f>
        <v>65692</v>
      </c>
      <c r="C432" s="763" t="str">
        <f>IFERROR(__xludf.DUMMYFUNCTION("""COMPUTED_VALUE"""),"2025-10-31 16:38:39")</f>
        <v>2025-10-31 16:38:39</v>
      </c>
      <c r="D432" s="763" t="str">
        <f>IFERROR(__xludf.DUMMYFUNCTION("""COMPUTED_VALUE"""),"completed")</f>
        <v>completed</v>
      </c>
      <c r="E432" s="763" t="str">
        <f>IFERROR(__xludf.DUMMYFUNCTION("""COMPUTED_VALUE"""),"Miriam")</f>
        <v>Miriam</v>
      </c>
      <c r="F432" s="763" t="str">
        <f>IFERROR(__xludf.DUMMYFUNCTION("""COMPUTED_VALUE"""),"Torsello")</f>
        <v>Torsello</v>
      </c>
      <c r="G432" s="763" t="str">
        <f>IFERROR(__xludf.DUMMYFUNCTION("""COMPUTED_VALUE"""),"miriamtorsello2005@gmail.com")</f>
        <v>miriamtorsello2005@gmail.com</v>
      </c>
      <c r="H432" s="763">
        <f>IFERROR(__xludf.DUMMYFUNCTION("""COMPUTED_VALUE"""),3.922143888E9)</f>
        <v>3922143888</v>
      </c>
      <c r="I432" s="763" t="str">
        <f>IFERROR(__xludf.DUMMYFUNCTION("""COMPUTED_VALUE"""),"Milano")</f>
        <v>Milano</v>
      </c>
      <c r="J432" s="763" t="str">
        <f>IFERROR(__xludf.DUMMYFUNCTION("""COMPUTED_VALUE"""),"Via Vizzola, 5")</f>
        <v>Via Vizzola, 5</v>
      </c>
      <c r="K432" s="763">
        <f>IFERROR(__xludf.DUMMYFUNCTION("""COMPUTED_VALUE"""),20126.0)</f>
        <v>20126</v>
      </c>
      <c r="L432" s="763" t="str">
        <f>IFERROR(__xludf.DUMMYFUNCTION("""COMPUTED_VALUE"""),"Apple Pay")</f>
        <v>Apple Pay</v>
      </c>
      <c r="M432" s="763"/>
      <c r="N432" s="763" t="str">
        <f>IFERROR(__xludf.DUMMYFUNCTION("""COMPUTED_VALUE"""),"65692-1761928721")</f>
        <v>65692-1761928721</v>
      </c>
      <c r="O432" s="763">
        <f>IFERROR(__xludf.DUMMYFUNCTION("""COMPUTED_VALUE"""),0.0)</f>
        <v>0</v>
      </c>
      <c r="P432" s="767">
        <f>IFERROR(__xludf.DUMMYFUNCTION("""COMPUTED_VALUE"""),1.5416666666666667)</f>
        <v>1.541666667</v>
      </c>
      <c r="Q432" s="763" t="str">
        <f>IFERROR(__xludf.DUMMYFUNCTION("""COMPUTED_VALUE"""),"EUR")</f>
        <v>EUR</v>
      </c>
      <c r="R432" s="763">
        <f>IFERROR(__xludf.DUMMYFUNCTION("""COMPUTED_VALUE"""),881.0)</f>
        <v>881</v>
      </c>
      <c r="S432" s="763" t="str">
        <f>IFERROR(__xludf.DUMMYFUNCTION("""COMPUTED_VALUE"""),"Workshop Urban con Kumo - Workshop Kumo Urban")</f>
        <v>Workshop Urban con Kumo - Workshop Kumo Urban</v>
      </c>
      <c r="T432" s="763"/>
      <c r="U432" s="763"/>
      <c r="V432" s="763">
        <f>IFERROR(__xludf.DUMMYFUNCTION("""COMPUTED_VALUE"""),1.0)</f>
        <v>1</v>
      </c>
      <c r="W432" s="763">
        <f>IFERROR(__xludf.DUMMYFUNCTION("""COMPUTED_VALUE"""),37.0)</f>
        <v>37</v>
      </c>
      <c r="X432" s="763">
        <f>IFERROR(__xludf.DUMMYFUNCTION("""COMPUTED_VALUE"""),37.0)</f>
        <v>37</v>
      </c>
      <c r="Y432" s="763"/>
      <c r="Z432" s="768" t="str">
        <f>IFERROR(__xludf.DUMMYFUNCTION("""COMPUTED_VALUE"""),"https://studio-gem.it/wp-admin/post.php?post=65692&amp;action=edit")</f>
        <v>https://studio-gem.it/wp-admin/post.php?post=65692&amp;action=edit</v>
      </c>
      <c r="AA432" s="763"/>
      <c r="AB432" s="763"/>
      <c r="AC432" s="763"/>
      <c r="AD432" s="763"/>
      <c r="AE432" s="763"/>
      <c r="AF432" s="763"/>
      <c r="AG432" s="763"/>
      <c r="AH432" s="763"/>
      <c r="AI432" s="763"/>
      <c r="AJ432" s="763"/>
      <c r="AK432" s="763"/>
      <c r="AL432" s="763"/>
      <c r="AM432" s="763"/>
      <c r="AN432" s="763"/>
      <c r="AO432" s="763"/>
      <c r="AP432" s="763"/>
      <c r="AQ432" s="763"/>
      <c r="AR432" s="763"/>
      <c r="AS432" s="763"/>
      <c r="AT432" s="763"/>
      <c r="AU432" s="763"/>
      <c r="AV432" s="763"/>
      <c r="AW432" s="763"/>
      <c r="AX432" s="763"/>
      <c r="AY432" s="763"/>
      <c r="AZ432" s="763"/>
      <c r="BA432" s="763"/>
      <c r="BB432" s="763"/>
      <c r="BC432" s="763"/>
      <c r="BD432" s="763"/>
      <c r="BE432" s="763"/>
      <c r="BF432" s="763"/>
      <c r="BG432" s="763" t="b">
        <f>IFERROR(__xludf.DUMMYFUNCTION("""COMPUTED_VALUE"""),TRUE)</f>
        <v>1</v>
      </c>
      <c r="BH432" s="763" t="b">
        <f>IFERROR(__xludf.DUMMYFUNCTION("""COMPUTED_VALUE"""),FALSE)</f>
        <v>0</v>
      </c>
      <c r="BI432" s="763" t="b">
        <f>IFERROR(__xludf.DUMMYFUNCTION("""COMPUTED_VALUE"""),TRUE)</f>
        <v>1</v>
      </c>
      <c r="BJ432" s="763" t="b">
        <f>IFERROR(__xludf.DUMMYFUNCTION("""COMPUTED_VALUE"""),TRUE)</f>
        <v>1</v>
      </c>
    </row>
    <row r="433">
      <c r="A433" s="763">
        <f>IFERROR(__xludf.DUMMYFUNCTION("""COMPUTED_VALUE"""),65696.0)</f>
        <v>65696</v>
      </c>
      <c r="B433" s="763">
        <f>IFERROR(__xludf.DUMMYFUNCTION("""COMPUTED_VALUE"""),65696.0)</f>
        <v>65696</v>
      </c>
      <c r="C433" s="763" t="str">
        <f>IFERROR(__xludf.DUMMYFUNCTION("""COMPUTED_VALUE"""),"2025-11-01 13:59:21")</f>
        <v>2025-11-01 13:59:21</v>
      </c>
      <c r="D433" s="763" t="str">
        <f>IFERROR(__xludf.DUMMYFUNCTION("""COMPUTED_VALUE"""),"completed")</f>
        <v>completed</v>
      </c>
      <c r="E433" s="763" t="str">
        <f>IFERROR(__xludf.DUMMYFUNCTION("""COMPUTED_VALUE"""),"Andrea")</f>
        <v>Andrea</v>
      </c>
      <c r="F433" s="763" t="str">
        <f>IFERROR(__xludf.DUMMYFUNCTION("""COMPUTED_VALUE"""),"Chiriacò")</f>
        <v>Chiriacò</v>
      </c>
      <c r="G433" s="763" t="str">
        <f>IFERROR(__xludf.DUMMYFUNCTION("""COMPUTED_VALUE"""),"chiriaco.andre@gmail.com")</f>
        <v>chiriaco.andre@gmail.com</v>
      </c>
      <c r="H433" s="763">
        <f>IFERROR(__xludf.DUMMYFUNCTION("""COMPUTED_VALUE"""),3.515017955E9)</f>
        <v>3515017955</v>
      </c>
      <c r="I433" s="763" t="str">
        <f>IFERROR(__xludf.DUMMYFUNCTION("""COMPUTED_VALUE"""),"Cesano Maderno")</f>
        <v>Cesano Maderno</v>
      </c>
      <c r="J433" s="763" t="str">
        <f>IFERROR(__xludf.DUMMYFUNCTION("""COMPUTED_VALUE"""),"via Don Luigi Viganò 19")</f>
        <v>via Don Luigi Viganò 19</v>
      </c>
      <c r="K433" s="763">
        <f>IFERROR(__xludf.DUMMYFUNCTION("""COMPUTED_VALUE"""),20811.0)</f>
        <v>20811</v>
      </c>
      <c r="L433" s="763" t="str">
        <f>IFERROR(__xludf.DUMMYFUNCTION("""COMPUTED_VALUE"""),"Carte di pagamento")</f>
        <v>Carte di pagamento</v>
      </c>
      <c r="M433" s="763"/>
      <c r="N433" s="763" t="str">
        <f>IFERROR(__xludf.DUMMYFUNCTION("""COMPUTED_VALUE"""),"65696-1762005562")</f>
        <v>65696-1762005562</v>
      </c>
      <c r="O433" s="763">
        <f>IFERROR(__xludf.DUMMYFUNCTION("""COMPUTED_VALUE"""),0.0)</f>
        <v>0</v>
      </c>
      <c r="P433" s="767">
        <f>IFERROR(__xludf.DUMMYFUNCTION("""COMPUTED_VALUE"""),1.5416666666666667)</f>
        <v>1.541666667</v>
      </c>
      <c r="Q433" s="763" t="str">
        <f>IFERROR(__xludf.DUMMYFUNCTION("""COMPUTED_VALUE"""),"EUR")</f>
        <v>EUR</v>
      </c>
      <c r="R433" s="763">
        <f>IFERROR(__xludf.DUMMYFUNCTION("""COMPUTED_VALUE"""),882.0)</f>
        <v>882</v>
      </c>
      <c r="S433" s="763" t="str">
        <f>IFERROR(__xludf.DUMMYFUNCTION("""COMPUTED_VALUE"""),"Workshop Urban con Kumo - Workshop Kumo Urban")</f>
        <v>Workshop Urban con Kumo - Workshop Kumo Urban</v>
      </c>
      <c r="T433" s="763"/>
      <c r="U433" s="763"/>
      <c r="V433" s="763">
        <f>IFERROR(__xludf.DUMMYFUNCTION("""COMPUTED_VALUE"""),1.0)</f>
        <v>1</v>
      </c>
      <c r="W433" s="763">
        <f>IFERROR(__xludf.DUMMYFUNCTION("""COMPUTED_VALUE"""),37.0)</f>
        <v>37</v>
      </c>
      <c r="X433" s="763">
        <f>IFERROR(__xludf.DUMMYFUNCTION("""COMPUTED_VALUE"""),37.0)</f>
        <v>37</v>
      </c>
      <c r="Y433" s="763"/>
      <c r="Z433" s="768" t="str">
        <f>IFERROR(__xludf.DUMMYFUNCTION("""COMPUTED_VALUE"""),"https://studio-gem.it/wp-admin/post.php?post=65696&amp;action=edit")</f>
        <v>https://studio-gem.it/wp-admin/post.php?post=65696&amp;action=edit</v>
      </c>
      <c r="AA433" s="763"/>
      <c r="AB433" s="763"/>
      <c r="AC433" s="763"/>
      <c r="AD433" s="763"/>
      <c r="AE433" s="763"/>
      <c r="AF433" s="763"/>
      <c r="AG433" s="763"/>
      <c r="AH433" s="763"/>
      <c r="AI433" s="763"/>
      <c r="AJ433" s="763"/>
      <c r="AK433" s="763"/>
      <c r="AL433" s="763"/>
      <c r="AM433" s="763"/>
      <c r="AN433" s="763"/>
      <c r="AO433" s="763"/>
      <c r="AP433" s="763"/>
      <c r="AQ433" s="763"/>
      <c r="AR433" s="763"/>
      <c r="AS433" s="763"/>
      <c r="AT433" s="763"/>
      <c r="AU433" s="763"/>
      <c r="AV433" s="763"/>
      <c r="AW433" s="763"/>
      <c r="AX433" s="763"/>
      <c r="AY433" s="763"/>
      <c r="AZ433" s="763"/>
      <c r="BA433" s="763"/>
      <c r="BB433" s="763"/>
      <c r="BC433" s="763"/>
      <c r="BD433" s="763"/>
      <c r="BE433" s="763"/>
      <c r="BF433" s="763"/>
      <c r="BG433" s="763" t="b">
        <f>IFERROR(__xludf.DUMMYFUNCTION("""COMPUTED_VALUE"""),TRUE)</f>
        <v>1</v>
      </c>
      <c r="BH433" s="763" t="b">
        <f>IFERROR(__xludf.DUMMYFUNCTION("""COMPUTED_VALUE"""),FALSE)</f>
        <v>0</v>
      </c>
      <c r="BI433" s="763" t="b">
        <f>IFERROR(__xludf.DUMMYFUNCTION("""COMPUTED_VALUE"""),TRUE)</f>
        <v>1</v>
      </c>
      <c r="BJ433" s="763" t="b">
        <f>IFERROR(__xludf.DUMMYFUNCTION("""COMPUTED_VALUE"""),TRUE)</f>
        <v>1</v>
      </c>
    </row>
    <row r="434">
      <c r="A434" s="763">
        <f>IFERROR(__xludf.DUMMYFUNCTION("""COMPUTED_VALUE"""),65698.0)</f>
        <v>65698</v>
      </c>
      <c r="B434" s="763">
        <f>IFERROR(__xludf.DUMMYFUNCTION("""COMPUTED_VALUE"""),65698.0)</f>
        <v>65698</v>
      </c>
      <c r="C434" s="763" t="str">
        <f>IFERROR(__xludf.DUMMYFUNCTION("""COMPUTED_VALUE"""),"2025-11-01 15:51:37")</f>
        <v>2025-11-01 15:51:37</v>
      </c>
      <c r="D434" s="763" t="str">
        <f>IFERROR(__xludf.DUMMYFUNCTION("""COMPUTED_VALUE"""),"processing")</f>
        <v>processing</v>
      </c>
      <c r="E434" s="763" t="str">
        <f>IFERROR(__xludf.DUMMYFUNCTION("""COMPUTED_VALUE"""),"Chiara")</f>
        <v>Chiara</v>
      </c>
      <c r="F434" s="763" t="str">
        <f>IFERROR(__xludf.DUMMYFUNCTION("""COMPUTED_VALUE"""),"Zagaria")</f>
        <v>Zagaria</v>
      </c>
      <c r="G434" s="763" t="str">
        <f>IFERROR(__xludf.DUMMYFUNCTION("""COMPUTED_VALUE"""),"chiara06.zaga@gmail.com")</f>
        <v>chiara06.zaga@gmail.com</v>
      </c>
      <c r="H434" s="763">
        <f>IFERROR(__xludf.DUMMYFUNCTION("""COMPUTED_VALUE"""),3.755545464E9)</f>
        <v>3755545464</v>
      </c>
      <c r="I434" s="763" t="str">
        <f>IFERROR(__xludf.DUMMYFUNCTION("""COMPUTED_VALUE"""),"Albairate")</f>
        <v>Albairate</v>
      </c>
      <c r="J434" s="763" t="str">
        <f>IFERROR(__xludf.DUMMYFUNCTION("""COMPUTED_VALUE"""),"Via XXV Aprile, 14")</f>
        <v>Via XXV Aprile, 14</v>
      </c>
      <c r="K434" s="763">
        <f>IFERROR(__xludf.DUMMYFUNCTION("""COMPUTED_VALUE"""),20080.0)</f>
        <v>20080</v>
      </c>
      <c r="L434" s="763" t="str">
        <f>IFERROR(__xludf.DUMMYFUNCTION("""COMPUTED_VALUE"""),"Carte di pagamento")</f>
        <v>Carte di pagamento</v>
      </c>
      <c r="M434" s="763"/>
      <c r="N434" s="763" t="str">
        <f>IFERROR(__xludf.DUMMYFUNCTION("""COMPUTED_VALUE"""),"65698-1762012298")</f>
        <v>65698-1762012298</v>
      </c>
      <c r="O434" s="763">
        <f>IFERROR(__xludf.DUMMYFUNCTION("""COMPUTED_VALUE"""),0.0)</f>
        <v>0</v>
      </c>
      <c r="P434" s="767">
        <f>IFERROR(__xludf.DUMMYFUNCTION("""COMPUTED_VALUE"""),1.5416666666666667)</f>
        <v>1.541666667</v>
      </c>
      <c r="Q434" s="763" t="str">
        <f>IFERROR(__xludf.DUMMYFUNCTION("""COMPUTED_VALUE"""),"EUR")</f>
        <v>EUR</v>
      </c>
      <c r="R434" s="763">
        <f>IFERROR(__xludf.DUMMYFUNCTION("""COMPUTED_VALUE"""),883.0)</f>
        <v>883</v>
      </c>
      <c r="S434" s="763" t="str">
        <f>IFERROR(__xludf.DUMMYFUNCTION("""COMPUTED_VALUE"""),"Workshop Urban con Kumo - Workshop Kumo Urban")</f>
        <v>Workshop Urban con Kumo - Workshop Kumo Urban</v>
      </c>
      <c r="T434" s="763"/>
      <c r="U434" s="763"/>
      <c r="V434" s="763">
        <f>IFERROR(__xludf.DUMMYFUNCTION("""COMPUTED_VALUE"""),1.0)</f>
        <v>1</v>
      </c>
      <c r="W434" s="763">
        <f>IFERROR(__xludf.DUMMYFUNCTION("""COMPUTED_VALUE"""),37.0)</f>
        <v>37</v>
      </c>
      <c r="X434" s="763">
        <f>IFERROR(__xludf.DUMMYFUNCTION("""COMPUTED_VALUE"""),37.0)</f>
        <v>37</v>
      </c>
      <c r="Y434" s="763"/>
      <c r="Z434" s="768" t="str">
        <f>IFERROR(__xludf.DUMMYFUNCTION("""COMPUTED_VALUE"""),"https://studio-gem.it/wp-admin/post.php?post=65698&amp;action=edit")</f>
        <v>https://studio-gem.it/wp-admin/post.php?post=65698&amp;action=edit</v>
      </c>
      <c r="AA434" s="763"/>
      <c r="AB434" s="763"/>
      <c r="AC434" s="763"/>
      <c r="AD434" s="763"/>
      <c r="AE434" s="763"/>
      <c r="AF434" s="763"/>
      <c r="AG434" s="763"/>
      <c r="AH434" s="763"/>
      <c r="AI434" s="763"/>
      <c r="AJ434" s="763"/>
      <c r="AK434" s="763"/>
      <c r="AL434" s="763"/>
      <c r="AM434" s="763"/>
      <c r="AN434" s="763"/>
      <c r="AO434" s="763"/>
      <c r="AP434" s="763"/>
      <c r="AQ434" s="763"/>
      <c r="AR434" s="763"/>
      <c r="AS434" s="763"/>
      <c r="AT434" s="763"/>
      <c r="AU434" s="763"/>
      <c r="AV434" s="763"/>
      <c r="AW434" s="763"/>
      <c r="AX434" s="763"/>
      <c r="AY434" s="763"/>
      <c r="AZ434" s="763"/>
      <c r="BA434" s="763"/>
      <c r="BB434" s="763"/>
      <c r="BC434" s="763"/>
      <c r="BD434" s="763"/>
      <c r="BE434" s="763"/>
      <c r="BF434" s="763"/>
      <c r="BG434" s="763" t="b">
        <f>IFERROR(__xludf.DUMMYFUNCTION("""COMPUTED_VALUE"""),TRUE)</f>
        <v>1</v>
      </c>
      <c r="BH434" s="763" t="b">
        <f>IFERROR(__xludf.DUMMYFUNCTION("""COMPUTED_VALUE"""),FALSE)</f>
        <v>0</v>
      </c>
      <c r="BI434" s="763" t="b">
        <f>IFERROR(__xludf.DUMMYFUNCTION("""COMPUTED_VALUE"""),TRUE)</f>
        <v>1</v>
      </c>
      <c r="BJ434" s="763" t="b">
        <f>IFERROR(__xludf.DUMMYFUNCTION("""COMPUTED_VALUE"""),TRUE)</f>
        <v>1</v>
      </c>
    </row>
    <row r="435">
      <c r="A435" s="763">
        <f>IFERROR(__xludf.DUMMYFUNCTION("""COMPUTED_VALUE"""),65699.0)</f>
        <v>65699</v>
      </c>
      <c r="B435" s="763">
        <f>IFERROR(__xludf.DUMMYFUNCTION("""COMPUTED_VALUE"""),65699.0)</f>
        <v>65699</v>
      </c>
      <c r="C435" s="763" t="str">
        <f>IFERROR(__xludf.DUMMYFUNCTION("""COMPUTED_VALUE"""),"2025-11-01 16:42:03")</f>
        <v>2025-11-01 16:42:03</v>
      </c>
      <c r="D435" s="763" t="str">
        <f>IFERROR(__xludf.DUMMYFUNCTION("""COMPUTED_VALUE"""),"processing")</f>
        <v>processing</v>
      </c>
      <c r="E435" s="763" t="str">
        <f>IFERROR(__xludf.DUMMYFUNCTION("""COMPUTED_VALUE"""),"Carolina")</f>
        <v>Carolina</v>
      </c>
      <c r="F435" s="763" t="str">
        <f>IFERROR(__xludf.DUMMYFUNCTION("""COMPUTED_VALUE"""),"Smirne")</f>
        <v>Smirne</v>
      </c>
      <c r="G435" s="763" t="str">
        <f>IFERROR(__xludf.DUMMYFUNCTION("""COMPUTED_VALUE"""),"smirne2006@gmail.com")</f>
        <v>smirne2006@gmail.com</v>
      </c>
      <c r="H435" s="763">
        <f>IFERROR(__xludf.DUMMYFUNCTION("""COMPUTED_VALUE"""),3.911093519E9)</f>
        <v>3911093519</v>
      </c>
      <c r="I435" s="763" t="str">
        <f>IFERROR(__xludf.DUMMYFUNCTION("""COMPUTED_VALUE"""),"Albairate")</f>
        <v>Albairate</v>
      </c>
      <c r="J435" s="763" t="str">
        <f>IFERROR(__xludf.DUMMYFUNCTION("""COMPUTED_VALUE"""),"Via G. Mazzini 6")</f>
        <v>Via G. Mazzini 6</v>
      </c>
      <c r="K435" s="763">
        <f>IFERROR(__xludf.DUMMYFUNCTION("""COMPUTED_VALUE"""),20080.0)</f>
        <v>20080</v>
      </c>
      <c r="L435" s="763" t="str">
        <f>IFERROR(__xludf.DUMMYFUNCTION("""COMPUTED_VALUE"""),"Carte di pagamento")</f>
        <v>Carte di pagamento</v>
      </c>
      <c r="M435" s="763"/>
      <c r="N435" s="763" t="str">
        <f>IFERROR(__xludf.DUMMYFUNCTION("""COMPUTED_VALUE"""),"65699-1762015325")</f>
        <v>65699-1762015325</v>
      </c>
      <c r="O435" s="763">
        <f>IFERROR(__xludf.DUMMYFUNCTION("""COMPUTED_VALUE"""),0.0)</f>
        <v>0</v>
      </c>
      <c r="P435" s="767">
        <f>IFERROR(__xludf.DUMMYFUNCTION("""COMPUTED_VALUE"""),1.5416666666666667)</f>
        <v>1.541666667</v>
      </c>
      <c r="Q435" s="763" t="str">
        <f>IFERROR(__xludf.DUMMYFUNCTION("""COMPUTED_VALUE"""),"EUR")</f>
        <v>EUR</v>
      </c>
      <c r="R435" s="763">
        <f>IFERROR(__xludf.DUMMYFUNCTION("""COMPUTED_VALUE"""),884.0)</f>
        <v>884</v>
      </c>
      <c r="S435" s="763" t="str">
        <f>IFERROR(__xludf.DUMMYFUNCTION("""COMPUTED_VALUE"""),"Workshop Urban con Kumo - Workshop Kumo Urban")</f>
        <v>Workshop Urban con Kumo - Workshop Kumo Urban</v>
      </c>
      <c r="T435" s="763"/>
      <c r="U435" s="763"/>
      <c r="V435" s="763">
        <f>IFERROR(__xludf.DUMMYFUNCTION("""COMPUTED_VALUE"""),1.0)</f>
        <v>1</v>
      </c>
      <c r="W435" s="763">
        <f>IFERROR(__xludf.DUMMYFUNCTION("""COMPUTED_VALUE"""),37.0)</f>
        <v>37</v>
      </c>
      <c r="X435" s="763">
        <f>IFERROR(__xludf.DUMMYFUNCTION("""COMPUTED_VALUE"""),37.0)</f>
        <v>37</v>
      </c>
      <c r="Y435" s="763"/>
      <c r="Z435" s="768" t="str">
        <f>IFERROR(__xludf.DUMMYFUNCTION("""COMPUTED_VALUE"""),"https://studio-gem.it/wp-admin/post.php?post=65699&amp;action=edit")</f>
        <v>https://studio-gem.it/wp-admin/post.php?post=65699&amp;action=edit</v>
      </c>
      <c r="AA435" s="763"/>
      <c r="AB435" s="763"/>
      <c r="AC435" s="763"/>
      <c r="AD435" s="763"/>
      <c r="AE435" s="763"/>
      <c r="AF435" s="763"/>
      <c r="AG435" s="763"/>
      <c r="AH435" s="763"/>
      <c r="AI435" s="763"/>
      <c r="AJ435" s="763"/>
      <c r="AK435" s="763"/>
      <c r="AL435" s="763"/>
      <c r="AM435" s="763"/>
      <c r="AN435" s="763"/>
      <c r="AO435" s="763"/>
      <c r="AP435" s="763"/>
      <c r="AQ435" s="763"/>
      <c r="AR435" s="763"/>
      <c r="AS435" s="763"/>
      <c r="AT435" s="763"/>
      <c r="AU435" s="763"/>
      <c r="AV435" s="763"/>
      <c r="AW435" s="763"/>
      <c r="AX435" s="763"/>
      <c r="AY435" s="763"/>
      <c r="AZ435" s="763"/>
      <c r="BA435" s="763"/>
      <c r="BB435" s="763"/>
      <c r="BC435" s="763"/>
      <c r="BD435" s="763"/>
      <c r="BE435" s="763"/>
      <c r="BF435" s="763"/>
      <c r="BG435" s="763" t="b">
        <f>IFERROR(__xludf.DUMMYFUNCTION("""COMPUTED_VALUE"""),TRUE)</f>
        <v>1</v>
      </c>
      <c r="BH435" s="763" t="b">
        <f>IFERROR(__xludf.DUMMYFUNCTION("""COMPUTED_VALUE"""),FALSE)</f>
        <v>0</v>
      </c>
      <c r="BI435" s="763" t="b">
        <f>IFERROR(__xludf.DUMMYFUNCTION("""COMPUTED_VALUE"""),TRUE)</f>
        <v>1</v>
      </c>
      <c r="BJ435" s="763" t="b">
        <f>IFERROR(__xludf.DUMMYFUNCTION("""COMPUTED_VALUE"""),TRUE)</f>
        <v>1</v>
      </c>
    </row>
    <row r="436">
      <c r="A436" s="763">
        <f>IFERROR(__xludf.DUMMYFUNCTION("""COMPUTED_VALUE"""),65700.0)</f>
        <v>65700</v>
      </c>
      <c r="B436" s="763">
        <f>IFERROR(__xludf.DUMMYFUNCTION("""COMPUTED_VALUE"""),65700.0)</f>
        <v>65700</v>
      </c>
      <c r="C436" s="763" t="str">
        <f>IFERROR(__xludf.DUMMYFUNCTION("""COMPUTED_VALUE"""),"2025-11-01 22:04:35")</f>
        <v>2025-11-01 22:04:35</v>
      </c>
      <c r="D436" s="763" t="str">
        <f>IFERROR(__xludf.DUMMYFUNCTION("""COMPUTED_VALUE"""),"completed")</f>
        <v>completed</v>
      </c>
      <c r="E436" s="763" t="str">
        <f>IFERROR(__xludf.DUMMYFUNCTION("""COMPUTED_VALUE"""),"Sara")</f>
        <v>Sara</v>
      </c>
      <c r="F436" s="763" t="str">
        <f>IFERROR(__xludf.DUMMYFUNCTION("""COMPUTED_VALUE"""),"Lorenzini")</f>
        <v>Lorenzini</v>
      </c>
      <c r="G436" s="763" t="str">
        <f>IFERROR(__xludf.DUMMYFUNCTION("""COMPUTED_VALUE"""),"slorenzini7@gmail.com")</f>
        <v>slorenzini7@gmail.com</v>
      </c>
      <c r="H436" s="763">
        <f>IFERROR(__xludf.DUMMYFUNCTION("""COMPUTED_VALUE"""),3.928824893E9)</f>
        <v>3928824893</v>
      </c>
      <c r="I436" s="763" t="str">
        <f>IFERROR(__xludf.DUMMYFUNCTION("""COMPUTED_VALUE"""),"Milano")</f>
        <v>Milano</v>
      </c>
      <c r="J436" s="763" t="str">
        <f>IFERROR(__xludf.DUMMYFUNCTION("""COMPUTED_VALUE"""),"Via Alcuino 7")</f>
        <v>Via Alcuino 7</v>
      </c>
      <c r="K436" s="763">
        <f>IFERROR(__xludf.DUMMYFUNCTION("""COMPUTED_VALUE"""),20149.0)</f>
        <v>20149</v>
      </c>
      <c r="L436" s="763" t="str">
        <f>IFERROR(__xludf.DUMMYFUNCTION("""COMPUTED_VALUE"""),"Apple Pay")</f>
        <v>Apple Pay</v>
      </c>
      <c r="M436" s="763"/>
      <c r="N436" s="763" t="str">
        <f>IFERROR(__xludf.DUMMYFUNCTION("""COMPUTED_VALUE"""),"65700-1762034677")</f>
        <v>65700-1762034677</v>
      </c>
      <c r="O436" s="763">
        <f>IFERROR(__xludf.DUMMYFUNCTION("""COMPUTED_VALUE"""),0.0)</f>
        <v>0</v>
      </c>
      <c r="P436" s="767">
        <f>IFERROR(__xludf.DUMMYFUNCTION("""COMPUTED_VALUE"""),1.5416666666666667)</f>
        <v>1.541666667</v>
      </c>
      <c r="Q436" s="763" t="str">
        <f>IFERROR(__xludf.DUMMYFUNCTION("""COMPUTED_VALUE"""),"EUR")</f>
        <v>EUR</v>
      </c>
      <c r="R436" s="763">
        <f>IFERROR(__xludf.DUMMYFUNCTION("""COMPUTED_VALUE"""),885.0)</f>
        <v>885</v>
      </c>
      <c r="S436" s="763" t="str">
        <f>IFERROR(__xludf.DUMMYFUNCTION("""COMPUTED_VALUE"""),"Workshop Urban con Kumo - Workshop Kumo Urban")</f>
        <v>Workshop Urban con Kumo - Workshop Kumo Urban</v>
      </c>
      <c r="T436" s="763"/>
      <c r="U436" s="763"/>
      <c r="V436" s="763">
        <f>IFERROR(__xludf.DUMMYFUNCTION("""COMPUTED_VALUE"""),1.0)</f>
        <v>1</v>
      </c>
      <c r="W436" s="763">
        <f>IFERROR(__xludf.DUMMYFUNCTION("""COMPUTED_VALUE"""),37.0)</f>
        <v>37</v>
      </c>
      <c r="X436" s="763">
        <f>IFERROR(__xludf.DUMMYFUNCTION("""COMPUTED_VALUE"""),37.0)</f>
        <v>37</v>
      </c>
      <c r="Y436" s="763"/>
      <c r="Z436" s="768" t="str">
        <f>IFERROR(__xludf.DUMMYFUNCTION("""COMPUTED_VALUE"""),"https://studio-gem.it/wp-admin/post.php?post=65700&amp;action=edit")</f>
        <v>https://studio-gem.it/wp-admin/post.php?post=65700&amp;action=edit</v>
      </c>
      <c r="AA436" s="763"/>
      <c r="AB436" s="763"/>
      <c r="AC436" s="763"/>
      <c r="AD436" s="763"/>
      <c r="AE436" s="763"/>
      <c r="AF436" s="763"/>
      <c r="AG436" s="763"/>
      <c r="AH436" s="763"/>
      <c r="AI436" s="763"/>
      <c r="AJ436" s="763"/>
      <c r="AK436" s="763"/>
      <c r="AL436" s="763"/>
      <c r="AM436" s="763"/>
      <c r="AN436" s="763"/>
      <c r="AO436" s="763"/>
      <c r="AP436" s="763"/>
      <c r="AQ436" s="763"/>
      <c r="AR436" s="763"/>
      <c r="AS436" s="763"/>
      <c r="AT436" s="763"/>
      <c r="AU436" s="763"/>
      <c r="AV436" s="763"/>
      <c r="AW436" s="763"/>
      <c r="AX436" s="763"/>
      <c r="AY436" s="763"/>
      <c r="AZ436" s="763"/>
      <c r="BA436" s="763"/>
      <c r="BB436" s="763"/>
      <c r="BC436" s="763"/>
      <c r="BD436" s="763"/>
      <c r="BE436" s="763"/>
      <c r="BF436" s="763"/>
      <c r="BG436" s="763"/>
      <c r="BH436" s="763" t="b">
        <f>IFERROR(__xludf.DUMMYFUNCTION("""COMPUTED_VALUE"""),FALSE)</f>
        <v>0</v>
      </c>
      <c r="BI436" s="763" t="b">
        <f>IFERROR(__xludf.DUMMYFUNCTION("""COMPUTED_VALUE"""),TRUE)</f>
        <v>1</v>
      </c>
      <c r="BJ436" s="763" t="b">
        <f>IFERROR(__xludf.DUMMYFUNCTION("""COMPUTED_VALUE"""),TRUE)</f>
        <v>1</v>
      </c>
    </row>
    <row r="437">
      <c r="A437" s="763">
        <f>IFERROR(__xludf.DUMMYFUNCTION("""COMPUTED_VALUE"""),65702.0)</f>
        <v>65702</v>
      </c>
      <c r="B437" s="763">
        <f>IFERROR(__xludf.DUMMYFUNCTION("""COMPUTED_VALUE"""),65702.0)</f>
        <v>65702</v>
      </c>
      <c r="C437" s="763" t="str">
        <f>IFERROR(__xludf.DUMMYFUNCTION("""COMPUTED_VALUE"""),"2025-11-02 08:15:55")</f>
        <v>2025-11-02 08:15:55</v>
      </c>
      <c r="D437" s="763" t="str">
        <f>IFERROR(__xludf.DUMMYFUNCTION("""COMPUTED_VALUE"""),"completed")</f>
        <v>completed</v>
      </c>
      <c r="E437" s="763" t="str">
        <f>IFERROR(__xludf.DUMMYFUNCTION("""COMPUTED_VALUE"""),"Laura Marketta")</f>
        <v>Laura Marketta</v>
      </c>
      <c r="F437" s="763" t="str">
        <f>IFERROR(__xludf.DUMMYFUNCTION("""COMPUTED_VALUE"""),"Itkonen")</f>
        <v>Itkonen</v>
      </c>
      <c r="G437" s="763" t="str">
        <f>IFERROR(__xludf.DUMMYFUNCTION("""COMPUTED_VALUE"""),"markettaitkonen@gmail.com")</f>
        <v>markettaitkonen@gmail.com</v>
      </c>
      <c r="H437" s="763">
        <f>IFERROR(__xludf.DUMMYFUNCTION("""COMPUTED_VALUE"""),3.318029687E9)</f>
        <v>3318029687</v>
      </c>
      <c r="I437" s="763" t="str">
        <f>IFERROR(__xludf.DUMMYFUNCTION("""COMPUTED_VALUE"""),"Milano")</f>
        <v>Milano</v>
      </c>
      <c r="J437" s="763" t="str">
        <f>IFERROR(__xludf.DUMMYFUNCTION("""COMPUTED_VALUE"""),"Via Chiarelli 16, 16")</f>
        <v>Via Chiarelli 16, 16</v>
      </c>
      <c r="K437" s="763">
        <f>IFERROR(__xludf.DUMMYFUNCTION("""COMPUTED_VALUE"""),20151.0)</f>
        <v>20151</v>
      </c>
      <c r="L437" s="763" t="str">
        <f>IFERROR(__xludf.DUMMYFUNCTION("""COMPUTED_VALUE"""),"Carte di pagamento")</f>
        <v>Carte di pagamento</v>
      </c>
      <c r="M437" s="763"/>
      <c r="N437" s="763" t="str">
        <f>IFERROR(__xludf.DUMMYFUNCTION("""COMPUTED_VALUE"""),"65702-1762071356")</f>
        <v>65702-1762071356</v>
      </c>
      <c r="O437" s="763">
        <f>IFERROR(__xludf.DUMMYFUNCTION("""COMPUTED_VALUE"""),0.0)</f>
        <v>0</v>
      </c>
      <c r="P437" s="767">
        <f>IFERROR(__xludf.DUMMYFUNCTION("""COMPUTED_VALUE"""),1.125)</f>
        <v>1.125</v>
      </c>
      <c r="Q437" s="763" t="str">
        <f>IFERROR(__xludf.DUMMYFUNCTION("""COMPUTED_VALUE"""),"EUR")</f>
        <v>EUR</v>
      </c>
      <c r="R437" s="763">
        <f>IFERROR(__xludf.DUMMYFUNCTION("""COMPUTED_VALUE"""),886.0)</f>
        <v>886</v>
      </c>
      <c r="S437" s="763" t="str">
        <f>IFERROR(__xludf.DUMMYFUNCTION("""COMPUTED_VALUE"""),"Workshop Salsa flamenco e pasitos con Nerea Perez - Workshop Nerea Salsa Flamenco")</f>
        <v>Workshop Salsa flamenco e pasitos con Nerea Perez - Workshop Nerea Salsa Flamenco</v>
      </c>
      <c r="T437" s="763"/>
      <c r="U437" s="763"/>
      <c r="V437" s="763">
        <f>IFERROR(__xludf.DUMMYFUNCTION("""COMPUTED_VALUE"""),1.0)</f>
        <v>1</v>
      </c>
      <c r="W437" s="763">
        <f>IFERROR(__xludf.DUMMYFUNCTION("""COMPUTED_VALUE"""),27.0)</f>
        <v>27</v>
      </c>
      <c r="X437" s="763">
        <f>IFERROR(__xludf.DUMMYFUNCTION("""COMPUTED_VALUE"""),27.0)</f>
        <v>27</v>
      </c>
      <c r="Y437" s="763"/>
      <c r="Z437" s="768" t="str">
        <f>IFERROR(__xludf.DUMMYFUNCTION("""COMPUTED_VALUE"""),"https://studio-gem.it/wp-admin/post.php?post=65702&amp;action=edit")</f>
        <v>https://studio-gem.it/wp-admin/post.php?post=65702&amp;action=edit</v>
      </c>
      <c r="AA437" s="763"/>
      <c r="AB437" s="763"/>
      <c r="AC437" s="763"/>
      <c r="AD437" s="763"/>
      <c r="AE437" s="763"/>
      <c r="AF437" s="763"/>
      <c r="AG437" s="763"/>
      <c r="AH437" s="763"/>
      <c r="AI437" s="763"/>
      <c r="AJ437" s="763"/>
      <c r="AK437" s="763"/>
      <c r="AL437" s="763"/>
      <c r="AM437" s="763"/>
      <c r="AN437" s="763"/>
      <c r="AO437" s="763"/>
      <c r="AP437" s="763"/>
      <c r="AQ437" s="763"/>
      <c r="AR437" s="763"/>
      <c r="AS437" s="763"/>
      <c r="AT437" s="763"/>
      <c r="AU437" s="763"/>
      <c r="AV437" s="763"/>
      <c r="AW437" s="763"/>
      <c r="AX437" s="763"/>
      <c r="AY437" s="763"/>
      <c r="AZ437" s="763"/>
      <c r="BA437" s="763"/>
      <c r="BB437" s="763"/>
      <c r="BC437" s="763"/>
      <c r="BD437" s="763"/>
      <c r="BE437" s="763"/>
      <c r="BF437" s="763"/>
      <c r="BG437" s="763" t="b">
        <f>IFERROR(__xludf.DUMMYFUNCTION("""COMPUTED_VALUE"""),TRUE)</f>
        <v>1</v>
      </c>
      <c r="BH437" s="763" t="b">
        <f>IFERROR(__xludf.DUMMYFUNCTION("""COMPUTED_VALUE"""),FALSE)</f>
        <v>0</v>
      </c>
      <c r="BI437" s="763" t="b">
        <f>IFERROR(__xludf.DUMMYFUNCTION("""COMPUTED_VALUE"""),TRUE)</f>
        <v>1</v>
      </c>
      <c r="BJ437" s="763" t="b">
        <f>IFERROR(__xludf.DUMMYFUNCTION("""COMPUTED_VALUE"""),FALSE)</f>
        <v>0</v>
      </c>
    </row>
    <row r="438">
      <c r="A438" s="763">
        <f>IFERROR(__xludf.DUMMYFUNCTION("""COMPUTED_VALUE"""),65705.0)</f>
        <v>65705</v>
      </c>
      <c r="B438" s="763">
        <f>IFERROR(__xludf.DUMMYFUNCTION("""COMPUTED_VALUE"""),65705.0)</f>
        <v>65705</v>
      </c>
      <c r="C438" s="763" t="str">
        <f>IFERROR(__xludf.DUMMYFUNCTION("""COMPUTED_VALUE"""),"2025-11-02 10:15:13")</f>
        <v>2025-11-02 10:15:13</v>
      </c>
      <c r="D438" s="763" t="str">
        <f>IFERROR(__xludf.DUMMYFUNCTION("""COMPUTED_VALUE"""),"pending")</f>
        <v>pending</v>
      </c>
      <c r="E438" s="763" t="str">
        <f>IFERROR(__xludf.DUMMYFUNCTION("""COMPUTED_VALUE"""),"Beatrice")</f>
        <v>Beatrice</v>
      </c>
      <c r="F438" s="763" t="str">
        <f>IFERROR(__xludf.DUMMYFUNCTION("""COMPUTED_VALUE"""),"Forlani")</f>
        <v>Forlani</v>
      </c>
      <c r="G438" s="763" t="str">
        <f>IFERROR(__xludf.DUMMYFUNCTION("""COMPUTED_VALUE"""),"avv.forlani.beatrice@gmail.com")</f>
        <v>avv.forlani.beatrice@gmail.com</v>
      </c>
      <c r="H438" s="763">
        <f>IFERROR(__xludf.DUMMYFUNCTION("""COMPUTED_VALUE"""),3.405699436E9)</f>
        <v>3405699436</v>
      </c>
      <c r="I438" s="763" t="str">
        <f>IFERROR(__xludf.DUMMYFUNCTION("""COMPUTED_VALUE"""),"MILANO")</f>
        <v>MILANO</v>
      </c>
      <c r="J438" s="763" t="str">
        <f>IFERROR(__xludf.DUMMYFUNCTION("""COMPUTED_VALUE"""),"Piazza Imperatore Tito 6")</f>
        <v>Piazza Imperatore Tito 6</v>
      </c>
      <c r="K438" s="763">
        <f>IFERROR(__xludf.DUMMYFUNCTION("""COMPUTED_VALUE"""),20137.0)</f>
        <v>20137</v>
      </c>
      <c r="L438" s="763" t="str">
        <f>IFERROR(__xludf.DUMMYFUNCTION("""COMPUTED_VALUE"""),"Carte di pagamento")</f>
        <v>Carte di pagamento</v>
      </c>
      <c r="M438" s="763"/>
      <c r="N438" s="763"/>
      <c r="O438" s="763">
        <f>IFERROR(__xludf.DUMMYFUNCTION("""COMPUTED_VALUE"""),0.0)</f>
        <v>0</v>
      </c>
      <c r="P438" s="767">
        <f>IFERROR(__xludf.DUMMYFUNCTION("""COMPUTED_VALUE"""),10.25)</f>
        <v>10.25</v>
      </c>
      <c r="Q438" s="763" t="str">
        <f>IFERROR(__xludf.DUMMYFUNCTION("""COMPUTED_VALUE"""),"EUR")</f>
        <v>EUR</v>
      </c>
      <c r="R438" s="763">
        <f>IFERROR(__xludf.DUMMYFUNCTION("""COMPUTED_VALUE"""),887.0)</f>
        <v>887</v>
      </c>
      <c r="S438" s="763" t="str">
        <f>IFERROR(__xludf.DUMMYFUNCTION("""COMPUTED_VALUE"""),"Workshop Salsa Musicality con Nicolò De Angelis - Workshop Nicolò Salsa Musicality")</f>
        <v>Workshop Salsa Musicality con Nicolò De Angelis - Workshop Nicolò Salsa Musicality</v>
      </c>
      <c r="T438" s="763"/>
      <c r="U438" s="763"/>
      <c r="V438" s="763">
        <f>IFERROR(__xludf.DUMMYFUNCTION("""COMPUTED_VALUE"""),5.0)</f>
        <v>5</v>
      </c>
      <c r="W438" s="763">
        <f>IFERROR(__xludf.DUMMYFUNCTION("""COMPUTED_VALUE"""),32.0)</f>
        <v>32</v>
      </c>
      <c r="X438" s="763">
        <f>IFERROR(__xludf.DUMMYFUNCTION("""COMPUTED_VALUE"""),160.0)</f>
        <v>160</v>
      </c>
      <c r="Y438" s="763"/>
      <c r="Z438" s="768" t="str">
        <f>IFERROR(__xludf.DUMMYFUNCTION("""COMPUTED_VALUE"""),"https://studio-gem.it/wp-admin/post.php?post=65705&amp;action=edit")</f>
        <v>https://studio-gem.it/wp-admin/post.php?post=65705&amp;action=edit</v>
      </c>
      <c r="AA438" s="763"/>
      <c r="AB438" s="763"/>
      <c r="AC438" s="763"/>
      <c r="AD438" s="763"/>
      <c r="AE438" s="763"/>
      <c r="AF438" s="763"/>
      <c r="AG438" s="763"/>
      <c r="AH438" s="763"/>
      <c r="AI438" s="763"/>
      <c r="AJ438" s="763"/>
      <c r="AK438" s="763"/>
      <c r="AL438" s="763"/>
      <c r="AM438" s="763"/>
      <c r="AN438" s="763"/>
      <c r="AO438" s="763"/>
      <c r="AP438" s="763"/>
      <c r="AQ438" s="763"/>
      <c r="AR438" s="763"/>
      <c r="AS438" s="763"/>
      <c r="AT438" s="763"/>
      <c r="AU438" s="763"/>
      <c r="AV438" s="763"/>
      <c r="AW438" s="763"/>
      <c r="AX438" s="763"/>
      <c r="AY438" s="763"/>
      <c r="AZ438" s="763"/>
      <c r="BA438" s="763"/>
      <c r="BB438" s="763"/>
      <c r="BC438" s="763"/>
      <c r="BD438" s="763"/>
      <c r="BE438" s="763"/>
      <c r="BF438" s="763"/>
      <c r="BG438" s="763" t="b">
        <f>IFERROR(__xludf.DUMMYFUNCTION("""COMPUTED_VALUE"""),FALSE)</f>
        <v>0</v>
      </c>
      <c r="BH438" s="763" t="b">
        <f>IFERROR(__xludf.DUMMYFUNCTION("""COMPUTED_VALUE"""),FALSE)</f>
        <v>0</v>
      </c>
      <c r="BI438" s="763" t="b">
        <f>IFERROR(__xludf.DUMMYFUNCTION("""COMPUTED_VALUE"""),FALSE)</f>
        <v>0</v>
      </c>
      <c r="BJ438" s="763" t="b">
        <f>IFERROR(__xludf.DUMMYFUNCTION("""COMPUTED_VALUE"""),FALSE)</f>
        <v>0</v>
      </c>
    </row>
    <row r="439">
      <c r="A439" s="763">
        <f>IFERROR(__xludf.DUMMYFUNCTION("""COMPUTED_VALUE"""),65705.0)</f>
        <v>65705</v>
      </c>
      <c r="B439" s="763">
        <f>IFERROR(__xludf.DUMMYFUNCTION("""COMPUTED_VALUE"""),65705.0)</f>
        <v>65705</v>
      </c>
      <c r="C439" s="763" t="str">
        <f>IFERROR(__xludf.DUMMYFUNCTION("""COMPUTED_VALUE"""),"2025-11-02 10:15:13")</f>
        <v>2025-11-02 10:15:13</v>
      </c>
      <c r="D439" s="763" t="str">
        <f>IFERROR(__xludf.DUMMYFUNCTION("""COMPUTED_VALUE"""),"pending")</f>
        <v>pending</v>
      </c>
      <c r="E439" s="763" t="str">
        <f>IFERROR(__xludf.DUMMYFUNCTION("""COMPUTED_VALUE"""),"Beatrice")</f>
        <v>Beatrice</v>
      </c>
      <c r="F439" s="763" t="str">
        <f>IFERROR(__xludf.DUMMYFUNCTION("""COMPUTED_VALUE"""),"Forlani")</f>
        <v>Forlani</v>
      </c>
      <c r="G439" s="763" t="str">
        <f>IFERROR(__xludf.DUMMYFUNCTION("""COMPUTED_VALUE"""),"avv.forlani.beatrice@gmail.com")</f>
        <v>avv.forlani.beatrice@gmail.com</v>
      </c>
      <c r="H439" s="763">
        <f>IFERROR(__xludf.DUMMYFUNCTION("""COMPUTED_VALUE"""),3.405699436E9)</f>
        <v>3405699436</v>
      </c>
      <c r="I439" s="763" t="str">
        <f>IFERROR(__xludf.DUMMYFUNCTION("""COMPUTED_VALUE"""),"MILANO")</f>
        <v>MILANO</v>
      </c>
      <c r="J439" s="763" t="str">
        <f>IFERROR(__xludf.DUMMYFUNCTION("""COMPUTED_VALUE"""),"Piazza Imperatore Tito 6")</f>
        <v>Piazza Imperatore Tito 6</v>
      </c>
      <c r="K439" s="763">
        <f>IFERROR(__xludf.DUMMYFUNCTION("""COMPUTED_VALUE"""),20137.0)</f>
        <v>20137</v>
      </c>
      <c r="L439" s="763" t="str">
        <f>IFERROR(__xludf.DUMMYFUNCTION("""COMPUTED_VALUE"""),"Carte di pagamento")</f>
        <v>Carte di pagamento</v>
      </c>
      <c r="M439" s="763"/>
      <c r="N439" s="763"/>
      <c r="O439" s="763">
        <f>IFERROR(__xludf.DUMMYFUNCTION("""COMPUTED_VALUE"""),0.0)</f>
        <v>0</v>
      </c>
      <c r="P439" s="767">
        <f>IFERROR(__xludf.DUMMYFUNCTION("""COMPUTED_VALUE"""),10.25)</f>
        <v>10.25</v>
      </c>
      <c r="Q439" s="763" t="str">
        <f>IFERROR(__xludf.DUMMYFUNCTION("""COMPUTED_VALUE"""),"EUR")</f>
        <v>EUR</v>
      </c>
      <c r="R439" s="763">
        <f>IFERROR(__xludf.DUMMYFUNCTION("""COMPUTED_VALUE"""),888.0)</f>
        <v>888</v>
      </c>
      <c r="S439" s="763" t="str">
        <f>IFERROR(__xludf.DUMMYFUNCTION("""COMPUTED_VALUE"""),"Workshop Salsa flamenco e pasitos con Nerea Perez - Workshop Nerea Salsa Flamenco")</f>
        <v>Workshop Salsa flamenco e pasitos con Nerea Perez - Workshop Nerea Salsa Flamenco</v>
      </c>
      <c r="T439" s="763"/>
      <c r="U439" s="763"/>
      <c r="V439" s="763">
        <f>IFERROR(__xludf.DUMMYFUNCTION("""COMPUTED_VALUE"""),2.0)</f>
        <v>2</v>
      </c>
      <c r="W439" s="763">
        <f>IFERROR(__xludf.DUMMYFUNCTION("""COMPUTED_VALUE"""),27.0)</f>
        <v>27</v>
      </c>
      <c r="X439" s="763">
        <f>IFERROR(__xludf.DUMMYFUNCTION("""COMPUTED_VALUE"""),54.0)</f>
        <v>54</v>
      </c>
      <c r="Y439" s="763"/>
      <c r="Z439" s="768" t="str">
        <f>IFERROR(__xludf.DUMMYFUNCTION("""COMPUTED_VALUE"""),"https://studio-gem.it/wp-admin/post.php?post=65705&amp;action=edit")</f>
        <v>https://studio-gem.it/wp-admin/post.php?post=65705&amp;action=edit</v>
      </c>
      <c r="AA439" s="763"/>
      <c r="AB439" s="763"/>
      <c r="AC439" s="763"/>
      <c r="AD439" s="763"/>
      <c r="AE439" s="763"/>
      <c r="AF439" s="763"/>
      <c r="AG439" s="763"/>
      <c r="AH439" s="763"/>
      <c r="AI439" s="763"/>
      <c r="AJ439" s="763"/>
      <c r="AK439" s="763"/>
      <c r="AL439" s="763"/>
      <c r="AM439" s="763"/>
      <c r="AN439" s="763"/>
      <c r="AO439" s="763"/>
      <c r="AP439" s="763"/>
      <c r="AQ439" s="763"/>
      <c r="AR439" s="763"/>
      <c r="AS439" s="763"/>
      <c r="AT439" s="763"/>
      <c r="AU439" s="763"/>
      <c r="AV439" s="763"/>
      <c r="AW439" s="763"/>
      <c r="AX439" s="763"/>
      <c r="AY439" s="763"/>
      <c r="AZ439" s="763"/>
      <c r="BA439" s="763"/>
      <c r="BB439" s="763"/>
      <c r="BC439" s="763"/>
      <c r="BD439" s="763"/>
      <c r="BE439" s="763"/>
      <c r="BF439" s="763"/>
      <c r="BG439" s="763" t="b">
        <f>IFERROR(__xludf.DUMMYFUNCTION("""COMPUTED_VALUE"""),FALSE)</f>
        <v>0</v>
      </c>
      <c r="BH439" s="763" t="b">
        <f>IFERROR(__xludf.DUMMYFUNCTION("""COMPUTED_VALUE"""),FALSE)</f>
        <v>0</v>
      </c>
      <c r="BI439" s="763" t="b">
        <f>IFERROR(__xludf.DUMMYFUNCTION("""COMPUTED_VALUE"""),FALSE)</f>
        <v>0</v>
      </c>
      <c r="BJ439" s="763" t="b">
        <f>IFERROR(__xludf.DUMMYFUNCTION("""COMPUTED_VALUE"""),FALSE)</f>
        <v>0</v>
      </c>
    </row>
    <row r="440">
      <c r="A440" s="763">
        <f>IFERROR(__xludf.DUMMYFUNCTION("""COMPUTED_VALUE"""),65705.0)</f>
        <v>65705</v>
      </c>
      <c r="B440" s="763">
        <f>IFERROR(__xludf.DUMMYFUNCTION("""COMPUTED_VALUE"""),65705.0)</f>
        <v>65705</v>
      </c>
      <c r="C440" s="763" t="str">
        <f>IFERROR(__xludf.DUMMYFUNCTION("""COMPUTED_VALUE"""),"2025-11-02 10:15:13")</f>
        <v>2025-11-02 10:15:13</v>
      </c>
      <c r="D440" s="763" t="str">
        <f>IFERROR(__xludf.DUMMYFUNCTION("""COMPUTED_VALUE"""),"pending")</f>
        <v>pending</v>
      </c>
      <c r="E440" s="763" t="str">
        <f>IFERROR(__xludf.DUMMYFUNCTION("""COMPUTED_VALUE"""),"Beatrice")</f>
        <v>Beatrice</v>
      </c>
      <c r="F440" s="763" t="str">
        <f>IFERROR(__xludf.DUMMYFUNCTION("""COMPUTED_VALUE"""),"Forlani")</f>
        <v>Forlani</v>
      </c>
      <c r="G440" s="763" t="str">
        <f>IFERROR(__xludf.DUMMYFUNCTION("""COMPUTED_VALUE"""),"avv.forlani.beatrice@gmail.com")</f>
        <v>avv.forlani.beatrice@gmail.com</v>
      </c>
      <c r="H440" s="763">
        <f>IFERROR(__xludf.DUMMYFUNCTION("""COMPUTED_VALUE"""),3.405699436E9)</f>
        <v>3405699436</v>
      </c>
      <c r="I440" s="763" t="str">
        <f>IFERROR(__xludf.DUMMYFUNCTION("""COMPUTED_VALUE"""),"MILANO")</f>
        <v>MILANO</v>
      </c>
      <c r="J440" s="763" t="str">
        <f>IFERROR(__xludf.DUMMYFUNCTION("""COMPUTED_VALUE"""),"Piazza Imperatore Tito 6")</f>
        <v>Piazza Imperatore Tito 6</v>
      </c>
      <c r="K440" s="763">
        <f>IFERROR(__xludf.DUMMYFUNCTION("""COMPUTED_VALUE"""),20137.0)</f>
        <v>20137</v>
      </c>
      <c r="L440" s="763" t="str">
        <f>IFERROR(__xludf.DUMMYFUNCTION("""COMPUTED_VALUE"""),"Carte di pagamento")</f>
        <v>Carte di pagamento</v>
      </c>
      <c r="M440" s="763"/>
      <c r="N440" s="763"/>
      <c r="O440" s="763">
        <f>IFERROR(__xludf.DUMMYFUNCTION("""COMPUTED_VALUE"""),0.0)</f>
        <v>0</v>
      </c>
      <c r="P440" s="767">
        <f>IFERROR(__xludf.DUMMYFUNCTION("""COMPUTED_VALUE"""),10.25)</f>
        <v>10.25</v>
      </c>
      <c r="Q440" s="763" t="str">
        <f>IFERROR(__xludf.DUMMYFUNCTION("""COMPUTED_VALUE"""),"EUR")</f>
        <v>EUR</v>
      </c>
      <c r="R440" s="763">
        <f>IFERROR(__xludf.DUMMYFUNCTION("""COMPUTED_VALUE"""),889.0)</f>
        <v>889</v>
      </c>
      <c r="S440" s="763" t="str">
        <f>IFERROR(__xludf.DUMMYFUNCTION("""COMPUTED_VALUE"""),"Workshop Indian Fusion con Leli - Workshop Leli Indian Fusion")</f>
        <v>Workshop Indian Fusion con Leli - Workshop Leli Indian Fusion</v>
      </c>
      <c r="T440" s="763"/>
      <c r="U440" s="763"/>
      <c r="V440" s="763">
        <f>IFERROR(__xludf.DUMMYFUNCTION("""COMPUTED_VALUE"""),1.0)</f>
        <v>1</v>
      </c>
      <c r="W440" s="763">
        <f>IFERROR(__xludf.DUMMYFUNCTION("""COMPUTED_VALUE"""),32.0)</f>
        <v>32</v>
      </c>
      <c r="X440" s="763">
        <f>IFERROR(__xludf.DUMMYFUNCTION("""COMPUTED_VALUE"""),32.0)</f>
        <v>32</v>
      </c>
      <c r="Y440" s="763"/>
      <c r="Z440" s="768" t="str">
        <f>IFERROR(__xludf.DUMMYFUNCTION("""COMPUTED_VALUE"""),"https://studio-gem.it/wp-admin/post.php?post=65705&amp;action=edit")</f>
        <v>https://studio-gem.it/wp-admin/post.php?post=65705&amp;action=edit</v>
      </c>
      <c r="AA440" s="763"/>
      <c r="AB440" s="763"/>
      <c r="AC440" s="763"/>
      <c r="AD440" s="763"/>
      <c r="AE440" s="763"/>
      <c r="AF440" s="763"/>
      <c r="AG440" s="763"/>
      <c r="AH440" s="763"/>
      <c r="AI440" s="763"/>
      <c r="AJ440" s="763"/>
      <c r="AK440" s="763"/>
      <c r="AL440" s="763"/>
      <c r="AM440" s="763"/>
      <c r="AN440" s="763"/>
      <c r="AO440" s="763"/>
      <c r="AP440" s="763"/>
      <c r="AQ440" s="763"/>
      <c r="AR440" s="763"/>
      <c r="AS440" s="763"/>
      <c r="AT440" s="763"/>
      <c r="AU440" s="763"/>
      <c r="AV440" s="763"/>
      <c r="AW440" s="763"/>
      <c r="AX440" s="763"/>
      <c r="AY440" s="763"/>
      <c r="AZ440" s="763"/>
      <c r="BA440" s="763"/>
      <c r="BB440" s="763"/>
      <c r="BC440" s="763"/>
      <c r="BD440" s="763"/>
      <c r="BE440" s="763"/>
      <c r="BF440" s="763"/>
      <c r="BG440" s="763" t="b">
        <f>IFERROR(__xludf.DUMMYFUNCTION("""COMPUTED_VALUE"""),FALSE)</f>
        <v>0</v>
      </c>
      <c r="BH440" s="763" t="b">
        <f>IFERROR(__xludf.DUMMYFUNCTION("""COMPUTED_VALUE"""),FALSE)</f>
        <v>0</v>
      </c>
      <c r="BI440" s="763" t="b">
        <f>IFERROR(__xludf.DUMMYFUNCTION("""COMPUTED_VALUE"""),FALSE)</f>
        <v>0</v>
      </c>
      <c r="BJ440" s="763" t="b">
        <f>IFERROR(__xludf.DUMMYFUNCTION("""COMPUTED_VALUE"""),FALSE)</f>
        <v>0</v>
      </c>
    </row>
    <row r="441">
      <c r="A441" s="763">
        <f>IFERROR(__xludf.DUMMYFUNCTION("""COMPUTED_VALUE"""),65706.0)</f>
        <v>65706</v>
      </c>
      <c r="B441" s="763">
        <f>IFERROR(__xludf.DUMMYFUNCTION("""COMPUTED_VALUE"""),65706.0)</f>
        <v>65706</v>
      </c>
      <c r="C441" s="763" t="str">
        <f>IFERROR(__xludf.DUMMYFUNCTION("""COMPUTED_VALUE"""),"2025-11-02 10:20:18")</f>
        <v>2025-11-02 10:20:18</v>
      </c>
      <c r="D441" s="763" t="str">
        <f>IFERROR(__xludf.DUMMYFUNCTION("""COMPUTED_VALUE"""),"pending")</f>
        <v>pending</v>
      </c>
      <c r="E441" s="763" t="str">
        <f>IFERROR(__xludf.DUMMYFUNCTION("""COMPUTED_VALUE"""),"Beatrice")</f>
        <v>Beatrice</v>
      </c>
      <c r="F441" s="763" t="str">
        <f>IFERROR(__xludf.DUMMYFUNCTION("""COMPUTED_VALUE"""),"Forlani")</f>
        <v>Forlani</v>
      </c>
      <c r="G441" s="763" t="str">
        <f>IFERROR(__xludf.DUMMYFUNCTION("""COMPUTED_VALUE"""),"avv.forlani.beatrice@gmail.com")</f>
        <v>avv.forlani.beatrice@gmail.com</v>
      </c>
      <c r="H441" s="763">
        <f>IFERROR(__xludf.DUMMYFUNCTION("""COMPUTED_VALUE"""),3.405699436E9)</f>
        <v>3405699436</v>
      </c>
      <c r="I441" s="763" t="str">
        <f>IFERROR(__xludf.DUMMYFUNCTION("""COMPUTED_VALUE"""),"MILANO")</f>
        <v>MILANO</v>
      </c>
      <c r="J441" s="763" t="str">
        <f>IFERROR(__xludf.DUMMYFUNCTION("""COMPUTED_VALUE"""),"Piazza Imperatore Tito 6")</f>
        <v>Piazza Imperatore Tito 6</v>
      </c>
      <c r="K441" s="763">
        <f>IFERROR(__xludf.DUMMYFUNCTION("""COMPUTED_VALUE"""),20137.0)</f>
        <v>20137</v>
      </c>
      <c r="L441" s="763" t="str">
        <f>IFERROR(__xludf.DUMMYFUNCTION("""COMPUTED_VALUE"""),"Carte di pagamento")</f>
        <v>Carte di pagamento</v>
      </c>
      <c r="M441" s="763"/>
      <c r="N441" s="763"/>
      <c r="O441" s="763">
        <f>IFERROR(__xludf.DUMMYFUNCTION("""COMPUTED_VALUE"""),0.0)</f>
        <v>0</v>
      </c>
      <c r="P441" s="767">
        <f>IFERROR(__xludf.DUMMYFUNCTION("""COMPUTED_VALUE"""),11.583333333333334)</f>
        <v>11.58333333</v>
      </c>
      <c r="Q441" s="763" t="str">
        <f>IFERROR(__xludf.DUMMYFUNCTION("""COMPUTED_VALUE"""),"EUR")</f>
        <v>EUR</v>
      </c>
      <c r="R441" s="763">
        <f>IFERROR(__xludf.DUMMYFUNCTION("""COMPUTED_VALUE"""),890.0)</f>
        <v>890</v>
      </c>
      <c r="S441" s="763" t="str">
        <f>IFERROR(__xludf.DUMMYFUNCTION("""COMPUTED_VALUE"""),"Workshop Salsa Musicality con Nicolò De Angelis - Workshop Nicolò Salsa Musicality")</f>
        <v>Workshop Salsa Musicality con Nicolò De Angelis - Workshop Nicolò Salsa Musicality</v>
      </c>
      <c r="T441" s="763"/>
      <c r="U441" s="763"/>
      <c r="V441" s="763">
        <f>IFERROR(__xludf.DUMMYFUNCTION("""COMPUTED_VALUE"""),6.0)</f>
        <v>6</v>
      </c>
      <c r="W441" s="763">
        <f>IFERROR(__xludf.DUMMYFUNCTION("""COMPUTED_VALUE"""),32.0)</f>
        <v>32</v>
      </c>
      <c r="X441" s="763">
        <f>IFERROR(__xludf.DUMMYFUNCTION("""COMPUTED_VALUE"""),192.0)</f>
        <v>192</v>
      </c>
      <c r="Y441" s="763"/>
      <c r="Z441" s="768" t="str">
        <f>IFERROR(__xludf.DUMMYFUNCTION("""COMPUTED_VALUE"""),"https://studio-gem.it/wp-admin/post.php?post=65706&amp;action=edit")</f>
        <v>https://studio-gem.it/wp-admin/post.php?post=65706&amp;action=edit</v>
      </c>
      <c r="AA441" s="763"/>
      <c r="AB441" s="763"/>
      <c r="AC441" s="763"/>
      <c r="AD441" s="763"/>
      <c r="AE441" s="763"/>
      <c r="AF441" s="763"/>
      <c r="AG441" s="763"/>
      <c r="AH441" s="763"/>
      <c r="AI441" s="763"/>
      <c r="AJ441" s="763"/>
      <c r="AK441" s="763"/>
      <c r="AL441" s="763"/>
      <c r="AM441" s="763"/>
      <c r="AN441" s="763"/>
      <c r="AO441" s="763"/>
      <c r="AP441" s="763"/>
      <c r="AQ441" s="763"/>
      <c r="AR441" s="763"/>
      <c r="AS441" s="763"/>
      <c r="AT441" s="763"/>
      <c r="AU441" s="763"/>
      <c r="AV441" s="763"/>
      <c r="AW441" s="763"/>
      <c r="AX441" s="763"/>
      <c r="AY441" s="763"/>
      <c r="AZ441" s="763"/>
      <c r="BA441" s="763"/>
      <c r="BB441" s="763"/>
      <c r="BC441" s="763"/>
      <c r="BD441" s="763"/>
      <c r="BE441" s="763"/>
      <c r="BF441" s="763"/>
      <c r="BG441" s="763" t="b">
        <f>IFERROR(__xludf.DUMMYFUNCTION("""COMPUTED_VALUE"""),FALSE)</f>
        <v>0</v>
      </c>
      <c r="BH441" s="763" t="b">
        <f>IFERROR(__xludf.DUMMYFUNCTION("""COMPUTED_VALUE"""),FALSE)</f>
        <v>0</v>
      </c>
      <c r="BI441" s="763" t="b">
        <f>IFERROR(__xludf.DUMMYFUNCTION("""COMPUTED_VALUE"""),FALSE)</f>
        <v>0</v>
      </c>
      <c r="BJ441" s="763" t="b">
        <f>IFERROR(__xludf.DUMMYFUNCTION("""COMPUTED_VALUE"""),FALSE)</f>
        <v>0</v>
      </c>
    </row>
    <row r="442">
      <c r="A442" s="763">
        <f>IFERROR(__xludf.DUMMYFUNCTION("""COMPUTED_VALUE"""),65706.0)</f>
        <v>65706</v>
      </c>
      <c r="B442" s="763">
        <f>IFERROR(__xludf.DUMMYFUNCTION("""COMPUTED_VALUE"""),65706.0)</f>
        <v>65706</v>
      </c>
      <c r="C442" s="763" t="str">
        <f>IFERROR(__xludf.DUMMYFUNCTION("""COMPUTED_VALUE"""),"2025-11-02 10:20:18")</f>
        <v>2025-11-02 10:20:18</v>
      </c>
      <c r="D442" s="763" t="str">
        <f>IFERROR(__xludf.DUMMYFUNCTION("""COMPUTED_VALUE"""),"pending")</f>
        <v>pending</v>
      </c>
      <c r="E442" s="763" t="str">
        <f>IFERROR(__xludf.DUMMYFUNCTION("""COMPUTED_VALUE"""),"Beatrice")</f>
        <v>Beatrice</v>
      </c>
      <c r="F442" s="763" t="str">
        <f>IFERROR(__xludf.DUMMYFUNCTION("""COMPUTED_VALUE"""),"Forlani")</f>
        <v>Forlani</v>
      </c>
      <c r="G442" s="763" t="str">
        <f>IFERROR(__xludf.DUMMYFUNCTION("""COMPUTED_VALUE"""),"avv.forlani.beatrice@gmail.com")</f>
        <v>avv.forlani.beatrice@gmail.com</v>
      </c>
      <c r="H442" s="763">
        <f>IFERROR(__xludf.DUMMYFUNCTION("""COMPUTED_VALUE"""),3.405699436E9)</f>
        <v>3405699436</v>
      </c>
      <c r="I442" s="763" t="str">
        <f>IFERROR(__xludf.DUMMYFUNCTION("""COMPUTED_VALUE"""),"MILANO")</f>
        <v>MILANO</v>
      </c>
      <c r="J442" s="763" t="str">
        <f>IFERROR(__xludf.DUMMYFUNCTION("""COMPUTED_VALUE"""),"Piazza Imperatore Tito 6")</f>
        <v>Piazza Imperatore Tito 6</v>
      </c>
      <c r="K442" s="763">
        <f>IFERROR(__xludf.DUMMYFUNCTION("""COMPUTED_VALUE"""),20137.0)</f>
        <v>20137</v>
      </c>
      <c r="L442" s="763" t="str">
        <f>IFERROR(__xludf.DUMMYFUNCTION("""COMPUTED_VALUE"""),"Carte di pagamento")</f>
        <v>Carte di pagamento</v>
      </c>
      <c r="M442" s="763"/>
      <c r="N442" s="763"/>
      <c r="O442" s="763">
        <f>IFERROR(__xludf.DUMMYFUNCTION("""COMPUTED_VALUE"""),0.0)</f>
        <v>0</v>
      </c>
      <c r="P442" s="767">
        <f>IFERROR(__xludf.DUMMYFUNCTION("""COMPUTED_VALUE"""),11.583333333333334)</f>
        <v>11.58333333</v>
      </c>
      <c r="Q442" s="763" t="str">
        <f>IFERROR(__xludf.DUMMYFUNCTION("""COMPUTED_VALUE"""),"EUR")</f>
        <v>EUR</v>
      </c>
      <c r="R442" s="763">
        <f>IFERROR(__xludf.DUMMYFUNCTION("""COMPUTED_VALUE"""),891.0)</f>
        <v>891</v>
      </c>
      <c r="S442" s="763" t="str">
        <f>IFERROR(__xludf.DUMMYFUNCTION("""COMPUTED_VALUE"""),"Workshop Salsa flamenco e pasitos con Nerea Perez - Workshop Nerea Salsa Flamenco")</f>
        <v>Workshop Salsa flamenco e pasitos con Nerea Perez - Workshop Nerea Salsa Flamenco</v>
      </c>
      <c r="T442" s="763"/>
      <c r="U442" s="763"/>
      <c r="V442" s="763">
        <f>IFERROR(__xludf.DUMMYFUNCTION("""COMPUTED_VALUE"""),2.0)</f>
        <v>2</v>
      </c>
      <c r="W442" s="763">
        <f>IFERROR(__xludf.DUMMYFUNCTION("""COMPUTED_VALUE"""),27.0)</f>
        <v>27</v>
      </c>
      <c r="X442" s="763">
        <f>IFERROR(__xludf.DUMMYFUNCTION("""COMPUTED_VALUE"""),54.0)</f>
        <v>54</v>
      </c>
      <c r="Y442" s="763"/>
      <c r="Z442" s="768" t="str">
        <f>IFERROR(__xludf.DUMMYFUNCTION("""COMPUTED_VALUE"""),"https://studio-gem.it/wp-admin/post.php?post=65706&amp;action=edit")</f>
        <v>https://studio-gem.it/wp-admin/post.php?post=65706&amp;action=edit</v>
      </c>
      <c r="AA442" s="763"/>
      <c r="AB442" s="763"/>
      <c r="AC442" s="763"/>
      <c r="AD442" s="763"/>
      <c r="AE442" s="763"/>
      <c r="AF442" s="763"/>
      <c r="AG442" s="763"/>
      <c r="AH442" s="763"/>
      <c r="AI442" s="763"/>
      <c r="AJ442" s="763"/>
      <c r="AK442" s="763"/>
      <c r="AL442" s="763"/>
      <c r="AM442" s="763"/>
      <c r="AN442" s="763"/>
      <c r="AO442" s="763"/>
      <c r="AP442" s="763"/>
      <c r="AQ442" s="763"/>
      <c r="AR442" s="763"/>
      <c r="AS442" s="763"/>
      <c r="AT442" s="763"/>
      <c r="AU442" s="763"/>
      <c r="AV442" s="763"/>
      <c r="AW442" s="763"/>
      <c r="AX442" s="763"/>
      <c r="AY442" s="763"/>
      <c r="AZ442" s="763"/>
      <c r="BA442" s="763"/>
      <c r="BB442" s="763"/>
      <c r="BC442" s="763"/>
      <c r="BD442" s="763"/>
      <c r="BE442" s="763"/>
      <c r="BF442" s="763"/>
      <c r="BG442" s="763" t="b">
        <f>IFERROR(__xludf.DUMMYFUNCTION("""COMPUTED_VALUE"""),FALSE)</f>
        <v>0</v>
      </c>
      <c r="BH442" s="763" t="b">
        <f>IFERROR(__xludf.DUMMYFUNCTION("""COMPUTED_VALUE"""),FALSE)</f>
        <v>0</v>
      </c>
      <c r="BI442" s="763" t="b">
        <f>IFERROR(__xludf.DUMMYFUNCTION("""COMPUTED_VALUE"""),FALSE)</f>
        <v>0</v>
      </c>
      <c r="BJ442" s="763" t="b">
        <f>IFERROR(__xludf.DUMMYFUNCTION("""COMPUTED_VALUE"""),FALSE)</f>
        <v>0</v>
      </c>
    </row>
    <row r="443">
      <c r="A443" s="763">
        <f>IFERROR(__xludf.DUMMYFUNCTION("""COMPUTED_VALUE"""),65706.0)</f>
        <v>65706</v>
      </c>
      <c r="B443" s="763">
        <f>IFERROR(__xludf.DUMMYFUNCTION("""COMPUTED_VALUE"""),65706.0)</f>
        <v>65706</v>
      </c>
      <c r="C443" s="763" t="str">
        <f>IFERROR(__xludf.DUMMYFUNCTION("""COMPUTED_VALUE"""),"2025-11-02 10:20:18")</f>
        <v>2025-11-02 10:20:18</v>
      </c>
      <c r="D443" s="763" t="str">
        <f>IFERROR(__xludf.DUMMYFUNCTION("""COMPUTED_VALUE"""),"pending")</f>
        <v>pending</v>
      </c>
      <c r="E443" s="763" t="str">
        <f>IFERROR(__xludf.DUMMYFUNCTION("""COMPUTED_VALUE"""),"Beatrice")</f>
        <v>Beatrice</v>
      </c>
      <c r="F443" s="763" t="str">
        <f>IFERROR(__xludf.DUMMYFUNCTION("""COMPUTED_VALUE"""),"Forlani")</f>
        <v>Forlani</v>
      </c>
      <c r="G443" s="763" t="str">
        <f>IFERROR(__xludf.DUMMYFUNCTION("""COMPUTED_VALUE"""),"avv.forlani.beatrice@gmail.com")</f>
        <v>avv.forlani.beatrice@gmail.com</v>
      </c>
      <c r="H443" s="763">
        <f>IFERROR(__xludf.DUMMYFUNCTION("""COMPUTED_VALUE"""),3.405699436E9)</f>
        <v>3405699436</v>
      </c>
      <c r="I443" s="763" t="str">
        <f>IFERROR(__xludf.DUMMYFUNCTION("""COMPUTED_VALUE"""),"MILANO")</f>
        <v>MILANO</v>
      </c>
      <c r="J443" s="763" t="str">
        <f>IFERROR(__xludf.DUMMYFUNCTION("""COMPUTED_VALUE"""),"Piazza Imperatore Tito 6")</f>
        <v>Piazza Imperatore Tito 6</v>
      </c>
      <c r="K443" s="763">
        <f>IFERROR(__xludf.DUMMYFUNCTION("""COMPUTED_VALUE"""),20137.0)</f>
        <v>20137</v>
      </c>
      <c r="L443" s="763" t="str">
        <f>IFERROR(__xludf.DUMMYFUNCTION("""COMPUTED_VALUE"""),"Carte di pagamento")</f>
        <v>Carte di pagamento</v>
      </c>
      <c r="M443" s="763"/>
      <c r="N443" s="763"/>
      <c r="O443" s="763">
        <f>IFERROR(__xludf.DUMMYFUNCTION("""COMPUTED_VALUE"""),0.0)</f>
        <v>0</v>
      </c>
      <c r="P443" s="767">
        <f>IFERROR(__xludf.DUMMYFUNCTION("""COMPUTED_VALUE"""),11.583333333333334)</f>
        <v>11.58333333</v>
      </c>
      <c r="Q443" s="763" t="str">
        <f>IFERROR(__xludf.DUMMYFUNCTION("""COMPUTED_VALUE"""),"EUR")</f>
        <v>EUR</v>
      </c>
      <c r="R443" s="763">
        <f>IFERROR(__xludf.DUMMYFUNCTION("""COMPUTED_VALUE"""),892.0)</f>
        <v>892</v>
      </c>
      <c r="S443" s="763" t="str">
        <f>IFERROR(__xludf.DUMMYFUNCTION("""COMPUTED_VALUE"""),"Workshop Indian Fusion con Leli - Workshop Leli Indian Fusion")</f>
        <v>Workshop Indian Fusion con Leli - Workshop Leli Indian Fusion</v>
      </c>
      <c r="T443" s="763"/>
      <c r="U443" s="763"/>
      <c r="V443" s="763">
        <f>IFERROR(__xludf.DUMMYFUNCTION("""COMPUTED_VALUE"""),1.0)</f>
        <v>1</v>
      </c>
      <c r="W443" s="763">
        <f>IFERROR(__xludf.DUMMYFUNCTION("""COMPUTED_VALUE"""),32.0)</f>
        <v>32</v>
      </c>
      <c r="X443" s="763">
        <f>IFERROR(__xludf.DUMMYFUNCTION("""COMPUTED_VALUE"""),32.0)</f>
        <v>32</v>
      </c>
      <c r="Y443" s="763"/>
      <c r="Z443" s="768" t="str">
        <f>IFERROR(__xludf.DUMMYFUNCTION("""COMPUTED_VALUE"""),"https://studio-gem.it/wp-admin/post.php?post=65706&amp;action=edit")</f>
        <v>https://studio-gem.it/wp-admin/post.php?post=65706&amp;action=edit</v>
      </c>
      <c r="AA443" s="763"/>
      <c r="AB443" s="763"/>
      <c r="AC443" s="763"/>
      <c r="AD443" s="763"/>
      <c r="AE443" s="763"/>
      <c r="AF443" s="763"/>
      <c r="AG443" s="763"/>
      <c r="AH443" s="763"/>
      <c r="AI443" s="763"/>
      <c r="AJ443" s="763"/>
      <c r="AK443" s="763"/>
      <c r="AL443" s="763"/>
      <c r="AM443" s="763"/>
      <c r="AN443" s="763"/>
      <c r="AO443" s="763"/>
      <c r="AP443" s="763"/>
      <c r="AQ443" s="763"/>
      <c r="AR443" s="763"/>
      <c r="AS443" s="763"/>
      <c r="AT443" s="763"/>
      <c r="AU443" s="763"/>
      <c r="AV443" s="763"/>
      <c r="AW443" s="763"/>
      <c r="AX443" s="763"/>
      <c r="AY443" s="763"/>
      <c r="AZ443" s="763"/>
      <c r="BA443" s="763"/>
      <c r="BB443" s="763"/>
      <c r="BC443" s="763"/>
      <c r="BD443" s="763"/>
      <c r="BE443" s="763"/>
      <c r="BF443" s="763"/>
      <c r="BG443" s="763" t="b">
        <f>IFERROR(__xludf.DUMMYFUNCTION("""COMPUTED_VALUE"""),FALSE)</f>
        <v>0</v>
      </c>
      <c r="BH443" s="763" t="b">
        <f>IFERROR(__xludf.DUMMYFUNCTION("""COMPUTED_VALUE"""),FALSE)</f>
        <v>0</v>
      </c>
      <c r="BI443" s="763" t="b">
        <f>IFERROR(__xludf.DUMMYFUNCTION("""COMPUTED_VALUE"""),FALSE)</f>
        <v>0</v>
      </c>
      <c r="BJ443" s="763" t="b">
        <f>IFERROR(__xludf.DUMMYFUNCTION("""COMPUTED_VALUE"""),FALSE)</f>
        <v>0</v>
      </c>
    </row>
    <row r="444">
      <c r="A444" s="763">
        <f>IFERROR(__xludf.DUMMYFUNCTION("""COMPUTED_VALUE"""),65707.0)</f>
        <v>65707</v>
      </c>
      <c r="B444" s="763">
        <f>IFERROR(__xludf.DUMMYFUNCTION("""COMPUTED_VALUE"""),65707.0)</f>
        <v>65707</v>
      </c>
      <c r="C444" s="763" t="str">
        <f>IFERROR(__xludf.DUMMYFUNCTION("""COMPUTED_VALUE"""),"2025-11-02 10:30:11")</f>
        <v>2025-11-02 10:30:11</v>
      </c>
      <c r="D444" s="763" t="str">
        <f>IFERROR(__xludf.DUMMYFUNCTION("""COMPUTED_VALUE"""),"completed")</f>
        <v>completed</v>
      </c>
      <c r="E444" s="763" t="str">
        <f>IFERROR(__xludf.DUMMYFUNCTION("""COMPUTED_VALUE"""),"Beatrice")</f>
        <v>Beatrice</v>
      </c>
      <c r="F444" s="763" t="str">
        <f>IFERROR(__xludf.DUMMYFUNCTION("""COMPUTED_VALUE"""),"Forlani")</f>
        <v>Forlani</v>
      </c>
      <c r="G444" s="763" t="str">
        <f>IFERROR(__xludf.DUMMYFUNCTION("""COMPUTED_VALUE"""),"avv.forlani.beatrice@gmail.com")</f>
        <v>avv.forlani.beatrice@gmail.com</v>
      </c>
      <c r="H444" s="763">
        <f>IFERROR(__xludf.DUMMYFUNCTION("""COMPUTED_VALUE"""),3.405699436E9)</f>
        <v>3405699436</v>
      </c>
      <c r="I444" s="763" t="str">
        <f>IFERROR(__xludf.DUMMYFUNCTION("""COMPUTED_VALUE"""),"Milano")</f>
        <v>Milano</v>
      </c>
      <c r="J444" s="763" t="str">
        <f>IFERROR(__xludf.DUMMYFUNCTION("""COMPUTED_VALUE"""),"Piazza Imperatore Tito 6")</f>
        <v>Piazza Imperatore Tito 6</v>
      </c>
      <c r="K444" s="763">
        <f>IFERROR(__xludf.DUMMYFUNCTION("""COMPUTED_VALUE"""),20137.0)</f>
        <v>20137</v>
      </c>
      <c r="L444" s="763" t="str">
        <f>IFERROR(__xludf.DUMMYFUNCTION("""COMPUTED_VALUE"""),"Google Pay")</f>
        <v>Google Pay</v>
      </c>
      <c r="M444" s="763" t="str">
        <f>IFERROR(__xludf.DUMMYFUNCTION("""COMPUTED_VALUE"""),"nura02ws")</f>
        <v>nura02ws</v>
      </c>
      <c r="N444" s="763" t="str">
        <f>IFERROR(__xludf.DUMMYFUNCTION("""COMPUTED_VALUE"""),"65707-1762079412")</f>
        <v>65707-1762079412</v>
      </c>
      <c r="O444" s="763">
        <f>IFERROR(__xludf.DUMMYFUNCTION("""COMPUTED_VALUE"""),0.0)</f>
        <v>0</v>
      </c>
      <c r="P444" s="767">
        <f>IFERROR(__xludf.DUMMYFUNCTION("""COMPUTED_VALUE"""),2.375)</f>
        <v>2.375</v>
      </c>
      <c r="Q444" s="763" t="str">
        <f>IFERROR(__xludf.DUMMYFUNCTION("""COMPUTED_VALUE"""),"EUR")</f>
        <v>EUR</v>
      </c>
      <c r="R444" s="763">
        <f>IFERROR(__xludf.DUMMYFUNCTION("""COMPUTED_VALUE"""),893.0)</f>
        <v>893</v>
      </c>
      <c r="S444" s="763" t="str">
        <f>IFERROR(__xludf.DUMMYFUNCTION("""COMPUTED_VALUE"""),"Workshop Salsa Musicality con Nicolò De Angelis - Workshop Nicolò Salsa Musicality")</f>
        <v>Workshop Salsa Musicality con Nicolò De Angelis - Workshop Nicolò Salsa Musicality</v>
      </c>
      <c r="T444" s="763"/>
      <c r="U444" s="763"/>
      <c r="V444" s="763">
        <f>IFERROR(__xludf.DUMMYFUNCTION("""COMPUTED_VALUE"""),1.0)</f>
        <v>1</v>
      </c>
      <c r="W444" s="763">
        <f>IFERROR(__xludf.DUMMYFUNCTION("""COMPUTED_VALUE"""),31.0)</f>
        <v>31</v>
      </c>
      <c r="X444" s="763">
        <f>IFERROR(__xludf.DUMMYFUNCTION("""COMPUTED_VALUE"""),31.0)</f>
        <v>31</v>
      </c>
      <c r="Y444" s="763"/>
      <c r="Z444" s="768" t="str">
        <f>IFERROR(__xludf.DUMMYFUNCTION("""COMPUTED_VALUE"""),"https://studio-gem.it/wp-admin/post.php?post=65707&amp;action=edit")</f>
        <v>https://studio-gem.it/wp-admin/post.php?post=65707&amp;action=edit</v>
      </c>
      <c r="AA444" s="763"/>
      <c r="AB444" s="763"/>
      <c r="AC444" s="763"/>
      <c r="AD444" s="763"/>
      <c r="AE444" s="763"/>
      <c r="AF444" s="763"/>
      <c r="AG444" s="763"/>
      <c r="AH444" s="763"/>
      <c r="AI444" s="763"/>
      <c r="AJ444" s="763"/>
      <c r="AK444" s="763"/>
      <c r="AL444" s="763"/>
      <c r="AM444" s="763"/>
      <c r="AN444" s="763"/>
      <c r="AO444" s="763"/>
      <c r="AP444" s="763"/>
      <c r="AQ444" s="763"/>
      <c r="AR444" s="763"/>
      <c r="AS444" s="763"/>
      <c r="AT444" s="763"/>
      <c r="AU444" s="763"/>
      <c r="AV444" s="763"/>
      <c r="AW444" s="763"/>
      <c r="AX444" s="763"/>
      <c r="AY444" s="763"/>
      <c r="AZ444" s="763"/>
      <c r="BA444" s="763"/>
      <c r="BB444" s="763"/>
      <c r="BC444" s="763"/>
      <c r="BD444" s="763"/>
      <c r="BE444" s="763"/>
      <c r="BF444" s="763"/>
      <c r="BG444" s="763" t="b">
        <f>IFERROR(__xludf.DUMMYFUNCTION("""COMPUTED_VALUE"""),TRUE)</f>
        <v>1</v>
      </c>
      <c r="BH444" s="763" t="b">
        <f>IFERROR(__xludf.DUMMYFUNCTION("""COMPUTED_VALUE"""),FALSE)</f>
        <v>0</v>
      </c>
      <c r="BI444" s="763" t="b">
        <f>IFERROR(__xludf.DUMMYFUNCTION("""COMPUTED_VALUE"""),TRUE)</f>
        <v>1</v>
      </c>
      <c r="BJ444" s="763" t="b">
        <f>IFERROR(__xludf.DUMMYFUNCTION("""COMPUTED_VALUE"""),TRUE)</f>
        <v>1</v>
      </c>
    </row>
    <row r="445">
      <c r="A445" s="763">
        <f>IFERROR(__xludf.DUMMYFUNCTION("""COMPUTED_VALUE"""),65707.0)</f>
        <v>65707</v>
      </c>
      <c r="B445" s="763">
        <f>IFERROR(__xludf.DUMMYFUNCTION("""COMPUTED_VALUE"""),65707.0)</f>
        <v>65707</v>
      </c>
      <c r="C445" s="763" t="str">
        <f>IFERROR(__xludf.DUMMYFUNCTION("""COMPUTED_VALUE"""),"2025-11-02 10:30:11")</f>
        <v>2025-11-02 10:30:11</v>
      </c>
      <c r="D445" s="763" t="str">
        <f>IFERROR(__xludf.DUMMYFUNCTION("""COMPUTED_VALUE"""),"completed")</f>
        <v>completed</v>
      </c>
      <c r="E445" s="763" t="str">
        <f>IFERROR(__xludf.DUMMYFUNCTION("""COMPUTED_VALUE"""),"Beatrice")</f>
        <v>Beatrice</v>
      </c>
      <c r="F445" s="763" t="str">
        <f>IFERROR(__xludf.DUMMYFUNCTION("""COMPUTED_VALUE"""),"Forlani")</f>
        <v>Forlani</v>
      </c>
      <c r="G445" s="763" t="str">
        <f>IFERROR(__xludf.DUMMYFUNCTION("""COMPUTED_VALUE"""),"avv.forlani.beatrice@gmail.com")</f>
        <v>avv.forlani.beatrice@gmail.com</v>
      </c>
      <c r="H445" s="763">
        <f>IFERROR(__xludf.DUMMYFUNCTION("""COMPUTED_VALUE"""),3.405699436E9)</f>
        <v>3405699436</v>
      </c>
      <c r="I445" s="763" t="str">
        <f>IFERROR(__xludf.DUMMYFUNCTION("""COMPUTED_VALUE"""),"Milano")</f>
        <v>Milano</v>
      </c>
      <c r="J445" s="763" t="str">
        <f>IFERROR(__xludf.DUMMYFUNCTION("""COMPUTED_VALUE"""),"Piazza Imperatore Tito 6")</f>
        <v>Piazza Imperatore Tito 6</v>
      </c>
      <c r="K445" s="763">
        <f>IFERROR(__xludf.DUMMYFUNCTION("""COMPUTED_VALUE"""),20137.0)</f>
        <v>20137</v>
      </c>
      <c r="L445" s="763" t="str">
        <f>IFERROR(__xludf.DUMMYFUNCTION("""COMPUTED_VALUE"""),"Google Pay")</f>
        <v>Google Pay</v>
      </c>
      <c r="M445" s="763" t="str">
        <f>IFERROR(__xludf.DUMMYFUNCTION("""COMPUTED_VALUE"""),"nura02ws")</f>
        <v>nura02ws</v>
      </c>
      <c r="N445" s="763" t="str">
        <f>IFERROR(__xludf.DUMMYFUNCTION("""COMPUTED_VALUE"""),"65707-1762079412")</f>
        <v>65707-1762079412</v>
      </c>
      <c r="O445" s="763">
        <f>IFERROR(__xludf.DUMMYFUNCTION("""COMPUTED_VALUE"""),0.0)</f>
        <v>0</v>
      </c>
      <c r="P445" s="767">
        <f>IFERROR(__xludf.DUMMYFUNCTION("""COMPUTED_VALUE"""),2.375)</f>
        <v>2.375</v>
      </c>
      <c r="Q445" s="763" t="str">
        <f>IFERROR(__xludf.DUMMYFUNCTION("""COMPUTED_VALUE"""),"EUR")</f>
        <v>EUR</v>
      </c>
      <c r="R445" s="763">
        <f>IFERROR(__xludf.DUMMYFUNCTION("""COMPUTED_VALUE"""),894.0)</f>
        <v>894</v>
      </c>
      <c r="S445" s="763" t="str">
        <f>IFERROR(__xludf.DUMMYFUNCTION("""COMPUTED_VALUE"""),"Workshop Salsa flamenco e pasitos con Nerea Perez - Workshop Nerea Salsa Flamenco")</f>
        <v>Workshop Salsa flamenco e pasitos con Nerea Perez - Workshop Nerea Salsa Flamenco</v>
      </c>
      <c r="T445" s="763"/>
      <c r="U445" s="763"/>
      <c r="V445" s="763">
        <f>IFERROR(__xludf.DUMMYFUNCTION("""COMPUTED_VALUE"""),1.0)</f>
        <v>1</v>
      </c>
      <c r="W445" s="763">
        <f>IFERROR(__xludf.DUMMYFUNCTION("""COMPUTED_VALUE"""),26.0)</f>
        <v>26</v>
      </c>
      <c r="X445" s="763">
        <f>IFERROR(__xludf.DUMMYFUNCTION("""COMPUTED_VALUE"""),26.0)</f>
        <v>26</v>
      </c>
      <c r="Y445" s="763"/>
      <c r="Z445" s="768" t="str">
        <f>IFERROR(__xludf.DUMMYFUNCTION("""COMPUTED_VALUE"""),"https://studio-gem.it/wp-admin/post.php?post=65707&amp;action=edit")</f>
        <v>https://studio-gem.it/wp-admin/post.php?post=65707&amp;action=edit</v>
      </c>
      <c r="AA445" s="763"/>
      <c r="AB445" s="763"/>
      <c r="AC445" s="763"/>
      <c r="AD445" s="763"/>
      <c r="AE445" s="763"/>
      <c r="AF445" s="763"/>
      <c r="AG445" s="763"/>
      <c r="AH445" s="763"/>
      <c r="AI445" s="763"/>
      <c r="AJ445" s="763"/>
      <c r="AK445" s="763"/>
      <c r="AL445" s="763"/>
      <c r="AM445" s="763"/>
      <c r="AN445" s="763"/>
      <c r="AO445" s="763"/>
      <c r="AP445" s="763"/>
      <c r="AQ445" s="763"/>
      <c r="AR445" s="763"/>
      <c r="AS445" s="763"/>
      <c r="AT445" s="763"/>
      <c r="AU445" s="763"/>
      <c r="AV445" s="763"/>
      <c r="AW445" s="763"/>
      <c r="AX445" s="763"/>
      <c r="AY445" s="763"/>
      <c r="AZ445" s="763"/>
      <c r="BA445" s="763"/>
      <c r="BB445" s="763"/>
      <c r="BC445" s="763"/>
      <c r="BD445" s="763"/>
      <c r="BE445" s="763"/>
      <c r="BF445" s="763"/>
      <c r="BG445" s="763" t="b">
        <f>IFERROR(__xludf.DUMMYFUNCTION("""COMPUTED_VALUE"""),TRUE)</f>
        <v>1</v>
      </c>
      <c r="BH445" s="763" t="b">
        <f>IFERROR(__xludf.DUMMYFUNCTION("""COMPUTED_VALUE"""),FALSE)</f>
        <v>0</v>
      </c>
      <c r="BI445" s="763" t="b">
        <f>IFERROR(__xludf.DUMMYFUNCTION("""COMPUTED_VALUE"""),TRUE)</f>
        <v>1</v>
      </c>
      <c r="BJ445" s="763" t="b">
        <f>IFERROR(__xludf.DUMMYFUNCTION("""COMPUTED_VALUE"""),TRUE)</f>
        <v>1</v>
      </c>
    </row>
    <row r="446">
      <c r="A446" s="763">
        <f>IFERROR(__xludf.DUMMYFUNCTION("""COMPUTED_VALUE"""),65710.0)</f>
        <v>65710</v>
      </c>
      <c r="B446" s="763">
        <f>IFERROR(__xludf.DUMMYFUNCTION("""COMPUTED_VALUE"""),65710.0)</f>
        <v>65710</v>
      </c>
      <c r="C446" s="763" t="str">
        <f>IFERROR(__xludf.DUMMYFUNCTION("""COMPUTED_VALUE"""),"2025-11-02 13:46:22")</f>
        <v>2025-11-02 13:46:22</v>
      </c>
      <c r="D446" s="763" t="str">
        <f>IFERROR(__xludf.DUMMYFUNCTION("""COMPUTED_VALUE"""),"completed")</f>
        <v>completed</v>
      </c>
      <c r="E446" s="763" t="str">
        <f>IFERROR(__xludf.DUMMYFUNCTION("""COMPUTED_VALUE"""),"Alessandra")</f>
        <v>Alessandra</v>
      </c>
      <c r="F446" s="763" t="str">
        <f>IFERROR(__xludf.DUMMYFUNCTION("""COMPUTED_VALUE"""),"Palmieri")</f>
        <v>Palmieri</v>
      </c>
      <c r="G446" s="763" t="str">
        <f>IFERROR(__xludf.DUMMYFUNCTION("""COMPUTED_VALUE"""),"ale.palmieri99@outlook.it")</f>
        <v>ale.palmieri99@outlook.it</v>
      </c>
      <c r="H446" s="763">
        <f>IFERROR(__xludf.DUMMYFUNCTION("""COMPUTED_VALUE"""),3.280531628E9)</f>
        <v>3280531628</v>
      </c>
      <c r="I446" s="763" t="str">
        <f>IFERROR(__xludf.DUMMYFUNCTION("""COMPUTED_VALUE"""),"Paderno Dugnano")</f>
        <v>Paderno Dugnano</v>
      </c>
      <c r="J446" s="763" t="str">
        <f>IFERROR(__xludf.DUMMYFUNCTION("""COMPUTED_VALUE"""),"Via Monte Sabotino 11")</f>
        <v>Via Monte Sabotino 11</v>
      </c>
      <c r="K446" s="763">
        <f>IFERROR(__xludf.DUMMYFUNCTION("""COMPUTED_VALUE"""),20037.0)</f>
        <v>20037</v>
      </c>
      <c r="L446" s="763" t="str">
        <f>IFERROR(__xludf.DUMMYFUNCTION("""COMPUTED_VALUE"""),"Carte di pagamento")</f>
        <v>Carte di pagamento</v>
      </c>
      <c r="M446" s="763"/>
      <c r="N446" s="763" t="str">
        <f>IFERROR(__xludf.DUMMYFUNCTION("""COMPUTED_VALUE"""),"65710-1762091183")</f>
        <v>65710-1762091183</v>
      </c>
      <c r="O446" s="763">
        <f>IFERROR(__xludf.DUMMYFUNCTION("""COMPUTED_VALUE"""),0.0)</f>
        <v>0</v>
      </c>
      <c r="P446" s="767">
        <f>IFERROR(__xludf.DUMMYFUNCTION("""COMPUTED_VALUE"""),1.5416666666666667)</f>
        <v>1.541666667</v>
      </c>
      <c r="Q446" s="763" t="str">
        <f>IFERROR(__xludf.DUMMYFUNCTION("""COMPUTED_VALUE"""),"EUR")</f>
        <v>EUR</v>
      </c>
      <c r="R446" s="763">
        <f>IFERROR(__xludf.DUMMYFUNCTION("""COMPUTED_VALUE"""),896.0)</f>
        <v>896</v>
      </c>
      <c r="S446" s="763" t="str">
        <f>IFERROR(__xludf.DUMMYFUNCTION("""COMPUTED_VALUE"""),"Workshop Heels con Deborah Esposito - Workshop Heels con Deborah Esposito")</f>
        <v>Workshop Heels con Deborah Esposito - Workshop Heels con Deborah Esposito</v>
      </c>
      <c r="T446" s="763"/>
      <c r="U446" s="763"/>
      <c r="V446" s="763">
        <f>IFERROR(__xludf.DUMMYFUNCTION("""COMPUTED_VALUE"""),1.0)</f>
        <v>1</v>
      </c>
      <c r="W446" s="763">
        <f>IFERROR(__xludf.DUMMYFUNCTION("""COMPUTED_VALUE"""),37.0)</f>
        <v>37</v>
      </c>
      <c r="X446" s="763">
        <f>IFERROR(__xludf.DUMMYFUNCTION("""COMPUTED_VALUE"""),37.0)</f>
        <v>37</v>
      </c>
      <c r="Y446" s="763"/>
      <c r="Z446" s="768" t="str">
        <f>IFERROR(__xludf.DUMMYFUNCTION("""COMPUTED_VALUE"""),"https://studio-gem.it/wp-admin/post.php?post=65710&amp;action=edit")</f>
        <v>https://studio-gem.it/wp-admin/post.php?post=65710&amp;action=edit</v>
      </c>
      <c r="AA446" s="763"/>
      <c r="AB446" s="763"/>
      <c r="AC446" s="763"/>
      <c r="AD446" s="763"/>
      <c r="AE446" s="763"/>
      <c r="AF446" s="763"/>
      <c r="AG446" s="763"/>
      <c r="AH446" s="763"/>
      <c r="AI446" s="763"/>
      <c r="AJ446" s="763"/>
      <c r="AK446" s="763"/>
      <c r="AL446" s="763"/>
      <c r="AM446" s="763"/>
      <c r="AN446" s="763"/>
      <c r="AO446" s="763"/>
      <c r="AP446" s="763"/>
      <c r="AQ446" s="763"/>
      <c r="AR446" s="763"/>
      <c r="AS446" s="763"/>
      <c r="AT446" s="763"/>
      <c r="AU446" s="763"/>
      <c r="AV446" s="763"/>
      <c r="AW446" s="763"/>
      <c r="AX446" s="763"/>
      <c r="AY446" s="763"/>
      <c r="AZ446" s="763"/>
      <c r="BA446" s="763"/>
      <c r="BB446" s="763"/>
      <c r="BC446" s="763"/>
      <c r="BD446" s="763"/>
      <c r="BE446" s="763"/>
      <c r="BF446" s="763"/>
      <c r="BG446" s="763" t="b">
        <f>IFERROR(__xludf.DUMMYFUNCTION("""COMPUTED_VALUE"""),TRUE)</f>
        <v>1</v>
      </c>
      <c r="BH446" s="763" t="b">
        <f>IFERROR(__xludf.DUMMYFUNCTION("""COMPUTED_VALUE"""),FALSE)</f>
        <v>0</v>
      </c>
      <c r="BI446" s="763" t="b">
        <f>IFERROR(__xludf.DUMMYFUNCTION("""COMPUTED_VALUE"""),TRUE)</f>
        <v>1</v>
      </c>
      <c r="BJ446" s="763" t="b">
        <f>IFERROR(__xludf.DUMMYFUNCTION("""COMPUTED_VALUE"""),TRUE)</f>
        <v>1</v>
      </c>
    </row>
    <row r="447">
      <c r="A447" s="763">
        <f>IFERROR(__xludf.DUMMYFUNCTION("""COMPUTED_VALUE"""),65712.0)</f>
        <v>65712</v>
      </c>
      <c r="B447" s="763">
        <f>IFERROR(__xludf.DUMMYFUNCTION("""COMPUTED_VALUE"""),65712.0)</f>
        <v>65712</v>
      </c>
      <c r="C447" s="763" t="str">
        <f>IFERROR(__xludf.DUMMYFUNCTION("""COMPUTED_VALUE"""),"2025-11-02 14:13:12")</f>
        <v>2025-11-02 14:13:12</v>
      </c>
      <c r="D447" s="763" t="str">
        <f>IFERROR(__xludf.DUMMYFUNCTION("""COMPUTED_VALUE"""),"completed")</f>
        <v>completed</v>
      </c>
      <c r="E447" s="763" t="str">
        <f>IFERROR(__xludf.DUMMYFUNCTION("""COMPUTED_VALUE"""),"Brunella")</f>
        <v>Brunella</v>
      </c>
      <c r="F447" s="763" t="str">
        <f>IFERROR(__xludf.DUMMYFUNCTION("""COMPUTED_VALUE"""),"Tralce")</f>
        <v>Tralce</v>
      </c>
      <c r="G447" s="763" t="str">
        <f>IFERROR(__xludf.DUMMYFUNCTION("""COMPUTED_VALUE"""),"brunellatralce@gmail.com")</f>
        <v>brunellatralce@gmail.com</v>
      </c>
      <c r="H447" s="763">
        <f>IFERROR(__xludf.DUMMYFUNCTION("""COMPUTED_VALUE"""),3.283273502E9)</f>
        <v>3283273502</v>
      </c>
      <c r="I447" s="763" t="str">
        <f>IFERROR(__xludf.DUMMYFUNCTION("""COMPUTED_VALUE"""),"Milano")</f>
        <v>Milano</v>
      </c>
      <c r="J447" s="763" t="str">
        <f>IFERROR(__xludf.DUMMYFUNCTION("""COMPUTED_VALUE"""),"Via Pietro Micca 2")</f>
        <v>Via Pietro Micca 2</v>
      </c>
      <c r="K447" s="763">
        <f>IFERROR(__xludf.DUMMYFUNCTION("""COMPUTED_VALUE"""),20122.0)</f>
        <v>20122</v>
      </c>
      <c r="L447" s="763"/>
      <c r="M447" s="763"/>
      <c r="N447" s="763"/>
      <c r="O447" s="763">
        <f>IFERROR(__xludf.DUMMYFUNCTION("""COMPUTED_VALUE"""),0.0)</f>
        <v>0</v>
      </c>
      <c r="P447" s="767">
        <f>IFERROR(__xludf.DUMMYFUNCTION("""COMPUTED_VALUE"""),0.0)</f>
        <v>0</v>
      </c>
      <c r="Q447" s="763" t="str">
        <f>IFERROR(__xludf.DUMMYFUNCTION("""COMPUTED_VALUE"""),"EUR")</f>
        <v>EUR</v>
      </c>
      <c r="R447" s="763">
        <f>IFERROR(__xludf.DUMMYFUNCTION("""COMPUTED_VALUE"""),897.0)</f>
        <v>897</v>
      </c>
      <c r="S447" s="763" t="str">
        <f>IFERROR(__xludf.DUMMYFUNCTION("""COMPUTED_VALUE"""),"Domeniche in movimento - Gratuito per open ballo gestualità con Consuelo")</f>
        <v>Domeniche in movimento - Gratuito per open ballo gestualità con Consuelo</v>
      </c>
      <c r="T447" s="763"/>
      <c r="U447" s="763"/>
      <c r="V447" s="763">
        <f>IFERROR(__xludf.DUMMYFUNCTION("""COMPUTED_VALUE"""),1.0)</f>
        <v>1</v>
      </c>
      <c r="W447" s="763">
        <f>IFERROR(__xludf.DUMMYFUNCTION("""COMPUTED_VALUE"""),0.0)</f>
        <v>0</v>
      </c>
      <c r="X447" s="763">
        <f>IFERROR(__xludf.DUMMYFUNCTION("""COMPUTED_VALUE"""),0.0)</f>
        <v>0</v>
      </c>
      <c r="Y447" s="763"/>
      <c r="Z447" s="768" t="str">
        <f>IFERROR(__xludf.DUMMYFUNCTION("""COMPUTED_VALUE"""),"https://studio-gem.it/wp-admin/post.php?post=65712&amp;action=edit")</f>
        <v>https://studio-gem.it/wp-admin/post.php?post=65712&amp;action=edit</v>
      </c>
      <c r="AA447" s="763"/>
      <c r="AB447" s="763"/>
      <c r="AC447" s="763"/>
      <c r="AD447" s="763"/>
      <c r="AE447" s="763"/>
      <c r="AF447" s="763"/>
      <c r="AG447" s="763"/>
      <c r="AH447" s="763"/>
      <c r="AI447" s="763"/>
      <c r="AJ447" s="763"/>
      <c r="AK447" s="763"/>
      <c r="AL447" s="763"/>
      <c r="AM447" s="763"/>
      <c r="AN447" s="763"/>
      <c r="AO447" s="763"/>
      <c r="AP447" s="763"/>
      <c r="AQ447" s="763"/>
      <c r="AR447" s="763"/>
      <c r="AS447" s="763"/>
      <c r="AT447" s="763"/>
      <c r="AU447" s="763"/>
      <c r="AV447" s="763"/>
      <c r="AW447" s="763"/>
      <c r="AX447" s="763"/>
      <c r="AY447" s="763"/>
      <c r="AZ447" s="763"/>
      <c r="BA447" s="763"/>
      <c r="BB447" s="763"/>
      <c r="BC447" s="763"/>
      <c r="BD447" s="763"/>
      <c r="BE447" s="763"/>
      <c r="BF447" s="763"/>
      <c r="BG447" s="763" t="b">
        <f>IFERROR(__xludf.DUMMYFUNCTION("""COMPUTED_VALUE"""),TRUE)</f>
        <v>1</v>
      </c>
      <c r="BH447" s="763" t="b">
        <f>IFERROR(__xludf.DUMMYFUNCTION("""COMPUTED_VALUE"""),FALSE)</f>
        <v>0</v>
      </c>
      <c r="BI447" s="763" t="b">
        <f>IFERROR(__xludf.DUMMYFUNCTION("""COMPUTED_VALUE"""),TRUE)</f>
        <v>1</v>
      </c>
      <c r="BJ447" s="763" t="b">
        <f>IFERROR(__xludf.DUMMYFUNCTION("""COMPUTED_VALUE"""),TRUE)</f>
        <v>1</v>
      </c>
    </row>
    <row r="448">
      <c r="A448" s="763">
        <f>IFERROR(__xludf.DUMMYFUNCTION("""COMPUTED_VALUE"""),65714.0)</f>
        <v>65714</v>
      </c>
      <c r="B448" s="763">
        <f>IFERROR(__xludf.DUMMYFUNCTION("""COMPUTED_VALUE"""),65714.0)</f>
        <v>65714</v>
      </c>
      <c r="C448" s="763" t="str">
        <f>IFERROR(__xludf.DUMMYFUNCTION("""COMPUTED_VALUE"""),"2025-11-02 14:40:48")</f>
        <v>2025-11-02 14:40:48</v>
      </c>
      <c r="D448" s="763" t="str">
        <f>IFERROR(__xludf.DUMMYFUNCTION("""COMPUTED_VALUE"""),"processing")</f>
        <v>processing</v>
      </c>
      <c r="E448" s="763" t="str">
        <f>IFERROR(__xludf.DUMMYFUNCTION("""COMPUTED_VALUE"""),"Federica")</f>
        <v>Federica</v>
      </c>
      <c r="F448" s="763" t="str">
        <f>IFERROR(__xludf.DUMMYFUNCTION("""COMPUTED_VALUE"""),"Buono")</f>
        <v>Buono</v>
      </c>
      <c r="G448" s="763" t="str">
        <f>IFERROR(__xludf.DUMMYFUNCTION("""COMPUTED_VALUE"""),"b.feffa@gmail.com")</f>
        <v>b.feffa@gmail.com</v>
      </c>
      <c r="H448" s="763" t="str">
        <f>IFERROR(__xludf.DUMMYFUNCTION("""COMPUTED_VALUE"""),"+393385745575")</f>
        <v>+393385745575</v>
      </c>
      <c r="I448" s="763" t="str">
        <f>IFERROR(__xludf.DUMMYFUNCTION("""COMPUTED_VALUE"""),"Milano")</f>
        <v>Milano</v>
      </c>
      <c r="J448" s="763" t="str">
        <f>IFERROR(__xludf.DUMMYFUNCTION("""COMPUTED_VALUE"""),"Viale Bacchiglione 28")</f>
        <v>Viale Bacchiglione 28</v>
      </c>
      <c r="K448" s="763">
        <f>IFERROR(__xludf.DUMMYFUNCTION("""COMPUTED_VALUE"""),20139.0)</f>
        <v>20139</v>
      </c>
      <c r="L448" s="763" t="str">
        <f>IFERROR(__xludf.DUMMYFUNCTION("""COMPUTED_VALUE"""),"Carte di pagamento")</f>
        <v>Carte di pagamento</v>
      </c>
      <c r="M448" s="763"/>
      <c r="N448" s="763" t="str">
        <f>IFERROR(__xludf.DUMMYFUNCTION("""COMPUTED_VALUE"""),"65714-1762094450")</f>
        <v>65714-1762094450</v>
      </c>
      <c r="O448" s="763">
        <f>IFERROR(__xludf.DUMMYFUNCTION("""COMPUTED_VALUE"""),0.0)</f>
        <v>0</v>
      </c>
      <c r="P448" s="767">
        <f>IFERROR(__xludf.DUMMYFUNCTION("""COMPUTED_VALUE"""),1.5416666666666667)</f>
        <v>1.541666667</v>
      </c>
      <c r="Q448" s="763" t="str">
        <f>IFERROR(__xludf.DUMMYFUNCTION("""COMPUTED_VALUE"""),"EUR")</f>
        <v>EUR</v>
      </c>
      <c r="R448" s="763">
        <f>IFERROR(__xludf.DUMMYFUNCTION("""COMPUTED_VALUE"""),898.0)</f>
        <v>898</v>
      </c>
      <c r="S448" s="763" t="str">
        <f>IFERROR(__xludf.DUMMYFUNCTION("""COMPUTED_VALUE"""),"Workshop Urban con Kumo - Workshop Kumo Urban")</f>
        <v>Workshop Urban con Kumo - Workshop Kumo Urban</v>
      </c>
      <c r="T448" s="763"/>
      <c r="U448" s="763"/>
      <c r="V448" s="763">
        <f>IFERROR(__xludf.DUMMYFUNCTION("""COMPUTED_VALUE"""),1.0)</f>
        <v>1</v>
      </c>
      <c r="W448" s="763">
        <f>IFERROR(__xludf.DUMMYFUNCTION("""COMPUTED_VALUE"""),37.0)</f>
        <v>37</v>
      </c>
      <c r="X448" s="763">
        <f>IFERROR(__xludf.DUMMYFUNCTION("""COMPUTED_VALUE"""),37.0)</f>
        <v>37</v>
      </c>
      <c r="Y448" s="763"/>
      <c r="Z448" s="768" t="str">
        <f>IFERROR(__xludf.DUMMYFUNCTION("""COMPUTED_VALUE"""),"https://studio-gem.it/wp-admin/post.php?post=65714&amp;action=edit")</f>
        <v>https://studio-gem.it/wp-admin/post.php?post=65714&amp;action=edit</v>
      </c>
      <c r="AA448" s="763"/>
      <c r="AB448" s="763"/>
      <c r="AC448" s="763"/>
      <c r="AD448" s="763"/>
      <c r="AE448" s="763"/>
      <c r="AF448" s="763"/>
      <c r="AG448" s="763"/>
      <c r="AH448" s="763"/>
      <c r="AI448" s="763"/>
      <c r="AJ448" s="763"/>
      <c r="AK448" s="763"/>
      <c r="AL448" s="763"/>
      <c r="AM448" s="763"/>
      <c r="AN448" s="763"/>
      <c r="AO448" s="763"/>
      <c r="AP448" s="763"/>
      <c r="AQ448" s="763"/>
      <c r="AR448" s="763"/>
      <c r="AS448" s="763"/>
      <c r="AT448" s="763"/>
      <c r="AU448" s="763"/>
      <c r="AV448" s="763"/>
      <c r="AW448" s="763"/>
      <c r="AX448" s="763"/>
      <c r="AY448" s="763"/>
      <c r="AZ448" s="763"/>
      <c r="BA448" s="763"/>
      <c r="BB448" s="763"/>
      <c r="BC448" s="763"/>
      <c r="BD448" s="763"/>
      <c r="BE448" s="763"/>
      <c r="BF448" s="763"/>
      <c r="BG448" s="763" t="b">
        <f>IFERROR(__xludf.DUMMYFUNCTION("""COMPUTED_VALUE"""),TRUE)</f>
        <v>1</v>
      </c>
      <c r="BH448" s="763" t="b">
        <f>IFERROR(__xludf.DUMMYFUNCTION("""COMPUTED_VALUE"""),FALSE)</f>
        <v>0</v>
      </c>
      <c r="BI448" s="763" t="b">
        <f>IFERROR(__xludf.DUMMYFUNCTION("""COMPUTED_VALUE"""),TRUE)</f>
        <v>1</v>
      </c>
      <c r="BJ448" s="763" t="b">
        <f>IFERROR(__xludf.DUMMYFUNCTION("""COMPUTED_VALUE"""),TRUE)</f>
        <v>1</v>
      </c>
    </row>
    <row r="449">
      <c r="A449" s="763">
        <f>IFERROR(__xludf.DUMMYFUNCTION("""COMPUTED_VALUE"""),65716.0)</f>
        <v>65716</v>
      </c>
      <c r="B449" s="763">
        <f>IFERROR(__xludf.DUMMYFUNCTION("""COMPUTED_VALUE"""),65716.0)</f>
        <v>65716</v>
      </c>
      <c r="C449" s="763" t="str">
        <f>IFERROR(__xludf.DUMMYFUNCTION("""COMPUTED_VALUE"""),"2025-11-02 17:17:47")</f>
        <v>2025-11-02 17:17:47</v>
      </c>
      <c r="D449" s="763" t="str">
        <f>IFERROR(__xludf.DUMMYFUNCTION("""COMPUTED_VALUE"""),"processing")</f>
        <v>processing</v>
      </c>
      <c r="E449" s="763" t="str">
        <f>IFERROR(__xludf.DUMMYFUNCTION("""COMPUTED_VALUE"""),"Elena")</f>
        <v>Elena</v>
      </c>
      <c r="F449" s="763" t="str">
        <f>IFERROR(__xludf.DUMMYFUNCTION("""COMPUTED_VALUE"""),"Leroux")</f>
        <v>Leroux</v>
      </c>
      <c r="G449" s="763" t="str">
        <f>IFERROR(__xludf.DUMMYFUNCTION("""COMPUTED_VALUE"""),"elenalerouxgon@gmail.com")</f>
        <v>elenalerouxgon@gmail.com</v>
      </c>
      <c r="H449" s="763" t="str">
        <f>IFERROR(__xludf.DUMMYFUNCTION("""COMPUTED_VALUE"""),"+393444286140")</f>
        <v>+393444286140</v>
      </c>
      <c r="I449" s="763" t="str">
        <f>IFERROR(__xludf.DUMMYFUNCTION("""COMPUTED_VALUE"""),"Milano")</f>
        <v>Milano</v>
      </c>
      <c r="J449" s="763" t="str">
        <f>IFERROR(__xludf.DUMMYFUNCTION("""COMPUTED_VALUE"""),"Corso di Porta Vittoria 56")</f>
        <v>Corso di Porta Vittoria 56</v>
      </c>
      <c r="K449" s="763">
        <f>IFERROR(__xludf.DUMMYFUNCTION("""COMPUTED_VALUE"""),20122.0)</f>
        <v>20122</v>
      </c>
      <c r="L449" s="763" t="str">
        <f>IFERROR(__xludf.DUMMYFUNCTION("""COMPUTED_VALUE"""),"Carte di pagamento")</f>
        <v>Carte di pagamento</v>
      </c>
      <c r="M449" s="763"/>
      <c r="N449" s="763" t="str">
        <f>IFERROR(__xludf.DUMMYFUNCTION("""COMPUTED_VALUE"""),"65716-1762103868")</f>
        <v>65716-1762103868</v>
      </c>
      <c r="O449" s="763">
        <f>IFERROR(__xludf.DUMMYFUNCTION("""COMPUTED_VALUE"""),0.0)</f>
        <v>0</v>
      </c>
      <c r="P449" s="767">
        <f>IFERROR(__xludf.DUMMYFUNCTION("""COMPUTED_VALUE"""),1.5416666666666667)</f>
        <v>1.541666667</v>
      </c>
      <c r="Q449" s="763" t="str">
        <f>IFERROR(__xludf.DUMMYFUNCTION("""COMPUTED_VALUE"""),"EUR")</f>
        <v>EUR</v>
      </c>
      <c r="R449" s="763">
        <f>IFERROR(__xludf.DUMMYFUNCTION("""COMPUTED_VALUE"""),899.0)</f>
        <v>899</v>
      </c>
      <c r="S449" s="763" t="str">
        <f>IFERROR(__xludf.DUMMYFUNCTION("""COMPUTED_VALUE"""),"Workshop Urban con Kumo - Workshop Kumo Urban")</f>
        <v>Workshop Urban con Kumo - Workshop Kumo Urban</v>
      </c>
      <c r="T449" s="763"/>
      <c r="U449" s="763"/>
      <c r="V449" s="763">
        <f>IFERROR(__xludf.DUMMYFUNCTION("""COMPUTED_VALUE"""),1.0)</f>
        <v>1</v>
      </c>
      <c r="W449" s="763">
        <f>IFERROR(__xludf.DUMMYFUNCTION("""COMPUTED_VALUE"""),37.0)</f>
        <v>37</v>
      </c>
      <c r="X449" s="763">
        <f>IFERROR(__xludf.DUMMYFUNCTION("""COMPUTED_VALUE"""),37.0)</f>
        <v>37</v>
      </c>
      <c r="Y449" s="763"/>
      <c r="Z449" s="768" t="str">
        <f>IFERROR(__xludf.DUMMYFUNCTION("""COMPUTED_VALUE"""),"https://studio-gem.it/wp-admin/post.php?post=65716&amp;action=edit")</f>
        <v>https://studio-gem.it/wp-admin/post.php?post=65716&amp;action=edit</v>
      </c>
      <c r="AA449" s="763"/>
      <c r="AB449" s="763"/>
      <c r="AC449" s="763"/>
      <c r="AD449" s="763"/>
      <c r="AE449" s="763"/>
      <c r="AF449" s="763"/>
      <c r="AG449" s="763"/>
      <c r="AH449" s="763"/>
      <c r="AI449" s="763"/>
      <c r="AJ449" s="763"/>
      <c r="AK449" s="763"/>
      <c r="AL449" s="763"/>
      <c r="AM449" s="763"/>
      <c r="AN449" s="763"/>
      <c r="AO449" s="763"/>
      <c r="AP449" s="763"/>
      <c r="AQ449" s="763"/>
      <c r="AR449" s="763"/>
      <c r="AS449" s="763"/>
      <c r="AT449" s="763"/>
      <c r="AU449" s="763"/>
      <c r="AV449" s="763"/>
      <c r="AW449" s="763"/>
      <c r="AX449" s="763"/>
      <c r="AY449" s="763"/>
      <c r="AZ449" s="763"/>
      <c r="BA449" s="763"/>
      <c r="BB449" s="763"/>
      <c r="BC449" s="763"/>
      <c r="BD449" s="763"/>
      <c r="BE449" s="763"/>
      <c r="BF449" s="763"/>
      <c r="BG449" s="763" t="b">
        <f>IFERROR(__xludf.DUMMYFUNCTION("""COMPUTED_VALUE"""),TRUE)</f>
        <v>1</v>
      </c>
      <c r="BH449" s="763" t="b">
        <f>IFERROR(__xludf.DUMMYFUNCTION("""COMPUTED_VALUE"""),FALSE)</f>
        <v>0</v>
      </c>
      <c r="BI449" s="763" t="b">
        <f>IFERROR(__xludf.DUMMYFUNCTION("""COMPUTED_VALUE"""),TRUE)</f>
        <v>1</v>
      </c>
      <c r="BJ449" s="763" t="b">
        <f>IFERROR(__xludf.DUMMYFUNCTION("""COMPUTED_VALUE"""),TRUE)</f>
        <v>1</v>
      </c>
    </row>
    <row r="450">
      <c r="A450" s="763">
        <f>IFERROR(__xludf.DUMMYFUNCTION("""COMPUTED_VALUE"""),65717.0)</f>
        <v>65717</v>
      </c>
      <c r="B450" s="763">
        <f>IFERROR(__xludf.DUMMYFUNCTION("""COMPUTED_VALUE"""),65717.0)</f>
        <v>65717</v>
      </c>
      <c r="C450" s="763" t="str">
        <f>IFERROR(__xludf.DUMMYFUNCTION("""COMPUTED_VALUE"""),"2025-11-02 17:22:57")</f>
        <v>2025-11-02 17:22:57</v>
      </c>
      <c r="D450" s="763" t="str">
        <f>IFERROR(__xludf.DUMMYFUNCTION("""COMPUTED_VALUE"""),"completed")</f>
        <v>completed</v>
      </c>
      <c r="E450" s="763" t="str">
        <f>IFERROR(__xludf.DUMMYFUNCTION("""COMPUTED_VALUE"""),"Claudia")</f>
        <v>Claudia</v>
      </c>
      <c r="F450" s="763" t="str">
        <f>IFERROR(__xludf.DUMMYFUNCTION("""COMPUTED_VALUE"""),"Manetti")</f>
        <v>Manetti</v>
      </c>
      <c r="G450" s="763" t="str">
        <f>IFERROR(__xludf.DUMMYFUNCTION("""COMPUTED_VALUE"""),"claudia.manetti@libero.it")</f>
        <v>claudia.manetti@libero.it</v>
      </c>
      <c r="H450" s="763">
        <f>IFERROR(__xludf.DUMMYFUNCTION("""COMPUTED_VALUE"""),3.703036401E9)</f>
        <v>3703036401</v>
      </c>
      <c r="I450" s="763" t="str">
        <f>IFERROR(__xludf.DUMMYFUNCTION("""COMPUTED_VALUE"""),"Milano")</f>
        <v>Milano</v>
      </c>
      <c r="J450" s="763" t="str">
        <f>IFERROR(__xludf.DUMMYFUNCTION("""COMPUTED_VALUE"""),"Via Mecenate 25")</f>
        <v>Via Mecenate 25</v>
      </c>
      <c r="K450" s="763">
        <f>IFERROR(__xludf.DUMMYFUNCTION("""COMPUTED_VALUE"""),20138.0)</f>
        <v>20138</v>
      </c>
      <c r="L450" s="763" t="str">
        <f>IFERROR(__xludf.DUMMYFUNCTION("""COMPUTED_VALUE"""),"Apple Pay")</f>
        <v>Apple Pay</v>
      </c>
      <c r="M450" s="763" t="str">
        <f>IFERROR(__xludf.DUMMYFUNCTION("""COMPUTED_VALUE"""),"nura02ws")</f>
        <v>nura02ws</v>
      </c>
      <c r="N450" s="763" t="str">
        <f>IFERROR(__xludf.DUMMYFUNCTION("""COMPUTED_VALUE"""),"65717-1762104178")</f>
        <v>65717-1762104178</v>
      </c>
      <c r="O450" s="763">
        <f>IFERROR(__xludf.DUMMYFUNCTION("""COMPUTED_VALUE"""),0.0)</f>
        <v>0</v>
      </c>
      <c r="P450" s="767">
        <f>IFERROR(__xludf.DUMMYFUNCTION("""COMPUTED_VALUE"""),1.4583333333333333)</f>
        <v>1.458333333</v>
      </c>
      <c r="Q450" s="763" t="str">
        <f>IFERROR(__xludf.DUMMYFUNCTION("""COMPUTED_VALUE"""),"EUR")</f>
        <v>EUR</v>
      </c>
      <c r="R450" s="763">
        <f>IFERROR(__xludf.DUMMYFUNCTION("""COMPUTED_VALUE"""),900.0)</f>
        <v>900</v>
      </c>
      <c r="S450" s="763" t="str">
        <f>IFERROR(__xludf.DUMMYFUNCTION("""COMPUTED_VALUE"""),"Workshop Heels con Deborah Esposito - Workshop Heels con Deborah Esposito")</f>
        <v>Workshop Heels con Deborah Esposito - Workshop Heels con Deborah Esposito</v>
      </c>
      <c r="T450" s="763"/>
      <c r="U450" s="763"/>
      <c r="V450" s="763">
        <f>IFERROR(__xludf.DUMMYFUNCTION("""COMPUTED_VALUE"""),1.0)</f>
        <v>1</v>
      </c>
      <c r="W450" s="763">
        <f>IFERROR(__xludf.DUMMYFUNCTION("""COMPUTED_VALUE"""),35.0)</f>
        <v>35</v>
      </c>
      <c r="X450" s="763">
        <f>IFERROR(__xludf.DUMMYFUNCTION("""COMPUTED_VALUE"""),35.0)</f>
        <v>35</v>
      </c>
      <c r="Y450" s="763"/>
      <c r="Z450" s="768" t="str">
        <f>IFERROR(__xludf.DUMMYFUNCTION("""COMPUTED_VALUE"""),"https://studio-gem.it/wp-admin/post.php?post=65717&amp;action=edit")</f>
        <v>https://studio-gem.it/wp-admin/post.php?post=65717&amp;action=edit</v>
      </c>
      <c r="AA450" s="763"/>
      <c r="AB450" s="763"/>
      <c r="AC450" s="763"/>
      <c r="AD450" s="763"/>
      <c r="AE450" s="763"/>
      <c r="AF450" s="763"/>
      <c r="AG450" s="763"/>
      <c r="AH450" s="763"/>
      <c r="AI450" s="763"/>
      <c r="AJ450" s="763"/>
      <c r="AK450" s="763"/>
      <c r="AL450" s="763"/>
      <c r="AM450" s="763"/>
      <c r="AN450" s="763"/>
      <c r="AO450" s="763"/>
      <c r="AP450" s="763"/>
      <c r="AQ450" s="763"/>
      <c r="AR450" s="763"/>
      <c r="AS450" s="763"/>
      <c r="AT450" s="763"/>
      <c r="AU450" s="763"/>
      <c r="AV450" s="763"/>
      <c r="AW450" s="763"/>
      <c r="AX450" s="763"/>
      <c r="AY450" s="763"/>
      <c r="AZ450" s="763"/>
      <c r="BA450" s="763"/>
      <c r="BB450" s="763"/>
      <c r="BC450" s="763"/>
      <c r="BD450" s="763"/>
      <c r="BE450" s="763"/>
      <c r="BF450" s="763"/>
      <c r="BG450" s="763" t="b">
        <f>IFERROR(__xludf.DUMMYFUNCTION("""COMPUTED_VALUE"""),TRUE)</f>
        <v>1</v>
      </c>
      <c r="BH450" s="763" t="b">
        <f>IFERROR(__xludf.DUMMYFUNCTION("""COMPUTED_VALUE"""),FALSE)</f>
        <v>0</v>
      </c>
      <c r="BI450" s="763" t="b">
        <f>IFERROR(__xludf.DUMMYFUNCTION("""COMPUTED_VALUE"""),TRUE)</f>
        <v>1</v>
      </c>
      <c r="BJ450" s="763" t="b">
        <f>IFERROR(__xludf.DUMMYFUNCTION("""COMPUTED_VALUE"""),TRUE)</f>
        <v>1</v>
      </c>
    </row>
    <row r="451">
      <c r="A451" s="763">
        <f>IFERROR(__xludf.DUMMYFUNCTION("""COMPUTED_VALUE"""),65742.0)</f>
        <v>65742</v>
      </c>
      <c r="B451" s="763">
        <f>IFERROR(__xludf.DUMMYFUNCTION("""COMPUTED_VALUE"""),65742.0)</f>
        <v>65742</v>
      </c>
      <c r="C451" s="763" t="str">
        <f>IFERROR(__xludf.DUMMYFUNCTION("""COMPUTED_VALUE"""),"2025-11-03 09:39:22")</f>
        <v>2025-11-03 09:39:22</v>
      </c>
      <c r="D451" s="763" t="str">
        <f>IFERROR(__xludf.DUMMYFUNCTION("""COMPUTED_VALUE"""),"processing")</f>
        <v>processing</v>
      </c>
      <c r="E451" s="763" t="str">
        <f>IFERROR(__xludf.DUMMYFUNCTION("""COMPUTED_VALUE"""),"Gaïa")</f>
        <v>Gaïa</v>
      </c>
      <c r="F451" s="763" t="str">
        <f>IFERROR(__xludf.DUMMYFUNCTION("""COMPUTED_VALUE"""),"Molinaro")</f>
        <v>Molinaro</v>
      </c>
      <c r="G451" s="763" t="str">
        <f>IFERROR(__xludf.DUMMYFUNCTION("""COMPUTED_VALUE"""),"gaia.molinaro@icloud.com")</f>
        <v>gaia.molinaro@icloud.com</v>
      </c>
      <c r="H451" s="763" t="str">
        <f>IFERROR(__xludf.DUMMYFUNCTION("""COMPUTED_VALUE"""),"+33767179702")</f>
        <v>+33767179702</v>
      </c>
      <c r="I451" s="763" t="str">
        <f>IFERROR(__xludf.DUMMYFUNCTION("""COMPUTED_VALUE"""),"Milano")</f>
        <v>Milano</v>
      </c>
      <c r="J451" s="763" t="str">
        <f>IFERROR(__xludf.DUMMYFUNCTION("""COMPUTED_VALUE"""),"Via Andrea Maffei 10")</f>
        <v>Via Andrea Maffei 10</v>
      </c>
      <c r="K451" s="763">
        <f>IFERROR(__xludf.DUMMYFUNCTION("""COMPUTED_VALUE"""),20135.0)</f>
        <v>20135</v>
      </c>
      <c r="L451" s="763" t="str">
        <f>IFERROR(__xludf.DUMMYFUNCTION("""COMPUTED_VALUE"""),"Carte di pagamento")</f>
        <v>Carte di pagamento</v>
      </c>
      <c r="M451" s="763"/>
      <c r="N451" s="763" t="str">
        <f>IFERROR(__xludf.DUMMYFUNCTION("""COMPUTED_VALUE"""),"65742-1762162979")</f>
        <v>65742-1762162979</v>
      </c>
      <c r="O451" s="763">
        <f>IFERROR(__xludf.DUMMYFUNCTION("""COMPUTED_VALUE"""),0.0)</f>
        <v>0</v>
      </c>
      <c r="P451" s="767">
        <f>IFERROR(__xludf.DUMMYFUNCTION("""COMPUTED_VALUE"""),1.5416666666666667)</f>
        <v>1.541666667</v>
      </c>
      <c r="Q451" s="763" t="str">
        <f>IFERROR(__xludf.DUMMYFUNCTION("""COMPUTED_VALUE"""),"EUR")</f>
        <v>EUR</v>
      </c>
      <c r="R451" s="763">
        <f>IFERROR(__xludf.DUMMYFUNCTION("""COMPUTED_VALUE"""),904.0)</f>
        <v>904</v>
      </c>
      <c r="S451" s="763" t="str">
        <f>IFERROR(__xludf.DUMMYFUNCTION("""COMPUTED_VALUE"""),"Workshop Heels con Deborah Esposito - Workshop Heels con Deborah Esposito")</f>
        <v>Workshop Heels con Deborah Esposito - Workshop Heels con Deborah Esposito</v>
      </c>
      <c r="T451" s="763"/>
      <c r="U451" s="763"/>
      <c r="V451" s="763">
        <f>IFERROR(__xludf.DUMMYFUNCTION("""COMPUTED_VALUE"""),1.0)</f>
        <v>1</v>
      </c>
      <c r="W451" s="763">
        <f>IFERROR(__xludf.DUMMYFUNCTION("""COMPUTED_VALUE"""),37.0)</f>
        <v>37</v>
      </c>
      <c r="X451" s="763">
        <f>IFERROR(__xludf.DUMMYFUNCTION("""COMPUTED_VALUE"""),37.0)</f>
        <v>37</v>
      </c>
      <c r="Y451" s="763"/>
      <c r="Z451" s="768" t="str">
        <f>IFERROR(__xludf.DUMMYFUNCTION("""COMPUTED_VALUE"""),"https://studio-gem.it/wp-admin/post.php?post=65742&amp;action=edit")</f>
        <v>https://studio-gem.it/wp-admin/post.php?post=65742&amp;action=edit</v>
      </c>
      <c r="AA451" s="763"/>
      <c r="AB451" s="763"/>
      <c r="AC451" s="763"/>
      <c r="AD451" s="763"/>
      <c r="AE451" s="763"/>
      <c r="AF451" s="763"/>
      <c r="AG451" s="763"/>
      <c r="AH451" s="763"/>
      <c r="AI451" s="763"/>
      <c r="AJ451" s="763"/>
      <c r="AK451" s="763"/>
      <c r="AL451" s="763"/>
      <c r="AM451" s="763"/>
      <c r="AN451" s="763"/>
      <c r="AO451" s="763"/>
      <c r="AP451" s="763"/>
      <c r="AQ451" s="763"/>
      <c r="AR451" s="763"/>
      <c r="AS451" s="763"/>
      <c r="AT451" s="763"/>
      <c r="AU451" s="763"/>
      <c r="AV451" s="763"/>
      <c r="AW451" s="763"/>
      <c r="AX451" s="763"/>
      <c r="AY451" s="763"/>
      <c r="AZ451" s="763"/>
      <c r="BA451" s="763"/>
      <c r="BB451" s="763"/>
      <c r="BC451" s="763"/>
      <c r="BD451" s="763"/>
      <c r="BE451" s="763"/>
      <c r="BF451" s="763"/>
      <c r="BG451" s="763" t="b">
        <f>IFERROR(__xludf.DUMMYFUNCTION("""COMPUTED_VALUE"""),TRUE)</f>
        <v>1</v>
      </c>
      <c r="BH451" s="763" t="b">
        <f>IFERROR(__xludf.DUMMYFUNCTION("""COMPUTED_VALUE"""),FALSE)</f>
        <v>0</v>
      </c>
      <c r="BI451" s="763" t="b">
        <f>IFERROR(__xludf.DUMMYFUNCTION("""COMPUTED_VALUE"""),TRUE)</f>
        <v>1</v>
      </c>
      <c r="BJ451" s="763" t="b">
        <f>IFERROR(__xludf.DUMMYFUNCTION("""COMPUTED_VALUE"""),TRUE)</f>
        <v>1</v>
      </c>
    </row>
    <row r="452">
      <c r="A452" s="763">
        <f>IFERROR(__xludf.DUMMYFUNCTION("""COMPUTED_VALUE"""),65753.0)</f>
        <v>65753</v>
      </c>
      <c r="B452" s="763">
        <f>IFERROR(__xludf.DUMMYFUNCTION("""COMPUTED_VALUE"""),65753.0)</f>
        <v>65753</v>
      </c>
      <c r="C452" s="763" t="str">
        <f>IFERROR(__xludf.DUMMYFUNCTION("""COMPUTED_VALUE"""),"2025-11-03 11:49:44")</f>
        <v>2025-11-03 11:49:44</v>
      </c>
      <c r="D452" s="763" t="str">
        <f>IFERROR(__xludf.DUMMYFUNCTION("""COMPUTED_VALUE"""),"completed")</f>
        <v>completed</v>
      </c>
      <c r="E452" s="763" t="str">
        <f>IFERROR(__xludf.DUMMYFUNCTION("""COMPUTED_VALUE"""),"Alejandro")</f>
        <v>Alejandro</v>
      </c>
      <c r="F452" s="763" t="str">
        <f>IFERROR(__xludf.DUMMYFUNCTION("""COMPUTED_VALUE"""),"Guainalia")</f>
        <v>Guainalia</v>
      </c>
      <c r="G452" s="763" t="str">
        <f>IFERROR(__xludf.DUMMYFUNCTION("""COMPUTED_VALUE"""),"alej2k2@gmail.com")</f>
        <v>alej2k2@gmail.com</v>
      </c>
      <c r="H452" s="763">
        <f>IFERROR(__xludf.DUMMYFUNCTION("""COMPUTED_VALUE"""),3.892150825E9)</f>
        <v>3892150825</v>
      </c>
      <c r="I452" s="763" t="str">
        <f>IFERROR(__xludf.DUMMYFUNCTION("""COMPUTED_VALUE"""),"Cologno Monzese")</f>
        <v>Cologno Monzese</v>
      </c>
      <c r="J452" s="763" t="str">
        <f>IFERROR(__xludf.DUMMYFUNCTION("""COMPUTED_VALUE"""),"viale lombardia 28")</f>
        <v>viale lombardia 28</v>
      </c>
      <c r="K452" s="763">
        <f>IFERROR(__xludf.DUMMYFUNCTION("""COMPUTED_VALUE"""),20093.0)</f>
        <v>20093</v>
      </c>
      <c r="L452" s="763" t="str">
        <f>IFERROR(__xludf.DUMMYFUNCTION("""COMPUTED_VALUE"""),"Carte di pagamento")</f>
        <v>Carte di pagamento</v>
      </c>
      <c r="M452" s="763"/>
      <c r="N452" s="763" t="str">
        <f>IFERROR(__xludf.DUMMYFUNCTION("""COMPUTED_VALUE"""),"65753-1762170585")</f>
        <v>65753-1762170585</v>
      </c>
      <c r="O452" s="763">
        <f>IFERROR(__xludf.DUMMYFUNCTION("""COMPUTED_VALUE"""),0.0)</f>
        <v>0</v>
      </c>
      <c r="P452" s="767">
        <f>IFERROR(__xludf.DUMMYFUNCTION("""COMPUTED_VALUE"""),1.3333333333333333)</f>
        <v>1.333333333</v>
      </c>
      <c r="Q452" s="763" t="str">
        <f>IFERROR(__xludf.DUMMYFUNCTION("""COMPUTED_VALUE"""),"EUR")</f>
        <v>EUR</v>
      </c>
      <c r="R452" s="763">
        <f>IFERROR(__xludf.DUMMYFUNCTION("""COMPUTED_VALUE"""),905.0)</f>
        <v>905</v>
      </c>
      <c r="S452" s="763" t="str">
        <f>IFERROR(__xludf.DUMMYFUNCTION("""COMPUTED_VALUE"""),"Workshop Salsa Musicality con Nicolò De Angelis - Workshop Nicolò Salsa Musicality")</f>
        <v>Workshop Salsa Musicality con Nicolò De Angelis - Workshop Nicolò Salsa Musicality</v>
      </c>
      <c r="T452" s="763"/>
      <c r="U452" s="763"/>
      <c r="V452" s="763">
        <f>IFERROR(__xludf.DUMMYFUNCTION("""COMPUTED_VALUE"""),1.0)</f>
        <v>1</v>
      </c>
      <c r="W452" s="763">
        <f>IFERROR(__xludf.DUMMYFUNCTION("""COMPUTED_VALUE"""),32.0)</f>
        <v>32</v>
      </c>
      <c r="X452" s="763">
        <f>IFERROR(__xludf.DUMMYFUNCTION("""COMPUTED_VALUE"""),32.0)</f>
        <v>32</v>
      </c>
      <c r="Y452" s="763"/>
      <c r="Z452" s="768" t="str">
        <f>IFERROR(__xludf.DUMMYFUNCTION("""COMPUTED_VALUE"""),"https://studio-gem.it/wp-admin/post.php?post=65753&amp;action=edit")</f>
        <v>https://studio-gem.it/wp-admin/post.php?post=65753&amp;action=edit</v>
      </c>
      <c r="AA452" s="763"/>
      <c r="AB452" s="763"/>
      <c r="AC452" s="763"/>
      <c r="AD452" s="763"/>
      <c r="AE452" s="763"/>
      <c r="AF452" s="763"/>
      <c r="AG452" s="763"/>
      <c r="AH452" s="763"/>
      <c r="AI452" s="763"/>
      <c r="AJ452" s="763"/>
      <c r="AK452" s="763"/>
      <c r="AL452" s="763"/>
      <c r="AM452" s="763"/>
      <c r="AN452" s="763"/>
      <c r="AO452" s="763"/>
      <c r="AP452" s="763"/>
      <c r="AQ452" s="763"/>
      <c r="AR452" s="763"/>
      <c r="AS452" s="763"/>
      <c r="AT452" s="763"/>
      <c r="AU452" s="763"/>
      <c r="AV452" s="763"/>
      <c r="AW452" s="763"/>
      <c r="AX452" s="763"/>
      <c r="AY452" s="763"/>
      <c r="AZ452" s="763"/>
      <c r="BA452" s="763"/>
      <c r="BB452" s="763"/>
      <c r="BC452" s="763"/>
      <c r="BD452" s="763"/>
      <c r="BE452" s="763"/>
      <c r="BF452" s="763"/>
      <c r="BG452" s="763" t="b">
        <f>IFERROR(__xludf.DUMMYFUNCTION("""COMPUTED_VALUE"""),TRUE)</f>
        <v>1</v>
      </c>
      <c r="BH452" s="763" t="b">
        <f>IFERROR(__xludf.DUMMYFUNCTION("""COMPUTED_VALUE"""),FALSE)</f>
        <v>0</v>
      </c>
      <c r="BI452" s="763" t="b">
        <f>IFERROR(__xludf.DUMMYFUNCTION("""COMPUTED_VALUE"""),TRUE)</f>
        <v>1</v>
      </c>
      <c r="BJ452" s="763" t="b">
        <f>IFERROR(__xludf.DUMMYFUNCTION("""COMPUTED_VALUE"""),TRUE)</f>
        <v>1</v>
      </c>
    </row>
    <row r="453">
      <c r="A453" s="763">
        <f>IFERROR(__xludf.DUMMYFUNCTION("""COMPUTED_VALUE"""),65755.0)</f>
        <v>65755</v>
      </c>
      <c r="B453" s="763">
        <f>IFERROR(__xludf.DUMMYFUNCTION("""COMPUTED_VALUE"""),65755.0)</f>
        <v>65755</v>
      </c>
      <c r="C453" s="763" t="str">
        <f>IFERROR(__xludf.DUMMYFUNCTION("""COMPUTED_VALUE"""),"2025-11-03 12:21:19")</f>
        <v>2025-11-03 12:21:19</v>
      </c>
      <c r="D453" s="763" t="str">
        <f>IFERROR(__xludf.DUMMYFUNCTION("""COMPUTED_VALUE"""),"processing")</f>
        <v>processing</v>
      </c>
      <c r="E453" s="763" t="str">
        <f>IFERROR(__xludf.DUMMYFUNCTION("""COMPUTED_VALUE"""),"Rebecca")</f>
        <v>Rebecca</v>
      </c>
      <c r="F453" s="763" t="str">
        <f>IFERROR(__xludf.DUMMYFUNCTION("""COMPUTED_VALUE"""),"Muciaccia")</f>
        <v>Muciaccia</v>
      </c>
      <c r="G453" s="763" t="str">
        <f>IFERROR(__xludf.DUMMYFUNCTION("""COMPUTED_VALUE"""),"rebeccamuciaccia2096@gmail.com")</f>
        <v>rebeccamuciaccia2096@gmail.com</v>
      </c>
      <c r="H453" s="763">
        <f>IFERROR(__xludf.DUMMYFUNCTION("""COMPUTED_VALUE"""),3.475605123E9)</f>
        <v>3475605123</v>
      </c>
      <c r="I453" s="763" t="str">
        <f>IFERROR(__xludf.DUMMYFUNCTION("""COMPUTED_VALUE"""),"Milano")</f>
        <v>Milano</v>
      </c>
      <c r="J453" s="763" t="str">
        <f>IFERROR(__xludf.DUMMYFUNCTION("""COMPUTED_VALUE"""),"Via Giuseppe ripamonti 246")</f>
        <v>Via Giuseppe ripamonti 246</v>
      </c>
      <c r="K453" s="763">
        <f>IFERROR(__xludf.DUMMYFUNCTION("""COMPUTED_VALUE"""),20141.0)</f>
        <v>20141</v>
      </c>
      <c r="L453" s="763" t="str">
        <f>IFERROR(__xludf.DUMMYFUNCTION("""COMPUTED_VALUE"""),"Carte di pagamento")</f>
        <v>Carte di pagamento</v>
      </c>
      <c r="M453" s="763" t="str">
        <f>IFERROR(__xludf.DUMMYFUNCTION("""COMPUTED_VALUE"""),"estefany02ws")</f>
        <v>estefany02ws</v>
      </c>
      <c r="N453" s="763" t="str">
        <f>IFERROR(__xludf.DUMMYFUNCTION("""COMPUTED_VALUE"""),"65755-1762172481")</f>
        <v>65755-1762172481</v>
      </c>
      <c r="O453" s="763">
        <f>IFERROR(__xludf.DUMMYFUNCTION("""COMPUTED_VALUE"""),0.0)</f>
        <v>0</v>
      </c>
      <c r="P453" s="767">
        <f>IFERROR(__xludf.DUMMYFUNCTION("""COMPUTED_VALUE"""),1.4583333333333333)</f>
        <v>1.458333333</v>
      </c>
      <c r="Q453" s="763" t="str">
        <f>IFERROR(__xludf.DUMMYFUNCTION("""COMPUTED_VALUE"""),"EUR")</f>
        <v>EUR</v>
      </c>
      <c r="R453" s="763">
        <f>IFERROR(__xludf.DUMMYFUNCTION("""COMPUTED_VALUE"""),906.0)</f>
        <v>906</v>
      </c>
      <c r="S453" s="763" t="str">
        <f>IFERROR(__xludf.DUMMYFUNCTION("""COMPUTED_VALUE"""),"Workshop Urban con Kumo - Workshop Kumo Urban")</f>
        <v>Workshop Urban con Kumo - Workshop Kumo Urban</v>
      </c>
      <c r="T453" s="763"/>
      <c r="U453" s="763"/>
      <c r="V453" s="763">
        <f>IFERROR(__xludf.DUMMYFUNCTION("""COMPUTED_VALUE"""),1.0)</f>
        <v>1</v>
      </c>
      <c r="W453" s="763">
        <f>IFERROR(__xludf.DUMMYFUNCTION("""COMPUTED_VALUE"""),35.0)</f>
        <v>35</v>
      </c>
      <c r="X453" s="763">
        <f>IFERROR(__xludf.DUMMYFUNCTION("""COMPUTED_VALUE"""),35.0)</f>
        <v>35</v>
      </c>
      <c r="Y453" s="763"/>
      <c r="Z453" s="768" t="str">
        <f>IFERROR(__xludf.DUMMYFUNCTION("""COMPUTED_VALUE"""),"https://studio-gem.it/wp-admin/post.php?post=65755&amp;action=edit")</f>
        <v>https://studio-gem.it/wp-admin/post.php?post=65755&amp;action=edit</v>
      </c>
      <c r="AA453" s="763"/>
      <c r="AB453" s="763"/>
      <c r="AC453" s="763"/>
      <c r="AD453" s="763"/>
      <c r="AE453" s="763"/>
      <c r="AF453" s="763"/>
      <c r="AG453" s="763"/>
      <c r="AH453" s="763"/>
      <c r="AI453" s="763"/>
      <c r="AJ453" s="763"/>
      <c r="AK453" s="763"/>
      <c r="AL453" s="763"/>
      <c r="AM453" s="763"/>
      <c r="AN453" s="763"/>
      <c r="AO453" s="763"/>
      <c r="AP453" s="763"/>
      <c r="AQ453" s="763"/>
      <c r="AR453" s="763"/>
      <c r="AS453" s="763"/>
      <c r="AT453" s="763"/>
      <c r="AU453" s="763"/>
      <c r="AV453" s="763"/>
      <c r="AW453" s="763"/>
      <c r="AX453" s="763"/>
      <c r="AY453" s="763"/>
      <c r="AZ453" s="763"/>
      <c r="BA453" s="763"/>
      <c r="BB453" s="763"/>
      <c r="BC453" s="763"/>
      <c r="BD453" s="763"/>
      <c r="BE453" s="763"/>
      <c r="BF453" s="763"/>
      <c r="BG453" s="763" t="b">
        <f>IFERROR(__xludf.DUMMYFUNCTION("""COMPUTED_VALUE"""),TRUE)</f>
        <v>1</v>
      </c>
      <c r="BH453" s="763" t="b">
        <f>IFERROR(__xludf.DUMMYFUNCTION("""COMPUTED_VALUE"""),FALSE)</f>
        <v>0</v>
      </c>
      <c r="BI453" s="763" t="b">
        <f>IFERROR(__xludf.DUMMYFUNCTION("""COMPUTED_VALUE"""),TRUE)</f>
        <v>1</v>
      </c>
      <c r="BJ453" s="763" t="b">
        <f>IFERROR(__xludf.DUMMYFUNCTION("""COMPUTED_VALUE"""),TRUE)</f>
        <v>1</v>
      </c>
    </row>
    <row r="454">
      <c r="A454" s="763">
        <f>IFERROR(__xludf.DUMMYFUNCTION("""COMPUTED_VALUE"""),65756.0)</f>
        <v>65756</v>
      </c>
      <c r="B454" s="763">
        <f>IFERROR(__xludf.DUMMYFUNCTION("""COMPUTED_VALUE"""),65756.0)</f>
        <v>65756</v>
      </c>
      <c r="C454" s="763" t="str">
        <f>IFERROR(__xludf.DUMMYFUNCTION("""COMPUTED_VALUE"""),"2025-11-03 13:45:57")</f>
        <v>2025-11-03 13:45:57</v>
      </c>
      <c r="D454" s="763" t="str">
        <f>IFERROR(__xludf.DUMMYFUNCTION("""COMPUTED_VALUE"""),"pending")</f>
        <v>pending</v>
      </c>
      <c r="E454" s="763" t="str">
        <f>IFERROR(__xludf.DUMMYFUNCTION("""COMPUTED_VALUE"""),"Elena")</f>
        <v>Elena</v>
      </c>
      <c r="F454" s="763" t="str">
        <f>IFERROR(__xludf.DUMMYFUNCTION("""COMPUTED_VALUE"""),"Cammarata")</f>
        <v>Cammarata</v>
      </c>
      <c r="G454" s="763" t="str">
        <f>IFERROR(__xludf.DUMMYFUNCTION("""COMPUTED_VALUE"""),"cammarataelena@gmail.com")</f>
        <v>cammarataelena@gmail.com</v>
      </c>
      <c r="H454" s="763">
        <f>IFERROR(__xludf.DUMMYFUNCTION("""COMPUTED_VALUE"""),3.34751082E9)</f>
        <v>3347510820</v>
      </c>
      <c r="I454" s="763" t="str">
        <f>IFERROR(__xludf.DUMMYFUNCTION("""COMPUTED_VALUE"""),"Milano")</f>
        <v>Milano</v>
      </c>
      <c r="J454" s="763" t="str">
        <f>IFERROR(__xludf.DUMMYFUNCTION("""COMPUTED_VALUE"""),"Corso Lodi 65")</f>
        <v>Corso Lodi 65</v>
      </c>
      <c r="K454" s="763">
        <f>IFERROR(__xludf.DUMMYFUNCTION("""COMPUTED_VALUE"""),20139.0)</f>
        <v>20139</v>
      </c>
      <c r="L454" s="763" t="str">
        <f>IFERROR(__xludf.DUMMYFUNCTION("""COMPUTED_VALUE"""),"Scalapay - Pay in 3")</f>
        <v>Scalapay - Pay in 3</v>
      </c>
      <c r="M454" s="763" t="str">
        <f>IFERROR(__xludf.DUMMYFUNCTION("""COMPUTED_VALUE"""),"joel02ws")</f>
        <v>joel02ws</v>
      </c>
      <c r="N454" s="763"/>
      <c r="O454" s="763">
        <f>IFERROR(__xludf.DUMMYFUNCTION("""COMPUTED_VALUE"""),0.0)</f>
        <v>0</v>
      </c>
      <c r="P454" s="767">
        <f>IFERROR(__xludf.DUMMYFUNCTION("""COMPUTED_VALUE"""),1.4583333333333333)</f>
        <v>1.458333333</v>
      </c>
      <c r="Q454" s="763" t="str">
        <f>IFERROR(__xludf.DUMMYFUNCTION("""COMPUTED_VALUE"""),"EUR")</f>
        <v>EUR</v>
      </c>
      <c r="R454" s="763">
        <f>IFERROR(__xludf.DUMMYFUNCTION("""COMPUTED_VALUE"""),908.0)</f>
        <v>908</v>
      </c>
      <c r="S454" s="763" t="str">
        <f>IFERROR(__xludf.DUMMYFUNCTION("""COMPUTED_VALUE"""),"Workshop Heels con Deborah Esposito - Workshop Heels con Deborah Esposito")</f>
        <v>Workshop Heels con Deborah Esposito - Workshop Heels con Deborah Esposito</v>
      </c>
      <c r="T454" s="763"/>
      <c r="U454" s="763"/>
      <c r="V454" s="763">
        <f>IFERROR(__xludf.DUMMYFUNCTION("""COMPUTED_VALUE"""),1.0)</f>
        <v>1</v>
      </c>
      <c r="W454" s="763">
        <f>IFERROR(__xludf.DUMMYFUNCTION("""COMPUTED_VALUE"""),35.0)</f>
        <v>35</v>
      </c>
      <c r="X454" s="763">
        <f>IFERROR(__xludf.DUMMYFUNCTION("""COMPUTED_VALUE"""),35.0)</f>
        <v>35</v>
      </c>
      <c r="Y454" s="763"/>
      <c r="Z454" s="768" t="str">
        <f>IFERROR(__xludf.DUMMYFUNCTION("""COMPUTED_VALUE"""),"https://studio-gem.it/wp-admin/post.php?post=65756&amp;action=edit")</f>
        <v>https://studio-gem.it/wp-admin/post.php?post=65756&amp;action=edit</v>
      </c>
      <c r="AA454" s="763"/>
      <c r="AB454" s="763"/>
      <c r="AC454" s="763"/>
      <c r="AD454" s="763"/>
      <c r="AE454" s="763"/>
      <c r="AF454" s="763"/>
      <c r="AG454" s="763"/>
      <c r="AH454" s="763"/>
      <c r="AI454" s="763"/>
      <c r="AJ454" s="763"/>
      <c r="AK454" s="763"/>
      <c r="AL454" s="763"/>
      <c r="AM454" s="763"/>
      <c r="AN454" s="763"/>
      <c r="AO454" s="763"/>
      <c r="AP454" s="763"/>
      <c r="AQ454" s="763"/>
      <c r="AR454" s="763"/>
      <c r="AS454" s="763"/>
      <c r="AT454" s="763"/>
      <c r="AU454" s="763"/>
      <c r="AV454" s="763"/>
      <c r="AW454" s="763"/>
      <c r="AX454" s="763"/>
      <c r="AY454" s="763"/>
      <c r="AZ454" s="763"/>
      <c r="BA454" s="763"/>
      <c r="BB454" s="763"/>
      <c r="BC454" s="763"/>
      <c r="BD454" s="763"/>
      <c r="BE454" s="763"/>
      <c r="BF454" s="763"/>
      <c r="BG454" s="763" t="b">
        <f>IFERROR(__xludf.DUMMYFUNCTION("""COMPUTED_VALUE"""),FALSE)</f>
        <v>0</v>
      </c>
      <c r="BH454" s="763" t="b">
        <f>IFERROR(__xludf.DUMMYFUNCTION("""COMPUTED_VALUE"""),FALSE)</f>
        <v>0</v>
      </c>
      <c r="BI454" s="763" t="b">
        <f>IFERROR(__xludf.DUMMYFUNCTION("""COMPUTED_VALUE"""),FALSE)</f>
        <v>0</v>
      </c>
      <c r="BJ454" s="763" t="b">
        <f>IFERROR(__xludf.DUMMYFUNCTION("""COMPUTED_VALUE"""),FALSE)</f>
        <v>0</v>
      </c>
    </row>
    <row r="455">
      <c r="A455" s="763">
        <f>IFERROR(__xludf.DUMMYFUNCTION("""COMPUTED_VALUE"""),65757.0)</f>
        <v>65757</v>
      </c>
      <c r="B455" s="763">
        <f>IFERROR(__xludf.DUMMYFUNCTION("""COMPUTED_VALUE"""),65757.0)</f>
        <v>65757</v>
      </c>
      <c r="C455" s="763" t="str">
        <f>IFERROR(__xludf.DUMMYFUNCTION("""COMPUTED_VALUE"""),"2025-11-03 13:59:04")</f>
        <v>2025-11-03 13:59:04</v>
      </c>
      <c r="D455" s="763" t="str">
        <f>IFERROR(__xludf.DUMMYFUNCTION("""COMPUTED_VALUE"""),"pending")</f>
        <v>pending</v>
      </c>
      <c r="E455" s="763" t="str">
        <f>IFERROR(__xludf.DUMMYFUNCTION("""COMPUTED_VALUE"""),"ELENA")</f>
        <v>ELENA</v>
      </c>
      <c r="F455" s="763" t="str">
        <f>IFERROR(__xludf.DUMMYFUNCTION("""COMPUTED_VALUE"""),"CAMMARATA")</f>
        <v>CAMMARATA</v>
      </c>
      <c r="G455" s="763" t="str">
        <f>IFERROR(__xludf.DUMMYFUNCTION("""COMPUTED_VALUE"""),"cammarataelena@gmail.com")</f>
        <v>cammarataelena@gmail.com</v>
      </c>
      <c r="H455" s="763">
        <f>IFERROR(__xludf.DUMMYFUNCTION("""COMPUTED_VALUE"""),3.34751082E9)</f>
        <v>3347510820</v>
      </c>
      <c r="I455" s="763" t="str">
        <f>IFERROR(__xludf.DUMMYFUNCTION("""COMPUTED_VALUE"""),"MILANO")</f>
        <v>MILANO</v>
      </c>
      <c r="J455" s="763" t="str">
        <f>IFERROR(__xludf.DUMMYFUNCTION("""COMPUTED_VALUE"""),"CORSO LODI 65")</f>
        <v>CORSO LODI 65</v>
      </c>
      <c r="K455" s="763">
        <f>IFERROR(__xludf.DUMMYFUNCTION("""COMPUTED_VALUE"""),20139.0)</f>
        <v>20139</v>
      </c>
      <c r="L455" s="763" t="str">
        <f>IFERROR(__xludf.DUMMYFUNCTION("""COMPUTED_VALUE"""),"Scalapay - Pay in 3")</f>
        <v>Scalapay - Pay in 3</v>
      </c>
      <c r="M455" s="763" t="str">
        <f>IFERROR(__xludf.DUMMYFUNCTION("""COMPUTED_VALUE"""),"joel02ws")</f>
        <v>joel02ws</v>
      </c>
      <c r="N455" s="763"/>
      <c r="O455" s="763">
        <f>IFERROR(__xludf.DUMMYFUNCTION("""COMPUTED_VALUE"""),0.0)</f>
        <v>0</v>
      </c>
      <c r="P455" s="767">
        <f>IFERROR(__xludf.DUMMYFUNCTION("""COMPUTED_VALUE"""),1.4583333333333333)</f>
        <v>1.458333333</v>
      </c>
      <c r="Q455" s="763" t="str">
        <f>IFERROR(__xludf.DUMMYFUNCTION("""COMPUTED_VALUE"""),"EUR")</f>
        <v>EUR</v>
      </c>
      <c r="R455" s="763">
        <f>IFERROR(__xludf.DUMMYFUNCTION("""COMPUTED_VALUE"""),910.0)</f>
        <v>910</v>
      </c>
      <c r="S455" s="763" t="str">
        <f>IFERROR(__xludf.DUMMYFUNCTION("""COMPUTED_VALUE"""),"Workshop Heels con Deborah Esposito - Workshop Heels con Deborah Esposito")</f>
        <v>Workshop Heels con Deborah Esposito - Workshop Heels con Deborah Esposito</v>
      </c>
      <c r="T455" s="763"/>
      <c r="U455" s="763"/>
      <c r="V455" s="763">
        <f>IFERROR(__xludf.DUMMYFUNCTION("""COMPUTED_VALUE"""),1.0)</f>
        <v>1</v>
      </c>
      <c r="W455" s="763">
        <f>IFERROR(__xludf.DUMMYFUNCTION("""COMPUTED_VALUE"""),35.0)</f>
        <v>35</v>
      </c>
      <c r="X455" s="763">
        <f>IFERROR(__xludf.DUMMYFUNCTION("""COMPUTED_VALUE"""),35.0)</f>
        <v>35</v>
      </c>
      <c r="Y455" s="763"/>
      <c r="Z455" s="768" t="str">
        <f>IFERROR(__xludf.DUMMYFUNCTION("""COMPUTED_VALUE"""),"https://studio-gem.it/wp-admin/post.php?post=65757&amp;action=edit")</f>
        <v>https://studio-gem.it/wp-admin/post.php?post=65757&amp;action=edit</v>
      </c>
      <c r="AA455" s="763"/>
      <c r="AB455" s="763"/>
      <c r="AC455" s="763"/>
      <c r="AD455" s="763"/>
      <c r="AE455" s="763"/>
      <c r="AF455" s="763"/>
      <c r="AG455" s="763"/>
      <c r="AH455" s="763"/>
      <c r="AI455" s="763"/>
      <c r="AJ455" s="763"/>
      <c r="AK455" s="763"/>
      <c r="AL455" s="763"/>
      <c r="AM455" s="763"/>
      <c r="AN455" s="763"/>
      <c r="AO455" s="763"/>
      <c r="AP455" s="763"/>
      <c r="AQ455" s="763"/>
      <c r="AR455" s="763"/>
      <c r="AS455" s="763"/>
      <c r="AT455" s="763"/>
      <c r="AU455" s="763"/>
      <c r="AV455" s="763"/>
      <c r="AW455" s="763"/>
      <c r="AX455" s="763"/>
      <c r="AY455" s="763"/>
      <c r="AZ455" s="763"/>
      <c r="BA455" s="763"/>
      <c r="BB455" s="763"/>
      <c r="BC455" s="763"/>
      <c r="BD455" s="763"/>
      <c r="BE455" s="763"/>
      <c r="BF455" s="763"/>
      <c r="BG455" s="763" t="b">
        <f>IFERROR(__xludf.DUMMYFUNCTION("""COMPUTED_VALUE"""),FALSE)</f>
        <v>0</v>
      </c>
      <c r="BH455" s="763" t="b">
        <f>IFERROR(__xludf.DUMMYFUNCTION("""COMPUTED_VALUE"""),FALSE)</f>
        <v>0</v>
      </c>
      <c r="BI455" s="763" t="b">
        <f>IFERROR(__xludf.DUMMYFUNCTION("""COMPUTED_VALUE"""),FALSE)</f>
        <v>0</v>
      </c>
      <c r="BJ455" s="763" t="b">
        <f>IFERROR(__xludf.DUMMYFUNCTION("""COMPUTED_VALUE"""),FALSE)</f>
        <v>0</v>
      </c>
    </row>
    <row r="456">
      <c r="A456" s="763">
        <f>IFERROR(__xludf.DUMMYFUNCTION("""COMPUTED_VALUE"""),65758.0)</f>
        <v>65758</v>
      </c>
      <c r="B456" s="763">
        <f>IFERROR(__xludf.DUMMYFUNCTION("""COMPUTED_VALUE"""),65758.0)</f>
        <v>65758</v>
      </c>
      <c r="C456" s="763" t="str">
        <f>IFERROR(__xludf.DUMMYFUNCTION("""COMPUTED_VALUE"""),"2025-11-03 14:04:47")</f>
        <v>2025-11-03 14:04:47</v>
      </c>
      <c r="D456" s="763" t="str">
        <f>IFERROR(__xludf.DUMMYFUNCTION("""COMPUTED_VALUE"""),"pending")</f>
        <v>pending</v>
      </c>
      <c r="E456" s="763" t="str">
        <f>IFERROR(__xludf.DUMMYFUNCTION("""COMPUTED_VALUE"""),"Elena")</f>
        <v>Elena</v>
      </c>
      <c r="F456" s="763" t="str">
        <f>IFERROR(__xludf.DUMMYFUNCTION("""COMPUTED_VALUE"""),"Cammarata")</f>
        <v>Cammarata</v>
      </c>
      <c r="G456" s="763" t="str">
        <f>IFERROR(__xludf.DUMMYFUNCTION("""COMPUTED_VALUE"""),"cammarataelena@gmail.com")</f>
        <v>cammarataelena@gmail.com</v>
      </c>
      <c r="H456" s="763">
        <f>IFERROR(__xludf.DUMMYFUNCTION("""COMPUTED_VALUE"""),3.34751082E9)</f>
        <v>3347510820</v>
      </c>
      <c r="I456" s="763" t="str">
        <f>IFERROR(__xludf.DUMMYFUNCTION("""COMPUTED_VALUE"""),"Milano")</f>
        <v>Milano</v>
      </c>
      <c r="J456" s="763">
        <f>IFERROR(__xludf.DUMMYFUNCTION("""COMPUTED_VALUE"""),3.34751082E9)</f>
        <v>3347510820</v>
      </c>
      <c r="K456" s="763">
        <f>IFERROR(__xludf.DUMMYFUNCTION("""COMPUTED_VALUE"""),20139.0)</f>
        <v>20139</v>
      </c>
      <c r="L456" s="763" t="str">
        <f>IFERROR(__xludf.DUMMYFUNCTION("""COMPUTED_VALUE"""),"Apple Pay")</f>
        <v>Apple Pay</v>
      </c>
      <c r="M456" s="763" t="str">
        <f>IFERROR(__xludf.DUMMYFUNCTION("""COMPUTED_VALUE"""),"joel02ws")</f>
        <v>joel02ws</v>
      </c>
      <c r="N456" s="763"/>
      <c r="O456" s="763">
        <f>IFERROR(__xludf.DUMMYFUNCTION("""COMPUTED_VALUE"""),0.0)</f>
        <v>0</v>
      </c>
      <c r="P456" s="767">
        <f>IFERROR(__xludf.DUMMYFUNCTION("""COMPUTED_VALUE"""),1.4583333333333333)</f>
        <v>1.458333333</v>
      </c>
      <c r="Q456" s="763" t="str">
        <f>IFERROR(__xludf.DUMMYFUNCTION("""COMPUTED_VALUE"""),"EUR")</f>
        <v>EUR</v>
      </c>
      <c r="R456" s="763">
        <f>IFERROR(__xludf.DUMMYFUNCTION("""COMPUTED_VALUE"""),912.0)</f>
        <v>912</v>
      </c>
      <c r="S456" s="763" t="str">
        <f>IFERROR(__xludf.DUMMYFUNCTION("""COMPUTED_VALUE"""),"Workshop Heels con Deborah Esposito - Workshop Heels con Deborah Esposito")</f>
        <v>Workshop Heels con Deborah Esposito - Workshop Heels con Deborah Esposito</v>
      </c>
      <c r="T456" s="763"/>
      <c r="U456" s="763"/>
      <c r="V456" s="763">
        <f>IFERROR(__xludf.DUMMYFUNCTION("""COMPUTED_VALUE"""),1.0)</f>
        <v>1</v>
      </c>
      <c r="W456" s="763">
        <f>IFERROR(__xludf.DUMMYFUNCTION("""COMPUTED_VALUE"""),35.0)</f>
        <v>35</v>
      </c>
      <c r="X456" s="763">
        <f>IFERROR(__xludf.DUMMYFUNCTION("""COMPUTED_VALUE"""),35.0)</f>
        <v>35</v>
      </c>
      <c r="Y456" s="763"/>
      <c r="Z456" s="768" t="str">
        <f>IFERROR(__xludf.DUMMYFUNCTION("""COMPUTED_VALUE"""),"https://studio-gem.it/wp-admin/post.php?post=65758&amp;action=edit")</f>
        <v>https://studio-gem.it/wp-admin/post.php?post=65758&amp;action=edit</v>
      </c>
      <c r="AA456" s="763"/>
      <c r="AB456" s="763"/>
      <c r="AC456" s="763"/>
      <c r="AD456" s="763"/>
      <c r="AE456" s="763"/>
      <c r="AF456" s="763"/>
      <c r="AG456" s="763"/>
      <c r="AH456" s="763"/>
      <c r="AI456" s="763"/>
      <c r="AJ456" s="763"/>
      <c r="AK456" s="763"/>
      <c r="AL456" s="763"/>
      <c r="AM456" s="763"/>
      <c r="AN456" s="763"/>
      <c r="AO456" s="763"/>
      <c r="AP456" s="763"/>
      <c r="AQ456" s="763"/>
      <c r="AR456" s="763"/>
      <c r="AS456" s="763"/>
      <c r="AT456" s="763"/>
      <c r="AU456" s="763"/>
      <c r="AV456" s="763"/>
      <c r="AW456" s="763"/>
      <c r="AX456" s="763"/>
      <c r="AY456" s="763"/>
      <c r="AZ456" s="763"/>
      <c r="BA456" s="763"/>
      <c r="BB456" s="763"/>
      <c r="BC456" s="763"/>
      <c r="BD456" s="763"/>
      <c r="BE456" s="763"/>
      <c r="BF456" s="763"/>
      <c r="BG456" s="763" t="b">
        <f>IFERROR(__xludf.DUMMYFUNCTION("""COMPUTED_VALUE"""),FALSE)</f>
        <v>0</v>
      </c>
      <c r="BH456" s="763" t="b">
        <f>IFERROR(__xludf.DUMMYFUNCTION("""COMPUTED_VALUE"""),FALSE)</f>
        <v>0</v>
      </c>
      <c r="BI456" s="763" t="b">
        <f>IFERROR(__xludf.DUMMYFUNCTION("""COMPUTED_VALUE"""),FALSE)</f>
        <v>0</v>
      </c>
      <c r="BJ456" s="763" t="b">
        <f>IFERROR(__xludf.DUMMYFUNCTION("""COMPUTED_VALUE"""),FALSE)</f>
        <v>0</v>
      </c>
    </row>
    <row r="457">
      <c r="A457" s="763">
        <f>IFERROR(__xludf.DUMMYFUNCTION("""COMPUTED_VALUE"""),65759.0)</f>
        <v>65759</v>
      </c>
      <c r="B457" s="763">
        <f>IFERROR(__xludf.DUMMYFUNCTION("""COMPUTED_VALUE"""),65759.0)</f>
        <v>65759</v>
      </c>
      <c r="C457" s="763" t="str">
        <f>IFERROR(__xludf.DUMMYFUNCTION("""COMPUTED_VALUE"""),"2025-11-03 14:12:39")</f>
        <v>2025-11-03 14:12:39</v>
      </c>
      <c r="D457" s="763" t="str">
        <f>IFERROR(__xludf.DUMMYFUNCTION("""COMPUTED_VALUE"""),"pending")</f>
        <v>pending</v>
      </c>
      <c r="E457" s="763" t="str">
        <f>IFERROR(__xludf.DUMMYFUNCTION("""COMPUTED_VALUE"""),"ELENA")</f>
        <v>ELENA</v>
      </c>
      <c r="F457" s="763" t="str">
        <f>IFERROR(__xludf.DUMMYFUNCTION("""COMPUTED_VALUE"""),"CAMMARATA")</f>
        <v>CAMMARATA</v>
      </c>
      <c r="G457" s="763" t="str">
        <f>IFERROR(__xludf.DUMMYFUNCTION("""COMPUTED_VALUE"""),"cammarataelena@gmail.com")</f>
        <v>cammarataelena@gmail.com</v>
      </c>
      <c r="H457" s="763">
        <f>IFERROR(__xludf.DUMMYFUNCTION("""COMPUTED_VALUE"""),3.34751082E9)</f>
        <v>3347510820</v>
      </c>
      <c r="I457" s="763" t="str">
        <f>IFERROR(__xludf.DUMMYFUNCTION("""COMPUTED_VALUE"""),"MILANO")</f>
        <v>MILANO</v>
      </c>
      <c r="J457" s="763" t="str">
        <f>IFERROR(__xludf.DUMMYFUNCTION("""COMPUTED_VALUE"""),"CORSO LODI 65")</f>
        <v>CORSO LODI 65</v>
      </c>
      <c r="K457" s="763">
        <f>IFERROR(__xludf.DUMMYFUNCTION("""COMPUTED_VALUE"""),20139.0)</f>
        <v>20139</v>
      </c>
      <c r="L457" s="763" t="str">
        <f>IFERROR(__xludf.DUMMYFUNCTION("""COMPUTED_VALUE"""),"Carte di pagamento")</f>
        <v>Carte di pagamento</v>
      </c>
      <c r="M457" s="763" t="str">
        <f>IFERROR(__xludf.DUMMYFUNCTION("""COMPUTED_VALUE"""),"joel02ws")</f>
        <v>joel02ws</v>
      </c>
      <c r="N457" s="763"/>
      <c r="O457" s="763">
        <f>IFERROR(__xludf.DUMMYFUNCTION("""COMPUTED_VALUE"""),0.0)</f>
        <v>0</v>
      </c>
      <c r="P457" s="767">
        <f>IFERROR(__xludf.DUMMYFUNCTION("""COMPUTED_VALUE"""),1.4583333333333333)</f>
        <v>1.458333333</v>
      </c>
      <c r="Q457" s="763" t="str">
        <f>IFERROR(__xludf.DUMMYFUNCTION("""COMPUTED_VALUE"""),"EUR")</f>
        <v>EUR</v>
      </c>
      <c r="R457" s="763">
        <f>IFERROR(__xludf.DUMMYFUNCTION("""COMPUTED_VALUE"""),914.0)</f>
        <v>914</v>
      </c>
      <c r="S457" s="763" t="str">
        <f>IFERROR(__xludf.DUMMYFUNCTION("""COMPUTED_VALUE"""),"Workshop Heels con Deborah Esposito - Workshop Heels con Deborah Esposito")</f>
        <v>Workshop Heels con Deborah Esposito - Workshop Heels con Deborah Esposito</v>
      </c>
      <c r="T457" s="763"/>
      <c r="U457" s="763"/>
      <c r="V457" s="763">
        <f>IFERROR(__xludf.DUMMYFUNCTION("""COMPUTED_VALUE"""),1.0)</f>
        <v>1</v>
      </c>
      <c r="W457" s="763">
        <f>IFERROR(__xludf.DUMMYFUNCTION("""COMPUTED_VALUE"""),35.0)</f>
        <v>35</v>
      </c>
      <c r="X457" s="763">
        <f>IFERROR(__xludf.DUMMYFUNCTION("""COMPUTED_VALUE"""),35.0)</f>
        <v>35</v>
      </c>
      <c r="Y457" s="763"/>
      <c r="Z457" s="768" t="str">
        <f>IFERROR(__xludf.DUMMYFUNCTION("""COMPUTED_VALUE"""),"https://studio-gem.it/wp-admin/post.php?post=65759&amp;action=edit")</f>
        <v>https://studio-gem.it/wp-admin/post.php?post=65759&amp;action=edit</v>
      </c>
      <c r="AA457" s="763"/>
      <c r="AB457" s="763"/>
      <c r="AC457" s="763"/>
      <c r="AD457" s="763"/>
      <c r="AE457" s="763"/>
      <c r="AF457" s="763"/>
      <c r="AG457" s="763"/>
      <c r="AH457" s="763"/>
      <c r="AI457" s="763"/>
      <c r="AJ457" s="763"/>
      <c r="AK457" s="763"/>
      <c r="AL457" s="763"/>
      <c r="AM457" s="763"/>
      <c r="AN457" s="763"/>
      <c r="AO457" s="763"/>
      <c r="AP457" s="763"/>
      <c r="AQ457" s="763"/>
      <c r="AR457" s="763"/>
      <c r="AS457" s="763"/>
      <c r="AT457" s="763"/>
      <c r="AU457" s="763"/>
      <c r="AV457" s="763"/>
      <c r="AW457" s="763"/>
      <c r="AX457" s="763"/>
      <c r="AY457" s="763"/>
      <c r="AZ457" s="763"/>
      <c r="BA457" s="763"/>
      <c r="BB457" s="763"/>
      <c r="BC457" s="763"/>
      <c r="BD457" s="763"/>
      <c r="BE457" s="763"/>
      <c r="BF457" s="763"/>
      <c r="BG457" s="763" t="b">
        <f>IFERROR(__xludf.DUMMYFUNCTION("""COMPUTED_VALUE"""),FALSE)</f>
        <v>0</v>
      </c>
      <c r="BH457" s="763" t="b">
        <f>IFERROR(__xludf.DUMMYFUNCTION("""COMPUTED_VALUE"""),FALSE)</f>
        <v>0</v>
      </c>
      <c r="BI457" s="763" t="b">
        <f>IFERROR(__xludf.DUMMYFUNCTION("""COMPUTED_VALUE"""),TRUE)</f>
        <v>1</v>
      </c>
      <c r="BJ457" s="763" t="b">
        <f>IFERROR(__xludf.DUMMYFUNCTION("""COMPUTED_VALUE"""),FALSE)</f>
        <v>0</v>
      </c>
    </row>
    <row r="458">
      <c r="A458" s="763">
        <f>IFERROR(__xludf.DUMMYFUNCTION("""COMPUTED_VALUE"""),65760.0)</f>
        <v>65760</v>
      </c>
      <c r="B458" s="763">
        <f>IFERROR(__xludf.DUMMYFUNCTION("""COMPUTED_VALUE"""),65760.0)</f>
        <v>65760</v>
      </c>
      <c r="C458" s="763" t="str">
        <f>IFERROR(__xludf.DUMMYFUNCTION("""COMPUTED_VALUE"""),"2025-11-03 15:47:51")</f>
        <v>2025-11-03 15:47:51</v>
      </c>
      <c r="D458" s="763" t="str">
        <f>IFERROR(__xludf.DUMMYFUNCTION("""COMPUTED_VALUE"""),"completed")</f>
        <v>completed</v>
      </c>
      <c r="E458" s="763" t="str">
        <f>IFERROR(__xludf.DUMMYFUNCTION("""COMPUTED_VALUE"""),"Chiara Maria")</f>
        <v>Chiara Maria</v>
      </c>
      <c r="F458" s="763" t="str">
        <f>IFERROR(__xludf.DUMMYFUNCTION("""COMPUTED_VALUE"""),"Vismara")</f>
        <v>Vismara</v>
      </c>
      <c r="G458" s="763" t="str">
        <f>IFERROR(__xludf.DUMMYFUNCTION("""COMPUTED_VALUE"""),"chiaramaria.vismara@gmail.com")</f>
        <v>chiaramaria.vismara@gmail.com</v>
      </c>
      <c r="H458" s="763">
        <f>IFERROR(__xludf.DUMMYFUNCTION("""COMPUTED_VALUE"""),3.336214065E9)</f>
        <v>3336214065</v>
      </c>
      <c r="I458" s="763" t="str">
        <f>IFERROR(__xludf.DUMMYFUNCTION("""COMPUTED_VALUE"""),"MILANO")</f>
        <v>MILANO</v>
      </c>
      <c r="J458" s="763" t="str">
        <f>IFERROR(__xludf.DUMMYFUNCTION("""COMPUTED_VALUE"""),"via quadronno 34")</f>
        <v>via quadronno 34</v>
      </c>
      <c r="K458" s="763">
        <f>IFERROR(__xludf.DUMMYFUNCTION("""COMPUTED_VALUE"""),20122.0)</f>
        <v>20122</v>
      </c>
      <c r="L458" s="763"/>
      <c r="M458" s="763"/>
      <c r="N458" s="763"/>
      <c r="O458" s="763">
        <f>IFERROR(__xludf.DUMMYFUNCTION("""COMPUTED_VALUE"""),0.0)</f>
        <v>0</v>
      </c>
      <c r="P458" s="767">
        <f>IFERROR(__xludf.DUMMYFUNCTION("""COMPUTED_VALUE"""),0.0)</f>
        <v>0</v>
      </c>
      <c r="Q458" s="763" t="str">
        <f>IFERROR(__xludf.DUMMYFUNCTION("""COMPUTED_VALUE"""),"EUR")</f>
        <v>EUR</v>
      </c>
      <c r="R458" s="763">
        <f>IFERROR(__xludf.DUMMYFUNCTION("""COMPUTED_VALUE"""),916.0)</f>
        <v>916</v>
      </c>
      <c r="S458" s="763" t="str">
        <f>IFERROR(__xludf.DUMMYFUNCTION("""COMPUTED_VALUE"""),"Domeniche in movimento - Gratuito per open fitness e open mattino 2 lezioni dalle 10 alle 11.50")</f>
        <v>Domeniche in movimento - Gratuito per open fitness e open mattino 2 lezioni dalle 10 alle 11.50</v>
      </c>
      <c r="T458" s="763"/>
      <c r="U458" s="763"/>
      <c r="V458" s="763">
        <f>IFERROR(__xludf.DUMMYFUNCTION("""COMPUTED_VALUE"""),1.0)</f>
        <v>1</v>
      </c>
      <c r="W458" s="763">
        <f>IFERROR(__xludf.DUMMYFUNCTION("""COMPUTED_VALUE"""),0.0)</f>
        <v>0</v>
      </c>
      <c r="X458" s="763">
        <f>IFERROR(__xludf.DUMMYFUNCTION("""COMPUTED_VALUE"""),0.0)</f>
        <v>0</v>
      </c>
      <c r="Y458" s="763"/>
      <c r="Z458" s="768" t="str">
        <f>IFERROR(__xludf.DUMMYFUNCTION("""COMPUTED_VALUE"""),"https://studio-gem.it/wp-admin/post.php?post=65760&amp;action=edit")</f>
        <v>https://studio-gem.it/wp-admin/post.php?post=65760&amp;action=edit</v>
      </c>
      <c r="AA458" s="763"/>
      <c r="AB458" s="763"/>
      <c r="AC458" s="763"/>
      <c r="AD458" s="763"/>
      <c r="AE458" s="763"/>
      <c r="AF458" s="763"/>
      <c r="AG458" s="763"/>
      <c r="AH458" s="763"/>
      <c r="AI458" s="763"/>
      <c r="AJ458" s="763"/>
      <c r="AK458" s="763"/>
      <c r="AL458" s="763"/>
      <c r="AM458" s="763"/>
      <c r="AN458" s="763"/>
      <c r="AO458" s="763"/>
      <c r="AP458" s="763"/>
      <c r="AQ458" s="763"/>
      <c r="AR458" s="763"/>
      <c r="AS458" s="763"/>
      <c r="AT458" s="763"/>
      <c r="AU458" s="763"/>
      <c r="AV458" s="763"/>
      <c r="AW458" s="763"/>
      <c r="AX458" s="763"/>
      <c r="AY458" s="763"/>
      <c r="AZ458" s="763"/>
      <c r="BA458" s="763"/>
      <c r="BB458" s="763"/>
      <c r="BC458" s="763"/>
      <c r="BD458" s="763"/>
      <c r="BE458" s="763"/>
      <c r="BF458" s="763"/>
      <c r="BG458" s="763" t="b">
        <f>IFERROR(__xludf.DUMMYFUNCTION("""COMPUTED_VALUE"""),FALSE)</f>
        <v>0</v>
      </c>
      <c r="BH458" s="763" t="b">
        <f>IFERROR(__xludf.DUMMYFUNCTION("""COMPUTED_VALUE"""),FALSE)</f>
        <v>0</v>
      </c>
      <c r="BI458" s="763" t="b">
        <f>IFERROR(__xludf.DUMMYFUNCTION("""COMPUTED_VALUE"""),TRUE)</f>
        <v>1</v>
      </c>
      <c r="BJ458" s="763" t="b">
        <f>IFERROR(__xludf.DUMMYFUNCTION("""COMPUTED_VALUE"""),TRUE)</f>
        <v>1</v>
      </c>
    </row>
    <row r="459">
      <c r="A459" s="763">
        <f>IFERROR(__xludf.DUMMYFUNCTION("""COMPUTED_VALUE"""),65762.0)</f>
        <v>65762</v>
      </c>
      <c r="B459" s="763">
        <f>IFERROR(__xludf.DUMMYFUNCTION("""COMPUTED_VALUE"""),65762.0)</f>
        <v>65762</v>
      </c>
      <c r="C459" s="763" t="str">
        <f>IFERROR(__xludf.DUMMYFUNCTION("""COMPUTED_VALUE"""),"2025-11-03 17:30:11")</f>
        <v>2025-11-03 17:30:11</v>
      </c>
      <c r="D459" s="763" t="str">
        <f>IFERROR(__xludf.DUMMYFUNCTION("""COMPUTED_VALUE"""),"processing")</f>
        <v>processing</v>
      </c>
      <c r="E459" s="763" t="str">
        <f>IFERROR(__xludf.DUMMYFUNCTION("""COMPUTED_VALUE"""),"Elisa")</f>
        <v>Elisa</v>
      </c>
      <c r="F459" s="763" t="str">
        <f>IFERROR(__xludf.DUMMYFUNCTION("""COMPUTED_VALUE"""),"Curto")</f>
        <v>Curto</v>
      </c>
      <c r="G459" s="763" t="str">
        <f>IFERROR(__xludf.DUMMYFUNCTION("""COMPUTED_VALUE"""),"elisa.curto97@gmail.com")</f>
        <v>elisa.curto97@gmail.com</v>
      </c>
      <c r="H459" s="763">
        <f>IFERROR(__xludf.DUMMYFUNCTION("""COMPUTED_VALUE"""),3.494407921E9)</f>
        <v>3494407921</v>
      </c>
      <c r="I459" s="763" t="str">
        <f>IFERROR(__xludf.DUMMYFUNCTION("""COMPUTED_VALUE"""),"Ossona")</f>
        <v>Ossona</v>
      </c>
      <c r="J459" s="763" t="str">
        <f>IFERROR(__xludf.DUMMYFUNCTION("""COMPUTED_VALUE"""),"Monte Rosa 3")</f>
        <v>Monte Rosa 3</v>
      </c>
      <c r="K459" s="763">
        <f>IFERROR(__xludf.DUMMYFUNCTION("""COMPUTED_VALUE"""),20002.0)</f>
        <v>20002</v>
      </c>
      <c r="L459" s="763" t="str">
        <f>IFERROR(__xludf.DUMMYFUNCTION("""COMPUTED_VALUE"""),"Carte di pagamento")</f>
        <v>Carte di pagamento</v>
      </c>
      <c r="M459" s="763"/>
      <c r="N459" s="763" t="str">
        <f>IFERROR(__xludf.DUMMYFUNCTION("""COMPUTED_VALUE"""),"65762-1762191012")</f>
        <v>65762-1762191012</v>
      </c>
      <c r="O459" s="763">
        <f>IFERROR(__xludf.DUMMYFUNCTION("""COMPUTED_VALUE"""),0.0)</f>
        <v>0</v>
      </c>
      <c r="P459" s="767">
        <f>IFERROR(__xludf.DUMMYFUNCTION("""COMPUTED_VALUE"""),0.8333333333333334)</f>
        <v>0.8333333333</v>
      </c>
      <c r="Q459" s="763" t="str">
        <f>IFERROR(__xludf.DUMMYFUNCTION("""COMPUTED_VALUE"""),"EUR")</f>
        <v>EUR</v>
      </c>
      <c r="R459" s="763">
        <f>IFERROR(__xludf.DUMMYFUNCTION("""COMPUTED_VALUE"""),917.0)</f>
        <v>917</v>
      </c>
      <c r="S459" s="763" t="str">
        <f>IFERROR(__xludf.DUMMYFUNCTION("""COMPUTED_VALUE"""),"Domeniche in movimento - 2 lezioni - Dalle 10 alle 11.50 con Consuelo €20")</f>
        <v>Domeniche in movimento - 2 lezioni - Dalle 10 alle 11.50 con Consuelo €20</v>
      </c>
      <c r="T459" s="763"/>
      <c r="U459" s="763"/>
      <c r="V459" s="763">
        <f>IFERROR(__xludf.DUMMYFUNCTION("""COMPUTED_VALUE"""),1.0)</f>
        <v>1</v>
      </c>
      <c r="W459" s="763">
        <f>IFERROR(__xludf.DUMMYFUNCTION("""COMPUTED_VALUE"""),20.0)</f>
        <v>20</v>
      </c>
      <c r="X459" s="763">
        <f>IFERROR(__xludf.DUMMYFUNCTION("""COMPUTED_VALUE"""),20.0)</f>
        <v>20</v>
      </c>
      <c r="Y459" s="763"/>
      <c r="Z459" s="768" t="str">
        <f>IFERROR(__xludf.DUMMYFUNCTION("""COMPUTED_VALUE"""),"https://studio-gem.it/wp-admin/post.php?post=65762&amp;action=edit")</f>
        <v>https://studio-gem.it/wp-admin/post.php?post=65762&amp;action=edit</v>
      </c>
      <c r="AA459" s="763"/>
      <c r="AB459" s="763"/>
      <c r="AC459" s="763"/>
      <c r="AD459" s="763"/>
      <c r="AE459" s="763"/>
      <c r="AF459" s="763"/>
      <c r="AG459" s="763"/>
      <c r="AH459" s="763"/>
      <c r="AI459" s="763"/>
      <c r="AJ459" s="763"/>
      <c r="AK459" s="763"/>
      <c r="AL459" s="763"/>
      <c r="AM459" s="763"/>
      <c r="AN459" s="763"/>
      <c r="AO459" s="763"/>
      <c r="AP459" s="763"/>
      <c r="AQ459" s="763"/>
      <c r="AR459" s="763"/>
      <c r="AS459" s="763"/>
      <c r="AT459" s="763"/>
      <c r="AU459" s="763"/>
      <c r="AV459" s="763"/>
      <c r="AW459" s="763"/>
      <c r="AX459" s="763"/>
      <c r="AY459" s="763"/>
      <c r="AZ459" s="763"/>
      <c r="BA459" s="763"/>
      <c r="BB459" s="763"/>
      <c r="BC459" s="763"/>
      <c r="BD459" s="763"/>
      <c r="BE459" s="763"/>
      <c r="BF459" s="763"/>
      <c r="BG459" s="763" t="b">
        <f>IFERROR(__xludf.DUMMYFUNCTION("""COMPUTED_VALUE"""),TRUE)</f>
        <v>1</v>
      </c>
      <c r="BH459" s="763" t="b">
        <f>IFERROR(__xludf.DUMMYFUNCTION("""COMPUTED_VALUE"""),FALSE)</f>
        <v>0</v>
      </c>
      <c r="BI459" s="763" t="b">
        <f>IFERROR(__xludf.DUMMYFUNCTION("""COMPUTED_VALUE"""),TRUE)</f>
        <v>1</v>
      </c>
      <c r="BJ459" s="763" t="b">
        <f>IFERROR(__xludf.DUMMYFUNCTION("""COMPUTED_VALUE"""),TRUE)</f>
        <v>1</v>
      </c>
    </row>
    <row r="460">
      <c r="A460" s="763">
        <f>IFERROR(__xludf.DUMMYFUNCTION("""COMPUTED_VALUE"""),65763.0)</f>
        <v>65763</v>
      </c>
      <c r="B460" s="763">
        <f>IFERROR(__xludf.DUMMYFUNCTION("""COMPUTED_VALUE"""),65763.0)</f>
        <v>65763</v>
      </c>
      <c r="C460" s="763" t="str">
        <f>IFERROR(__xludf.DUMMYFUNCTION("""COMPUTED_VALUE"""),"2025-11-03 17:42:15")</f>
        <v>2025-11-03 17:42:15</v>
      </c>
      <c r="D460" s="763" t="str">
        <f>IFERROR(__xludf.DUMMYFUNCTION("""COMPUTED_VALUE"""),"processing")</f>
        <v>processing</v>
      </c>
      <c r="E460" s="763" t="str">
        <f>IFERROR(__xludf.DUMMYFUNCTION("""COMPUTED_VALUE"""),"Gaia")</f>
        <v>Gaia</v>
      </c>
      <c r="F460" s="763" t="str">
        <f>IFERROR(__xludf.DUMMYFUNCTION("""COMPUTED_VALUE"""),"Garnobbio")</f>
        <v>Garnobbio</v>
      </c>
      <c r="G460" s="763" t="str">
        <f>IFERROR(__xludf.DUMMYFUNCTION("""COMPUTED_VALUE"""),"garnobbiog@gmail.com")</f>
        <v>garnobbiog@gmail.com</v>
      </c>
      <c r="H460" s="763">
        <f>IFERROR(__xludf.DUMMYFUNCTION("""COMPUTED_VALUE"""),3.513503997E9)</f>
        <v>3513503997</v>
      </c>
      <c r="I460" s="763" t="str">
        <f>IFERROR(__xludf.DUMMYFUNCTION("""COMPUTED_VALUE"""),"Zinasco")</f>
        <v>Zinasco</v>
      </c>
      <c r="J460" s="763" t="str">
        <f>IFERROR(__xludf.DUMMYFUNCTION("""COMPUTED_VALUE"""),"Vi")</f>
        <v>Vi</v>
      </c>
      <c r="K460" s="763">
        <f>IFERROR(__xludf.DUMMYFUNCTION("""COMPUTED_VALUE"""),27030.0)</f>
        <v>27030</v>
      </c>
      <c r="L460" s="763" t="str">
        <f>IFERROR(__xludf.DUMMYFUNCTION("""COMPUTED_VALUE"""),"Carte di pagamento")</f>
        <v>Carte di pagamento</v>
      </c>
      <c r="M460" s="763"/>
      <c r="N460" s="763" t="str">
        <f>IFERROR(__xludf.DUMMYFUNCTION("""COMPUTED_VALUE"""),"65763-1762191736")</f>
        <v>65763-1762191736</v>
      </c>
      <c r="O460" s="763">
        <f>IFERROR(__xludf.DUMMYFUNCTION("""COMPUTED_VALUE"""),0.0)</f>
        <v>0</v>
      </c>
      <c r="P460" s="767">
        <f>IFERROR(__xludf.DUMMYFUNCTION("""COMPUTED_VALUE"""),1.5416666666666667)</f>
        <v>1.541666667</v>
      </c>
      <c r="Q460" s="763" t="str">
        <f>IFERROR(__xludf.DUMMYFUNCTION("""COMPUTED_VALUE"""),"EUR")</f>
        <v>EUR</v>
      </c>
      <c r="R460" s="763">
        <f>IFERROR(__xludf.DUMMYFUNCTION("""COMPUTED_VALUE"""),918.0)</f>
        <v>918</v>
      </c>
      <c r="S460" s="763" t="str">
        <f>IFERROR(__xludf.DUMMYFUNCTION("""COMPUTED_VALUE"""),"Workshop Urban con Kumo - Workshop Kumo Urban")</f>
        <v>Workshop Urban con Kumo - Workshop Kumo Urban</v>
      </c>
      <c r="T460" s="763"/>
      <c r="U460" s="763"/>
      <c r="V460" s="763">
        <f>IFERROR(__xludf.DUMMYFUNCTION("""COMPUTED_VALUE"""),1.0)</f>
        <v>1</v>
      </c>
      <c r="W460" s="763">
        <f>IFERROR(__xludf.DUMMYFUNCTION("""COMPUTED_VALUE"""),37.0)</f>
        <v>37</v>
      </c>
      <c r="X460" s="763">
        <f>IFERROR(__xludf.DUMMYFUNCTION("""COMPUTED_VALUE"""),37.0)</f>
        <v>37</v>
      </c>
      <c r="Y460" s="763"/>
      <c r="Z460" s="768" t="str">
        <f>IFERROR(__xludf.DUMMYFUNCTION("""COMPUTED_VALUE"""),"https://studio-gem.it/wp-admin/post.php?post=65763&amp;action=edit")</f>
        <v>https://studio-gem.it/wp-admin/post.php?post=65763&amp;action=edit</v>
      </c>
      <c r="AA460" s="763"/>
      <c r="AB460" s="763"/>
      <c r="AC460" s="763"/>
      <c r="AD460" s="763"/>
      <c r="AE460" s="763"/>
      <c r="AF460" s="763"/>
      <c r="AG460" s="763"/>
      <c r="AH460" s="763"/>
      <c r="AI460" s="763"/>
      <c r="AJ460" s="763"/>
      <c r="AK460" s="763"/>
      <c r="AL460" s="763"/>
      <c r="AM460" s="763"/>
      <c r="AN460" s="763"/>
      <c r="AO460" s="763"/>
      <c r="AP460" s="763"/>
      <c r="AQ460" s="763"/>
      <c r="AR460" s="763"/>
      <c r="AS460" s="763"/>
      <c r="AT460" s="763"/>
      <c r="AU460" s="763"/>
      <c r="AV460" s="763"/>
      <c r="AW460" s="763"/>
      <c r="AX460" s="763"/>
      <c r="AY460" s="763"/>
      <c r="AZ460" s="763"/>
      <c r="BA460" s="763"/>
      <c r="BB460" s="763"/>
      <c r="BC460" s="763"/>
      <c r="BD460" s="763"/>
      <c r="BE460" s="763"/>
      <c r="BF460" s="763"/>
      <c r="BG460" s="763" t="b">
        <f>IFERROR(__xludf.DUMMYFUNCTION("""COMPUTED_VALUE"""),TRUE)</f>
        <v>1</v>
      </c>
      <c r="BH460" s="763" t="b">
        <f>IFERROR(__xludf.DUMMYFUNCTION("""COMPUTED_VALUE"""),FALSE)</f>
        <v>0</v>
      </c>
      <c r="BI460" s="763" t="b">
        <f>IFERROR(__xludf.DUMMYFUNCTION("""COMPUTED_VALUE"""),TRUE)</f>
        <v>1</v>
      </c>
      <c r="BJ460" s="763" t="b">
        <f>IFERROR(__xludf.DUMMYFUNCTION("""COMPUTED_VALUE"""),TRUE)</f>
        <v>1</v>
      </c>
    </row>
    <row r="461">
      <c r="A461" s="763">
        <f>IFERROR(__xludf.DUMMYFUNCTION("""COMPUTED_VALUE"""),65764.0)</f>
        <v>65764</v>
      </c>
      <c r="B461" s="763">
        <f>IFERROR(__xludf.DUMMYFUNCTION("""COMPUTED_VALUE"""),65764.0)</f>
        <v>65764</v>
      </c>
      <c r="C461" s="763" t="str">
        <f>IFERROR(__xludf.DUMMYFUNCTION("""COMPUTED_VALUE"""),"2025-11-03 20:47:47")</f>
        <v>2025-11-03 20:47:47</v>
      </c>
      <c r="D461" s="763" t="str">
        <f>IFERROR(__xludf.DUMMYFUNCTION("""COMPUTED_VALUE"""),"processing")</f>
        <v>processing</v>
      </c>
      <c r="E461" s="763" t="str">
        <f>IFERROR(__xludf.DUMMYFUNCTION("""COMPUTED_VALUE"""),"Sofia")</f>
        <v>Sofia</v>
      </c>
      <c r="F461" s="763" t="str">
        <f>IFERROR(__xludf.DUMMYFUNCTION("""COMPUTED_VALUE"""),"Somenzi")</f>
        <v>Somenzi</v>
      </c>
      <c r="G461" s="763" t="str">
        <f>IFERROR(__xludf.DUMMYFUNCTION("""COMPUTED_VALUE"""),"sofia.somenzi@outlook.com")</f>
        <v>sofia.somenzi@outlook.com</v>
      </c>
      <c r="H461" s="763">
        <f>IFERROR(__xludf.DUMMYFUNCTION("""COMPUTED_VALUE"""),3.922980497E9)</f>
        <v>3922980497</v>
      </c>
      <c r="I461" s="763" t="str">
        <f>IFERROR(__xludf.DUMMYFUNCTION("""COMPUTED_VALUE"""),"Zelo Buon Persico")</f>
        <v>Zelo Buon Persico</v>
      </c>
      <c r="J461" s="763" t="str">
        <f>IFERROR(__xludf.DUMMYFUNCTION("""COMPUTED_VALUE"""),"Roberto Ruffilli 4b")</f>
        <v>Roberto Ruffilli 4b</v>
      </c>
      <c r="K461" s="763">
        <f>IFERROR(__xludf.DUMMYFUNCTION("""COMPUTED_VALUE"""),26839.0)</f>
        <v>26839</v>
      </c>
      <c r="L461" s="763" t="str">
        <f>IFERROR(__xludf.DUMMYFUNCTION("""COMPUTED_VALUE"""),"Carte di pagamento")</f>
        <v>Carte di pagamento</v>
      </c>
      <c r="M461" s="763"/>
      <c r="N461" s="763" t="str">
        <f>IFERROR(__xludf.DUMMYFUNCTION("""COMPUTED_VALUE"""),"65764-1762202869")</f>
        <v>65764-1762202869</v>
      </c>
      <c r="O461" s="763">
        <f>IFERROR(__xludf.DUMMYFUNCTION("""COMPUTED_VALUE"""),0.0)</f>
        <v>0</v>
      </c>
      <c r="P461" s="767">
        <f>IFERROR(__xludf.DUMMYFUNCTION("""COMPUTED_VALUE"""),1.3333333333333333)</f>
        <v>1.333333333</v>
      </c>
      <c r="Q461" s="763" t="str">
        <f>IFERROR(__xludf.DUMMYFUNCTION("""COMPUTED_VALUE"""),"EUR")</f>
        <v>EUR</v>
      </c>
      <c r="R461" s="763">
        <f>IFERROR(__xludf.DUMMYFUNCTION("""COMPUTED_VALUE"""),919.0)</f>
        <v>919</v>
      </c>
      <c r="S461" s="763" t="str">
        <f>IFERROR(__xludf.DUMMYFUNCTION("""COMPUTED_VALUE"""),"Workshop Salsa Musicality con Nicolò De Angelis - Workshop Nicolò Salsa Musicality")</f>
        <v>Workshop Salsa Musicality con Nicolò De Angelis - Workshop Nicolò Salsa Musicality</v>
      </c>
      <c r="T461" s="763"/>
      <c r="U461" s="763"/>
      <c r="V461" s="763">
        <f>IFERROR(__xludf.DUMMYFUNCTION("""COMPUTED_VALUE"""),1.0)</f>
        <v>1</v>
      </c>
      <c r="W461" s="763">
        <f>IFERROR(__xludf.DUMMYFUNCTION("""COMPUTED_VALUE"""),32.0)</f>
        <v>32</v>
      </c>
      <c r="X461" s="763">
        <f>IFERROR(__xludf.DUMMYFUNCTION("""COMPUTED_VALUE"""),32.0)</f>
        <v>32</v>
      </c>
      <c r="Y461" s="763"/>
      <c r="Z461" s="768" t="str">
        <f>IFERROR(__xludf.DUMMYFUNCTION("""COMPUTED_VALUE"""),"https://studio-gem.it/wp-admin/post.php?post=65764&amp;action=edit")</f>
        <v>https://studio-gem.it/wp-admin/post.php?post=65764&amp;action=edit</v>
      </c>
      <c r="AA461" s="763"/>
      <c r="AB461" s="763"/>
      <c r="AC461" s="763"/>
      <c r="AD461" s="763"/>
      <c r="AE461" s="763"/>
      <c r="AF461" s="763"/>
      <c r="AG461" s="763"/>
      <c r="AH461" s="763"/>
      <c r="AI461" s="763"/>
      <c r="AJ461" s="763"/>
      <c r="AK461" s="763"/>
      <c r="AL461" s="763"/>
      <c r="AM461" s="763"/>
      <c r="AN461" s="763"/>
      <c r="AO461" s="763"/>
      <c r="AP461" s="763"/>
      <c r="AQ461" s="763"/>
      <c r="AR461" s="763"/>
      <c r="AS461" s="763"/>
      <c r="AT461" s="763"/>
      <c r="AU461" s="763"/>
      <c r="AV461" s="763"/>
      <c r="AW461" s="763"/>
      <c r="AX461" s="763"/>
      <c r="AY461" s="763"/>
      <c r="AZ461" s="763"/>
      <c r="BA461" s="763"/>
      <c r="BB461" s="763"/>
      <c r="BC461" s="763"/>
      <c r="BD461" s="763"/>
      <c r="BE461" s="763"/>
      <c r="BF461" s="763"/>
      <c r="BG461" s="763" t="b">
        <f>IFERROR(__xludf.DUMMYFUNCTION("""COMPUTED_VALUE"""),TRUE)</f>
        <v>1</v>
      </c>
      <c r="BH461" s="763" t="b">
        <f>IFERROR(__xludf.DUMMYFUNCTION("""COMPUTED_VALUE"""),FALSE)</f>
        <v>0</v>
      </c>
      <c r="BI461" s="763" t="b">
        <f>IFERROR(__xludf.DUMMYFUNCTION("""COMPUTED_VALUE"""),TRUE)</f>
        <v>1</v>
      </c>
      <c r="BJ461" s="763" t="b">
        <f>IFERROR(__xludf.DUMMYFUNCTION("""COMPUTED_VALUE"""),TRUE)</f>
        <v>1</v>
      </c>
    </row>
    <row r="462">
      <c r="A462" s="763">
        <f>IFERROR(__xludf.DUMMYFUNCTION("""COMPUTED_VALUE"""),65766.0)</f>
        <v>65766</v>
      </c>
      <c r="B462" s="763">
        <f>IFERROR(__xludf.DUMMYFUNCTION("""COMPUTED_VALUE"""),65766.0)</f>
        <v>65766</v>
      </c>
      <c r="C462" s="763" t="str">
        <f>IFERROR(__xludf.DUMMYFUNCTION("""COMPUTED_VALUE"""),"2025-11-04 10:15:15")</f>
        <v>2025-11-04 10:15:15</v>
      </c>
      <c r="D462" s="763" t="str">
        <f>IFERROR(__xludf.DUMMYFUNCTION("""COMPUTED_VALUE"""),"completed")</f>
        <v>completed</v>
      </c>
      <c r="E462" s="763" t="str">
        <f>IFERROR(__xludf.DUMMYFUNCTION("""COMPUTED_VALUE"""),"Francesca")</f>
        <v>Francesca</v>
      </c>
      <c r="F462" s="763" t="str">
        <f>IFERROR(__xludf.DUMMYFUNCTION("""COMPUTED_VALUE"""),"Gini")</f>
        <v>Gini</v>
      </c>
      <c r="G462" s="763" t="str">
        <f>IFERROR(__xludf.DUMMYFUNCTION("""COMPUTED_VALUE"""),"francyg03.mi@gmail.com")</f>
        <v>francyg03.mi@gmail.com</v>
      </c>
      <c r="H462" s="763">
        <f>IFERROR(__xludf.DUMMYFUNCTION("""COMPUTED_VALUE"""),3.927170191E9)</f>
        <v>3927170191</v>
      </c>
      <c r="I462" s="763" t="str">
        <f>IFERROR(__xludf.DUMMYFUNCTION("""COMPUTED_VALUE"""),"Assago")</f>
        <v>Assago</v>
      </c>
      <c r="J462" s="763" t="str">
        <f>IFERROR(__xludf.DUMMYFUNCTION("""COMPUTED_VALUE"""),"Via Giacomo Matteotti 2/B")</f>
        <v>Via Giacomo Matteotti 2/B</v>
      </c>
      <c r="K462" s="763">
        <f>IFERROR(__xludf.DUMMYFUNCTION("""COMPUTED_VALUE"""),20057.0)</f>
        <v>20057</v>
      </c>
      <c r="L462" s="763" t="str">
        <f>IFERROR(__xludf.DUMMYFUNCTION("""COMPUTED_VALUE"""),"Carte di pagamento")</f>
        <v>Carte di pagamento</v>
      </c>
      <c r="M462" s="763"/>
      <c r="N462" s="763" t="str">
        <f>IFERROR(__xludf.DUMMYFUNCTION("""COMPUTED_VALUE"""),"65766-1762251317")</f>
        <v>65766-1762251317</v>
      </c>
      <c r="O462" s="763">
        <f>IFERROR(__xludf.DUMMYFUNCTION("""COMPUTED_VALUE"""),0.0)</f>
        <v>0</v>
      </c>
      <c r="P462" s="767">
        <f>IFERROR(__xludf.DUMMYFUNCTION("""COMPUTED_VALUE"""),1.3333333333333333)</f>
        <v>1.333333333</v>
      </c>
      <c r="Q462" s="763" t="str">
        <f>IFERROR(__xludf.DUMMYFUNCTION("""COMPUTED_VALUE"""),"EUR")</f>
        <v>EUR</v>
      </c>
      <c r="R462" s="763">
        <f>IFERROR(__xludf.DUMMYFUNCTION("""COMPUTED_VALUE"""),920.0)</f>
        <v>920</v>
      </c>
      <c r="S462" s="763" t="str">
        <f>IFERROR(__xludf.DUMMYFUNCTION("""COMPUTED_VALUE"""),"Workshop Salsa Musicality con Nicolò De Angelis - Workshop Nicolò Salsa Musicality")</f>
        <v>Workshop Salsa Musicality con Nicolò De Angelis - Workshop Nicolò Salsa Musicality</v>
      </c>
      <c r="T462" s="763"/>
      <c r="U462" s="763"/>
      <c r="V462" s="763">
        <f>IFERROR(__xludf.DUMMYFUNCTION("""COMPUTED_VALUE"""),1.0)</f>
        <v>1</v>
      </c>
      <c r="W462" s="763">
        <f>IFERROR(__xludf.DUMMYFUNCTION("""COMPUTED_VALUE"""),32.0)</f>
        <v>32</v>
      </c>
      <c r="X462" s="763">
        <f>IFERROR(__xludf.DUMMYFUNCTION("""COMPUTED_VALUE"""),32.0)</f>
        <v>32</v>
      </c>
      <c r="Y462" s="763"/>
      <c r="Z462" s="768" t="str">
        <f>IFERROR(__xludf.DUMMYFUNCTION("""COMPUTED_VALUE"""),"https://studio-gem.it/wp-admin/post.php?post=65766&amp;action=edit")</f>
        <v>https://studio-gem.it/wp-admin/post.php?post=65766&amp;action=edit</v>
      </c>
      <c r="AA462" s="763"/>
      <c r="AB462" s="763"/>
      <c r="AC462" s="763"/>
      <c r="AD462" s="763"/>
      <c r="AE462" s="763"/>
      <c r="AF462" s="763"/>
      <c r="AG462" s="763"/>
      <c r="AH462" s="763"/>
      <c r="AI462" s="763"/>
      <c r="AJ462" s="763"/>
      <c r="AK462" s="763"/>
      <c r="AL462" s="763"/>
      <c r="AM462" s="763"/>
      <c r="AN462" s="763"/>
      <c r="AO462" s="763"/>
      <c r="AP462" s="763"/>
      <c r="AQ462" s="763"/>
      <c r="AR462" s="763"/>
      <c r="AS462" s="763"/>
      <c r="AT462" s="763"/>
      <c r="AU462" s="763"/>
      <c r="AV462" s="763"/>
      <c r="AW462" s="763"/>
      <c r="AX462" s="763"/>
      <c r="AY462" s="763"/>
      <c r="AZ462" s="763"/>
      <c r="BA462" s="763"/>
      <c r="BB462" s="763"/>
      <c r="BC462" s="763"/>
      <c r="BD462" s="763"/>
      <c r="BE462" s="763"/>
      <c r="BF462" s="763"/>
      <c r="BG462" s="763" t="b">
        <f>IFERROR(__xludf.DUMMYFUNCTION("""COMPUTED_VALUE"""),TRUE)</f>
        <v>1</v>
      </c>
      <c r="BH462" s="763" t="b">
        <f>IFERROR(__xludf.DUMMYFUNCTION("""COMPUTED_VALUE"""),FALSE)</f>
        <v>0</v>
      </c>
      <c r="BI462" s="763" t="b">
        <f>IFERROR(__xludf.DUMMYFUNCTION("""COMPUTED_VALUE"""),TRUE)</f>
        <v>1</v>
      </c>
      <c r="BJ462" s="763" t="b">
        <f>IFERROR(__xludf.DUMMYFUNCTION("""COMPUTED_VALUE"""),TRUE)</f>
        <v>1</v>
      </c>
    </row>
    <row r="463">
      <c r="A463" s="763">
        <f>IFERROR(__xludf.DUMMYFUNCTION("""COMPUTED_VALUE"""),65768.0)</f>
        <v>65768</v>
      </c>
      <c r="B463" s="763">
        <f>IFERROR(__xludf.DUMMYFUNCTION("""COMPUTED_VALUE"""),65768.0)</f>
        <v>65768</v>
      </c>
      <c r="C463" s="763" t="str">
        <f>IFERROR(__xludf.DUMMYFUNCTION("""COMPUTED_VALUE"""),"2025-11-04 11:52:02")</f>
        <v>2025-11-04 11:52:02</v>
      </c>
      <c r="D463" s="763" t="str">
        <f>IFERROR(__xludf.DUMMYFUNCTION("""COMPUTED_VALUE"""),"processing")</f>
        <v>processing</v>
      </c>
      <c r="E463" s="763" t="str">
        <f>IFERROR(__xludf.DUMMYFUNCTION("""COMPUTED_VALUE"""),"Sofia")</f>
        <v>Sofia</v>
      </c>
      <c r="F463" s="763" t="str">
        <f>IFERROR(__xludf.DUMMYFUNCTION("""COMPUTED_VALUE"""),"Demchuk")</f>
        <v>Demchuk</v>
      </c>
      <c r="G463" s="763" t="str">
        <f>IFERROR(__xludf.DUMMYFUNCTION("""COMPUTED_VALUE"""),"sofia.demchuk20@gmail.com")</f>
        <v>sofia.demchuk20@gmail.com</v>
      </c>
      <c r="H463" s="763">
        <f>IFERROR(__xludf.DUMMYFUNCTION("""COMPUTED_VALUE"""),3.755139539E9)</f>
        <v>3755139539</v>
      </c>
      <c r="I463" s="763" t="str">
        <f>IFERROR(__xludf.DUMMYFUNCTION("""COMPUTED_VALUE"""),"Milano")</f>
        <v>Milano</v>
      </c>
      <c r="J463" s="763" t="str">
        <f>IFERROR(__xludf.DUMMYFUNCTION("""COMPUTED_VALUE"""),"Via Enrico Cosenz 54")</f>
        <v>Via Enrico Cosenz 54</v>
      </c>
      <c r="K463" s="763">
        <f>IFERROR(__xludf.DUMMYFUNCTION("""COMPUTED_VALUE"""),20158.0)</f>
        <v>20158</v>
      </c>
      <c r="L463" s="763" t="str">
        <f>IFERROR(__xludf.DUMMYFUNCTION("""COMPUTED_VALUE"""),"Carte di pagamento")</f>
        <v>Carte di pagamento</v>
      </c>
      <c r="M463" s="763"/>
      <c r="N463" s="763" t="str">
        <f>IFERROR(__xludf.DUMMYFUNCTION("""COMPUTED_VALUE"""),"65768-1762257124")</f>
        <v>65768-1762257124</v>
      </c>
      <c r="O463" s="763">
        <f>IFERROR(__xludf.DUMMYFUNCTION("""COMPUTED_VALUE"""),0.0)</f>
        <v>0</v>
      </c>
      <c r="P463" s="767">
        <f>IFERROR(__xludf.DUMMYFUNCTION("""COMPUTED_VALUE"""),1.5416666666666667)</f>
        <v>1.541666667</v>
      </c>
      <c r="Q463" s="763" t="str">
        <f>IFERROR(__xludf.DUMMYFUNCTION("""COMPUTED_VALUE"""),"EUR")</f>
        <v>EUR</v>
      </c>
      <c r="R463" s="763">
        <f>IFERROR(__xludf.DUMMYFUNCTION("""COMPUTED_VALUE"""),921.0)</f>
        <v>921</v>
      </c>
      <c r="S463" s="763" t="str">
        <f>IFERROR(__xludf.DUMMYFUNCTION("""COMPUTED_VALUE"""),"Workshop Urban con Kumo - Workshop Kumo Urban")</f>
        <v>Workshop Urban con Kumo - Workshop Kumo Urban</v>
      </c>
      <c r="T463" s="763"/>
      <c r="U463" s="763"/>
      <c r="V463" s="763">
        <f>IFERROR(__xludf.DUMMYFUNCTION("""COMPUTED_VALUE"""),1.0)</f>
        <v>1</v>
      </c>
      <c r="W463" s="763">
        <f>IFERROR(__xludf.DUMMYFUNCTION("""COMPUTED_VALUE"""),37.0)</f>
        <v>37</v>
      </c>
      <c r="X463" s="763">
        <f>IFERROR(__xludf.DUMMYFUNCTION("""COMPUTED_VALUE"""),37.0)</f>
        <v>37</v>
      </c>
      <c r="Y463" s="763"/>
      <c r="Z463" s="768" t="str">
        <f>IFERROR(__xludf.DUMMYFUNCTION("""COMPUTED_VALUE"""),"https://studio-gem.it/wp-admin/post.php?post=65768&amp;action=edit")</f>
        <v>https://studio-gem.it/wp-admin/post.php?post=65768&amp;action=edit</v>
      </c>
      <c r="AA463" s="763"/>
      <c r="AB463" s="763"/>
      <c r="AC463" s="763"/>
      <c r="AD463" s="763"/>
      <c r="AE463" s="763"/>
      <c r="AF463" s="763"/>
      <c r="AG463" s="763"/>
      <c r="AH463" s="763"/>
      <c r="AI463" s="763"/>
      <c r="AJ463" s="763"/>
      <c r="AK463" s="763"/>
      <c r="AL463" s="763"/>
      <c r="AM463" s="763"/>
      <c r="AN463" s="763"/>
      <c r="AO463" s="763"/>
      <c r="AP463" s="763"/>
      <c r="AQ463" s="763"/>
      <c r="AR463" s="763"/>
      <c r="AS463" s="763"/>
      <c r="AT463" s="763"/>
      <c r="AU463" s="763"/>
      <c r="AV463" s="763"/>
      <c r="AW463" s="763"/>
      <c r="AX463" s="763"/>
      <c r="AY463" s="763"/>
      <c r="AZ463" s="763"/>
      <c r="BA463" s="763"/>
      <c r="BB463" s="763"/>
      <c r="BC463" s="763"/>
      <c r="BD463" s="763"/>
      <c r="BE463" s="763"/>
      <c r="BF463" s="763"/>
      <c r="BG463" s="763" t="b">
        <f>IFERROR(__xludf.DUMMYFUNCTION("""COMPUTED_VALUE"""),FALSE)</f>
        <v>0</v>
      </c>
      <c r="BH463" s="763" t="b">
        <f>IFERROR(__xludf.DUMMYFUNCTION("""COMPUTED_VALUE"""),FALSE)</f>
        <v>0</v>
      </c>
      <c r="BI463" s="763" t="b">
        <f>IFERROR(__xludf.DUMMYFUNCTION("""COMPUTED_VALUE"""),FALSE)</f>
        <v>0</v>
      </c>
      <c r="BJ463" s="763" t="b">
        <f>IFERROR(__xludf.DUMMYFUNCTION("""COMPUTED_VALUE"""),FALSE)</f>
        <v>0</v>
      </c>
    </row>
    <row r="464">
      <c r="A464" s="763">
        <f>IFERROR(__xludf.DUMMYFUNCTION("""COMPUTED_VALUE"""),65770.0)</f>
        <v>65770</v>
      </c>
      <c r="B464" s="763">
        <f>IFERROR(__xludf.DUMMYFUNCTION("""COMPUTED_VALUE"""),65770.0)</f>
        <v>65770</v>
      </c>
      <c r="C464" s="763" t="str">
        <f>IFERROR(__xludf.DUMMYFUNCTION("""COMPUTED_VALUE"""),"2025-11-04 20:25:17")</f>
        <v>2025-11-04 20:25:17</v>
      </c>
      <c r="D464" s="763" t="str">
        <f>IFERROR(__xludf.DUMMYFUNCTION("""COMPUTED_VALUE"""),"completed")</f>
        <v>completed</v>
      </c>
      <c r="E464" s="763" t="str">
        <f>IFERROR(__xludf.DUMMYFUNCTION("""COMPUTED_VALUE"""),"Leonardo")</f>
        <v>Leonardo</v>
      </c>
      <c r="F464" s="763" t="str">
        <f>IFERROR(__xludf.DUMMYFUNCTION("""COMPUTED_VALUE"""),"Bambini")</f>
        <v>Bambini</v>
      </c>
      <c r="G464" s="763" t="str">
        <f>IFERROR(__xludf.DUMMYFUNCTION("""COMPUTED_VALUE"""),"leobambini2@gmail.com")</f>
        <v>leobambini2@gmail.com</v>
      </c>
      <c r="H464" s="763">
        <f>IFERROR(__xludf.DUMMYFUNCTION("""COMPUTED_VALUE"""),3.51652652E9)</f>
        <v>3516526520</v>
      </c>
      <c r="I464" s="763" t="str">
        <f>IFERROR(__xludf.DUMMYFUNCTION("""COMPUTED_VALUE"""),"Fombio")</f>
        <v>Fombio</v>
      </c>
      <c r="J464" s="763" t="str">
        <f>IFERROR(__xludf.DUMMYFUNCTION("""COMPUTED_VALUE"""),"Via delle Viole 3A")</f>
        <v>Via delle Viole 3A</v>
      </c>
      <c r="K464" s="763">
        <f>IFERROR(__xludf.DUMMYFUNCTION("""COMPUTED_VALUE"""),26861.0)</f>
        <v>26861</v>
      </c>
      <c r="L464" s="763" t="str">
        <f>IFERROR(__xludf.DUMMYFUNCTION("""COMPUTED_VALUE"""),"Carte di pagamento")</f>
        <v>Carte di pagamento</v>
      </c>
      <c r="M464" s="763"/>
      <c r="N464" s="763" t="str">
        <f>IFERROR(__xludf.DUMMYFUNCTION("""COMPUTED_VALUE"""),"65770-1762287918")</f>
        <v>65770-1762287918</v>
      </c>
      <c r="O464" s="763">
        <f>IFERROR(__xludf.DUMMYFUNCTION("""COMPUTED_VALUE"""),0.0)</f>
        <v>0</v>
      </c>
      <c r="P464" s="767">
        <f>IFERROR(__xludf.DUMMYFUNCTION("""COMPUTED_VALUE"""),1.5416666666666667)</f>
        <v>1.541666667</v>
      </c>
      <c r="Q464" s="763" t="str">
        <f>IFERROR(__xludf.DUMMYFUNCTION("""COMPUTED_VALUE"""),"EUR")</f>
        <v>EUR</v>
      </c>
      <c r="R464" s="763">
        <f>IFERROR(__xludf.DUMMYFUNCTION("""COMPUTED_VALUE"""),922.0)</f>
        <v>922</v>
      </c>
      <c r="S464" s="763" t="str">
        <f>IFERROR(__xludf.DUMMYFUNCTION("""COMPUTED_VALUE"""),"Workshop Urban con Kumo - Workshop Kumo Urban")</f>
        <v>Workshop Urban con Kumo - Workshop Kumo Urban</v>
      </c>
      <c r="T464" s="763"/>
      <c r="U464" s="763"/>
      <c r="V464" s="763">
        <f>IFERROR(__xludf.DUMMYFUNCTION("""COMPUTED_VALUE"""),1.0)</f>
        <v>1</v>
      </c>
      <c r="W464" s="763">
        <f>IFERROR(__xludf.DUMMYFUNCTION("""COMPUTED_VALUE"""),37.0)</f>
        <v>37</v>
      </c>
      <c r="X464" s="763">
        <f>IFERROR(__xludf.DUMMYFUNCTION("""COMPUTED_VALUE"""),37.0)</f>
        <v>37</v>
      </c>
      <c r="Y464" s="763"/>
      <c r="Z464" s="768" t="str">
        <f>IFERROR(__xludf.DUMMYFUNCTION("""COMPUTED_VALUE"""),"https://studio-gem.it/wp-admin/post.php?post=65770&amp;action=edit")</f>
        <v>https://studio-gem.it/wp-admin/post.php?post=65770&amp;action=edit</v>
      </c>
      <c r="AA464" s="763"/>
      <c r="AB464" s="763"/>
      <c r="AC464" s="763"/>
      <c r="AD464" s="763"/>
      <c r="AE464" s="763"/>
      <c r="AF464" s="763"/>
      <c r="AG464" s="763"/>
      <c r="AH464" s="763"/>
      <c r="AI464" s="763"/>
      <c r="AJ464" s="763"/>
      <c r="AK464" s="763"/>
      <c r="AL464" s="763"/>
      <c r="AM464" s="763"/>
      <c r="AN464" s="763"/>
      <c r="AO464" s="763"/>
      <c r="AP464" s="763"/>
      <c r="AQ464" s="763"/>
      <c r="AR464" s="763"/>
      <c r="AS464" s="763"/>
      <c r="AT464" s="763"/>
      <c r="AU464" s="763"/>
      <c r="AV464" s="763"/>
      <c r="AW464" s="763"/>
      <c r="AX464" s="763"/>
      <c r="AY464" s="763"/>
      <c r="AZ464" s="763"/>
      <c r="BA464" s="763"/>
      <c r="BB464" s="763"/>
      <c r="BC464" s="763"/>
      <c r="BD464" s="763"/>
      <c r="BE464" s="763"/>
      <c r="BF464" s="763"/>
      <c r="BG464" s="763" t="b">
        <f>IFERROR(__xludf.DUMMYFUNCTION("""COMPUTED_VALUE"""),TRUE)</f>
        <v>1</v>
      </c>
      <c r="BH464" s="763" t="b">
        <f>IFERROR(__xludf.DUMMYFUNCTION("""COMPUTED_VALUE"""),FALSE)</f>
        <v>0</v>
      </c>
      <c r="BI464" s="763" t="b">
        <f>IFERROR(__xludf.DUMMYFUNCTION("""COMPUTED_VALUE"""),TRUE)</f>
        <v>1</v>
      </c>
      <c r="BJ464" s="763" t="b">
        <f>IFERROR(__xludf.DUMMYFUNCTION("""COMPUTED_VALUE"""),TRUE)</f>
        <v>1</v>
      </c>
    </row>
    <row r="465">
      <c r="A465" s="763">
        <f>IFERROR(__xludf.DUMMYFUNCTION("""COMPUTED_VALUE"""),65772.0)</f>
        <v>65772</v>
      </c>
      <c r="B465" s="763">
        <f>IFERROR(__xludf.DUMMYFUNCTION("""COMPUTED_VALUE"""),65772.0)</f>
        <v>65772</v>
      </c>
      <c r="C465" s="763" t="str">
        <f>IFERROR(__xludf.DUMMYFUNCTION("""COMPUTED_VALUE"""),"2025-11-05 08:53:58")</f>
        <v>2025-11-05 08:53:58</v>
      </c>
      <c r="D465" s="763" t="str">
        <f>IFERROR(__xludf.DUMMYFUNCTION("""COMPUTED_VALUE"""),"completed")</f>
        <v>completed</v>
      </c>
      <c r="E465" s="763" t="str">
        <f>IFERROR(__xludf.DUMMYFUNCTION("""COMPUTED_VALUE"""),"Valeria")</f>
        <v>Valeria</v>
      </c>
      <c r="F465" s="763" t="str">
        <f>IFERROR(__xludf.DUMMYFUNCTION("""COMPUTED_VALUE"""),"Farruggio")</f>
        <v>Farruggio</v>
      </c>
      <c r="G465" s="763" t="str">
        <f>IFERROR(__xludf.DUMMYFUNCTION("""COMPUTED_VALUE"""),"valeriafar09@hotmail.it")</f>
        <v>valeriafar09@hotmail.it</v>
      </c>
      <c r="H465" s="763">
        <f>IFERROR(__xludf.DUMMYFUNCTION("""COMPUTED_VALUE"""),3.457628215E9)</f>
        <v>3457628215</v>
      </c>
      <c r="I465" s="763" t="str">
        <f>IFERROR(__xludf.DUMMYFUNCTION("""COMPUTED_VALUE"""),"Carate Brianza")</f>
        <v>Carate Brianza</v>
      </c>
      <c r="J465" s="763" t="str">
        <f>IFERROR(__xludf.DUMMYFUNCTION("""COMPUTED_VALUE"""),"Via Sant'Antonio, 6")</f>
        <v>Via Sant'Antonio, 6</v>
      </c>
      <c r="K465" s="763">
        <f>IFERROR(__xludf.DUMMYFUNCTION("""COMPUTED_VALUE"""),20841.0)</f>
        <v>20841</v>
      </c>
      <c r="L465" s="763" t="str">
        <f>IFERROR(__xludf.DUMMYFUNCTION("""COMPUTED_VALUE"""),"Carte di pagamento")</f>
        <v>Carte di pagamento</v>
      </c>
      <c r="M465" s="763"/>
      <c r="N465" s="763" t="str">
        <f>IFERROR(__xludf.DUMMYFUNCTION("""COMPUTED_VALUE"""),"65772-1762332840")</f>
        <v>65772-1762332840</v>
      </c>
      <c r="O465" s="763">
        <f>IFERROR(__xludf.DUMMYFUNCTION("""COMPUTED_VALUE"""),0.0)</f>
        <v>0</v>
      </c>
      <c r="P465" s="767">
        <f>IFERROR(__xludf.DUMMYFUNCTION("""COMPUTED_VALUE"""),1.5416666666666667)</f>
        <v>1.541666667</v>
      </c>
      <c r="Q465" s="763" t="str">
        <f>IFERROR(__xludf.DUMMYFUNCTION("""COMPUTED_VALUE"""),"EUR")</f>
        <v>EUR</v>
      </c>
      <c r="R465" s="763">
        <f>IFERROR(__xludf.DUMMYFUNCTION("""COMPUTED_VALUE"""),923.0)</f>
        <v>923</v>
      </c>
      <c r="S465" s="763" t="str">
        <f>IFERROR(__xludf.DUMMYFUNCTION("""COMPUTED_VALUE"""),"Workshop Heels con Deborah Esposito - Workshop Heels con Deborah Esposito")</f>
        <v>Workshop Heels con Deborah Esposito - Workshop Heels con Deborah Esposito</v>
      </c>
      <c r="T465" s="763"/>
      <c r="U465" s="763"/>
      <c r="V465" s="763">
        <f>IFERROR(__xludf.DUMMYFUNCTION("""COMPUTED_VALUE"""),1.0)</f>
        <v>1</v>
      </c>
      <c r="W465" s="763">
        <f>IFERROR(__xludf.DUMMYFUNCTION("""COMPUTED_VALUE"""),37.0)</f>
        <v>37</v>
      </c>
      <c r="X465" s="763">
        <f>IFERROR(__xludf.DUMMYFUNCTION("""COMPUTED_VALUE"""),37.0)</f>
        <v>37</v>
      </c>
      <c r="Y465" s="763"/>
      <c r="Z465" s="768" t="str">
        <f>IFERROR(__xludf.DUMMYFUNCTION("""COMPUTED_VALUE"""),"https://studio-gem.it/wp-admin/post.php?post=65772&amp;action=edit")</f>
        <v>https://studio-gem.it/wp-admin/post.php?post=65772&amp;action=edit</v>
      </c>
      <c r="AA465" s="763"/>
      <c r="AB465" s="763"/>
      <c r="AC465" s="763"/>
      <c r="AD465" s="763"/>
      <c r="AE465" s="763"/>
      <c r="AF465" s="763"/>
      <c r="AG465" s="763"/>
      <c r="AH465" s="763"/>
      <c r="AI465" s="763"/>
      <c r="AJ465" s="763"/>
      <c r="AK465" s="763"/>
      <c r="AL465" s="763"/>
      <c r="AM465" s="763"/>
      <c r="AN465" s="763"/>
      <c r="AO465" s="763"/>
      <c r="AP465" s="763"/>
      <c r="AQ465" s="763"/>
      <c r="AR465" s="763"/>
      <c r="AS465" s="763"/>
      <c r="AT465" s="763"/>
      <c r="AU465" s="763"/>
      <c r="AV465" s="763"/>
      <c r="AW465" s="763"/>
      <c r="AX465" s="763"/>
      <c r="AY465" s="763"/>
      <c r="AZ465" s="763"/>
      <c r="BA465" s="763"/>
      <c r="BB465" s="763"/>
      <c r="BC465" s="763"/>
      <c r="BD465" s="763"/>
      <c r="BE465" s="763"/>
      <c r="BF465" s="763"/>
      <c r="BG465" s="763" t="b">
        <f>IFERROR(__xludf.DUMMYFUNCTION("""COMPUTED_VALUE"""),TRUE)</f>
        <v>1</v>
      </c>
      <c r="BH465" s="763" t="b">
        <f>IFERROR(__xludf.DUMMYFUNCTION("""COMPUTED_VALUE"""),FALSE)</f>
        <v>0</v>
      </c>
      <c r="BI465" s="763" t="b">
        <f>IFERROR(__xludf.DUMMYFUNCTION("""COMPUTED_VALUE"""),TRUE)</f>
        <v>1</v>
      </c>
      <c r="BJ465" s="763" t="b">
        <f>IFERROR(__xludf.DUMMYFUNCTION("""COMPUTED_VALUE"""),TRUE)</f>
        <v>1</v>
      </c>
    </row>
    <row r="466">
      <c r="A466" s="763">
        <f>IFERROR(__xludf.DUMMYFUNCTION("""COMPUTED_VALUE"""),65774.0)</f>
        <v>65774</v>
      </c>
      <c r="B466" s="763">
        <f>IFERROR(__xludf.DUMMYFUNCTION("""COMPUTED_VALUE"""),65774.0)</f>
        <v>65774</v>
      </c>
      <c r="C466" s="763" t="str">
        <f>IFERROR(__xludf.DUMMYFUNCTION("""COMPUTED_VALUE"""),"2025-11-05 10:28:39")</f>
        <v>2025-11-05 10:28:39</v>
      </c>
      <c r="D466" s="763" t="str">
        <f>IFERROR(__xludf.DUMMYFUNCTION("""COMPUTED_VALUE"""),"completed")</f>
        <v>completed</v>
      </c>
      <c r="E466" s="763" t="str">
        <f>IFERROR(__xludf.DUMMYFUNCTION("""COMPUTED_VALUE"""),"Sara")</f>
        <v>Sara</v>
      </c>
      <c r="F466" s="763" t="str">
        <f>IFERROR(__xludf.DUMMYFUNCTION("""COMPUTED_VALUE"""),"Martinucci")</f>
        <v>Martinucci</v>
      </c>
      <c r="G466" s="763" t="str">
        <f>IFERROR(__xludf.DUMMYFUNCTION("""COMPUTED_VALUE"""),"sara.martinucci03@gmail.com")</f>
        <v>sara.martinucci03@gmail.com</v>
      </c>
      <c r="H466" s="763">
        <f>IFERROR(__xludf.DUMMYFUNCTION("""COMPUTED_VALUE"""),3.803794681E9)</f>
        <v>3803794681</v>
      </c>
      <c r="I466" s="763" t="str">
        <f>IFERROR(__xludf.DUMMYFUNCTION("""COMPUTED_VALUE"""),"milano")</f>
        <v>milano</v>
      </c>
      <c r="J466" s="763" t="str">
        <f>IFERROR(__xludf.DUMMYFUNCTION("""COMPUTED_VALUE"""),"via pietro ogliari 9")</f>
        <v>via pietro ogliari 9</v>
      </c>
      <c r="K466" s="763">
        <f>IFERROR(__xludf.DUMMYFUNCTION("""COMPUTED_VALUE"""),20141.0)</f>
        <v>20141</v>
      </c>
      <c r="L466" s="763" t="str">
        <f>IFERROR(__xludf.DUMMYFUNCTION("""COMPUTED_VALUE"""),"Carte di pagamento")</f>
        <v>Carte di pagamento</v>
      </c>
      <c r="M466" s="763"/>
      <c r="N466" s="763" t="str">
        <f>IFERROR(__xludf.DUMMYFUNCTION("""COMPUTED_VALUE"""),"65774-1762338521")</f>
        <v>65774-1762338521</v>
      </c>
      <c r="O466" s="763">
        <f>IFERROR(__xludf.DUMMYFUNCTION("""COMPUTED_VALUE"""),0.0)</f>
        <v>0</v>
      </c>
      <c r="P466" s="767">
        <f>IFERROR(__xludf.DUMMYFUNCTION("""COMPUTED_VALUE"""),1.5416666666666667)</f>
        <v>1.541666667</v>
      </c>
      <c r="Q466" s="763" t="str">
        <f>IFERROR(__xludf.DUMMYFUNCTION("""COMPUTED_VALUE"""),"EUR")</f>
        <v>EUR</v>
      </c>
      <c r="R466" s="763">
        <f>IFERROR(__xludf.DUMMYFUNCTION("""COMPUTED_VALUE"""),924.0)</f>
        <v>924</v>
      </c>
      <c r="S466" s="763" t="str">
        <f>IFERROR(__xludf.DUMMYFUNCTION("""COMPUTED_VALUE"""),"Workshop Heels con Deborah Esposito - Workshop Heels con Deborah Esposito")</f>
        <v>Workshop Heels con Deborah Esposito - Workshop Heels con Deborah Esposito</v>
      </c>
      <c r="T466" s="763"/>
      <c r="U466" s="763"/>
      <c r="V466" s="763">
        <f>IFERROR(__xludf.DUMMYFUNCTION("""COMPUTED_VALUE"""),1.0)</f>
        <v>1</v>
      </c>
      <c r="W466" s="763">
        <f>IFERROR(__xludf.DUMMYFUNCTION("""COMPUTED_VALUE"""),37.0)</f>
        <v>37</v>
      </c>
      <c r="X466" s="763">
        <f>IFERROR(__xludf.DUMMYFUNCTION("""COMPUTED_VALUE"""),37.0)</f>
        <v>37</v>
      </c>
      <c r="Y466" s="763"/>
      <c r="Z466" s="768" t="str">
        <f>IFERROR(__xludf.DUMMYFUNCTION("""COMPUTED_VALUE"""),"https://studio-gem.it/wp-admin/post.php?post=65774&amp;action=edit")</f>
        <v>https://studio-gem.it/wp-admin/post.php?post=65774&amp;action=edit</v>
      </c>
      <c r="AA466" s="763"/>
      <c r="AB466" s="763"/>
      <c r="AC466" s="763"/>
      <c r="AD466" s="763"/>
      <c r="AE466" s="763"/>
      <c r="AF466" s="763"/>
      <c r="AG466" s="763"/>
      <c r="AH466" s="763"/>
      <c r="AI466" s="763"/>
      <c r="AJ466" s="763"/>
      <c r="AK466" s="763"/>
      <c r="AL466" s="763"/>
      <c r="AM466" s="763"/>
      <c r="AN466" s="763"/>
      <c r="AO466" s="763"/>
      <c r="AP466" s="763"/>
      <c r="AQ466" s="763"/>
      <c r="AR466" s="763"/>
      <c r="AS466" s="763"/>
      <c r="AT466" s="763"/>
      <c r="AU466" s="763"/>
      <c r="AV466" s="763"/>
      <c r="AW466" s="763"/>
      <c r="AX466" s="763"/>
      <c r="AY466" s="763"/>
      <c r="AZ466" s="763"/>
      <c r="BA466" s="763"/>
      <c r="BB466" s="763"/>
      <c r="BC466" s="763"/>
      <c r="BD466" s="763"/>
      <c r="BE466" s="763"/>
      <c r="BF466" s="763"/>
      <c r="BG466" s="763" t="b">
        <f>IFERROR(__xludf.DUMMYFUNCTION("""COMPUTED_VALUE"""),TRUE)</f>
        <v>1</v>
      </c>
      <c r="BH466" s="763" t="b">
        <f>IFERROR(__xludf.DUMMYFUNCTION("""COMPUTED_VALUE"""),FALSE)</f>
        <v>0</v>
      </c>
      <c r="BI466" s="763" t="b">
        <f>IFERROR(__xludf.DUMMYFUNCTION("""COMPUTED_VALUE"""),TRUE)</f>
        <v>1</v>
      </c>
      <c r="BJ466" s="763" t="b">
        <f>IFERROR(__xludf.DUMMYFUNCTION("""COMPUTED_VALUE"""),TRUE)</f>
        <v>1</v>
      </c>
    </row>
    <row r="467">
      <c r="A467" s="763">
        <f>IFERROR(__xludf.DUMMYFUNCTION("""COMPUTED_VALUE"""),65775.0)</f>
        <v>65775</v>
      </c>
      <c r="B467" s="763">
        <f>IFERROR(__xludf.DUMMYFUNCTION("""COMPUTED_VALUE"""),65775.0)</f>
        <v>65775</v>
      </c>
      <c r="C467" s="763" t="str">
        <f>IFERROR(__xludf.DUMMYFUNCTION("""COMPUTED_VALUE"""),"2025-11-05 10:29:52")</f>
        <v>2025-11-05 10:29:52</v>
      </c>
      <c r="D467" s="763" t="str">
        <f>IFERROR(__xludf.DUMMYFUNCTION("""COMPUTED_VALUE"""),"completed")</f>
        <v>completed</v>
      </c>
      <c r="E467" s="763" t="str">
        <f>IFERROR(__xludf.DUMMYFUNCTION("""COMPUTED_VALUE"""),"Francesca")</f>
        <v>Francesca</v>
      </c>
      <c r="F467" s="763" t="str">
        <f>IFERROR(__xludf.DUMMYFUNCTION("""COMPUTED_VALUE"""),"Martinucci")</f>
        <v>Martinucci</v>
      </c>
      <c r="G467" s="763" t="str">
        <f>IFERROR(__xludf.DUMMYFUNCTION("""COMPUTED_VALUE"""),"francesca.martinucci18@gmail.com")</f>
        <v>francesca.martinucci18@gmail.com</v>
      </c>
      <c r="H467" s="763">
        <f>IFERROR(__xludf.DUMMYFUNCTION("""COMPUTED_VALUE"""),3.924515558E9)</f>
        <v>3924515558</v>
      </c>
      <c r="I467" s="763" t="str">
        <f>IFERROR(__xludf.DUMMYFUNCTION("""COMPUTED_VALUE"""),"Milano")</f>
        <v>Milano</v>
      </c>
      <c r="J467" s="763" t="str">
        <f>IFERROR(__xludf.DUMMYFUNCTION("""COMPUTED_VALUE"""),"Via cima 41")</f>
        <v>Via cima 41</v>
      </c>
      <c r="K467" s="763">
        <f>IFERROR(__xludf.DUMMYFUNCTION("""COMPUTED_VALUE"""),20134.0)</f>
        <v>20134</v>
      </c>
      <c r="L467" s="763" t="str">
        <f>IFERROR(__xludf.DUMMYFUNCTION("""COMPUTED_VALUE"""),"Apple Pay")</f>
        <v>Apple Pay</v>
      </c>
      <c r="M467" s="763"/>
      <c r="N467" s="763" t="str">
        <f>IFERROR(__xludf.DUMMYFUNCTION("""COMPUTED_VALUE"""),"65775-1762338594")</f>
        <v>65775-1762338594</v>
      </c>
      <c r="O467" s="763">
        <f>IFERROR(__xludf.DUMMYFUNCTION("""COMPUTED_VALUE"""),0.0)</f>
        <v>0</v>
      </c>
      <c r="P467" s="767">
        <f>IFERROR(__xludf.DUMMYFUNCTION("""COMPUTED_VALUE"""),1.5416666666666667)</f>
        <v>1.541666667</v>
      </c>
      <c r="Q467" s="763" t="str">
        <f>IFERROR(__xludf.DUMMYFUNCTION("""COMPUTED_VALUE"""),"EUR")</f>
        <v>EUR</v>
      </c>
      <c r="R467" s="763">
        <f>IFERROR(__xludf.DUMMYFUNCTION("""COMPUTED_VALUE"""),925.0)</f>
        <v>925</v>
      </c>
      <c r="S467" s="763" t="str">
        <f>IFERROR(__xludf.DUMMYFUNCTION("""COMPUTED_VALUE"""),"Workshop Heels con Deborah Esposito - Workshop Heels con Deborah Esposito")</f>
        <v>Workshop Heels con Deborah Esposito - Workshop Heels con Deborah Esposito</v>
      </c>
      <c r="T467" s="763"/>
      <c r="U467" s="763"/>
      <c r="V467" s="763">
        <f>IFERROR(__xludf.DUMMYFUNCTION("""COMPUTED_VALUE"""),1.0)</f>
        <v>1</v>
      </c>
      <c r="W467" s="763">
        <f>IFERROR(__xludf.DUMMYFUNCTION("""COMPUTED_VALUE"""),37.0)</f>
        <v>37</v>
      </c>
      <c r="X467" s="763">
        <f>IFERROR(__xludf.DUMMYFUNCTION("""COMPUTED_VALUE"""),37.0)</f>
        <v>37</v>
      </c>
      <c r="Y467" s="763"/>
      <c r="Z467" s="768" t="str">
        <f>IFERROR(__xludf.DUMMYFUNCTION("""COMPUTED_VALUE"""),"https://studio-gem.it/wp-admin/post.php?post=65775&amp;action=edit")</f>
        <v>https://studio-gem.it/wp-admin/post.php?post=65775&amp;action=edit</v>
      </c>
      <c r="AA467" s="763"/>
      <c r="AB467" s="763"/>
      <c r="AC467" s="763"/>
      <c r="AD467" s="763"/>
      <c r="AE467" s="763"/>
      <c r="AF467" s="763"/>
      <c r="AG467" s="763"/>
      <c r="AH467" s="763"/>
      <c r="AI467" s="763"/>
      <c r="AJ467" s="763"/>
      <c r="AK467" s="763"/>
      <c r="AL467" s="763"/>
      <c r="AM467" s="763"/>
      <c r="AN467" s="763"/>
      <c r="AO467" s="763"/>
      <c r="AP467" s="763"/>
      <c r="AQ467" s="763"/>
      <c r="AR467" s="763"/>
      <c r="AS467" s="763"/>
      <c r="AT467" s="763"/>
      <c r="AU467" s="763"/>
      <c r="AV467" s="763"/>
      <c r="AW467" s="763"/>
      <c r="AX467" s="763"/>
      <c r="AY467" s="763"/>
      <c r="AZ467" s="763"/>
      <c r="BA467" s="763"/>
      <c r="BB467" s="763"/>
      <c r="BC467" s="763"/>
      <c r="BD467" s="763"/>
      <c r="BE467" s="763"/>
      <c r="BF467" s="763"/>
      <c r="BG467" s="763" t="b">
        <f>IFERROR(__xludf.DUMMYFUNCTION("""COMPUTED_VALUE"""),TRUE)</f>
        <v>1</v>
      </c>
      <c r="BH467" s="763" t="b">
        <f>IFERROR(__xludf.DUMMYFUNCTION("""COMPUTED_VALUE"""),FALSE)</f>
        <v>0</v>
      </c>
      <c r="BI467" s="763" t="b">
        <f>IFERROR(__xludf.DUMMYFUNCTION("""COMPUTED_VALUE"""),TRUE)</f>
        <v>1</v>
      </c>
      <c r="BJ467" s="763" t="b">
        <f>IFERROR(__xludf.DUMMYFUNCTION("""COMPUTED_VALUE"""),TRUE)</f>
        <v>1</v>
      </c>
    </row>
    <row r="468">
      <c r="A468" s="763">
        <f>IFERROR(__xludf.DUMMYFUNCTION("""COMPUTED_VALUE"""),65778.0)</f>
        <v>65778</v>
      </c>
      <c r="B468" s="763">
        <f>IFERROR(__xludf.DUMMYFUNCTION("""COMPUTED_VALUE"""),65778.0)</f>
        <v>65778</v>
      </c>
      <c r="C468" s="763" t="str">
        <f>IFERROR(__xludf.DUMMYFUNCTION("""COMPUTED_VALUE"""),"2025-11-05 10:33:07")</f>
        <v>2025-11-05 10:33:07</v>
      </c>
      <c r="D468" s="763" t="str">
        <f>IFERROR(__xludf.DUMMYFUNCTION("""COMPUTED_VALUE"""),"processing")</f>
        <v>processing</v>
      </c>
      <c r="E468" s="763" t="str">
        <f>IFERROR(__xludf.DUMMYFUNCTION("""COMPUTED_VALUE"""),"Emma")</f>
        <v>Emma</v>
      </c>
      <c r="F468" s="763" t="str">
        <f>IFERROR(__xludf.DUMMYFUNCTION("""COMPUTED_VALUE"""),"Rizzo")</f>
        <v>Rizzo</v>
      </c>
      <c r="G468" s="763" t="str">
        <f>IFERROR(__xludf.DUMMYFUNCTION("""COMPUTED_VALUE"""),"emmarizzo00@gmail.com")</f>
        <v>emmarizzo00@gmail.com</v>
      </c>
      <c r="H468" s="763">
        <f>IFERROR(__xludf.DUMMYFUNCTION("""COMPUTED_VALUE"""),3.471963823E9)</f>
        <v>3471963823</v>
      </c>
      <c r="I468" s="763" t="str">
        <f>IFERROR(__xludf.DUMMYFUNCTION("""COMPUTED_VALUE"""),"Bellinzago Lombardo")</f>
        <v>Bellinzago Lombardo</v>
      </c>
      <c r="J468" s="763" t="str">
        <f>IFERROR(__xludf.DUMMYFUNCTION("""COMPUTED_VALUE"""),"Via padana superiore 68")</f>
        <v>Via padana superiore 68</v>
      </c>
      <c r="K468" s="763">
        <f>IFERROR(__xludf.DUMMYFUNCTION("""COMPUTED_VALUE"""),20060.0)</f>
        <v>20060</v>
      </c>
      <c r="L468" s="763" t="str">
        <f>IFERROR(__xludf.DUMMYFUNCTION("""COMPUTED_VALUE"""),"Satispay")</f>
        <v>Satispay</v>
      </c>
      <c r="M468" s="763"/>
      <c r="N468" s="763" t="str">
        <f>IFERROR(__xludf.DUMMYFUNCTION("""COMPUTED_VALUE"""),"019a5393-d12f-7149-80a6-2fee54a024fd")</f>
        <v>019a5393-d12f-7149-80a6-2fee54a024fd</v>
      </c>
      <c r="O468" s="763">
        <f>IFERROR(__xludf.DUMMYFUNCTION("""COMPUTED_VALUE"""),0.0)</f>
        <v>0</v>
      </c>
      <c r="P468" s="767">
        <f>IFERROR(__xludf.DUMMYFUNCTION("""COMPUTED_VALUE"""),1.5416666666666667)</f>
        <v>1.541666667</v>
      </c>
      <c r="Q468" s="763" t="str">
        <f>IFERROR(__xludf.DUMMYFUNCTION("""COMPUTED_VALUE"""),"EUR")</f>
        <v>EUR</v>
      </c>
      <c r="R468" s="763">
        <f>IFERROR(__xludf.DUMMYFUNCTION("""COMPUTED_VALUE"""),926.0)</f>
        <v>926</v>
      </c>
      <c r="S468" s="763" t="str">
        <f>IFERROR(__xludf.DUMMYFUNCTION("""COMPUTED_VALUE"""),"Workshop Heels con Deborah Esposito - Workshop Heels con Deborah Esposito")</f>
        <v>Workshop Heels con Deborah Esposito - Workshop Heels con Deborah Esposito</v>
      </c>
      <c r="T468" s="763"/>
      <c r="U468" s="763"/>
      <c r="V468" s="763">
        <f>IFERROR(__xludf.DUMMYFUNCTION("""COMPUTED_VALUE"""),1.0)</f>
        <v>1</v>
      </c>
      <c r="W468" s="763">
        <f>IFERROR(__xludf.DUMMYFUNCTION("""COMPUTED_VALUE"""),37.0)</f>
        <v>37</v>
      </c>
      <c r="X468" s="763">
        <f>IFERROR(__xludf.DUMMYFUNCTION("""COMPUTED_VALUE"""),37.0)</f>
        <v>37</v>
      </c>
      <c r="Y468" s="763"/>
      <c r="Z468" s="768" t="str">
        <f>IFERROR(__xludf.DUMMYFUNCTION("""COMPUTED_VALUE"""),"https://studio-gem.it/wp-admin/post.php?post=65778&amp;action=edit")</f>
        <v>https://studio-gem.it/wp-admin/post.php?post=65778&amp;action=edit</v>
      </c>
      <c r="AA468" s="763"/>
      <c r="AB468" s="763"/>
      <c r="AC468" s="763"/>
      <c r="AD468" s="763"/>
      <c r="AE468" s="763"/>
      <c r="AF468" s="763"/>
      <c r="AG468" s="763"/>
      <c r="AH468" s="763"/>
      <c r="AI468" s="763"/>
      <c r="AJ468" s="763"/>
      <c r="AK468" s="763"/>
      <c r="AL468" s="763"/>
      <c r="AM468" s="763"/>
      <c r="AN468" s="763"/>
      <c r="AO468" s="763"/>
      <c r="AP468" s="763"/>
      <c r="AQ468" s="763"/>
      <c r="AR468" s="763"/>
      <c r="AS468" s="763"/>
      <c r="AT468" s="763"/>
      <c r="AU468" s="763"/>
      <c r="AV468" s="763"/>
      <c r="AW468" s="763"/>
      <c r="AX468" s="763"/>
      <c r="AY468" s="763"/>
      <c r="AZ468" s="763"/>
      <c r="BA468" s="763"/>
      <c r="BB468" s="763"/>
      <c r="BC468" s="763"/>
      <c r="BD468" s="763"/>
      <c r="BE468" s="763"/>
      <c r="BF468" s="763"/>
      <c r="BG468" s="763" t="b">
        <f>IFERROR(__xludf.DUMMYFUNCTION("""COMPUTED_VALUE"""),TRUE)</f>
        <v>1</v>
      </c>
      <c r="BH468" s="763" t="b">
        <f>IFERROR(__xludf.DUMMYFUNCTION("""COMPUTED_VALUE"""),FALSE)</f>
        <v>0</v>
      </c>
      <c r="BI468" s="763" t="b">
        <f>IFERROR(__xludf.DUMMYFUNCTION("""COMPUTED_VALUE"""),TRUE)</f>
        <v>1</v>
      </c>
      <c r="BJ468" s="763" t="b">
        <f>IFERROR(__xludf.DUMMYFUNCTION("""COMPUTED_VALUE"""),TRUE)</f>
        <v>1</v>
      </c>
    </row>
    <row r="469">
      <c r="A469" s="763">
        <f>IFERROR(__xludf.DUMMYFUNCTION("""COMPUTED_VALUE"""),65786.0)</f>
        <v>65786</v>
      </c>
      <c r="B469" s="763">
        <f>IFERROR(__xludf.DUMMYFUNCTION("""COMPUTED_VALUE"""),65786.0)</f>
        <v>65786</v>
      </c>
      <c r="C469" s="763" t="str">
        <f>IFERROR(__xludf.DUMMYFUNCTION("""COMPUTED_VALUE"""),"2025-11-05 14:11:30")</f>
        <v>2025-11-05 14:11:30</v>
      </c>
      <c r="D469" s="763" t="str">
        <f>IFERROR(__xludf.DUMMYFUNCTION("""COMPUTED_VALUE"""),"pending")</f>
        <v>pending</v>
      </c>
      <c r="E469" s="763" t="str">
        <f>IFERROR(__xludf.DUMMYFUNCTION("""COMPUTED_VALUE"""),"Elisa")</f>
        <v>Elisa</v>
      </c>
      <c r="F469" s="763" t="str">
        <f>IFERROR(__xludf.DUMMYFUNCTION("""COMPUTED_VALUE"""),"Caló")</f>
        <v>Caló</v>
      </c>
      <c r="G469" s="763" t="str">
        <f>IFERROR(__xludf.DUMMYFUNCTION("""COMPUTED_VALUE"""),"elisac826@gmail.com")</f>
        <v>elisac826@gmail.com</v>
      </c>
      <c r="H469" s="763">
        <f>IFERROR(__xludf.DUMMYFUNCTION("""COMPUTED_VALUE"""),3.669354716E9)</f>
        <v>3669354716</v>
      </c>
      <c r="I469" s="763" t="str">
        <f>IFERROR(__xludf.DUMMYFUNCTION("""COMPUTED_VALUE"""),"Cesano Maderno")</f>
        <v>Cesano Maderno</v>
      </c>
      <c r="J469" s="763" t="str">
        <f>IFERROR(__xludf.DUMMYFUNCTION("""COMPUTED_VALUE"""),"Via Monte Sacro 30/A")</f>
        <v>Via Monte Sacro 30/A</v>
      </c>
      <c r="K469" s="763">
        <f>IFERROR(__xludf.DUMMYFUNCTION("""COMPUTED_VALUE"""),20811.0)</f>
        <v>20811</v>
      </c>
      <c r="L469" s="763" t="str">
        <f>IFERROR(__xludf.DUMMYFUNCTION("""COMPUTED_VALUE"""),"Carte di pagamento")</f>
        <v>Carte di pagamento</v>
      </c>
      <c r="M469" s="763"/>
      <c r="N469" s="763"/>
      <c r="O469" s="763">
        <f>IFERROR(__xludf.DUMMYFUNCTION("""COMPUTED_VALUE"""),0.0)</f>
        <v>0</v>
      </c>
      <c r="P469" s="767">
        <f>IFERROR(__xludf.DUMMYFUNCTION("""COMPUTED_VALUE"""),1.3333333333333333)</f>
        <v>1.333333333</v>
      </c>
      <c r="Q469" s="763" t="str">
        <f>IFERROR(__xludf.DUMMYFUNCTION("""COMPUTED_VALUE"""),"EUR")</f>
        <v>EUR</v>
      </c>
      <c r="R469" s="763">
        <f>IFERROR(__xludf.DUMMYFUNCTION("""COMPUTED_VALUE"""),927.0)</f>
        <v>927</v>
      </c>
      <c r="S469" s="763" t="str">
        <f>IFERROR(__xludf.DUMMYFUNCTION("""COMPUTED_VALUE"""),"Workshop Salsa Musicality con Nicolò De Angelis - Workshop Nicolò Salsa Musicality")</f>
        <v>Workshop Salsa Musicality con Nicolò De Angelis - Workshop Nicolò Salsa Musicality</v>
      </c>
      <c r="T469" s="763"/>
      <c r="U469" s="763"/>
      <c r="V469" s="763">
        <f>IFERROR(__xludf.DUMMYFUNCTION("""COMPUTED_VALUE"""),1.0)</f>
        <v>1</v>
      </c>
      <c r="W469" s="763">
        <f>IFERROR(__xludf.DUMMYFUNCTION("""COMPUTED_VALUE"""),32.0)</f>
        <v>32</v>
      </c>
      <c r="X469" s="763">
        <f>IFERROR(__xludf.DUMMYFUNCTION("""COMPUTED_VALUE"""),32.0)</f>
        <v>32</v>
      </c>
      <c r="Y469" s="763"/>
      <c r="Z469" s="768" t="str">
        <f>IFERROR(__xludf.DUMMYFUNCTION("""COMPUTED_VALUE"""),"https://studio-gem.it/wp-admin/post.php?post=65786&amp;action=edit")</f>
        <v>https://studio-gem.it/wp-admin/post.php?post=65786&amp;action=edit</v>
      </c>
      <c r="AA469" s="763"/>
      <c r="AB469" s="763"/>
      <c r="AC469" s="763"/>
      <c r="AD469" s="763"/>
      <c r="AE469" s="763"/>
      <c r="AF469" s="763"/>
      <c r="AG469" s="763"/>
      <c r="AH469" s="763"/>
      <c r="AI469" s="763"/>
      <c r="AJ469" s="763"/>
      <c r="AK469" s="763"/>
      <c r="AL469" s="763"/>
      <c r="AM469" s="763"/>
      <c r="AN469" s="763"/>
      <c r="AO469" s="763"/>
      <c r="AP469" s="763"/>
      <c r="AQ469" s="763"/>
      <c r="AR469" s="763"/>
      <c r="AS469" s="763"/>
      <c r="AT469" s="763"/>
      <c r="AU469" s="763"/>
      <c r="AV469" s="763"/>
      <c r="AW469" s="763"/>
      <c r="AX469" s="763"/>
      <c r="AY469" s="763"/>
      <c r="AZ469" s="763"/>
      <c r="BA469" s="763"/>
      <c r="BB469" s="763"/>
      <c r="BC469" s="763"/>
      <c r="BD469" s="763"/>
      <c r="BE469" s="763"/>
      <c r="BF469" s="763"/>
      <c r="BG469" s="763" t="b">
        <f>IFERROR(__xludf.DUMMYFUNCTION("""COMPUTED_VALUE"""),TRUE)</f>
        <v>1</v>
      </c>
      <c r="BH469" s="763" t="b">
        <f>IFERROR(__xludf.DUMMYFUNCTION("""COMPUTED_VALUE"""),FALSE)</f>
        <v>0</v>
      </c>
      <c r="BI469" s="763" t="b">
        <f>IFERROR(__xludf.DUMMYFUNCTION("""COMPUTED_VALUE"""),FALSE)</f>
        <v>0</v>
      </c>
      <c r="BJ469" s="763" t="b">
        <f>IFERROR(__xludf.DUMMYFUNCTION("""COMPUTED_VALUE"""),FALSE)</f>
        <v>0</v>
      </c>
    </row>
    <row r="470">
      <c r="A470" s="763">
        <f>IFERROR(__xludf.DUMMYFUNCTION("""COMPUTED_VALUE"""),65788.0)</f>
        <v>65788</v>
      </c>
      <c r="B470" s="763">
        <f>IFERROR(__xludf.DUMMYFUNCTION("""COMPUTED_VALUE"""),65788.0)</f>
        <v>65788</v>
      </c>
      <c r="C470" s="763" t="str">
        <f>IFERROR(__xludf.DUMMYFUNCTION("""COMPUTED_VALUE"""),"2025-11-05 15:35:40")</f>
        <v>2025-11-05 15:35:40</v>
      </c>
      <c r="D470" s="763" t="str">
        <f>IFERROR(__xludf.DUMMYFUNCTION("""COMPUTED_VALUE"""),"completed")</f>
        <v>completed</v>
      </c>
      <c r="E470" s="763" t="str">
        <f>IFERROR(__xludf.DUMMYFUNCTION("""COMPUTED_VALUE"""),"Arianna")</f>
        <v>Arianna</v>
      </c>
      <c r="F470" s="763" t="str">
        <f>IFERROR(__xludf.DUMMYFUNCTION("""COMPUTED_VALUE"""),"Viti")</f>
        <v>Viti</v>
      </c>
      <c r="G470" s="763" t="str">
        <f>IFERROR(__xludf.DUMMYFUNCTION("""COMPUTED_VALUE"""),"arianna_viti@libero.it")</f>
        <v>arianna_viti@libero.it</v>
      </c>
      <c r="H470" s="763">
        <f>IFERROR(__xludf.DUMMYFUNCTION("""COMPUTED_VALUE"""),3.669328503E9)</f>
        <v>3669328503</v>
      </c>
      <c r="I470" s="763" t="str">
        <f>IFERROR(__xludf.DUMMYFUNCTION("""COMPUTED_VALUE"""),"Roma")</f>
        <v>Roma</v>
      </c>
      <c r="J470" s="763" t="str">
        <f>IFERROR(__xludf.DUMMYFUNCTION("""COMPUTED_VALUE"""),"Via Marco Valerio Corvo 86")</f>
        <v>Via Marco Valerio Corvo 86</v>
      </c>
      <c r="K470" s="763">
        <f>IFERROR(__xludf.DUMMYFUNCTION("""COMPUTED_VALUE"""),174.0)</f>
        <v>174</v>
      </c>
      <c r="L470" s="763" t="str">
        <f>IFERROR(__xludf.DUMMYFUNCTION("""COMPUTED_VALUE"""),"Carte di pagamento")</f>
        <v>Carte di pagamento</v>
      </c>
      <c r="M470" s="763"/>
      <c r="N470" s="763" t="str">
        <f>IFERROR(__xludf.DUMMYFUNCTION("""COMPUTED_VALUE"""),"65788-1762356941")</f>
        <v>65788-1762356941</v>
      </c>
      <c r="O470" s="763">
        <f>IFERROR(__xludf.DUMMYFUNCTION("""COMPUTED_VALUE"""),0.0)</f>
        <v>0</v>
      </c>
      <c r="P470" s="767">
        <f>IFERROR(__xludf.DUMMYFUNCTION("""COMPUTED_VALUE"""),1.5416666666666667)</f>
        <v>1.541666667</v>
      </c>
      <c r="Q470" s="763" t="str">
        <f>IFERROR(__xludf.DUMMYFUNCTION("""COMPUTED_VALUE"""),"EUR")</f>
        <v>EUR</v>
      </c>
      <c r="R470" s="763">
        <f>IFERROR(__xludf.DUMMYFUNCTION("""COMPUTED_VALUE"""),928.0)</f>
        <v>928</v>
      </c>
      <c r="S470" s="763" t="str">
        <f>IFERROR(__xludf.DUMMYFUNCTION("""COMPUTED_VALUE"""),"Workshop Urban con Kumo - Workshop Kumo Urban")</f>
        <v>Workshop Urban con Kumo - Workshop Kumo Urban</v>
      </c>
      <c r="T470" s="763"/>
      <c r="U470" s="763"/>
      <c r="V470" s="763">
        <f>IFERROR(__xludf.DUMMYFUNCTION("""COMPUTED_VALUE"""),1.0)</f>
        <v>1</v>
      </c>
      <c r="W470" s="763">
        <f>IFERROR(__xludf.DUMMYFUNCTION("""COMPUTED_VALUE"""),37.0)</f>
        <v>37</v>
      </c>
      <c r="X470" s="763">
        <f>IFERROR(__xludf.DUMMYFUNCTION("""COMPUTED_VALUE"""),37.0)</f>
        <v>37</v>
      </c>
      <c r="Y470" s="763"/>
      <c r="Z470" s="768" t="str">
        <f>IFERROR(__xludf.DUMMYFUNCTION("""COMPUTED_VALUE"""),"https://studio-gem.it/wp-admin/post.php?post=65788&amp;action=edit")</f>
        <v>https://studio-gem.it/wp-admin/post.php?post=65788&amp;action=edit</v>
      </c>
      <c r="AA470" s="763"/>
      <c r="AB470" s="763"/>
      <c r="AC470" s="763"/>
      <c r="AD470" s="763"/>
      <c r="AE470" s="763"/>
      <c r="AF470" s="763"/>
      <c r="AG470" s="763"/>
      <c r="AH470" s="763"/>
      <c r="AI470" s="763"/>
      <c r="AJ470" s="763"/>
      <c r="AK470" s="763"/>
      <c r="AL470" s="763"/>
      <c r="AM470" s="763"/>
      <c r="AN470" s="763"/>
      <c r="AO470" s="763"/>
      <c r="AP470" s="763"/>
      <c r="AQ470" s="763"/>
      <c r="AR470" s="763"/>
      <c r="AS470" s="763"/>
      <c r="AT470" s="763"/>
      <c r="AU470" s="763"/>
      <c r="AV470" s="763"/>
      <c r="AW470" s="763"/>
      <c r="AX470" s="763"/>
      <c r="AY470" s="763"/>
      <c r="AZ470" s="763"/>
      <c r="BA470" s="763"/>
      <c r="BB470" s="763"/>
      <c r="BC470" s="763"/>
      <c r="BD470" s="763"/>
      <c r="BE470" s="763"/>
      <c r="BF470" s="763"/>
      <c r="BG470" s="763" t="b">
        <f>IFERROR(__xludf.DUMMYFUNCTION("""COMPUTED_VALUE"""),TRUE)</f>
        <v>1</v>
      </c>
      <c r="BH470" s="763" t="b">
        <f>IFERROR(__xludf.DUMMYFUNCTION("""COMPUTED_VALUE"""),FALSE)</f>
        <v>0</v>
      </c>
      <c r="BI470" s="763" t="b">
        <f>IFERROR(__xludf.DUMMYFUNCTION("""COMPUTED_VALUE"""),TRUE)</f>
        <v>1</v>
      </c>
      <c r="BJ470" s="763" t="b">
        <f>IFERROR(__xludf.DUMMYFUNCTION("""COMPUTED_VALUE"""),TRUE)</f>
        <v>1</v>
      </c>
    </row>
    <row r="471">
      <c r="A471" s="763">
        <f>IFERROR(__xludf.DUMMYFUNCTION("""COMPUTED_VALUE"""),65790.0)</f>
        <v>65790</v>
      </c>
      <c r="B471" s="763">
        <f>IFERROR(__xludf.DUMMYFUNCTION("""COMPUTED_VALUE"""),65790.0)</f>
        <v>65790</v>
      </c>
      <c r="C471" s="763" t="str">
        <f>IFERROR(__xludf.DUMMYFUNCTION("""COMPUTED_VALUE"""),"2025-11-05 15:42:51")</f>
        <v>2025-11-05 15:42:51</v>
      </c>
      <c r="D471" s="763" t="str">
        <f>IFERROR(__xludf.DUMMYFUNCTION("""COMPUTED_VALUE"""),"completed")</f>
        <v>completed</v>
      </c>
      <c r="E471" s="763" t="str">
        <f>IFERROR(__xludf.DUMMYFUNCTION("""COMPUTED_VALUE"""),"Anna")</f>
        <v>Anna</v>
      </c>
      <c r="F471" s="763" t="str">
        <f>IFERROR(__xludf.DUMMYFUNCTION("""COMPUTED_VALUE"""),"Tagliabue")</f>
        <v>Tagliabue</v>
      </c>
      <c r="G471" s="763" t="str">
        <f>IFERROR(__xludf.DUMMYFUNCTION("""COMPUTED_VALUE"""),"tagliabue.anna@hotmail.it")</f>
        <v>tagliabue.anna@hotmail.it</v>
      </c>
      <c r="H471" s="763">
        <f>IFERROR(__xludf.DUMMYFUNCTION("""COMPUTED_VALUE"""),3.287488816E9)</f>
        <v>3287488816</v>
      </c>
      <c r="I471" s="763" t="str">
        <f>IFERROR(__xludf.DUMMYFUNCTION("""COMPUTED_VALUE"""),"Seregno")</f>
        <v>Seregno</v>
      </c>
      <c r="J471" s="763" t="str">
        <f>IFERROR(__xludf.DUMMYFUNCTION("""COMPUTED_VALUE"""),"Via Don Longoni 33")</f>
        <v>Via Don Longoni 33</v>
      </c>
      <c r="K471" s="763">
        <f>IFERROR(__xludf.DUMMYFUNCTION("""COMPUTED_VALUE"""),20831.0)</f>
        <v>20831</v>
      </c>
      <c r="L471" s="763" t="str">
        <f>IFERROR(__xludf.DUMMYFUNCTION("""COMPUTED_VALUE"""),"Carte di pagamento")</f>
        <v>Carte di pagamento</v>
      </c>
      <c r="M471" s="763"/>
      <c r="N471" s="763" t="str">
        <f>IFERROR(__xludf.DUMMYFUNCTION("""COMPUTED_VALUE"""),"65790-1762357372")</f>
        <v>65790-1762357372</v>
      </c>
      <c r="O471" s="763">
        <f>IFERROR(__xludf.DUMMYFUNCTION("""COMPUTED_VALUE"""),0.0)</f>
        <v>0</v>
      </c>
      <c r="P471" s="767">
        <f>IFERROR(__xludf.DUMMYFUNCTION("""COMPUTED_VALUE"""),1.5416666666666667)</f>
        <v>1.541666667</v>
      </c>
      <c r="Q471" s="763" t="str">
        <f>IFERROR(__xludf.DUMMYFUNCTION("""COMPUTED_VALUE"""),"EUR")</f>
        <v>EUR</v>
      </c>
      <c r="R471" s="763">
        <f>IFERROR(__xludf.DUMMYFUNCTION("""COMPUTED_VALUE"""),929.0)</f>
        <v>929</v>
      </c>
      <c r="S471" s="763" t="str">
        <f>IFERROR(__xludf.DUMMYFUNCTION("""COMPUTED_VALUE"""),"Workshop Urban con Kumo - Workshop Kumo Urban")</f>
        <v>Workshop Urban con Kumo - Workshop Kumo Urban</v>
      </c>
      <c r="T471" s="763"/>
      <c r="U471" s="763"/>
      <c r="V471" s="763">
        <f>IFERROR(__xludf.DUMMYFUNCTION("""COMPUTED_VALUE"""),1.0)</f>
        <v>1</v>
      </c>
      <c r="W471" s="763">
        <f>IFERROR(__xludf.DUMMYFUNCTION("""COMPUTED_VALUE"""),37.0)</f>
        <v>37</v>
      </c>
      <c r="X471" s="763">
        <f>IFERROR(__xludf.DUMMYFUNCTION("""COMPUTED_VALUE"""),37.0)</f>
        <v>37</v>
      </c>
      <c r="Y471" s="763"/>
      <c r="Z471" s="768" t="str">
        <f>IFERROR(__xludf.DUMMYFUNCTION("""COMPUTED_VALUE"""),"https://studio-gem.it/wp-admin/post.php?post=65790&amp;action=edit")</f>
        <v>https://studio-gem.it/wp-admin/post.php?post=65790&amp;action=edit</v>
      </c>
      <c r="AA471" s="763"/>
      <c r="AB471" s="763"/>
      <c r="AC471" s="763"/>
      <c r="AD471" s="763"/>
      <c r="AE471" s="763"/>
      <c r="AF471" s="763"/>
      <c r="AG471" s="763"/>
      <c r="AH471" s="763"/>
      <c r="AI471" s="763"/>
      <c r="AJ471" s="763"/>
      <c r="AK471" s="763"/>
      <c r="AL471" s="763"/>
      <c r="AM471" s="763"/>
      <c r="AN471" s="763"/>
      <c r="AO471" s="763"/>
      <c r="AP471" s="763"/>
      <c r="AQ471" s="763"/>
      <c r="AR471" s="763"/>
      <c r="AS471" s="763"/>
      <c r="AT471" s="763"/>
      <c r="AU471" s="763"/>
      <c r="AV471" s="763"/>
      <c r="AW471" s="763"/>
      <c r="AX471" s="763"/>
      <c r="AY471" s="763"/>
      <c r="AZ471" s="763"/>
      <c r="BA471" s="763"/>
      <c r="BB471" s="763"/>
      <c r="BC471" s="763"/>
      <c r="BD471" s="763"/>
      <c r="BE471" s="763"/>
      <c r="BF471" s="763"/>
      <c r="BG471" s="763" t="b">
        <f>IFERROR(__xludf.DUMMYFUNCTION("""COMPUTED_VALUE"""),TRUE)</f>
        <v>1</v>
      </c>
      <c r="BH471" s="763" t="b">
        <f>IFERROR(__xludf.DUMMYFUNCTION("""COMPUTED_VALUE"""),FALSE)</f>
        <v>0</v>
      </c>
      <c r="BI471" s="763" t="b">
        <f>IFERROR(__xludf.DUMMYFUNCTION("""COMPUTED_VALUE"""),TRUE)</f>
        <v>1</v>
      </c>
      <c r="BJ471" s="763" t="b">
        <f>IFERROR(__xludf.DUMMYFUNCTION("""COMPUTED_VALUE"""),TRUE)</f>
        <v>1</v>
      </c>
    </row>
    <row r="472">
      <c r="A472" s="763">
        <f>IFERROR(__xludf.DUMMYFUNCTION("""COMPUTED_VALUE"""),65792.0)</f>
        <v>65792</v>
      </c>
      <c r="B472" s="763">
        <f>IFERROR(__xludf.DUMMYFUNCTION("""COMPUTED_VALUE"""),65792.0)</f>
        <v>65792</v>
      </c>
      <c r="C472" s="763" t="str">
        <f>IFERROR(__xludf.DUMMYFUNCTION("""COMPUTED_VALUE"""),"2025-11-05 16:35:29")</f>
        <v>2025-11-05 16:35:29</v>
      </c>
      <c r="D472" s="763" t="str">
        <f>IFERROR(__xludf.DUMMYFUNCTION("""COMPUTED_VALUE"""),"completed")</f>
        <v>completed</v>
      </c>
      <c r="E472" s="763" t="str">
        <f>IFERROR(__xludf.DUMMYFUNCTION("""COMPUTED_VALUE"""),"AnnaPina")</f>
        <v>AnnaPina</v>
      </c>
      <c r="F472" s="763" t="str">
        <f>IFERROR(__xludf.DUMMYFUNCTION("""COMPUTED_VALUE"""),"Paolino")</f>
        <v>Paolino</v>
      </c>
      <c r="G472" s="763" t="str">
        <f>IFERROR(__xludf.DUMMYFUNCTION("""COMPUTED_VALUE"""),"apaolino@mitteimmobiliare.it")</f>
        <v>apaolino@mitteimmobiliare.it</v>
      </c>
      <c r="H472" s="763">
        <f>IFERROR(__xludf.DUMMYFUNCTION("""COMPUTED_VALUE"""),3.387818598E9)</f>
        <v>3387818598</v>
      </c>
      <c r="I472" s="763" t="str">
        <f>IFERROR(__xludf.DUMMYFUNCTION("""COMPUTED_VALUE"""),"Pieve Emanuele")</f>
        <v>Pieve Emanuele</v>
      </c>
      <c r="J472" s="763" t="str">
        <f>IFERROR(__xludf.DUMMYFUNCTION("""COMPUTED_VALUE"""),"Cascina di tolcinasco snc")</f>
        <v>Cascina di tolcinasco snc</v>
      </c>
      <c r="K472" s="763">
        <f>IFERROR(__xludf.DUMMYFUNCTION("""COMPUTED_VALUE"""),20090.0)</f>
        <v>20090</v>
      </c>
      <c r="L472" s="763"/>
      <c r="M472" s="763"/>
      <c r="N472" s="763"/>
      <c r="O472" s="763">
        <f>IFERROR(__xludf.DUMMYFUNCTION("""COMPUTED_VALUE"""),0.0)</f>
        <v>0</v>
      </c>
      <c r="P472" s="767">
        <f>IFERROR(__xludf.DUMMYFUNCTION("""COMPUTED_VALUE"""),0.0)</f>
        <v>0</v>
      </c>
      <c r="Q472" s="763" t="str">
        <f>IFERROR(__xludf.DUMMYFUNCTION("""COMPUTED_VALUE"""),"EUR")</f>
        <v>EUR</v>
      </c>
      <c r="R472" s="763">
        <f>IFERROR(__xludf.DUMMYFUNCTION("""COMPUTED_VALUE"""),930.0)</f>
        <v>930</v>
      </c>
      <c r="S472" s="763" t="str">
        <f>IFERROR(__xludf.DUMMYFUNCTION("""COMPUTED_VALUE"""),"Domeniche in movimento - Gratuito per open fitness e open mattino 2 lezioni dalle 10 alle 11.50")</f>
        <v>Domeniche in movimento - Gratuito per open fitness e open mattino 2 lezioni dalle 10 alle 11.50</v>
      </c>
      <c r="T472" s="763"/>
      <c r="U472" s="763"/>
      <c r="V472" s="763">
        <f>IFERROR(__xludf.DUMMYFUNCTION("""COMPUTED_VALUE"""),4.0)</f>
        <v>4</v>
      </c>
      <c r="W472" s="763">
        <f>IFERROR(__xludf.DUMMYFUNCTION("""COMPUTED_VALUE"""),0.0)</f>
        <v>0</v>
      </c>
      <c r="X472" s="763">
        <f>IFERROR(__xludf.DUMMYFUNCTION("""COMPUTED_VALUE"""),0.0)</f>
        <v>0</v>
      </c>
      <c r="Y472" s="763"/>
      <c r="Z472" s="768" t="str">
        <f>IFERROR(__xludf.DUMMYFUNCTION("""COMPUTED_VALUE"""),"https://studio-gem.it/wp-admin/post.php?post=65792&amp;action=edit")</f>
        <v>https://studio-gem.it/wp-admin/post.php?post=65792&amp;action=edit</v>
      </c>
      <c r="AA472" s="763"/>
      <c r="AB472" s="763"/>
      <c r="AC472" s="763"/>
      <c r="AD472" s="763"/>
      <c r="AE472" s="763"/>
      <c r="AF472" s="763"/>
      <c r="AG472" s="763"/>
      <c r="AH472" s="763"/>
      <c r="AI472" s="763"/>
      <c r="AJ472" s="763"/>
      <c r="AK472" s="763"/>
      <c r="AL472" s="763"/>
      <c r="AM472" s="763"/>
      <c r="AN472" s="763"/>
      <c r="AO472" s="763"/>
      <c r="AP472" s="763"/>
      <c r="AQ472" s="763"/>
      <c r="AR472" s="763"/>
      <c r="AS472" s="763"/>
      <c r="AT472" s="763"/>
      <c r="AU472" s="763"/>
      <c r="AV472" s="763"/>
      <c r="AW472" s="763"/>
      <c r="AX472" s="763"/>
      <c r="AY472" s="763"/>
      <c r="AZ472" s="763"/>
      <c r="BA472" s="763"/>
      <c r="BB472" s="763"/>
      <c r="BC472" s="763"/>
      <c r="BD472" s="763"/>
      <c r="BE472" s="763"/>
      <c r="BF472" s="763"/>
      <c r="BG472" s="763" t="b">
        <f>IFERROR(__xludf.DUMMYFUNCTION("""COMPUTED_VALUE"""),TRUE)</f>
        <v>1</v>
      </c>
      <c r="BH472" s="763" t="b">
        <f>IFERROR(__xludf.DUMMYFUNCTION("""COMPUTED_VALUE"""),FALSE)</f>
        <v>0</v>
      </c>
      <c r="BI472" s="763" t="b">
        <f>IFERROR(__xludf.DUMMYFUNCTION("""COMPUTED_VALUE"""),TRUE)</f>
        <v>1</v>
      </c>
      <c r="BJ472" s="763" t="b">
        <f>IFERROR(__xludf.DUMMYFUNCTION("""COMPUTED_VALUE"""),TRUE)</f>
        <v>1</v>
      </c>
    </row>
    <row r="473">
      <c r="A473" s="763">
        <f>IFERROR(__xludf.DUMMYFUNCTION("""COMPUTED_VALUE"""),65794.0)</f>
        <v>65794</v>
      </c>
      <c r="B473" s="763">
        <f>IFERROR(__xludf.DUMMYFUNCTION("""COMPUTED_VALUE"""),65794.0)</f>
        <v>65794</v>
      </c>
      <c r="C473" s="763" t="str">
        <f>IFERROR(__xludf.DUMMYFUNCTION("""COMPUTED_VALUE"""),"2025-11-05 16:58:18")</f>
        <v>2025-11-05 16:58:18</v>
      </c>
      <c r="D473" s="763" t="str">
        <f>IFERROR(__xludf.DUMMYFUNCTION("""COMPUTED_VALUE"""),"completed")</f>
        <v>completed</v>
      </c>
      <c r="E473" s="763" t="str">
        <f>IFERROR(__xludf.DUMMYFUNCTION("""COMPUTED_VALUE"""),"Marilene")</f>
        <v>Marilene</v>
      </c>
      <c r="F473" s="763" t="str">
        <f>IFERROR(__xludf.DUMMYFUNCTION("""COMPUTED_VALUE"""),"Sicignano")</f>
        <v>Sicignano</v>
      </c>
      <c r="G473" s="763" t="str">
        <f>IFERROR(__xludf.DUMMYFUNCTION("""COMPUTED_VALUE"""),"marilene.s@libero.it")</f>
        <v>marilene.s@libero.it</v>
      </c>
      <c r="H473" s="763">
        <f>IFERROR(__xludf.DUMMYFUNCTION("""COMPUTED_VALUE"""),3.463119787E9)</f>
        <v>3463119787</v>
      </c>
      <c r="I473" s="763" t="str">
        <f>IFERROR(__xludf.DUMMYFUNCTION("""COMPUTED_VALUE"""),"Albese con Cassano")</f>
        <v>Albese con Cassano</v>
      </c>
      <c r="J473" s="763" t="str">
        <f>IFERROR(__xludf.DUMMYFUNCTION("""COMPUTED_VALUE"""),"Via ai dossi 12")</f>
        <v>Via ai dossi 12</v>
      </c>
      <c r="K473" s="763">
        <f>IFERROR(__xludf.DUMMYFUNCTION("""COMPUTED_VALUE"""),22032.0)</f>
        <v>22032</v>
      </c>
      <c r="L473" s="763" t="str">
        <f>IFERROR(__xludf.DUMMYFUNCTION("""COMPUTED_VALUE"""),"Carte di pagamento")</f>
        <v>Carte di pagamento</v>
      </c>
      <c r="M473" s="763"/>
      <c r="N473" s="763" t="str">
        <f>IFERROR(__xludf.DUMMYFUNCTION("""COMPUTED_VALUE"""),"65794-1762361900")</f>
        <v>65794-1762361900</v>
      </c>
      <c r="O473" s="763">
        <f>IFERROR(__xludf.DUMMYFUNCTION("""COMPUTED_VALUE"""),0.0)</f>
        <v>0</v>
      </c>
      <c r="P473" s="767">
        <f>IFERROR(__xludf.DUMMYFUNCTION("""COMPUTED_VALUE"""),1.5416666666666667)</f>
        <v>1.541666667</v>
      </c>
      <c r="Q473" s="763" t="str">
        <f>IFERROR(__xludf.DUMMYFUNCTION("""COMPUTED_VALUE"""),"EUR")</f>
        <v>EUR</v>
      </c>
      <c r="R473" s="763">
        <f>IFERROR(__xludf.DUMMYFUNCTION("""COMPUTED_VALUE"""),931.0)</f>
        <v>931</v>
      </c>
      <c r="S473" s="763" t="str">
        <f>IFERROR(__xludf.DUMMYFUNCTION("""COMPUTED_VALUE"""),"Workshop Heels con Deborah Esposito - Workshop Heels con Deborah Esposito")</f>
        <v>Workshop Heels con Deborah Esposito - Workshop Heels con Deborah Esposito</v>
      </c>
      <c r="T473" s="763"/>
      <c r="U473" s="763"/>
      <c r="V473" s="763">
        <f>IFERROR(__xludf.DUMMYFUNCTION("""COMPUTED_VALUE"""),1.0)</f>
        <v>1</v>
      </c>
      <c r="W473" s="763">
        <f>IFERROR(__xludf.DUMMYFUNCTION("""COMPUTED_VALUE"""),37.0)</f>
        <v>37</v>
      </c>
      <c r="X473" s="763">
        <f>IFERROR(__xludf.DUMMYFUNCTION("""COMPUTED_VALUE"""),37.0)</f>
        <v>37</v>
      </c>
      <c r="Y473" s="763"/>
      <c r="Z473" s="768" t="str">
        <f>IFERROR(__xludf.DUMMYFUNCTION("""COMPUTED_VALUE"""),"https://studio-gem.it/wp-admin/post.php?post=65794&amp;action=edit")</f>
        <v>https://studio-gem.it/wp-admin/post.php?post=65794&amp;action=edit</v>
      </c>
      <c r="AA473" s="763"/>
      <c r="AB473" s="763"/>
      <c r="AC473" s="763"/>
      <c r="AD473" s="763"/>
      <c r="AE473" s="763"/>
      <c r="AF473" s="763"/>
      <c r="AG473" s="763"/>
      <c r="AH473" s="763"/>
      <c r="AI473" s="763"/>
      <c r="AJ473" s="763"/>
      <c r="AK473" s="763"/>
      <c r="AL473" s="763"/>
      <c r="AM473" s="763"/>
      <c r="AN473" s="763"/>
      <c r="AO473" s="763"/>
      <c r="AP473" s="763"/>
      <c r="AQ473" s="763"/>
      <c r="AR473" s="763"/>
      <c r="AS473" s="763"/>
      <c r="AT473" s="763"/>
      <c r="AU473" s="763"/>
      <c r="AV473" s="763"/>
      <c r="AW473" s="763"/>
      <c r="AX473" s="763"/>
      <c r="AY473" s="763"/>
      <c r="AZ473" s="763"/>
      <c r="BA473" s="763"/>
      <c r="BB473" s="763"/>
      <c r="BC473" s="763"/>
      <c r="BD473" s="763"/>
      <c r="BE473" s="763"/>
      <c r="BF473" s="763"/>
      <c r="BG473" s="763" t="b">
        <f>IFERROR(__xludf.DUMMYFUNCTION("""COMPUTED_VALUE"""),TRUE)</f>
        <v>1</v>
      </c>
      <c r="BH473" s="763" t="b">
        <f>IFERROR(__xludf.DUMMYFUNCTION("""COMPUTED_VALUE"""),FALSE)</f>
        <v>0</v>
      </c>
      <c r="BI473" s="763" t="b">
        <f>IFERROR(__xludf.DUMMYFUNCTION("""COMPUTED_VALUE"""),TRUE)</f>
        <v>1</v>
      </c>
      <c r="BJ473" s="763" t="b">
        <f>IFERROR(__xludf.DUMMYFUNCTION("""COMPUTED_VALUE"""),TRUE)</f>
        <v>1</v>
      </c>
    </row>
    <row r="474">
      <c r="A474" s="763">
        <f>IFERROR(__xludf.DUMMYFUNCTION("""COMPUTED_VALUE"""),65797.0)</f>
        <v>65797</v>
      </c>
      <c r="B474" s="763">
        <f>IFERROR(__xludf.DUMMYFUNCTION("""COMPUTED_VALUE"""),65797.0)</f>
        <v>65797</v>
      </c>
      <c r="C474" s="763" t="str">
        <f>IFERROR(__xludf.DUMMYFUNCTION("""COMPUTED_VALUE"""),"2025-11-05 17:49:00")</f>
        <v>2025-11-05 17:49:00</v>
      </c>
      <c r="D474" s="763" t="str">
        <f>IFERROR(__xludf.DUMMYFUNCTION("""COMPUTED_VALUE"""),"completed")</f>
        <v>completed</v>
      </c>
      <c r="E474" s="763" t="str">
        <f>IFERROR(__xludf.DUMMYFUNCTION("""COMPUTED_VALUE"""),"Maria Claudia")</f>
        <v>Maria Claudia</v>
      </c>
      <c r="F474" s="763" t="str">
        <f>IFERROR(__xludf.DUMMYFUNCTION("""COMPUTED_VALUE"""),"Congiu")</f>
        <v>Congiu</v>
      </c>
      <c r="G474" s="763" t="str">
        <f>IFERROR(__xludf.DUMMYFUNCTION("""COMPUTED_VALUE"""),"claudia_congiu@yahoo.it")</f>
        <v>claudia_congiu@yahoo.it</v>
      </c>
      <c r="H474" s="763">
        <f>IFERROR(__xludf.DUMMYFUNCTION("""COMPUTED_VALUE"""),3.29244628E9)</f>
        <v>3292446280</v>
      </c>
      <c r="I474" s="763" t="str">
        <f>IFERROR(__xludf.DUMMYFUNCTION("""COMPUTED_VALUE"""),"Milano")</f>
        <v>Milano</v>
      </c>
      <c r="J474" s="763" t="str">
        <f>IFERROR(__xludf.DUMMYFUNCTION("""COMPUTED_VALUE"""),"Via della Martinella 5")</f>
        <v>Via della Martinella 5</v>
      </c>
      <c r="K474" s="763">
        <f>IFERROR(__xludf.DUMMYFUNCTION("""COMPUTED_VALUE"""),20152.0)</f>
        <v>20152</v>
      </c>
      <c r="L474" s="763"/>
      <c r="M474" s="763"/>
      <c r="N474" s="763"/>
      <c r="O474" s="763">
        <f>IFERROR(__xludf.DUMMYFUNCTION("""COMPUTED_VALUE"""),0.0)</f>
        <v>0</v>
      </c>
      <c r="P474" s="767">
        <f>IFERROR(__xludf.DUMMYFUNCTION("""COMPUTED_VALUE"""),0.0)</f>
        <v>0</v>
      </c>
      <c r="Q474" s="763" t="str">
        <f>IFERROR(__xludf.DUMMYFUNCTION("""COMPUTED_VALUE"""),"EUR")</f>
        <v>EUR</v>
      </c>
      <c r="R474" s="763">
        <f>IFERROR(__xludf.DUMMYFUNCTION("""COMPUTED_VALUE"""),932.0)</f>
        <v>932</v>
      </c>
      <c r="S474" s="763" t="str">
        <f>IFERROR(__xludf.DUMMYFUNCTION("""COMPUTED_VALUE"""),"Domeniche in movimento - Gratuito per open ballo gestualità con Consuelo")</f>
        <v>Domeniche in movimento - Gratuito per open ballo gestualità con Consuelo</v>
      </c>
      <c r="T474" s="763"/>
      <c r="U474" s="763"/>
      <c r="V474" s="763">
        <f>IFERROR(__xludf.DUMMYFUNCTION("""COMPUTED_VALUE"""),1.0)</f>
        <v>1</v>
      </c>
      <c r="W474" s="763">
        <f>IFERROR(__xludf.DUMMYFUNCTION("""COMPUTED_VALUE"""),0.0)</f>
        <v>0</v>
      </c>
      <c r="X474" s="763">
        <f>IFERROR(__xludf.DUMMYFUNCTION("""COMPUTED_VALUE"""),0.0)</f>
        <v>0</v>
      </c>
      <c r="Y474" s="763"/>
      <c r="Z474" s="768" t="str">
        <f>IFERROR(__xludf.DUMMYFUNCTION("""COMPUTED_VALUE"""),"https://studio-gem.it/wp-admin/post.php?post=65797&amp;action=edit")</f>
        <v>https://studio-gem.it/wp-admin/post.php?post=65797&amp;action=edit</v>
      </c>
      <c r="AA474" s="763"/>
      <c r="AB474" s="763"/>
      <c r="AC474" s="763"/>
      <c r="AD474" s="763"/>
      <c r="AE474" s="763"/>
      <c r="AF474" s="763"/>
      <c r="AG474" s="763"/>
      <c r="AH474" s="763"/>
      <c r="AI474" s="763"/>
      <c r="AJ474" s="763"/>
      <c r="AK474" s="763"/>
      <c r="AL474" s="763"/>
      <c r="AM474" s="763"/>
      <c r="AN474" s="763"/>
      <c r="AO474" s="763"/>
      <c r="AP474" s="763"/>
      <c r="AQ474" s="763"/>
      <c r="AR474" s="763"/>
      <c r="AS474" s="763"/>
      <c r="AT474" s="763"/>
      <c r="AU474" s="763"/>
      <c r="AV474" s="763"/>
      <c r="AW474" s="763"/>
      <c r="AX474" s="763"/>
      <c r="AY474" s="763"/>
      <c r="AZ474" s="763"/>
      <c r="BA474" s="763"/>
      <c r="BB474" s="763"/>
      <c r="BC474" s="763"/>
      <c r="BD474" s="763"/>
      <c r="BE474" s="763"/>
      <c r="BF474" s="763"/>
      <c r="BG474" s="763" t="b">
        <f>IFERROR(__xludf.DUMMYFUNCTION("""COMPUTED_VALUE"""),FALSE)</f>
        <v>0</v>
      </c>
      <c r="BH474" s="763" t="b">
        <f>IFERROR(__xludf.DUMMYFUNCTION("""COMPUTED_VALUE"""),FALSE)</f>
        <v>0</v>
      </c>
      <c r="BI474" s="763" t="b">
        <f>IFERROR(__xludf.DUMMYFUNCTION("""COMPUTED_VALUE"""),FALSE)</f>
        <v>0</v>
      </c>
      <c r="BJ474" s="763" t="b">
        <f>IFERROR(__xludf.DUMMYFUNCTION("""COMPUTED_VALUE"""),FALSE)</f>
        <v>0</v>
      </c>
    </row>
    <row r="475">
      <c r="A475" s="763">
        <f>IFERROR(__xludf.DUMMYFUNCTION("""COMPUTED_VALUE"""),65800.0)</f>
        <v>65800</v>
      </c>
      <c r="B475" s="763">
        <f>IFERROR(__xludf.DUMMYFUNCTION("""COMPUTED_VALUE"""),65800.0)</f>
        <v>65800</v>
      </c>
      <c r="C475" s="763" t="str">
        <f>IFERROR(__xludf.DUMMYFUNCTION("""COMPUTED_VALUE"""),"2025-11-05 20:32:24")</f>
        <v>2025-11-05 20:32:24</v>
      </c>
      <c r="D475" s="763" t="str">
        <f>IFERROR(__xludf.DUMMYFUNCTION("""COMPUTED_VALUE"""),"completed")</f>
        <v>completed</v>
      </c>
      <c r="E475" s="763" t="str">
        <f>IFERROR(__xludf.DUMMYFUNCTION("""COMPUTED_VALUE"""),"Elena")</f>
        <v>Elena</v>
      </c>
      <c r="F475" s="763" t="str">
        <f>IFERROR(__xludf.DUMMYFUNCTION("""COMPUTED_VALUE"""),"Tellini")</f>
        <v>Tellini</v>
      </c>
      <c r="G475" s="763" t="str">
        <f>IFERROR(__xludf.DUMMYFUNCTION("""COMPUTED_VALUE"""),"tellini.elena@gmail.com")</f>
        <v>tellini.elena@gmail.com</v>
      </c>
      <c r="H475" s="763">
        <f>IFERROR(__xludf.DUMMYFUNCTION("""COMPUTED_VALUE"""),3.290782335E9)</f>
        <v>3290782335</v>
      </c>
      <c r="I475" s="763" t="str">
        <f>IFERROR(__xludf.DUMMYFUNCTION("""COMPUTED_VALUE"""),"Palmanova")</f>
        <v>Palmanova</v>
      </c>
      <c r="J475" s="763" t="str">
        <f>IFERROR(__xludf.DUMMYFUNCTION("""COMPUTED_VALUE"""),"Via dei Gelsi 36")</f>
        <v>Via dei Gelsi 36</v>
      </c>
      <c r="K475" s="763">
        <f>IFERROR(__xludf.DUMMYFUNCTION("""COMPUTED_VALUE"""),33057.0)</f>
        <v>33057</v>
      </c>
      <c r="L475" s="763" t="str">
        <f>IFERROR(__xludf.DUMMYFUNCTION("""COMPUTED_VALUE"""),"Apple Pay")</f>
        <v>Apple Pay</v>
      </c>
      <c r="M475" s="763" t="str">
        <f>IFERROR(__xludf.DUMMYFUNCTION("""COMPUTED_VALUE"""),"alexandra02ws")</f>
        <v>alexandra02ws</v>
      </c>
      <c r="N475" s="763" t="str">
        <f>IFERROR(__xludf.DUMMYFUNCTION("""COMPUTED_VALUE"""),"65800-1762374746")</f>
        <v>65800-1762374746</v>
      </c>
      <c r="O475" s="763">
        <f>IFERROR(__xludf.DUMMYFUNCTION("""COMPUTED_VALUE"""),0.0)</f>
        <v>0</v>
      </c>
      <c r="P475" s="767">
        <f>IFERROR(__xludf.DUMMYFUNCTION("""COMPUTED_VALUE"""),1.4583333333333333)</f>
        <v>1.458333333</v>
      </c>
      <c r="Q475" s="763" t="str">
        <f>IFERROR(__xludf.DUMMYFUNCTION("""COMPUTED_VALUE"""),"EUR")</f>
        <v>EUR</v>
      </c>
      <c r="R475" s="763">
        <f>IFERROR(__xludf.DUMMYFUNCTION("""COMPUTED_VALUE"""),933.0)</f>
        <v>933</v>
      </c>
      <c r="S475" s="763" t="str">
        <f>IFERROR(__xludf.DUMMYFUNCTION("""COMPUTED_VALUE"""),"Workshop Heels con Deborah Esposito - Workshop Heels con Deborah Esposito")</f>
        <v>Workshop Heels con Deborah Esposito - Workshop Heels con Deborah Esposito</v>
      </c>
      <c r="T475" s="763"/>
      <c r="U475" s="763"/>
      <c r="V475" s="763">
        <f>IFERROR(__xludf.DUMMYFUNCTION("""COMPUTED_VALUE"""),1.0)</f>
        <v>1</v>
      </c>
      <c r="W475" s="763">
        <f>IFERROR(__xludf.DUMMYFUNCTION("""COMPUTED_VALUE"""),35.0)</f>
        <v>35</v>
      </c>
      <c r="X475" s="763">
        <f>IFERROR(__xludf.DUMMYFUNCTION("""COMPUTED_VALUE"""),35.0)</f>
        <v>35</v>
      </c>
      <c r="Y475" s="763"/>
      <c r="Z475" s="768" t="str">
        <f>IFERROR(__xludf.DUMMYFUNCTION("""COMPUTED_VALUE"""),"https://studio-gem.it/wp-admin/post.php?post=65800&amp;action=edit")</f>
        <v>https://studio-gem.it/wp-admin/post.php?post=65800&amp;action=edit</v>
      </c>
      <c r="AA475" s="763"/>
      <c r="AB475" s="763"/>
      <c r="AC475" s="763"/>
      <c r="AD475" s="763"/>
      <c r="AE475" s="763"/>
      <c r="AF475" s="763"/>
      <c r="AG475" s="763"/>
      <c r="AH475" s="763"/>
      <c r="AI475" s="763"/>
      <c r="AJ475" s="763"/>
      <c r="AK475" s="763"/>
      <c r="AL475" s="763"/>
      <c r="AM475" s="763"/>
      <c r="AN475" s="763"/>
      <c r="AO475" s="763"/>
      <c r="AP475" s="763"/>
      <c r="AQ475" s="763"/>
      <c r="AR475" s="763"/>
      <c r="AS475" s="763"/>
      <c r="AT475" s="763"/>
      <c r="AU475" s="763"/>
      <c r="AV475" s="763"/>
      <c r="AW475" s="763"/>
      <c r="AX475" s="763"/>
      <c r="AY475" s="763"/>
      <c r="AZ475" s="763"/>
      <c r="BA475" s="763"/>
      <c r="BB475" s="763"/>
      <c r="BC475" s="763"/>
      <c r="BD475" s="763"/>
      <c r="BE475" s="763"/>
      <c r="BF475" s="763"/>
      <c r="BG475" s="763" t="b">
        <f>IFERROR(__xludf.DUMMYFUNCTION("""COMPUTED_VALUE"""),TRUE)</f>
        <v>1</v>
      </c>
      <c r="BH475" s="763" t="b">
        <f>IFERROR(__xludf.DUMMYFUNCTION("""COMPUTED_VALUE"""),FALSE)</f>
        <v>0</v>
      </c>
      <c r="BI475" s="763" t="b">
        <f>IFERROR(__xludf.DUMMYFUNCTION("""COMPUTED_VALUE"""),TRUE)</f>
        <v>1</v>
      </c>
      <c r="BJ475" s="763" t="b">
        <f>IFERROR(__xludf.DUMMYFUNCTION("""COMPUTED_VALUE"""),TRUE)</f>
        <v>1</v>
      </c>
    </row>
    <row r="476">
      <c r="A476" s="763">
        <f>IFERROR(__xludf.DUMMYFUNCTION("""COMPUTED_VALUE"""),65803.0)</f>
        <v>65803</v>
      </c>
      <c r="B476" s="763">
        <f>IFERROR(__xludf.DUMMYFUNCTION("""COMPUTED_VALUE"""),65803.0)</f>
        <v>65803</v>
      </c>
      <c r="C476" s="763" t="str">
        <f>IFERROR(__xludf.DUMMYFUNCTION("""COMPUTED_VALUE"""),"2025-11-05 21:55:56")</f>
        <v>2025-11-05 21:55:56</v>
      </c>
      <c r="D476" s="763" t="str">
        <f>IFERROR(__xludf.DUMMYFUNCTION("""COMPUTED_VALUE"""),"processing")</f>
        <v>processing</v>
      </c>
      <c r="E476" s="763" t="str">
        <f>IFERROR(__xludf.DUMMYFUNCTION("""COMPUTED_VALUE"""),"Laura")</f>
        <v>Laura</v>
      </c>
      <c r="F476" s="763" t="str">
        <f>IFERROR(__xludf.DUMMYFUNCTION("""COMPUTED_VALUE"""),"Chofré Catalán")</f>
        <v>Chofré Catalán</v>
      </c>
      <c r="G476" s="763" t="str">
        <f>IFERROR(__xludf.DUMMYFUNCTION("""COMPUTED_VALUE"""),"laurachofre2@gmail.com")</f>
        <v>laurachofre2@gmail.com</v>
      </c>
      <c r="H476" s="763">
        <f>IFERROR(__xludf.DUMMYFUNCTION("""COMPUTED_VALUE"""),6.89658437E8)</f>
        <v>689658437</v>
      </c>
      <c r="I476" s="763" t="str">
        <f>IFERROR(__xludf.DUMMYFUNCTION("""COMPUTED_VALUE"""),"Milán")</f>
        <v>Milán</v>
      </c>
      <c r="J476" s="763" t="str">
        <f>IFERROR(__xludf.DUMMYFUNCTION("""COMPUTED_VALUE"""),"Vía alda Merino")</f>
        <v>Vía alda Merino</v>
      </c>
      <c r="K476" s="763">
        <f>IFERROR(__xludf.DUMMYFUNCTION("""COMPUTED_VALUE"""),46182.0)</f>
        <v>46182</v>
      </c>
      <c r="L476" s="763" t="str">
        <f>IFERROR(__xludf.DUMMYFUNCTION("""COMPUTED_VALUE"""),"Carte di pagamento")</f>
        <v>Carte di pagamento</v>
      </c>
      <c r="M476" s="763"/>
      <c r="N476" s="763" t="str">
        <f>IFERROR(__xludf.DUMMYFUNCTION("""COMPUTED_VALUE"""),"65803-1762379757")</f>
        <v>65803-1762379757</v>
      </c>
      <c r="O476" s="763">
        <f>IFERROR(__xludf.DUMMYFUNCTION("""COMPUTED_VALUE"""),0.0)</f>
        <v>0</v>
      </c>
      <c r="P476" s="767">
        <f>IFERROR(__xludf.DUMMYFUNCTION("""COMPUTED_VALUE"""),1.5416666666666667)</f>
        <v>1.541666667</v>
      </c>
      <c r="Q476" s="763" t="str">
        <f>IFERROR(__xludf.DUMMYFUNCTION("""COMPUTED_VALUE"""),"EUR")</f>
        <v>EUR</v>
      </c>
      <c r="R476" s="763">
        <f>IFERROR(__xludf.DUMMYFUNCTION("""COMPUTED_VALUE"""),935.0)</f>
        <v>935</v>
      </c>
      <c r="S476" s="763" t="str">
        <f>IFERROR(__xludf.DUMMYFUNCTION("""COMPUTED_VALUE"""),"Workshop Heels con Deborah Esposito - Workshop Heels con Deborah Esposito")</f>
        <v>Workshop Heels con Deborah Esposito - Workshop Heels con Deborah Esposito</v>
      </c>
      <c r="T476" s="763"/>
      <c r="U476" s="763"/>
      <c r="V476" s="763">
        <f>IFERROR(__xludf.DUMMYFUNCTION("""COMPUTED_VALUE"""),1.0)</f>
        <v>1</v>
      </c>
      <c r="W476" s="763">
        <f>IFERROR(__xludf.DUMMYFUNCTION("""COMPUTED_VALUE"""),37.0)</f>
        <v>37</v>
      </c>
      <c r="X476" s="763">
        <f>IFERROR(__xludf.DUMMYFUNCTION("""COMPUTED_VALUE"""),37.0)</f>
        <v>37</v>
      </c>
      <c r="Y476" s="763"/>
      <c r="Z476" s="768" t="str">
        <f>IFERROR(__xludf.DUMMYFUNCTION("""COMPUTED_VALUE"""),"https://studio-gem.it/wp-admin/post.php?post=65803&amp;action=edit")</f>
        <v>https://studio-gem.it/wp-admin/post.php?post=65803&amp;action=edit</v>
      </c>
      <c r="AA476" s="763"/>
      <c r="AB476" s="763"/>
      <c r="AC476" s="763"/>
      <c r="AD476" s="763"/>
      <c r="AE476" s="763"/>
      <c r="AF476" s="763"/>
      <c r="AG476" s="763"/>
      <c r="AH476" s="763"/>
      <c r="AI476" s="763"/>
      <c r="AJ476" s="763"/>
      <c r="AK476" s="763"/>
      <c r="AL476" s="763"/>
      <c r="AM476" s="763"/>
      <c r="AN476" s="763"/>
      <c r="AO476" s="763"/>
      <c r="AP476" s="763"/>
      <c r="AQ476" s="763"/>
      <c r="AR476" s="763"/>
      <c r="AS476" s="763"/>
      <c r="AT476" s="763"/>
      <c r="AU476" s="763"/>
      <c r="AV476" s="763"/>
      <c r="AW476" s="763"/>
      <c r="AX476" s="763"/>
      <c r="AY476" s="763"/>
      <c r="AZ476" s="763"/>
      <c r="BA476" s="763"/>
      <c r="BB476" s="763"/>
      <c r="BC476" s="763"/>
      <c r="BD476" s="763"/>
      <c r="BE476" s="763"/>
      <c r="BF476" s="763"/>
      <c r="BG476" s="763" t="b">
        <f>IFERROR(__xludf.DUMMYFUNCTION("""COMPUTED_VALUE"""),TRUE)</f>
        <v>1</v>
      </c>
      <c r="BH476" s="763" t="b">
        <f>IFERROR(__xludf.DUMMYFUNCTION("""COMPUTED_VALUE"""),FALSE)</f>
        <v>0</v>
      </c>
      <c r="BI476" s="763" t="b">
        <f>IFERROR(__xludf.DUMMYFUNCTION("""COMPUTED_VALUE"""),TRUE)</f>
        <v>1</v>
      </c>
      <c r="BJ476" s="763" t="b">
        <f>IFERROR(__xludf.DUMMYFUNCTION("""COMPUTED_VALUE"""),TRUE)</f>
        <v>1</v>
      </c>
    </row>
    <row r="477">
      <c r="A477" s="763">
        <f>IFERROR(__xludf.DUMMYFUNCTION("""COMPUTED_VALUE"""),65806.0)</f>
        <v>65806</v>
      </c>
      <c r="B477" s="763">
        <f>IFERROR(__xludf.DUMMYFUNCTION("""COMPUTED_VALUE"""),65806.0)</f>
        <v>65806</v>
      </c>
      <c r="C477" s="763" t="str">
        <f>IFERROR(__xludf.DUMMYFUNCTION("""COMPUTED_VALUE"""),"2025-11-06 11:30:32")</f>
        <v>2025-11-06 11:30:32</v>
      </c>
      <c r="D477" s="763" t="str">
        <f>IFERROR(__xludf.DUMMYFUNCTION("""COMPUTED_VALUE"""),"processing")</f>
        <v>processing</v>
      </c>
      <c r="E477" s="763" t="str">
        <f>IFERROR(__xludf.DUMMYFUNCTION("""COMPUTED_VALUE"""),"Veronica")</f>
        <v>Veronica</v>
      </c>
      <c r="F477" s="763" t="str">
        <f>IFERROR(__xludf.DUMMYFUNCTION("""COMPUTED_VALUE"""),"Chittaro")</f>
        <v>Chittaro</v>
      </c>
      <c r="G477" s="763" t="str">
        <f>IFERROR(__xludf.DUMMYFUNCTION("""COMPUTED_VALUE"""),"veronicachittaro1@gmail.com")</f>
        <v>veronicachittaro1@gmail.com</v>
      </c>
      <c r="H477" s="763">
        <f>IFERROR(__xludf.DUMMYFUNCTION("""COMPUTED_VALUE"""),3.486902926E9)</f>
        <v>3486902926</v>
      </c>
      <c r="I477" s="763" t="str">
        <f>IFERROR(__xludf.DUMMYFUNCTION("""COMPUTED_VALUE"""),"Milano")</f>
        <v>Milano</v>
      </c>
      <c r="J477" s="763" t="str">
        <f>IFERROR(__xludf.DUMMYFUNCTION("""COMPUTED_VALUE"""),"Via Accademia 29")</f>
        <v>Via Accademia 29</v>
      </c>
      <c r="K477" s="763">
        <f>IFERROR(__xludf.DUMMYFUNCTION("""COMPUTED_VALUE"""),20131.0)</f>
        <v>20131</v>
      </c>
      <c r="L477" s="763" t="str">
        <f>IFERROR(__xludf.DUMMYFUNCTION("""COMPUTED_VALUE"""),"Carte di pagamento")</f>
        <v>Carte di pagamento</v>
      </c>
      <c r="M477" s="763" t="str">
        <f>IFERROR(__xludf.DUMMYFUNCTION("""COMPUTED_VALUE"""),"alexandra02ws")</f>
        <v>alexandra02ws</v>
      </c>
      <c r="N477" s="763" t="str">
        <f>IFERROR(__xludf.DUMMYFUNCTION("""COMPUTED_VALUE"""),"65806-1762428633")</f>
        <v>65806-1762428633</v>
      </c>
      <c r="O477" s="763">
        <f>IFERROR(__xludf.DUMMYFUNCTION("""COMPUTED_VALUE"""),0.0)</f>
        <v>0</v>
      </c>
      <c r="P477" s="767">
        <f>IFERROR(__xludf.DUMMYFUNCTION("""COMPUTED_VALUE"""),1.4583333333333333)</f>
        <v>1.458333333</v>
      </c>
      <c r="Q477" s="763" t="str">
        <f>IFERROR(__xludf.DUMMYFUNCTION("""COMPUTED_VALUE"""),"EUR")</f>
        <v>EUR</v>
      </c>
      <c r="R477" s="763">
        <f>IFERROR(__xludf.DUMMYFUNCTION("""COMPUTED_VALUE"""),936.0)</f>
        <v>936</v>
      </c>
      <c r="S477" s="763" t="str">
        <f>IFERROR(__xludf.DUMMYFUNCTION("""COMPUTED_VALUE"""),"Workshop Heels con Deborah Esposito - Workshop Heels con Deborah Esposito")</f>
        <v>Workshop Heels con Deborah Esposito - Workshop Heels con Deborah Esposito</v>
      </c>
      <c r="T477" s="763"/>
      <c r="U477" s="763"/>
      <c r="V477" s="763">
        <f>IFERROR(__xludf.DUMMYFUNCTION("""COMPUTED_VALUE"""),1.0)</f>
        <v>1</v>
      </c>
      <c r="W477" s="763">
        <f>IFERROR(__xludf.DUMMYFUNCTION("""COMPUTED_VALUE"""),35.0)</f>
        <v>35</v>
      </c>
      <c r="X477" s="763">
        <f>IFERROR(__xludf.DUMMYFUNCTION("""COMPUTED_VALUE"""),35.0)</f>
        <v>35</v>
      </c>
      <c r="Y477" s="763"/>
      <c r="Z477" s="768" t="str">
        <f>IFERROR(__xludf.DUMMYFUNCTION("""COMPUTED_VALUE"""),"https://studio-gem.it/wp-admin/post.php?post=65806&amp;action=edit")</f>
        <v>https://studio-gem.it/wp-admin/post.php?post=65806&amp;action=edit</v>
      </c>
      <c r="AA477" s="763"/>
      <c r="AB477" s="763"/>
      <c r="AC477" s="763"/>
      <c r="AD477" s="763"/>
      <c r="AE477" s="763"/>
      <c r="AF477" s="763"/>
      <c r="AG477" s="763"/>
      <c r="AH477" s="763"/>
      <c r="AI477" s="763"/>
      <c r="AJ477" s="763"/>
      <c r="AK477" s="763"/>
      <c r="AL477" s="763"/>
      <c r="AM477" s="763"/>
      <c r="AN477" s="763"/>
      <c r="AO477" s="763"/>
      <c r="AP477" s="763"/>
      <c r="AQ477" s="763"/>
      <c r="AR477" s="763"/>
      <c r="AS477" s="763"/>
      <c r="AT477" s="763"/>
      <c r="AU477" s="763"/>
      <c r="AV477" s="763"/>
      <c r="AW477" s="763"/>
      <c r="AX477" s="763"/>
      <c r="AY477" s="763"/>
      <c r="AZ477" s="763"/>
      <c r="BA477" s="763"/>
      <c r="BB477" s="763"/>
      <c r="BC477" s="763"/>
      <c r="BD477" s="763"/>
      <c r="BE477" s="763"/>
      <c r="BF477" s="763"/>
      <c r="BG477" s="763" t="b">
        <f>IFERROR(__xludf.DUMMYFUNCTION("""COMPUTED_VALUE"""),TRUE)</f>
        <v>1</v>
      </c>
      <c r="BH477" s="763" t="b">
        <f>IFERROR(__xludf.DUMMYFUNCTION("""COMPUTED_VALUE"""),FALSE)</f>
        <v>0</v>
      </c>
      <c r="BI477" s="763" t="b">
        <f>IFERROR(__xludf.DUMMYFUNCTION("""COMPUTED_VALUE"""),TRUE)</f>
        <v>1</v>
      </c>
      <c r="BJ477" s="763" t="b">
        <f>IFERROR(__xludf.DUMMYFUNCTION("""COMPUTED_VALUE"""),TRUE)</f>
        <v>1</v>
      </c>
    </row>
    <row r="478">
      <c r="A478" s="763">
        <f>IFERROR(__xludf.DUMMYFUNCTION("""COMPUTED_VALUE"""),65807.0)</f>
        <v>65807</v>
      </c>
      <c r="B478" s="763">
        <f>IFERROR(__xludf.DUMMYFUNCTION("""COMPUTED_VALUE"""),65807.0)</f>
        <v>65807</v>
      </c>
      <c r="C478" s="763" t="str">
        <f>IFERROR(__xludf.DUMMYFUNCTION("""COMPUTED_VALUE"""),"2025-11-06 13:15:57")</f>
        <v>2025-11-06 13:15:57</v>
      </c>
      <c r="D478" s="763" t="str">
        <f>IFERROR(__xludf.DUMMYFUNCTION("""COMPUTED_VALUE"""),"completed")</f>
        <v>completed</v>
      </c>
      <c r="E478" s="763" t="str">
        <f>IFERROR(__xludf.DUMMYFUNCTION("""COMPUTED_VALUE"""),"Monica")</f>
        <v>Monica</v>
      </c>
      <c r="F478" s="763" t="str">
        <f>IFERROR(__xludf.DUMMYFUNCTION("""COMPUTED_VALUE"""),"Orsini")</f>
        <v>Orsini</v>
      </c>
      <c r="G478" s="763" t="str">
        <f>IFERROR(__xludf.DUMMYFUNCTION("""COMPUTED_VALUE"""),"monica.o@hotmail.it")</f>
        <v>monica.o@hotmail.it</v>
      </c>
      <c r="H478" s="763">
        <f>IFERROR(__xludf.DUMMYFUNCTION("""COMPUTED_VALUE"""),3.92336326E9)</f>
        <v>3923363260</v>
      </c>
      <c r="I478" s="763" t="str">
        <f>IFERROR(__xludf.DUMMYFUNCTION("""COMPUTED_VALUE"""),"Valenza")</f>
        <v>Valenza</v>
      </c>
      <c r="J478" s="763" t="str">
        <f>IFERROR(__xludf.DUMMYFUNCTION("""COMPUTED_VALUE"""),"Circonvallazione ovest 55")</f>
        <v>Circonvallazione ovest 55</v>
      </c>
      <c r="K478" s="763">
        <f>IFERROR(__xludf.DUMMYFUNCTION("""COMPUTED_VALUE"""),15048.0)</f>
        <v>15048</v>
      </c>
      <c r="L478" s="763" t="str">
        <f>IFERROR(__xludf.DUMMYFUNCTION("""COMPUTED_VALUE"""),"Carte di pagamento")</f>
        <v>Carte di pagamento</v>
      </c>
      <c r="M478" s="763"/>
      <c r="N478" s="763" t="str">
        <f>IFERROR(__xludf.DUMMYFUNCTION("""COMPUTED_VALUE"""),"65807-1762434958")</f>
        <v>65807-1762434958</v>
      </c>
      <c r="O478" s="763">
        <f>IFERROR(__xludf.DUMMYFUNCTION("""COMPUTED_VALUE"""),0.0)</f>
        <v>0</v>
      </c>
      <c r="P478" s="767">
        <f>IFERROR(__xludf.DUMMYFUNCTION("""COMPUTED_VALUE"""),1.5416666666666667)</f>
        <v>1.541666667</v>
      </c>
      <c r="Q478" s="763" t="str">
        <f>IFERROR(__xludf.DUMMYFUNCTION("""COMPUTED_VALUE"""),"EUR")</f>
        <v>EUR</v>
      </c>
      <c r="R478" s="763">
        <f>IFERROR(__xludf.DUMMYFUNCTION("""COMPUTED_VALUE"""),938.0)</f>
        <v>938</v>
      </c>
      <c r="S478" s="763" t="str">
        <f>IFERROR(__xludf.DUMMYFUNCTION("""COMPUTED_VALUE"""),"Workshop Heels con Deborah Esposito - Workshop Heels con Deborah Esposito")</f>
        <v>Workshop Heels con Deborah Esposito - Workshop Heels con Deborah Esposito</v>
      </c>
      <c r="T478" s="763"/>
      <c r="U478" s="763"/>
      <c r="V478" s="763">
        <f>IFERROR(__xludf.DUMMYFUNCTION("""COMPUTED_VALUE"""),1.0)</f>
        <v>1</v>
      </c>
      <c r="W478" s="763">
        <f>IFERROR(__xludf.DUMMYFUNCTION("""COMPUTED_VALUE"""),37.0)</f>
        <v>37</v>
      </c>
      <c r="X478" s="763">
        <f>IFERROR(__xludf.DUMMYFUNCTION("""COMPUTED_VALUE"""),37.0)</f>
        <v>37</v>
      </c>
      <c r="Y478" s="763"/>
      <c r="Z478" s="768" t="str">
        <f>IFERROR(__xludf.DUMMYFUNCTION("""COMPUTED_VALUE"""),"https://studio-gem.it/wp-admin/post.php?post=65807&amp;action=edit")</f>
        <v>https://studio-gem.it/wp-admin/post.php?post=65807&amp;action=edit</v>
      </c>
      <c r="AA478" s="763"/>
      <c r="AB478" s="763"/>
      <c r="AC478" s="763"/>
      <c r="AD478" s="763"/>
      <c r="AE478" s="763"/>
      <c r="AF478" s="763"/>
      <c r="AG478" s="763"/>
      <c r="AH478" s="763"/>
      <c r="AI478" s="763"/>
      <c r="AJ478" s="763"/>
      <c r="AK478" s="763"/>
      <c r="AL478" s="763"/>
      <c r="AM478" s="763"/>
      <c r="AN478" s="763"/>
      <c r="AO478" s="763"/>
      <c r="AP478" s="763"/>
      <c r="AQ478" s="763"/>
      <c r="AR478" s="763"/>
      <c r="AS478" s="763"/>
      <c r="AT478" s="763"/>
      <c r="AU478" s="763"/>
      <c r="AV478" s="763"/>
      <c r="AW478" s="763"/>
      <c r="AX478" s="763"/>
      <c r="AY478" s="763"/>
      <c r="AZ478" s="763"/>
      <c r="BA478" s="763"/>
      <c r="BB478" s="763"/>
      <c r="BC478" s="763"/>
      <c r="BD478" s="763"/>
      <c r="BE478" s="763"/>
      <c r="BF478" s="763"/>
      <c r="BG478" s="763" t="b">
        <f>IFERROR(__xludf.DUMMYFUNCTION("""COMPUTED_VALUE"""),TRUE)</f>
        <v>1</v>
      </c>
      <c r="BH478" s="763" t="b">
        <f>IFERROR(__xludf.DUMMYFUNCTION("""COMPUTED_VALUE"""),FALSE)</f>
        <v>0</v>
      </c>
      <c r="BI478" s="763" t="b">
        <f>IFERROR(__xludf.DUMMYFUNCTION("""COMPUTED_VALUE"""),TRUE)</f>
        <v>1</v>
      </c>
      <c r="BJ478" s="763" t="b">
        <f>IFERROR(__xludf.DUMMYFUNCTION("""COMPUTED_VALUE"""),TRUE)</f>
        <v>1</v>
      </c>
    </row>
    <row r="479">
      <c r="A479" s="763">
        <f>IFERROR(__xludf.DUMMYFUNCTION("""COMPUTED_VALUE"""),65809.0)</f>
        <v>65809</v>
      </c>
      <c r="B479" s="763">
        <f>IFERROR(__xludf.DUMMYFUNCTION("""COMPUTED_VALUE"""),65809.0)</f>
        <v>65809</v>
      </c>
      <c r="C479" s="763" t="str">
        <f>IFERROR(__xludf.DUMMYFUNCTION("""COMPUTED_VALUE"""),"2025-11-06 13:21:31")</f>
        <v>2025-11-06 13:21:31</v>
      </c>
      <c r="D479" s="763" t="str">
        <f>IFERROR(__xludf.DUMMYFUNCTION("""COMPUTED_VALUE"""),"completed")</f>
        <v>completed</v>
      </c>
      <c r="E479" s="763" t="str">
        <f>IFERROR(__xludf.DUMMYFUNCTION("""COMPUTED_VALUE"""),"Yasmin")</f>
        <v>Yasmin</v>
      </c>
      <c r="F479" s="763" t="str">
        <f>IFERROR(__xludf.DUMMYFUNCTION("""COMPUTED_VALUE"""),"Massa")</f>
        <v>Massa</v>
      </c>
      <c r="G479" s="763" t="str">
        <f>IFERROR(__xludf.DUMMYFUNCTION("""COMPUTED_VALUE"""),"massayasmine@gmail.com")</f>
        <v>massayasmine@gmail.com</v>
      </c>
      <c r="H479" s="763">
        <f>IFERROR(__xludf.DUMMYFUNCTION("""COMPUTED_VALUE"""),3.473639867E9)</f>
        <v>3473639867</v>
      </c>
      <c r="I479" s="763" t="str">
        <f>IFERROR(__xludf.DUMMYFUNCTION("""COMPUTED_VALUE"""),"O Ovada")</f>
        <v>O Ovada</v>
      </c>
      <c r="J479" s="763" t="str">
        <f>IFERROR(__xludf.DUMMYFUNCTION("""COMPUTED_VALUE"""),"Via Giovanni villa 21")</f>
        <v>Via Giovanni villa 21</v>
      </c>
      <c r="K479" s="763">
        <f>IFERROR(__xludf.DUMMYFUNCTION("""COMPUTED_VALUE"""),15076.0)</f>
        <v>15076</v>
      </c>
      <c r="L479" s="763" t="str">
        <f>IFERROR(__xludf.DUMMYFUNCTION("""COMPUTED_VALUE"""),"Apple Pay")</f>
        <v>Apple Pay</v>
      </c>
      <c r="M479" s="763"/>
      <c r="N479" s="763" t="str">
        <f>IFERROR(__xludf.DUMMYFUNCTION("""COMPUTED_VALUE"""),"65809-1762435472")</f>
        <v>65809-1762435472</v>
      </c>
      <c r="O479" s="763">
        <f>IFERROR(__xludf.DUMMYFUNCTION("""COMPUTED_VALUE"""),0.0)</f>
        <v>0</v>
      </c>
      <c r="P479" s="767">
        <f>IFERROR(__xludf.DUMMYFUNCTION("""COMPUTED_VALUE"""),1.5416666666666667)</f>
        <v>1.541666667</v>
      </c>
      <c r="Q479" s="763" t="str">
        <f>IFERROR(__xludf.DUMMYFUNCTION("""COMPUTED_VALUE"""),"EUR")</f>
        <v>EUR</v>
      </c>
      <c r="R479" s="763">
        <f>IFERROR(__xludf.DUMMYFUNCTION("""COMPUTED_VALUE"""),940.0)</f>
        <v>940</v>
      </c>
      <c r="S479" s="763" t="str">
        <f>IFERROR(__xludf.DUMMYFUNCTION("""COMPUTED_VALUE"""),"Workshop Heels con Deborah Esposito - Workshop Heels con Deborah Esposito")</f>
        <v>Workshop Heels con Deborah Esposito - Workshop Heels con Deborah Esposito</v>
      </c>
      <c r="T479" s="763"/>
      <c r="U479" s="763"/>
      <c r="V479" s="763">
        <f>IFERROR(__xludf.DUMMYFUNCTION("""COMPUTED_VALUE"""),1.0)</f>
        <v>1</v>
      </c>
      <c r="W479" s="763">
        <f>IFERROR(__xludf.DUMMYFUNCTION("""COMPUTED_VALUE"""),37.0)</f>
        <v>37</v>
      </c>
      <c r="X479" s="763">
        <f>IFERROR(__xludf.DUMMYFUNCTION("""COMPUTED_VALUE"""),37.0)</f>
        <v>37</v>
      </c>
      <c r="Y479" s="763"/>
      <c r="Z479" s="768" t="str">
        <f>IFERROR(__xludf.DUMMYFUNCTION("""COMPUTED_VALUE"""),"https://studio-gem.it/wp-admin/post.php?post=65809&amp;action=edit")</f>
        <v>https://studio-gem.it/wp-admin/post.php?post=65809&amp;action=edit</v>
      </c>
      <c r="AA479" s="763"/>
      <c r="AB479" s="763"/>
      <c r="AC479" s="763"/>
      <c r="AD479" s="763"/>
      <c r="AE479" s="763"/>
      <c r="AF479" s="763"/>
      <c r="AG479" s="763"/>
      <c r="AH479" s="763"/>
      <c r="AI479" s="763"/>
      <c r="AJ479" s="763"/>
      <c r="AK479" s="763"/>
      <c r="AL479" s="763"/>
      <c r="AM479" s="763"/>
      <c r="AN479" s="763"/>
      <c r="AO479" s="763"/>
      <c r="AP479" s="763"/>
      <c r="AQ479" s="763"/>
      <c r="AR479" s="763"/>
      <c r="AS479" s="763"/>
      <c r="AT479" s="763"/>
      <c r="AU479" s="763"/>
      <c r="AV479" s="763"/>
      <c r="AW479" s="763"/>
      <c r="AX479" s="763"/>
      <c r="AY479" s="763"/>
      <c r="AZ479" s="763"/>
      <c r="BA479" s="763"/>
      <c r="BB479" s="763"/>
      <c r="BC479" s="763"/>
      <c r="BD479" s="763"/>
      <c r="BE479" s="763"/>
      <c r="BF479" s="763"/>
      <c r="BG479" s="763" t="b">
        <f>IFERROR(__xludf.DUMMYFUNCTION("""COMPUTED_VALUE"""),TRUE)</f>
        <v>1</v>
      </c>
      <c r="BH479" s="763" t="b">
        <f>IFERROR(__xludf.DUMMYFUNCTION("""COMPUTED_VALUE"""),FALSE)</f>
        <v>0</v>
      </c>
      <c r="BI479" s="763" t="b">
        <f>IFERROR(__xludf.DUMMYFUNCTION("""COMPUTED_VALUE"""),TRUE)</f>
        <v>1</v>
      </c>
      <c r="BJ479" s="763" t="b">
        <f>IFERROR(__xludf.DUMMYFUNCTION("""COMPUTED_VALUE"""),TRUE)</f>
        <v>1</v>
      </c>
    </row>
    <row r="480">
      <c r="A480" s="763">
        <f>IFERROR(__xludf.DUMMYFUNCTION("""COMPUTED_VALUE"""),65816.0)</f>
        <v>65816</v>
      </c>
      <c r="B480" s="763">
        <f>IFERROR(__xludf.DUMMYFUNCTION("""COMPUTED_VALUE"""),65816.0)</f>
        <v>65816</v>
      </c>
      <c r="C480" s="763" t="str">
        <f>IFERROR(__xludf.DUMMYFUNCTION("""COMPUTED_VALUE"""),"2025-11-07 10:20:47")</f>
        <v>2025-11-07 10:20:47</v>
      </c>
      <c r="D480" s="763" t="str">
        <f>IFERROR(__xludf.DUMMYFUNCTION("""COMPUTED_VALUE"""),"completed")</f>
        <v>completed</v>
      </c>
      <c r="E480" s="763" t="str">
        <f>IFERROR(__xludf.DUMMYFUNCTION("""COMPUTED_VALUE"""),"Federica")</f>
        <v>Federica</v>
      </c>
      <c r="F480" s="763" t="str">
        <f>IFERROR(__xludf.DUMMYFUNCTION("""COMPUTED_VALUE"""),"Cerina")</f>
        <v>Cerina</v>
      </c>
      <c r="G480" s="763" t="str">
        <f>IFERROR(__xludf.DUMMYFUNCTION("""COMPUTED_VALUE"""),"fede.cerina@yahoo.it")</f>
        <v>fede.cerina@yahoo.it</v>
      </c>
      <c r="H480" s="763">
        <f>IFERROR(__xludf.DUMMYFUNCTION("""COMPUTED_VALUE"""),3.402195904E9)</f>
        <v>3402195904</v>
      </c>
      <c r="I480" s="763" t="str">
        <f>IFERROR(__xludf.DUMMYFUNCTION("""COMPUTED_VALUE"""),"Milano")</f>
        <v>Milano</v>
      </c>
      <c r="J480" s="763" t="str">
        <f>IFERROR(__xludf.DUMMYFUNCTION("""COMPUTED_VALUE"""),"Via Caminadella 13")</f>
        <v>Via Caminadella 13</v>
      </c>
      <c r="K480" s="763">
        <f>IFERROR(__xludf.DUMMYFUNCTION("""COMPUTED_VALUE"""),20123.0)</f>
        <v>20123</v>
      </c>
      <c r="L480" s="763" t="str">
        <f>IFERROR(__xludf.DUMMYFUNCTION("""COMPUTED_VALUE"""),"Apple Pay")</f>
        <v>Apple Pay</v>
      </c>
      <c r="M480" s="763"/>
      <c r="N480" s="763" t="str">
        <f>IFERROR(__xludf.DUMMYFUNCTION("""COMPUTED_VALUE"""),"65816-1762510848")</f>
        <v>65816-1762510848</v>
      </c>
      <c r="O480" s="763">
        <f>IFERROR(__xludf.DUMMYFUNCTION("""COMPUTED_VALUE"""),0.0)</f>
        <v>0</v>
      </c>
      <c r="P480" s="767">
        <f>IFERROR(__xludf.DUMMYFUNCTION("""COMPUTED_VALUE"""),1.5416666666666667)</f>
        <v>1.541666667</v>
      </c>
      <c r="Q480" s="763" t="str">
        <f>IFERROR(__xludf.DUMMYFUNCTION("""COMPUTED_VALUE"""),"EUR")</f>
        <v>EUR</v>
      </c>
      <c r="R480" s="763">
        <f>IFERROR(__xludf.DUMMYFUNCTION("""COMPUTED_VALUE"""),941.0)</f>
        <v>941</v>
      </c>
      <c r="S480" s="763" t="str">
        <f>IFERROR(__xludf.DUMMYFUNCTION("""COMPUTED_VALUE"""),"Workshop Heels con Deborah Esposito - Workshop Heels con Deborah Esposito")</f>
        <v>Workshop Heels con Deborah Esposito - Workshop Heels con Deborah Esposito</v>
      </c>
      <c r="T480" s="763"/>
      <c r="U480" s="763"/>
      <c r="V480" s="763">
        <f>IFERROR(__xludf.DUMMYFUNCTION("""COMPUTED_VALUE"""),1.0)</f>
        <v>1</v>
      </c>
      <c r="W480" s="763">
        <f>IFERROR(__xludf.DUMMYFUNCTION("""COMPUTED_VALUE"""),37.0)</f>
        <v>37</v>
      </c>
      <c r="X480" s="763">
        <f>IFERROR(__xludf.DUMMYFUNCTION("""COMPUTED_VALUE"""),37.0)</f>
        <v>37</v>
      </c>
      <c r="Y480" s="763"/>
      <c r="Z480" s="768" t="str">
        <f>IFERROR(__xludf.DUMMYFUNCTION("""COMPUTED_VALUE"""),"https://studio-gem.it/wp-admin/post.php?post=65816&amp;action=edit")</f>
        <v>https://studio-gem.it/wp-admin/post.php?post=65816&amp;action=edit</v>
      </c>
      <c r="AA480" s="763"/>
      <c r="AB480" s="763"/>
      <c r="AC480" s="763"/>
      <c r="AD480" s="763"/>
      <c r="AE480" s="763"/>
      <c r="AF480" s="763"/>
      <c r="AG480" s="763"/>
      <c r="AH480" s="763"/>
      <c r="AI480" s="763"/>
      <c r="AJ480" s="763"/>
      <c r="AK480" s="763"/>
      <c r="AL480" s="763"/>
      <c r="AM480" s="763"/>
      <c r="AN480" s="763"/>
      <c r="AO480" s="763"/>
      <c r="AP480" s="763"/>
      <c r="AQ480" s="763"/>
      <c r="AR480" s="763"/>
      <c r="AS480" s="763"/>
      <c r="AT480" s="763"/>
      <c r="AU480" s="763"/>
      <c r="AV480" s="763"/>
      <c r="AW480" s="763"/>
      <c r="AX480" s="763"/>
      <c r="AY480" s="763"/>
      <c r="AZ480" s="763"/>
      <c r="BA480" s="763"/>
      <c r="BB480" s="763"/>
      <c r="BC480" s="763"/>
      <c r="BD480" s="763"/>
      <c r="BE480" s="763"/>
      <c r="BF480" s="763"/>
      <c r="BG480" s="763" t="b">
        <f>IFERROR(__xludf.DUMMYFUNCTION("""COMPUTED_VALUE"""),TRUE)</f>
        <v>1</v>
      </c>
      <c r="BH480" s="763" t="b">
        <f>IFERROR(__xludf.DUMMYFUNCTION("""COMPUTED_VALUE"""),FALSE)</f>
        <v>0</v>
      </c>
      <c r="BI480" s="763" t="b">
        <f>IFERROR(__xludf.DUMMYFUNCTION("""COMPUTED_VALUE"""),TRUE)</f>
        <v>1</v>
      </c>
      <c r="BJ480" s="763" t="b">
        <f>IFERROR(__xludf.DUMMYFUNCTION("""COMPUTED_VALUE"""),TRUE)</f>
        <v>1</v>
      </c>
    </row>
    <row r="481">
      <c r="A481" s="763">
        <f>IFERROR(__xludf.DUMMYFUNCTION("""COMPUTED_VALUE"""),65818.0)</f>
        <v>65818</v>
      </c>
      <c r="B481" s="763">
        <f>IFERROR(__xludf.DUMMYFUNCTION("""COMPUTED_VALUE"""),65818.0)</f>
        <v>65818</v>
      </c>
      <c r="C481" s="763" t="str">
        <f>IFERROR(__xludf.DUMMYFUNCTION("""COMPUTED_VALUE"""),"2025-11-07 10:21:50")</f>
        <v>2025-11-07 10:21:50</v>
      </c>
      <c r="D481" s="763" t="str">
        <f>IFERROR(__xludf.DUMMYFUNCTION("""COMPUTED_VALUE"""),"pending")</f>
        <v>pending</v>
      </c>
      <c r="E481" s="763" t="str">
        <f>IFERROR(__xludf.DUMMYFUNCTION("""COMPUTED_VALUE"""),"Linda")</f>
        <v>Linda</v>
      </c>
      <c r="F481" s="763" t="str">
        <f>IFERROR(__xludf.DUMMYFUNCTION("""COMPUTED_VALUE"""),"Bertin")</f>
        <v>Bertin</v>
      </c>
      <c r="G481" s="763" t="str">
        <f>IFERROR(__xludf.DUMMYFUNCTION("""COMPUTED_VALUE"""),"lindabertin7@gmail.com")</f>
        <v>lindabertin7@gmail.com</v>
      </c>
      <c r="H481" s="763">
        <f>IFERROR(__xludf.DUMMYFUNCTION("""COMPUTED_VALUE"""),3.407692791E9)</f>
        <v>3407692791</v>
      </c>
      <c r="I481" s="763" t="str">
        <f>IFERROR(__xludf.DUMMYFUNCTION("""COMPUTED_VALUE"""),"MILANO")</f>
        <v>MILANO</v>
      </c>
      <c r="J481" s="763" t="str">
        <f>IFERROR(__xludf.DUMMYFUNCTION("""COMPUTED_VALUE"""),"via giambellino 106")</f>
        <v>via giambellino 106</v>
      </c>
      <c r="K481" s="763">
        <f>IFERROR(__xludf.DUMMYFUNCTION("""COMPUTED_VALUE"""),20146.0)</f>
        <v>20146</v>
      </c>
      <c r="L481" s="763" t="str">
        <f>IFERROR(__xludf.DUMMYFUNCTION("""COMPUTED_VALUE"""),"Carte di pagamento")</f>
        <v>Carte di pagamento</v>
      </c>
      <c r="M481" s="763"/>
      <c r="N481" s="763"/>
      <c r="O481" s="763">
        <f>IFERROR(__xludf.DUMMYFUNCTION("""COMPUTED_VALUE"""),0.0)</f>
        <v>0</v>
      </c>
      <c r="P481" s="767">
        <f>IFERROR(__xludf.DUMMYFUNCTION("""COMPUTED_VALUE"""),0.625)</f>
        <v>0.625</v>
      </c>
      <c r="Q481" s="763" t="str">
        <f>IFERROR(__xludf.DUMMYFUNCTION("""COMPUTED_VALUE"""),"EUR")</f>
        <v>EUR</v>
      </c>
      <c r="R481" s="763">
        <f>IFERROR(__xludf.DUMMYFUNCTION("""COMPUTED_VALUE"""),942.0)</f>
        <v>942</v>
      </c>
      <c r="S481" s="763" t="str">
        <f>IFERROR(__xludf.DUMMYFUNCTION("""COMPUTED_VALUE"""),"Domeniche in movimento - Gestualità con Consuelo €15")</f>
        <v>Domeniche in movimento - Gestualità con Consuelo €15</v>
      </c>
      <c r="T481" s="763"/>
      <c r="U481" s="763"/>
      <c r="V481" s="763">
        <f>IFERROR(__xludf.DUMMYFUNCTION("""COMPUTED_VALUE"""),1.0)</f>
        <v>1</v>
      </c>
      <c r="W481" s="763">
        <f>IFERROR(__xludf.DUMMYFUNCTION("""COMPUTED_VALUE"""),15.0)</f>
        <v>15</v>
      </c>
      <c r="X481" s="763">
        <f>IFERROR(__xludf.DUMMYFUNCTION("""COMPUTED_VALUE"""),15.0)</f>
        <v>15</v>
      </c>
      <c r="Y481" s="763"/>
      <c r="Z481" s="768" t="str">
        <f>IFERROR(__xludf.DUMMYFUNCTION("""COMPUTED_VALUE"""),"https://studio-gem.it/wp-admin/post.php?post=65818&amp;action=edit")</f>
        <v>https://studio-gem.it/wp-admin/post.php?post=65818&amp;action=edit</v>
      </c>
      <c r="AA481" s="763"/>
      <c r="AB481" s="763"/>
      <c r="AC481" s="763"/>
      <c r="AD481" s="763"/>
      <c r="AE481" s="763"/>
      <c r="AF481" s="763"/>
      <c r="AG481" s="763"/>
      <c r="AH481" s="763"/>
      <c r="AI481" s="763"/>
      <c r="AJ481" s="763"/>
      <c r="AK481" s="763"/>
      <c r="AL481" s="763"/>
      <c r="AM481" s="763"/>
      <c r="AN481" s="763"/>
      <c r="AO481" s="763"/>
      <c r="AP481" s="763"/>
      <c r="AQ481" s="763"/>
      <c r="AR481" s="763"/>
      <c r="AS481" s="763"/>
      <c r="AT481" s="763"/>
      <c r="AU481" s="763"/>
      <c r="AV481" s="763"/>
      <c r="AW481" s="763"/>
      <c r="AX481" s="763"/>
      <c r="AY481" s="763"/>
      <c r="AZ481" s="763"/>
      <c r="BA481" s="763"/>
      <c r="BB481" s="763"/>
      <c r="BC481" s="763"/>
      <c r="BD481" s="763"/>
      <c r="BE481" s="763"/>
      <c r="BF481" s="763"/>
      <c r="BG481" s="763" t="b">
        <f>IFERROR(__xludf.DUMMYFUNCTION("""COMPUTED_VALUE"""),FALSE)</f>
        <v>0</v>
      </c>
      <c r="BH481" s="763" t="b">
        <f>IFERROR(__xludf.DUMMYFUNCTION("""COMPUTED_VALUE"""),FALSE)</f>
        <v>0</v>
      </c>
      <c r="BI481" s="763" t="b">
        <f>IFERROR(__xludf.DUMMYFUNCTION("""COMPUTED_VALUE"""),FALSE)</f>
        <v>0</v>
      </c>
      <c r="BJ481" s="763" t="b">
        <f>IFERROR(__xludf.DUMMYFUNCTION("""COMPUTED_VALUE"""),FALSE)</f>
        <v>0</v>
      </c>
    </row>
    <row r="482">
      <c r="A482" s="763">
        <f>IFERROR(__xludf.DUMMYFUNCTION("""COMPUTED_VALUE"""),65819.0)</f>
        <v>65819</v>
      </c>
      <c r="B482" s="763">
        <f>IFERROR(__xludf.DUMMYFUNCTION("""COMPUTED_VALUE"""),65819.0)</f>
        <v>65819</v>
      </c>
      <c r="C482" s="763" t="str">
        <f>IFERROR(__xludf.DUMMYFUNCTION("""COMPUTED_VALUE"""),"2025-11-07 10:45:46")</f>
        <v>2025-11-07 10:45:46</v>
      </c>
      <c r="D482" s="763" t="str">
        <f>IFERROR(__xludf.DUMMYFUNCTION("""COMPUTED_VALUE"""),"processing")</f>
        <v>processing</v>
      </c>
      <c r="E482" s="763" t="str">
        <f>IFERROR(__xludf.DUMMYFUNCTION("""COMPUTED_VALUE"""),"Manuela")</f>
        <v>Manuela</v>
      </c>
      <c r="F482" s="763" t="str">
        <f>IFERROR(__xludf.DUMMYFUNCTION("""COMPUTED_VALUE"""),"Precerutti")</f>
        <v>Precerutti</v>
      </c>
      <c r="G482" s="763" t="str">
        <f>IFERROR(__xludf.DUMMYFUNCTION("""COMPUTED_VALUE"""),"manuela.precerutti@cchellenic.com")</f>
        <v>manuela.precerutti@cchellenic.com</v>
      </c>
      <c r="H482" s="763">
        <f>IFERROR(__xludf.DUMMYFUNCTION("""COMPUTED_VALUE"""),3.420984354E9)</f>
        <v>3420984354</v>
      </c>
      <c r="I482" s="763" t="str">
        <f>IFERROR(__xludf.DUMMYFUNCTION("""COMPUTED_VALUE"""),"MILANO")</f>
        <v>MILANO</v>
      </c>
      <c r="J482" s="763" t="str">
        <f>IFERROR(__xludf.DUMMYFUNCTION("""COMPUTED_VALUE"""),"Via P. Portinari 1")</f>
        <v>Via P. Portinari 1</v>
      </c>
      <c r="K482" s="763">
        <f>IFERROR(__xludf.DUMMYFUNCTION("""COMPUTED_VALUE"""),20125.0)</f>
        <v>20125</v>
      </c>
      <c r="L482" s="763" t="str">
        <f>IFERROR(__xludf.DUMMYFUNCTION("""COMPUTED_VALUE"""),"Carte di pagamento")</f>
        <v>Carte di pagamento</v>
      </c>
      <c r="M482" s="763"/>
      <c r="N482" s="763" t="str">
        <f>IFERROR(__xludf.DUMMYFUNCTION("""COMPUTED_VALUE"""),"65819-1762512348")</f>
        <v>65819-1762512348</v>
      </c>
      <c r="O482" s="763">
        <f>IFERROR(__xludf.DUMMYFUNCTION("""COMPUTED_VALUE"""),0.0)</f>
        <v>0</v>
      </c>
      <c r="P482" s="767">
        <f>IFERROR(__xludf.DUMMYFUNCTION("""COMPUTED_VALUE"""),1.3333333333333333)</f>
        <v>1.333333333</v>
      </c>
      <c r="Q482" s="763" t="str">
        <f>IFERROR(__xludf.DUMMYFUNCTION("""COMPUTED_VALUE"""),"EUR")</f>
        <v>EUR</v>
      </c>
      <c r="R482" s="763">
        <f>IFERROR(__xludf.DUMMYFUNCTION("""COMPUTED_VALUE"""),943.0)</f>
        <v>943</v>
      </c>
      <c r="S482" s="763" t="str">
        <f>IFERROR(__xludf.DUMMYFUNCTION("""COMPUTED_VALUE"""),"Workshop Salsa Musicality con Nicolò De Angelis - Workshop Nicolò Salsa Musicality")</f>
        <v>Workshop Salsa Musicality con Nicolò De Angelis - Workshop Nicolò Salsa Musicality</v>
      </c>
      <c r="T482" s="763"/>
      <c r="U482" s="763"/>
      <c r="V482" s="763">
        <f>IFERROR(__xludf.DUMMYFUNCTION("""COMPUTED_VALUE"""),1.0)</f>
        <v>1</v>
      </c>
      <c r="W482" s="763">
        <f>IFERROR(__xludf.DUMMYFUNCTION("""COMPUTED_VALUE"""),32.0)</f>
        <v>32</v>
      </c>
      <c r="X482" s="763">
        <f>IFERROR(__xludf.DUMMYFUNCTION("""COMPUTED_VALUE"""),32.0)</f>
        <v>32</v>
      </c>
      <c r="Y482" s="763"/>
      <c r="Z482" s="768" t="str">
        <f>IFERROR(__xludf.DUMMYFUNCTION("""COMPUTED_VALUE"""),"https://studio-gem.it/wp-admin/post.php?post=65819&amp;action=edit")</f>
        <v>https://studio-gem.it/wp-admin/post.php?post=65819&amp;action=edit</v>
      </c>
      <c r="AA482" s="763"/>
      <c r="AB482" s="763"/>
      <c r="AC482" s="763"/>
      <c r="AD482" s="763"/>
      <c r="AE482" s="763"/>
      <c r="AF482" s="763"/>
      <c r="AG482" s="763"/>
      <c r="AH482" s="763"/>
      <c r="AI482" s="763"/>
      <c r="AJ482" s="763"/>
      <c r="AK482" s="763"/>
      <c r="AL482" s="763"/>
      <c r="AM482" s="763"/>
      <c r="AN482" s="763"/>
      <c r="AO482" s="763"/>
      <c r="AP482" s="763"/>
      <c r="AQ482" s="763"/>
      <c r="AR482" s="763"/>
      <c r="AS482" s="763"/>
      <c r="AT482" s="763"/>
      <c r="AU482" s="763"/>
      <c r="AV482" s="763"/>
      <c r="AW482" s="763"/>
      <c r="AX482" s="763"/>
      <c r="AY482" s="763"/>
      <c r="AZ482" s="763"/>
      <c r="BA482" s="763"/>
      <c r="BB482" s="763"/>
      <c r="BC482" s="763"/>
      <c r="BD482" s="763"/>
      <c r="BE482" s="763"/>
      <c r="BF482" s="763"/>
      <c r="BG482" s="763" t="b">
        <f>IFERROR(__xludf.DUMMYFUNCTION("""COMPUTED_VALUE"""),TRUE)</f>
        <v>1</v>
      </c>
      <c r="BH482" s="763" t="b">
        <f>IFERROR(__xludf.DUMMYFUNCTION("""COMPUTED_VALUE"""),FALSE)</f>
        <v>0</v>
      </c>
      <c r="BI482" s="763" t="b">
        <f>IFERROR(__xludf.DUMMYFUNCTION("""COMPUTED_VALUE"""),TRUE)</f>
        <v>1</v>
      </c>
      <c r="BJ482" s="763" t="b">
        <f>IFERROR(__xludf.DUMMYFUNCTION("""COMPUTED_VALUE"""),TRUE)</f>
        <v>1</v>
      </c>
    </row>
    <row r="483">
      <c r="A483" s="763">
        <f>IFERROR(__xludf.DUMMYFUNCTION("""COMPUTED_VALUE"""),65820.0)</f>
        <v>65820</v>
      </c>
      <c r="B483" s="763">
        <f>IFERROR(__xludf.DUMMYFUNCTION("""COMPUTED_VALUE"""),65820.0)</f>
        <v>65820</v>
      </c>
      <c r="C483" s="763" t="str">
        <f>IFERROR(__xludf.DUMMYFUNCTION("""COMPUTED_VALUE"""),"2025-11-07 10:57:06")</f>
        <v>2025-11-07 10:57:06</v>
      </c>
      <c r="D483" s="763" t="str">
        <f>IFERROR(__xludf.DUMMYFUNCTION("""COMPUTED_VALUE"""),"completed")</f>
        <v>completed</v>
      </c>
      <c r="E483" s="763" t="str">
        <f>IFERROR(__xludf.DUMMYFUNCTION("""COMPUTED_VALUE"""),"Linda")</f>
        <v>Linda</v>
      </c>
      <c r="F483" s="763" t="str">
        <f>IFERROR(__xludf.DUMMYFUNCTION("""COMPUTED_VALUE"""),"Bertin")</f>
        <v>Bertin</v>
      </c>
      <c r="G483" s="763" t="str">
        <f>IFERROR(__xludf.DUMMYFUNCTION("""COMPUTED_VALUE"""),"lindabertin7@gmail.com")</f>
        <v>lindabertin7@gmail.com</v>
      </c>
      <c r="H483" s="763">
        <f>IFERROR(__xludf.DUMMYFUNCTION("""COMPUTED_VALUE"""),3.407692791E9)</f>
        <v>3407692791</v>
      </c>
      <c r="I483" s="763" t="str">
        <f>IFERROR(__xludf.DUMMYFUNCTION("""COMPUTED_VALUE"""),"MILANO")</f>
        <v>MILANO</v>
      </c>
      <c r="J483" s="763" t="str">
        <f>IFERROR(__xludf.DUMMYFUNCTION("""COMPUTED_VALUE"""),"via giambellino 106")</f>
        <v>via giambellino 106</v>
      </c>
      <c r="K483" s="763">
        <f>IFERROR(__xludf.DUMMYFUNCTION("""COMPUTED_VALUE"""),20146.0)</f>
        <v>20146</v>
      </c>
      <c r="L483" s="763" t="str">
        <f>IFERROR(__xludf.DUMMYFUNCTION("""COMPUTED_VALUE"""),"Satispay")</f>
        <v>Satispay</v>
      </c>
      <c r="M483" s="763"/>
      <c r="N483" s="763" t="str">
        <f>IFERROR(__xludf.DUMMYFUNCTION("""COMPUTED_VALUE"""),"019a5df6-7d62-786f-a18e-f8c49b587bce")</f>
        <v>019a5df6-7d62-786f-a18e-f8c49b587bce</v>
      </c>
      <c r="O483" s="763">
        <f>IFERROR(__xludf.DUMMYFUNCTION("""COMPUTED_VALUE"""),0.0)</f>
        <v>0</v>
      </c>
      <c r="P483" s="767">
        <f>IFERROR(__xludf.DUMMYFUNCTION("""COMPUTED_VALUE"""),0.625)</f>
        <v>0.625</v>
      </c>
      <c r="Q483" s="763" t="str">
        <f>IFERROR(__xludf.DUMMYFUNCTION("""COMPUTED_VALUE"""),"EUR")</f>
        <v>EUR</v>
      </c>
      <c r="R483" s="763">
        <f>IFERROR(__xludf.DUMMYFUNCTION("""COMPUTED_VALUE"""),944.0)</f>
        <v>944</v>
      </c>
      <c r="S483" s="763" t="str">
        <f>IFERROR(__xludf.DUMMYFUNCTION("""COMPUTED_VALUE"""),"Domeniche in movimento - Gestualità con Consuelo €15")</f>
        <v>Domeniche in movimento - Gestualità con Consuelo €15</v>
      </c>
      <c r="T483" s="763"/>
      <c r="U483" s="763"/>
      <c r="V483" s="763">
        <f>IFERROR(__xludf.DUMMYFUNCTION("""COMPUTED_VALUE"""),1.0)</f>
        <v>1</v>
      </c>
      <c r="W483" s="763">
        <f>IFERROR(__xludf.DUMMYFUNCTION("""COMPUTED_VALUE"""),15.0)</f>
        <v>15</v>
      </c>
      <c r="X483" s="763">
        <f>IFERROR(__xludf.DUMMYFUNCTION("""COMPUTED_VALUE"""),15.0)</f>
        <v>15</v>
      </c>
      <c r="Y483" s="763"/>
      <c r="Z483" s="768" t="str">
        <f>IFERROR(__xludf.DUMMYFUNCTION("""COMPUTED_VALUE"""),"https://studio-gem.it/wp-admin/post.php?post=65820&amp;action=edit")</f>
        <v>https://studio-gem.it/wp-admin/post.php?post=65820&amp;action=edit</v>
      </c>
      <c r="AA483" s="763"/>
      <c r="AB483" s="763"/>
      <c r="AC483" s="763"/>
      <c r="AD483" s="763"/>
      <c r="AE483" s="763"/>
      <c r="AF483" s="763"/>
      <c r="AG483" s="763"/>
      <c r="AH483" s="763"/>
      <c r="AI483" s="763"/>
      <c r="AJ483" s="763"/>
      <c r="AK483" s="763"/>
      <c r="AL483" s="763"/>
      <c r="AM483" s="763"/>
      <c r="AN483" s="763"/>
      <c r="AO483" s="763"/>
      <c r="AP483" s="763"/>
      <c r="AQ483" s="763"/>
      <c r="AR483" s="763"/>
      <c r="AS483" s="763"/>
      <c r="AT483" s="763"/>
      <c r="AU483" s="763"/>
      <c r="AV483" s="763"/>
      <c r="AW483" s="763"/>
      <c r="AX483" s="763"/>
      <c r="AY483" s="763"/>
      <c r="AZ483" s="763"/>
      <c r="BA483" s="763"/>
      <c r="BB483" s="763"/>
      <c r="BC483" s="763"/>
      <c r="BD483" s="763"/>
      <c r="BE483" s="763"/>
      <c r="BF483" s="763"/>
      <c r="BG483" s="763" t="b">
        <f>IFERROR(__xludf.DUMMYFUNCTION("""COMPUTED_VALUE"""),TRUE)</f>
        <v>1</v>
      </c>
      <c r="BH483" s="763" t="b">
        <f>IFERROR(__xludf.DUMMYFUNCTION("""COMPUTED_VALUE"""),FALSE)</f>
        <v>0</v>
      </c>
      <c r="BI483" s="763" t="b">
        <f>IFERROR(__xludf.DUMMYFUNCTION("""COMPUTED_VALUE"""),TRUE)</f>
        <v>1</v>
      </c>
      <c r="BJ483" s="763" t="b">
        <f>IFERROR(__xludf.DUMMYFUNCTION("""COMPUTED_VALUE"""),TRUE)</f>
        <v>1</v>
      </c>
    </row>
    <row r="484">
      <c r="A484" s="763">
        <f>IFERROR(__xludf.DUMMYFUNCTION("""COMPUTED_VALUE"""),65823.0)</f>
        <v>65823</v>
      </c>
      <c r="B484" s="763">
        <f>IFERROR(__xludf.DUMMYFUNCTION("""COMPUTED_VALUE"""),65823.0)</f>
        <v>65823</v>
      </c>
      <c r="C484" s="763" t="str">
        <f>IFERROR(__xludf.DUMMYFUNCTION("""COMPUTED_VALUE"""),"2025-11-07 12:31:57")</f>
        <v>2025-11-07 12:31:57</v>
      </c>
      <c r="D484" s="763" t="str">
        <f>IFERROR(__xludf.DUMMYFUNCTION("""COMPUTED_VALUE"""),"processing")</f>
        <v>processing</v>
      </c>
      <c r="E484" s="763" t="str">
        <f>IFERROR(__xludf.DUMMYFUNCTION("""COMPUTED_VALUE"""),"Brunella")</f>
        <v>Brunella</v>
      </c>
      <c r="F484" s="763" t="str">
        <f>IFERROR(__xludf.DUMMYFUNCTION("""COMPUTED_VALUE"""),"Tralce")</f>
        <v>Tralce</v>
      </c>
      <c r="G484" s="763" t="str">
        <f>IFERROR(__xludf.DUMMYFUNCTION("""COMPUTED_VALUE"""),"brunellatralce@gmail.com")</f>
        <v>brunellatralce@gmail.com</v>
      </c>
      <c r="H484" s="763">
        <f>IFERROR(__xludf.DUMMYFUNCTION("""COMPUTED_VALUE"""),3.283273502E9)</f>
        <v>3283273502</v>
      </c>
      <c r="I484" s="763" t="str">
        <f>IFERROR(__xludf.DUMMYFUNCTION("""COMPUTED_VALUE"""),"Milano")</f>
        <v>Milano</v>
      </c>
      <c r="J484" s="763" t="str">
        <f>IFERROR(__xludf.DUMMYFUNCTION("""COMPUTED_VALUE"""),"Via Pietro Micca 2")</f>
        <v>Via Pietro Micca 2</v>
      </c>
      <c r="K484" s="763">
        <f>IFERROR(__xludf.DUMMYFUNCTION("""COMPUTED_VALUE"""),20122.0)</f>
        <v>20122</v>
      </c>
      <c r="L484" s="763" t="str">
        <f>IFERROR(__xludf.DUMMYFUNCTION("""COMPUTED_VALUE"""),"Carte di pagamento")</f>
        <v>Carte di pagamento</v>
      </c>
      <c r="M484" s="763"/>
      <c r="N484" s="763" t="str">
        <f>IFERROR(__xludf.DUMMYFUNCTION("""COMPUTED_VALUE"""),"65823-1762518719")</f>
        <v>65823-1762518719</v>
      </c>
      <c r="O484" s="763">
        <f>IFERROR(__xludf.DUMMYFUNCTION("""COMPUTED_VALUE"""),0.0)</f>
        <v>0</v>
      </c>
      <c r="P484" s="767">
        <f>IFERROR(__xludf.DUMMYFUNCTION("""COMPUTED_VALUE"""),1.5416666666666667)</f>
        <v>1.541666667</v>
      </c>
      <c r="Q484" s="763" t="str">
        <f>IFERROR(__xludf.DUMMYFUNCTION("""COMPUTED_VALUE"""),"EUR")</f>
        <v>EUR</v>
      </c>
      <c r="R484" s="763">
        <f>IFERROR(__xludf.DUMMYFUNCTION("""COMPUTED_VALUE"""),945.0)</f>
        <v>945</v>
      </c>
      <c r="S484" s="763" t="str">
        <f>IFERROR(__xludf.DUMMYFUNCTION("""COMPUTED_VALUE"""),"Workshop Heels con Deborah Esposito - Workshop Heels con Deborah Esposito")</f>
        <v>Workshop Heels con Deborah Esposito - Workshop Heels con Deborah Esposito</v>
      </c>
      <c r="T484" s="763"/>
      <c r="U484" s="763"/>
      <c r="V484" s="763">
        <f>IFERROR(__xludf.DUMMYFUNCTION("""COMPUTED_VALUE"""),1.0)</f>
        <v>1</v>
      </c>
      <c r="W484" s="763">
        <f>IFERROR(__xludf.DUMMYFUNCTION("""COMPUTED_VALUE"""),37.0)</f>
        <v>37</v>
      </c>
      <c r="X484" s="763">
        <f>IFERROR(__xludf.DUMMYFUNCTION("""COMPUTED_VALUE"""),37.0)</f>
        <v>37</v>
      </c>
      <c r="Y484" s="763"/>
      <c r="Z484" s="768" t="str">
        <f>IFERROR(__xludf.DUMMYFUNCTION("""COMPUTED_VALUE"""),"https://studio-gem.it/wp-admin/post.php?post=65823&amp;action=edit")</f>
        <v>https://studio-gem.it/wp-admin/post.php?post=65823&amp;action=edit</v>
      </c>
      <c r="AA484" s="763"/>
      <c r="AB484" s="763"/>
      <c r="AC484" s="763"/>
      <c r="AD484" s="763"/>
      <c r="AE484" s="763"/>
      <c r="AF484" s="763"/>
      <c r="AG484" s="763"/>
      <c r="AH484" s="763"/>
      <c r="AI484" s="763"/>
      <c r="AJ484" s="763"/>
      <c r="AK484" s="763"/>
      <c r="AL484" s="763"/>
      <c r="AM484" s="763"/>
      <c r="AN484" s="763"/>
      <c r="AO484" s="763"/>
      <c r="AP484" s="763"/>
      <c r="AQ484" s="763"/>
      <c r="AR484" s="763"/>
      <c r="AS484" s="763"/>
      <c r="AT484" s="763"/>
      <c r="AU484" s="763"/>
      <c r="AV484" s="763"/>
      <c r="AW484" s="763"/>
      <c r="AX484" s="763"/>
      <c r="AY484" s="763"/>
      <c r="AZ484" s="763"/>
      <c r="BA484" s="763"/>
      <c r="BB484" s="763"/>
      <c r="BC484" s="763"/>
      <c r="BD484" s="763"/>
      <c r="BE484" s="763"/>
      <c r="BF484" s="763"/>
      <c r="BG484" s="763" t="b">
        <f>IFERROR(__xludf.DUMMYFUNCTION("""COMPUTED_VALUE"""),TRUE)</f>
        <v>1</v>
      </c>
      <c r="BH484" s="763" t="b">
        <f>IFERROR(__xludf.DUMMYFUNCTION("""COMPUTED_VALUE"""),FALSE)</f>
        <v>0</v>
      </c>
      <c r="BI484" s="763" t="b">
        <f>IFERROR(__xludf.DUMMYFUNCTION("""COMPUTED_VALUE"""),TRUE)</f>
        <v>1</v>
      </c>
      <c r="BJ484" s="763" t="b">
        <f>IFERROR(__xludf.DUMMYFUNCTION("""COMPUTED_VALUE"""),TRUE)</f>
        <v>1</v>
      </c>
    </row>
    <row r="485">
      <c r="A485" s="763">
        <f>IFERROR(__xludf.DUMMYFUNCTION("""COMPUTED_VALUE"""),65825.0)</f>
        <v>65825</v>
      </c>
      <c r="B485" s="763">
        <f>IFERROR(__xludf.DUMMYFUNCTION("""COMPUTED_VALUE"""),65825.0)</f>
        <v>65825</v>
      </c>
      <c r="C485" s="763" t="str">
        <f>IFERROR(__xludf.DUMMYFUNCTION("""COMPUTED_VALUE"""),"2025-11-07 13:27:37")</f>
        <v>2025-11-07 13:27:37</v>
      </c>
      <c r="D485" s="763" t="str">
        <f>IFERROR(__xludf.DUMMYFUNCTION("""COMPUTED_VALUE"""),"completed")</f>
        <v>completed</v>
      </c>
      <c r="E485" s="763" t="str">
        <f>IFERROR(__xludf.DUMMYFUNCTION("""COMPUTED_VALUE"""),"Gloria")</f>
        <v>Gloria</v>
      </c>
      <c r="F485" s="763" t="str">
        <f>IFERROR(__xludf.DUMMYFUNCTION("""COMPUTED_VALUE"""),"De Bortoli")</f>
        <v>De Bortoli</v>
      </c>
      <c r="G485" s="763" t="str">
        <f>IFERROR(__xludf.DUMMYFUNCTION("""COMPUTED_VALUE"""),"deba.gloria7@gmail.com")</f>
        <v>deba.gloria7@gmail.com</v>
      </c>
      <c r="H485" s="763">
        <f>IFERROR(__xludf.DUMMYFUNCTION("""COMPUTED_VALUE"""),3.275604237E9)</f>
        <v>3275604237</v>
      </c>
      <c r="I485" s="763" t="str">
        <f>IFERROR(__xludf.DUMMYFUNCTION("""COMPUTED_VALUE"""),"Limbiate")</f>
        <v>Limbiate</v>
      </c>
      <c r="J485" s="763" t="str">
        <f>IFERROR(__xludf.DUMMYFUNCTION("""COMPUTED_VALUE"""),"Via Corinna Bruni 43")</f>
        <v>Via Corinna Bruni 43</v>
      </c>
      <c r="K485" s="763">
        <f>IFERROR(__xludf.DUMMYFUNCTION("""COMPUTED_VALUE"""),20812.0)</f>
        <v>20812</v>
      </c>
      <c r="L485" s="763" t="str">
        <f>IFERROR(__xludf.DUMMYFUNCTION("""COMPUTED_VALUE"""),"Apple Pay")</f>
        <v>Apple Pay</v>
      </c>
      <c r="M485" s="763"/>
      <c r="N485" s="763" t="str">
        <f>IFERROR(__xludf.DUMMYFUNCTION("""COMPUTED_VALUE"""),"65825-1762522058")</f>
        <v>65825-1762522058</v>
      </c>
      <c r="O485" s="763">
        <f>IFERROR(__xludf.DUMMYFUNCTION("""COMPUTED_VALUE"""),0.0)</f>
        <v>0</v>
      </c>
      <c r="P485" s="767">
        <f>IFERROR(__xludf.DUMMYFUNCTION("""COMPUTED_VALUE"""),1.5416666666666667)</f>
        <v>1.541666667</v>
      </c>
      <c r="Q485" s="763" t="str">
        <f>IFERROR(__xludf.DUMMYFUNCTION("""COMPUTED_VALUE"""),"EUR")</f>
        <v>EUR</v>
      </c>
      <c r="R485" s="763">
        <f>IFERROR(__xludf.DUMMYFUNCTION("""COMPUTED_VALUE"""),946.0)</f>
        <v>946</v>
      </c>
      <c r="S485" s="763" t="str">
        <f>IFERROR(__xludf.DUMMYFUNCTION("""COMPUTED_VALUE"""),"Workshop Heels con Deborah Esposito - Workshop Heels con Deborah Esposito")</f>
        <v>Workshop Heels con Deborah Esposito - Workshop Heels con Deborah Esposito</v>
      </c>
      <c r="T485" s="763"/>
      <c r="U485" s="763"/>
      <c r="V485" s="763">
        <f>IFERROR(__xludf.DUMMYFUNCTION("""COMPUTED_VALUE"""),1.0)</f>
        <v>1</v>
      </c>
      <c r="W485" s="763">
        <f>IFERROR(__xludf.DUMMYFUNCTION("""COMPUTED_VALUE"""),37.0)</f>
        <v>37</v>
      </c>
      <c r="X485" s="763">
        <f>IFERROR(__xludf.DUMMYFUNCTION("""COMPUTED_VALUE"""),37.0)</f>
        <v>37</v>
      </c>
      <c r="Y485" s="763"/>
      <c r="Z485" s="768" t="str">
        <f>IFERROR(__xludf.DUMMYFUNCTION("""COMPUTED_VALUE"""),"https://studio-gem.it/wp-admin/post.php?post=65825&amp;action=edit")</f>
        <v>https://studio-gem.it/wp-admin/post.php?post=65825&amp;action=edit</v>
      </c>
      <c r="AA485" s="763"/>
      <c r="AB485" s="763"/>
      <c r="AC485" s="763"/>
      <c r="AD485" s="763"/>
      <c r="AE485" s="763"/>
      <c r="AF485" s="763"/>
      <c r="AG485" s="763"/>
      <c r="AH485" s="763"/>
      <c r="AI485" s="763"/>
      <c r="AJ485" s="763"/>
      <c r="AK485" s="763"/>
      <c r="AL485" s="763"/>
      <c r="AM485" s="763"/>
      <c r="AN485" s="763"/>
      <c r="AO485" s="763"/>
      <c r="AP485" s="763"/>
      <c r="AQ485" s="763"/>
      <c r="AR485" s="763"/>
      <c r="AS485" s="763"/>
      <c r="AT485" s="763"/>
      <c r="AU485" s="763"/>
      <c r="AV485" s="763"/>
      <c r="AW485" s="763"/>
      <c r="AX485" s="763"/>
      <c r="AY485" s="763"/>
      <c r="AZ485" s="763"/>
      <c r="BA485" s="763"/>
      <c r="BB485" s="763"/>
      <c r="BC485" s="763"/>
      <c r="BD485" s="763"/>
      <c r="BE485" s="763"/>
      <c r="BF485" s="763"/>
      <c r="BG485" s="763" t="b">
        <f>IFERROR(__xludf.DUMMYFUNCTION("""COMPUTED_VALUE"""),TRUE)</f>
        <v>1</v>
      </c>
      <c r="BH485" s="763" t="b">
        <f>IFERROR(__xludf.DUMMYFUNCTION("""COMPUTED_VALUE"""),FALSE)</f>
        <v>0</v>
      </c>
      <c r="BI485" s="763" t="b">
        <f>IFERROR(__xludf.DUMMYFUNCTION("""COMPUTED_VALUE"""),TRUE)</f>
        <v>1</v>
      </c>
      <c r="BJ485" s="763" t="b">
        <f>IFERROR(__xludf.DUMMYFUNCTION("""COMPUTED_VALUE"""),TRUE)</f>
        <v>1</v>
      </c>
    </row>
    <row r="486">
      <c r="A486" s="763">
        <f>IFERROR(__xludf.DUMMYFUNCTION("""COMPUTED_VALUE"""),65827.0)</f>
        <v>65827</v>
      </c>
      <c r="B486" s="763">
        <f>IFERROR(__xludf.DUMMYFUNCTION("""COMPUTED_VALUE"""),65827.0)</f>
        <v>65827</v>
      </c>
      <c r="C486" s="763" t="str">
        <f>IFERROR(__xludf.DUMMYFUNCTION("""COMPUTED_VALUE"""),"2025-11-07 13:28:28")</f>
        <v>2025-11-07 13:28:28</v>
      </c>
      <c r="D486" s="763" t="str">
        <f>IFERROR(__xludf.DUMMYFUNCTION("""COMPUTED_VALUE"""),"completed")</f>
        <v>completed</v>
      </c>
      <c r="E486" s="763" t="str">
        <f>IFERROR(__xludf.DUMMYFUNCTION("""COMPUTED_VALUE"""),"Annachiara")</f>
        <v>Annachiara</v>
      </c>
      <c r="F486" s="763" t="str">
        <f>IFERROR(__xludf.DUMMYFUNCTION("""COMPUTED_VALUE"""),"Visconti")</f>
        <v>Visconti</v>
      </c>
      <c r="G486" s="763" t="str">
        <f>IFERROR(__xludf.DUMMYFUNCTION("""COMPUTED_VALUE"""),"viscontiannachiara46@gmail.com")</f>
        <v>viscontiannachiara46@gmail.com</v>
      </c>
      <c r="H486" s="763">
        <f>IFERROR(__xludf.DUMMYFUNCTION("""COMPUTED_VALUE"""),3.481181249E9)</f>
        <v>3481181249</v>
      </c>
      <c r="I486" s="763" t="str">
        <f>IFERROR(__xludf.DUMMYFUNCTION("""COMPUTED_VALUE"""),"Paola")</f>
        <v>Paola</v>
      </c>
      <c r="J486" s="763" t="str">
        <f>IFERROR(__xludf.DUMMYFUNCTION("""COMPUTED_VALUE"""),"Via lago arvo 2")</f>
        <v>Via lago arvo 2</v>
      </c>
      <c r="K486" s="763">
        <f>IFERROR(__xludf.DUMMYFUNCTION("""COMPUTED_VALUE"""),87027.0)</f>
        <v>87027</v>
      </c>
      <c r="L486" s="763" t="str">
        <f>IFERROR(__xludf.DUMMYFUNCTION("""COMPUTED_VALUE"""),"Carte di pagamento")</f>
        <v>Carte di pagamento</v>
      </c>
      <c r="M486" s="763"/>
      <c r="N486" s="763" t="str">
        <f>IFERROR(__xludf.DUMMYFUNCTION("""COMPUTED_VALUE"""),"65827-1762522110")</f>
        <v>65827-1762522110</v>
      </c>
      <c r="O486" s="763">
        <f>IFERROR(__xludf.DUMMYFUNCTION("""COMPUTED_VALUE"""),0.0)</f>
        <v>0</v>
      </c>
      <c r="P486" s="767">
        <f>IFERROR(__xludf.DUMMYFUNCTION("""COMPUTED_VALUE"""),1.5416666666666667)</f>
        <v>1.541666667</v>
      </c>
      <c r="Q486" s="763" t="str">
        <f>IFERROR(__xludf.DUMMYFUNCTION("""COMPUTED_VALUE"""),"EUR")</f>
        <v>EUR</v>
      </c>
      <c r="R486" s="763">
        <f>IFERROR(__xludf.DUMMYFUNCTION("""COMPUTED_VALUE"""),947.0)</f>
        <v>947</v>
      </c>
      <c r="S486" s="763" t="str">
        <f>IFERROR(__xludf.DUMMYFUNCTION("""COMPUTED_VALUE"""),"Workshop Urban con Kumo - Workshop Kumo Urban")</f>
        <v>Workshop Urban con Kumo - Workshop Kumo Urban</v>
      </c>
      <c r="T486" s="763"/>
      <c r="U486" s="763"/>
      <c r="V486" s="763">
        <f>IFERROR(__xludf.DUMMYFUNCTION("""COMPUTED_VALUE"""),1.0)</f>
        <v>1</v>
      </c>
      <c r="W486" s="763">
        <f>IFERROR(__xludf.DUMMYFUNCTION("""COMPUTED_VALUE"""),37.0)</f>
        <v>37</v>
      </c>
      <c r="X486" s="763">
        <f>IFERROR(__xludf.DUMMYFUNCTION("""COMPUTED_VALUE"""),37.0)</f>
        <v>37</v>
      </c>
      <c r="Y486" s="763"/>
      <c r="Z486" s="768" t="str">
        <f>IFERROR(__xludf.DUMMYFUNCTION("""COMPUTED_VALUE"""),"https://studio-gem.it/wp-admin/post.php?post=65827&amp;action=edit")</f>
        <v>https://studio-gem.it/wp-admin/post.php?post=65827&amp;action=edit</v>
      </c>
      <c r="AA486" s="763"/>
      <c r="AB486" s="763"/>
      <c r="AC486" s="763"/>
      <c r="AD486" s="763"/>
      <c r="AE486" s="763"/>
      <c r="AF486" s="763"/>
      <c r="AG486" s="763"/>
      <c r="AH486" s="763"/>
      <c r="AI486" s="763"/>
      <c r="AJ486" s="763"/>
      <c r="AK486" s="763"/>
      <c r="AL486" s="763"/>
      <c r="AM486" s="763"/>
      <c r="AN486" s="763"/>
      <c r="AO486" s="763"/>
      <c r="AP486" s="763"/>
      <c r="AQ486" s="763"/>
      <c r="AR486" s="763"/>
      <c r="AS486" s="763"/>
      <c r="AT486" s="763"/>
      <c r="AU486" s="763"/>
      <c r="AV486" s="763"/>
      <c r="AW486" s="763"/>
      <c r="AX486" s="763"/>
      <c r="AY486" s="763"/>
      <c r="AZ486" s="763"/>
      <c r="BA486" s="763"/>
      <c r="BB486" s="763"/>
      <c r="BC486" s="763"/>
      <c r="BD486" s="763"/>
      <c r="BE486" s="763"/>
      <c r="BF486" s="763"/>
      <c r="BG486" s="763" t="b">
        <f>IFERROR(__xludf.DUMMYFUNCTION("""COMPUTED_VALUE"""),TRUE)</f>
        <v>1</v>
      </c>
      <c r="BH486" s="763" t="b">
        <f>IFERROR(__xludf.DUMMYFUNCTION("""COMPUTED_VALUE"""),FALSE)</f>
        <v>0</v>
      </c>
      <c r="BI486" s="763" t="b">
        <f>IFERROR(__xludf.DUMMYFUNCTION("""COMPUTED_VALUE"""),TRUE)</f>
        <v>1</v>
      </c>
      <c r="BJ486" s="763" t="b">
        <f>IFERROR(__xludf.DUMMYFUNCTION("""COMPUTED_VALUE"""),TRUE)</f>
        <v>1</v>
      </c>
    </row>
    <row r="487">
      <c r="A487" s="763">
        <f>IFERROR(__xludf.DUMMYFUNCTION("""COMPUTED_VALUE"""),65833.0)</f>
        <v>65833</v>
      </c>
      <c r="B487" s="763">
        <f>IFERROR(__xludf.DUMMYFUNCTION("""COMPUTED_VALUE"""),65833.0)</f>
        <v>65833</v>
      </c>
      <c r="C487" s="763" t="str">
        <f>IFERROR(__xludf.DUMMYFUNCTION("""COMPUTED_VALUE"""),"2025-11-07 18:29:14")</f>
        <v>2025-11-07 18:29:14</v>
      </c>
      <c r="D487" s="763" t="str">
        <f>IFERROR(__xludf.DUMMYFUNCTION("""COMPUTED_VALUE"""),"processing")</f>
        <v>processing</v>
      </c>
      <c r="E487" s="763" t="str">
        <f>IFERROR(__xludf.DUMMYFUNCTION("""COMPUTED_VALUE"""),"Lara")</f>
        <v>Lara</v>
      </c>
      <c r="F487" s="763" t="str">
        <f>IFERROR(__xludf.DUMMYFUNCTION("""COMPUTED_VALUE"""),"Ronchi")</f>
        <v>Ronchi</v>
      </c>
      <c r="G487" s="763" t="str">
        <f>IFERROR(__xludf.DUMMYFUNCTION("""COMPUTED_VALUE"""),"ronchilara2006@gmail.com")</f>
        <v>ronchilara2006@gmail.com</v>
      </c>
      <c r="H487" s="763">
        <f>IFERROR(__xludf.DUMMYFUNCTION("""COMPUTED_VALUE"""),3.38385569E9)</f>
        <v>3383855690</v>
      </c>
      <c r="I487" s="763" t="str">
        <f>IFERROR(__xludf.DUMMYFUNCTION("""COMPUTED_VALUE"""),"Busnago")</f>
        <v>Busnago</v>
      </c>
      <c r="J487" s="763" t="str">
        <f>IFERROR(__xludf.DUMMYFUNCTION("""COMPUTED_VALUE"""),"Via Montecompatri 44")</f>
        <v>Via Montecompatri 44</v>
      </c>
      <c r="K487" s="763">
        <f>IFERROR(__xludf.DUMMYFUNCTION("""COMPUTED_VALUE"""),20874.0)</f>
        <v>20874</v>
      </c>
      <c r="L487" s="763" t="str">
        <f>IFERROR(__xludf.DUMMYFUNCTION("""COMPUTED_VALUE"""),"Carte di pagamento")</f>
        <v>Carte di pagamento</v>
      </c>
      <c r="M487" s="763"/>
      <c r="N487" s="763" t="str">
        <f>IFERROR(__xludf.DUMMYFUNCTION("""COMPUTED_VALUE"""),"65833-1762540156")</f>
        <v>65833-1762540156</v>
      </c>
      <c r="O487" s="763">
        <f>IFERROR(__xludf.DUMMYFUNCTION("""COMPUTED_VALUE"""),0.0)</f>
        <v>0</v>
      </c>
      <c r="P487" s="767">
        <f>IFERROR(__xludf.DUMMYFUNCTION("""COMPUTED_VALUE"""),1.5416666666666667)</f>
        <v>1.541666667</v>
      </c>
      <c r="Q487" s="763" t="str">
        <f>IFERROR(__xludf.DUMMYFUNCTION("""COMPUTED_VALUE"""),"EUR")</f>
        <v>EUR</v>
      </c>
      <c r="R487" s="763">
        <f>IFERROR(__xludf.DUMMYFUNCTION("""COMPUTED_VALUE"""),948.0)</f>
        <v>948</v>
      </c>
      <c r="S487" s="763" t="str">
        <f>IFERROR(__xludf.DUMMYFUNCTION("""COMPUTED_VALUE"""),"Workshop Urban con Kumo - Workshop Kumo Urban")</f>
        <v>Workshop Urban con Kumo - Workshop Kumo Urban</v>
      </c>
      <c r="T487" s="763"/>
      <c r="U487" s="763"/>
      <c r="V487" s="763">
        <f>IFERROR(__xludf.DUMMYFUNCTION("""COMPUTED_VALUE"""),1.0)</f>
        <v>1</v>
      </c>
      <c r="W487" s="763">
        <f>IFERROR(__xludf.DUMMYFUNCTION("""COMPUTED_VALUE"""),37.0)</f>
        <v>37</v>
      </c>
      <c r="X487" s="763">
        <f>IFERROR(__xludf.DUMMYFUNCTION("""COMPUTED_VALUE"""),37.0)</f>
        <v>37</v>
      </c>
      <c r="Y487" s="763"/>
      <c r="Z487" s="768" t="str">
        <f>IFERROR(__xludf.DUMMYFUNCTION("""COMPUTED_VALUE"""),"https://studio-gem.it/wp-admin/post.php?post=65833&amp;action=edit")</f>
        <v>https://studio-gem.it/wp-admin/post.php?post=65833&amp;action=edit</v>
      </c>
      <c r="AA487" s="763"/>
      <c r="AB487" s="763"/>
      <c r="AC487" s="763"/>
      <c r="AD487" s="763"/>
      <c r="AE487" s="763"/>
      <c r="AF487" s="763"/>
      <c r="AG487" s="763"/>
      <c r="AH487" s="763"/>
      <c r="AI487" s="763"/>
      <c r="AJ487" s="763"/>
      <c r="AK487" s="763"/>
      <c r="AL487" s="763"/>
      <c r="AM487" s="763"/>
      <c r="AN487" s="763"/>
      <c r="AO487" s="763"/>
      <c r="AP487" s="763"/>
      <c r="AQ487" s="763"/>
      <c r="AR487" s="763"/>
      <c r="AS487" s="763"/>
      <c r="AT487" s="763"/>
      <c r="AU487" s="763"/>
      <c r="AV487" s="763"/>
      <c r="AW487" s="763"/>
      <c r="AX487" s="763"/>
      <c r="AY487" s="763"/>
      <c r="AZ487" s="763"/>
      <c r="BA487" s="763"/>
      <c r="BB487" s="763"/>
      <c r="BC487" s="763"/>
      <c r="BD487" s="763"/>
      <c r="BE487" s="763"/>
      <c r="BF487" s="763"/>
      <c r="BG487" s="763" t="b">
        <f>IFERROR(__xludf.DUMMYFUNCTION("""COMPUTED_VALUE"""),TRUE)</f>
        <v>1</v>
      </c>
      <c r="BH487" s="763" t="b">
        <f>IFERROR(__xludf.DUMMYFUNCTION("""COMPUTED_VALUE"""),FALSE)</f>
        <v>0</v>
      </c>
      <c r="BI487" s="763" t="b">
        <f>IFERROR(__xludf.DUMMYFUNCTION("""COMPUTED_VALUE"""),TRUE)</f>
        <v>1</v>
      </c>
      <c r="BJ487" s="763" t="b">
        <f>IFERROR(__xludf.DUMMYFUNCTION("""COMPUTED_VALUE"""),TRUE)</f>
        <v>1</v>
      </c>
    </row>
    <row r="488">
      <c r="A488" s="763">
        <f>IFERROR(__xludf.DUMMYFUNCTION("""COMPUTED_VALUE"""),65834.0)</f>
        <v>65834</v>
      </c>
      <c r="B488" s="763">
        <f>IFERROR(__xludf.DUMMYFUNCTION("""COMPUTED_VALUE"""),65834.0)</f>
        <v>65834</v>
      </c>
      <c r="C488" s="763" t="str">
        <f>IFERROR(__xludf.DUMMYFUNCTION("""COMPUTED_VALUE"""),"2025-11-07 19:03:05")</f>
        <v>2025-11-07 19:03:05</v>
      </c>
      <c r="D488" s="763" t="str">
        <f>IFERROR(__xludf.DUMMYFUNCTION("""COMPUTED_VALUE"""),"pending")</f>
        <v>pending</v>
      </c>
      <c r="E488" s="763" t="str">
        <f>IFERROR(__xludf.DUMMYFUNCTION("""COMPUTED_VALUE"""),"Elena")</f>
        <v>Elena</v>
      </c>
      <c r="F488" s="763" t="str">
        <f>IFERROR(__xludf.DUMMYFUNCTION("""COMPUTED_VALUE"""),"Nuvoli")</f>
        <v>Nuvoli</v>
      </c>
      <c r="G488" s="763" t="str">
        <f>IFERROR(__xludf.DUMMYFUNCTION("""COMPUTED_VALUE"""),"ele_n93@hotmail.it")</f>
        <v>ele_n93@hotmail.it</v>
      </c>
      <c r="H488" s="763" t="str">
        <f>IFERROR(__xludf.DUMMYFUNCTION("""COMPUTED_VALUE"""),"+393486098339")</f>
        <v>+393486098339</v>
      </c>
      <c r="I488" s="763" t="str">
        <f>IFERROR(__xludf.DUMMYFUNCTION("""COMPUTED_VALUE"""),"Locate Di Triulzi")</f>
        <v>Locate Di Triulzi</v>
      </c>
      <c r="J488" s="763" t="str">
        <f>IFERROR(__xludf.DUMMYFUNCTION("""COMPUTED_VALUE"""),"Via Martiri Della Liberta' 31")</f>
        <v>Via Martiri Della Liberta' 31</v>
      </c>
      <c r="K488" s="763">
        <f>IFERROR(__xludf.DUMMYFUNCTION("""COMPUTED_VALUE"""),20085.0)</f>
        <v>20085</v>
      </c>
      <c r="L488" s="763" t="str">
        <f>IFERROR(__xludf.DUMMYFUNCTION("""COMPUTED_VALUE"""),"Carte di pagamento")</f>
        <v>Carte di pagamento</v>
      </c>
      <c r="M488" s="763"/>
      <c r="N488" s="763"/>
      <c r="O488" s="763">
        <f>IFERROR(__xludf.DUMMYFUNCTION("""COMPUTED_VALUE"""),0.0)</f>
        <v>0</v>
      </c>
      <c r="P488" s="767">
        <f>IFERROR(__xludf.DUMMYFUNCTION("""COMPUTED_VALUE"""),1.25)</f>
        <v>1.25</v>
      </c>
      <c r="Q488" s="763" t="str">
        <f>IFERROR(__xludf.DUMMYFUNCTION("""COMPUTED_VALUE"""),"EUR")</f>
        <v>EUR</v>
      </c>
      <c r="R488" s="763">
        <f>IFERROR(__xludf.DUMMYFUNCTION("""COMPUTED_VALUE"""),949.0)</f>
        <v>949</v>
      </c>
      <c r="S488" s="763" t="str">
        <f>IFERROR(__xludf.DUMMYFUNCTION("""COMPUTED_VALUE"""),"Domeniche in movimento - Gestualità con Consuelo €15")</f>
        <v>Domeniche in movimento - Gestualità con Consuelo €15</v>
      </c>
      <c r="T488" s="763"/>
      <c r="U488" s="763"/>
      <c r="V488" s="763">
        <f>IFERROR(__xludf.DUMMYFUNCTION("""COMPUTED_VALUE"""),2.0)</f>
        <v>2</v>
      </c>
      <c r="W488" s="763">
        <f>IFERROR(__xludf.DUMMYFUNCTION("""COMPUTED_VALUE"""),15.0)</f>
        <v>15</v>
      </c>
      <c r="X488" s="763">
        <f>IFERROR(__xludf.DUMMYFUNCTION("""COMPUTED_VALUE"""),30.0)</f>
        <v>30</v>
      </c>
      <c r="Y488" s="763"/>
      <c r="Z488" s="768" t="str">
        <f>IFERROR(__xludf.DUMMYFUNCTION("""COMPUTED_VALUE"""),"https://studio-gem.it/wp-admin/post.php?post=65834&amp;action=edit")</f>
        <v>https://studio-gem.it/wp-admin/post.php?post=65834&amp;action=edit</v>
      </c>
      <c r="AA488" s="763"/>
      <c r="AB488" s="763"/>
      <c r="AC488" s="763"/>
      <c r="AD488" s="763"/>
      <c r="AE488" s="763"/>
      <c r="AF488" s="763"/>
      <c r="AG488" s="763"/>
      <c r="AH488" s="763"/>
      <c r="AI488" s="763"/>
      <c r="AJ488" s="763"/>
      <c r="AK488" s="763"/>
      <c r="AL488" s="763"/>
      <c r="AM488" s="763"/>
      <c r="AN488" s="763"/>
      <c r="AO488" s="763"/>
      <c r="AP488" s="763"/>
      <c r="AQ488" s="763"/>
      <c r="AR488" s="763"/>
      <c r="AS488" s="763"/>
      <c r="AT488" s="763"/>
      <c r="AU488" s="763"/>
      <c r="AV488" s="763"/>
      <c r="AW488" s="763"/>
      <c r="AX488" s="763"/>
      <c r="AY488" s="763"/>
      <c r="AZ488" s="763"/>
      <c r="BA488" s="763"/>
      <c r="BB488" s="763"/>
      <c r="BC488" s="763"/>
      <c r="BD488" s="763"/>
      <c r="BE488" s="763"/>
      <c r="BF488" s="763"/>
      <c r="BG488" s="763" t="b">
        <f>IFERROR(__xludf.DUMMYFUNCTION("""COMPUTED_VALUE"""),FALSE)</f>
        <v>0</v>
      </c>
      <c r="BH488" s="763" t="b">
        <f>IFERROR(__xludf.DUMMYFUNCTION("""COMPUTED_VALUE"""),FALSE)</f>
        <v>0</v>
      </c>
      <c r="BI488" s="763" t="b">
        <f>IFERROR(__xludf.DUMMYFUNCTION("""COMPUTED_VALUE"""),FALSE)</f>
        <v>0</v>
      </c>
      <c r="BJ488" s="763" t="b">
        <f>IFERROR(__xludf.DUMMYFUNCTION("""COMPUTED_VALUE"""),FALSE)</f>
        <v>0</v>
      </c>
    </row>
    <row r="489">
      <c r="A489" s="763">
        <f>IFERROR(__xludf.DUMMYFUNCTION("""COMPUTED_VALUE"""),65835.0)</f>
        <v>65835</v>
      </c>
      <c r="B489" s="763">
        <f>IFERROR(__xludf.DUMMYFUNCTION("""COMPUTED_VALUE"""),65835.0)</f>
        <v>65835</v>
      </c>
      <c r="C489" s="763" t="str">
        <f>IFERROR(__xludf.DUMMYFUNCTION("""COMPUTED_VALUE"""),"2025-11-07 20:14:02")</f>
        <v>2025-11-07 20:14:02</v>
      </c>
      <c r="D489" s="763" t="str">
        <f>IFERROR(__xludf.DUMMYFUNCTION("""COMPUTED_VALUE"""),"pending")</f>
        <v>pending</v>
      </c>
      <c r="E489" s="763" t="str">
        <f>IFERROR(__xludf.DUMMYFUNCTION("""COMPUTED_VALUE"""),"Chiara")</f>
        <v>Chiara</v>
      </c>
      <c r="F489" s="763" t="str">
        <f>IFERROR(__xludf.DUMMYFUNCTION("""COMPUTED_VALUE"""),"Piccoli")</f>
        <v>Piccoli</v>
      </c>
      <c r="G489" s="763" t="str">
        <f>IFERROR(__xludf.DUMMYFUNCTION("""COMPUTED_VALUE"""),"chiarapiccoli2.0@gmail.com")</f>
        <v>chiarapiccoli2.0@gmail.com</v>
      </c>
      <c r="H489" s="763">
        <f>IFERROR(__xludf.DUMMYFUNCTION("""COMPUTED_VALUE"""),3.385712471E9)</f>
        <v>3385712471</v>
      </c>
      <c r="I489" s="763" t="str">
        <f>IFERROR(__xludf.DUMMYFUNCTION("""COMPUTED_VALUE"""),"Lodi")</f>
        <v>Lodi</v>
      </c>
      <c r="J489" s="763" t="str">
        <f>IFERROR(__xludf.DUMMYFUNCTION("""COMPUTED_VALUE"""),"Via Borgo Adda 54")</f>
        <v>Via Borgo Adda 54</v>
      </c>
      <c r="K489" s="763">
        <f>IFERROR(__xludf.DUMMYFUNCTION("""COMPUTED_VALUE"""),26900.0)</f>
        <v>26900</v>
      </c>
      <c r="L489" s="763" t="str">
        <f>IFERROR(__xludf.DUMMYFUNCTION("""COMPUTED_VALUE"""),"Carte di pagamento")</f>
        <v>Carte di pagamento</v>
      </c>
      <c r="M489" s="763"/>
      <c r="N489" s="763"/>
      <c r="O489" s="763">
        <f>IFERROR(__xludf.DUMMYFUNCTION("""COMPUTED_VALUE"""),0.0)</f>
        <v>0</v>
      </c>
      <c r="P489" s="767">
        <f>IFERROR(__xludf.DUMMYFUNCTION("""COMPUTED_VALUE"""),1.5416666666666667)</f>
        <v>1.541666667</v>
      </c>
      <c r="Q489" s="763" t="str">
        <f>IFERROR(__xludf.DUMMYFUNCTION("""COMPUTED_VALUE"""),"EUR")</f>
        <v>EUR</v>
      </c>
      <c r="R489" s="763">
        <f>IFERROR(__xludf.DUMMYFUNCTION("""COMPUTED_VALUE"""),950.0)</f>
        <v>950</v>
      </c>
      <c r="S489" s="763" t="str">
        <f>IFERROR(__xludf.DUMMYFUNCTION("""COMPUTED_VALUE"""),"Workshop Urban con Kumo - Workshop Kumo Urban")</f>
        <v>Workshop Urban con Kumo - Workshop Kumo Urban</v>
      </c>
      <c r="T489" s="763"/>
      <c r="U489" s="763"/>
      <c r="V489" s="763">
        <f>IFERROR(__xludf.DUMMYFUNCTION("""COMPUTED_VALUE"""),1.0)</f>
        <v>1</v>
      </c>
      <c r="W489" s="763">
        <f>IFERROR(__xludf.DUMMYFUNCTION("""COMPUTED_VALUE"""),37.0)</f>
        <v>37</v>
      </c>
      <c r="X489" s="763">
        <f>IFERROR(__xludf.DUMMYFUNCTION("""COMPUTED_VALUE"""),37.0)</f>
        <v>37</v>
      </c>
      <c r="Y489" s="763"/>
      <c r="Z489" s="768" t="str">
        <f>IFERROR(__xludf.DUMMYFUNCTION("""COMPUTED_VALUE"""),"https://studio-gem.it/wp-admin/post.php?post=65835&amp;action=edit")</f>
        <v>https://studio-gem.it/wp-admin/post.php?post=65835&amp;action=edit</v>
      </c>
      <c r="AA489" s="763"/>
      <c r="AB489" s="763"/>
      <c r="AC489" s="763"/>
      <c r="AD489" s="763"/>
      <c r="AE489" s="763"/>
      <c r="AF489" s="763"/>
      <c r="AG489" s="763"/>
      <c r="AH489" s="763"/>
      <c r="AI489" s="763"/>
      <c r="AJ489" s="763"/>
      <c r="AK489" s="763"/>
      <c r="AL489" s="763"/>
      <c r="AM489" s="763"/>
      <c r="AN489" s="763"/>
      <c r="AO489" s="763"/>
      <c r="AP489" s="763"/>
      <c r="AQ489" s="763"/>
      <c r="AR489" s="763"/>
      <c r="AS489" s="763"/>
      <c r="AT489" s="763"/>
      <c r="AU489" s="763"/>
      <c r="AV489" s="763"/>
      <c r="AW489" s="763"/>
      <c r="AX489" s="763"/>
      <c r="AY489" s="763"/>
      <c r="AZ489" s="763"/>
      <c r="BA489" s="763"/>
      <c r="BB489" s="763"/>
      <c r="BC489" s="763"/>
      <c r="BD489" s="763"/>
      <c r="BE489" s="763"/>
      <c r="BF489" s="763"/>
      <c r="BG489" s="763" t="b">
        <f>IFERROR(__xludf.DUMMYFUNCTION("""COMPUTED_VALUE"""),FALSE)</f>
        <v>0</v>
      </c>
      <c r="BH489" s="763" t="b">
        <f>IFERROR(__xludf.DUMMYFUNCTION("""COMPUTED_VALUE"""),FALSE)</f>
        <v>0</v>
      </c>
      <c r="BI489" s="763" t="b">
        <f>IFERROR(__xludf.DUMMYFUNCTION("""COMPUTED_VALUE"""),FALSE)</f>
        <v>0</v>
      </c>
      <c r="BJ489" s="763" t="b">
        <f>IFERROR(__xludf.DUMMYFUNCTION("""COMPUTED_VALUE"""),FALSE)</f>
        <v>0</v>
      </c>
    </row>
    <row r="490">
      <c r="A490" s="763">
        <f>IFERROR(__xludf.DUMMYFUNCTION("""COMPUTED_VALUE"""),65836.0)</f>
        <v>65836</v>
      </c>
      <c r="B490" s="763">
        <f>IFERROR(__xludf.DUMMYFUNCTION("""COMPUTED_VALUE"""),65836.0)</f>
        <v>65836</v>
      </c>
      <c r="C490" s="763" t="str">
        <f>IFERROR(__xludf.DUMMYFUNCTION("""COMPUTED_VALUE"""),"2025-11-08 00:36:15")</f>
        <v>2025-11-08 00:36:15</v>
      </c>
      <c r="D490" s="763" t="str">
        <f>IFERROR(__xludf.DUMMYFUNCTION("""COMPUTED_VALUE"""),"pending")</f>
        <v>pending</v>
      </c>
      <c r="E490" s="763" t="str">
        <f>IFERROR(__xludf.DUMMYFUNCTION("""COMPUTED_VALUE"""),"Chiara")</f>
        <v>Chiara</v>
      </c>
      <c r="F490" s="763" t="str">
        <f>IFERROR(__xludf.DUMMYFUNCTION("""COMPUTED_VALUE"""),"Piccoli")</f>
        <v>Piccoli</v>
      </c>
      <c r="G490" s="763" t="str">
        <f>IFERROR(__xludf.DUMMYFUNCTION("""COMPUTED_VALUE"""),"chiarapiccoli2.0@gmail.com")</f>
        <v>chiarapiccoli2.0@gmail.com</v>
      </c>
      <c r="H490" s="763">
        <f>IFERROR(__xludf.DUMMYFUNCTION("""COMPUTED_VALUE"""),3.385712471E9)</f>
        <v>3385712471</v>
      </c>
      <c r="I490" s="763" t="str">
        <f>IFERROR(__xludf.DUMMYFUNCTION("""COMPUTED_VALUE"""),"Lodi")</f>
        <v>Lodi</v>
      </c>
      <c r="J490" s="763" t="str">
        <f>IFERROR(__xludf.DUMMYFUNCTION("""COMPUTED_VALUE"""),"Via Borgo Adda 54")</f>
        <v>Via Borgo Adda 54</v>
      </c>
      <c r="K490" s="763">
        <f>IFERROR(__xludf.DUMMYFUNCTION("""COMPUTED_VALUE"""),26900.0)</f>
        <v>26900</v>
      </c>
      <c r="L490" s="763" t="str">
        <f>IFERROR(__xludf.DUMMYFUNCTION("""COMPUTED_VALUE"""),"Carte di pagamento")</f>
        <v>Carte di pagamento</v>
      </c>
      <c r="M490" s="763"/>
      <c r="N490" s="763"/>
      <c r="O490" s="763">
        <f>IFERROR(__xludf.DUMMYFUNCTION("""COMPUTED_VALUE"""),0.0)</f>
        <v>0</v>
      </c>
      <c r="P490" s="767">
        <f>IFERROR(__xludf.DUMMYFUNCTION("""COMPUTED_VALUE"""),3.0833333333333335)</f>
        <v>3.083333333</v>
      </c>
      <c r="Q490" s="763" t="str">
        <f>IFERROR(__xludf.DUMMYFUNCTION("""COMPUTED_VALUE"""),"EUR")</f>
        <v>EUR</v>
      </c>
      <c r="R490" s="763">
        <f>IFERROR(__xludf.DUMMYFUNCTION("""COMPUTED_VALUE"""),951.0)</f>
        <v>951</v>
      </c>
      <c r="S490" s="763" t="str">
        <f>IFERROR(__xludf.DUMMYFUNCTION("""COMPUTED_VALUE"""),"Workshop Urban con Kumo - Workshop Kumo Urban")</f>
        <v>Workshop Urban con Kumo - Workshop Kumo Urban</v>
      </c>
      <c r="T490" s="763"/>
      <c r="U490" s="763"/>
      <c r="V490" s="763">
        <f>IFERROR(__xludf.DUMMYFUNCTION("""COMPUTED_VALUE"""),2.0)</f>
        <v>2</v>
      </c>
      <c r="W490" s="763">
        <f>IFERROR(__xludf.DUMMYFUNCTION("""COMPUTED_VALUE"""),37.0)</f>
        <v>37</v>
      </c>
      <c r="X490" s="763">
        <f>IFERROR(__xludf.DUMMYFUNCTION("""COMPUTED_VALUE"""),74.0)</f>
        <v>74</v>
      </c>
      <c r="Y490" s="763"/>
      <c r="Z490" s="768" t="str">
        <f>IFERROR(__xludf.DUMMYFUNCTION("""COMPUTED_VALUE"""),"https://studio-gem.it/wp-admin/post.php?post=65836&amp;action=edit")</f>
        <v>https://studio-gem.it/wp-admin/post.php?post=65836&amp;action=edit</v>
      </c>
      <c r="AA490" s="763"/>
      <c r="AB490" s="763"/>
      <c r="AC490" s="763"/>
      <c r="AD490" s="763"/>
      <c r="AE490" s="763"/>
      <c r="AF490" s="763"/>
      <c r="AG490" s="763"/>
      <c r="AH490" s="763"/>
      <c r="AI490" s="763"/>
      <c r="AJ490" s="763"/>
      <c r="AK490" s="763"/>
      <c r="AL490" s="763"/>
      <c r="AM490" s="763"/>
      <c r="AN490" s="763"/>
      <c r="AO490" s="763"/>
      <c r="AP490" s="763"/>
      <c r="AQ490" s="763"/>
      <c r="AR490" s="763"/>
      <c r="AS490" s="763"/>
      <c r="AT490" s="763"/>
      <c r="AU490" s="763"/>
      <c r="AV490" s="763"/>
      <c r="AW490" s="763"/>
      <c r="AX490" s="763"/>
      <c r="AY490" s="763"/>
      <c r="AZ490" s="763"/>
      <c r="BA490" s="763"/>
      <c r="BB490" s="763"/>
      <c r="BC490" s="763"/>
      <c r="BD490" s="763"/>
      <c r="BE490" s="763"/>
      <c r="BF490" s="763"/>
      <c r="BG490" s="763" t="b">
        <f>IFERROR(__xludf.DUMMYFUNCTION("""COMPUTED_VALUE"""),FALSE)</f>
        <v>0</v>
      </c>
      <c r="BH490" s="763" t="b">
        <f>IFERROR(__xludf.DUMMYFUNCTION("""COMPUTED_VALUE"""),FALSE)</f>
        <v>0</v>
      </c>
      <c r="BI490" s="763" t="b">
        <f>IFERROR(__xludf.DUMMYFUNCTION("""COMPUTED_VALUE"""),FALSE)</f>
        <v>0</v>
      </c>
      <c r="BJ490" s="763" t="b">
        <f>IFERROR(__xludf.DUMMYFUNCTION("""COMPUTED_VALUE"""),FALSE)</f>
        <v>0</v>
      </c>
    </row>
    <row r="491">
      <c r="A491" s="763">
        <f>IFERROR(__xludf.DUMMYFUNCTION("""COMPUTED_VALUE"""),65837.0)</f>
        <v>65837</v>
      </c>
      <c r="B491" s="763">
        <f>IFERROR(__xludf.DUMMYFUNCTION("""COMPUTED_VALUE"""),65837.0)</f>
        <v>65837</v>
      </c>
      <c r="C491" s="763" t="str">
        <f>IFERROR(__xludf.DUMMYFUNCTION("""COMPUTED_VALUE"""),"2025-11-08 00:46:51")</f>
        <v>2025-11-08 00:46:51</v>
      </c>
      <c r="D491" s="763" t="str">
        <f>IFERROR(__xludf.DUMMYFUNCTION("""COMPUTED_VALUE"""),"pending")</f>
        <v>pending</v>
      </c>
      <c r="E491" s="763" t="str">
        <f>IFERROR(__xludf.DUMMYFUNCTION("""COMPUTED_VALUE"""),"Chiara")</f>
        <v>Chiara</v>
      </c>
      <c r="F491" s="763" t="str">
        <f>IFERROR(__xludf.DUMMYFUNCTION("""COMPUTED_VALUE"""),"Piccoli")</f>
        <v>Piccoli</v>
      </c>
      <c r="G491" s="763" t="str">
        <f>IFERROR(__xludf.DUMMYFUNCTION("""COMPUTED_VALUE"""),"chiarapiccoli2.0@gmail.com")</f>
        <v>chiarapiccoli2.0@gmail.com</v>
      </c>
      <c r="H491" s="763">
        <f>IFERROR(__xludf.DUMMYFUNCTION("""COMPUTED_VALUE"""),3.385712471E9)</f>
        <v>3385712471</v>
      </c>
      <c r="I491" s="763" t="str">
        <f>IFERROR(__xludf.DUMMYFUNCTION("""COMPUTED_VALUE"""),"Lodi")</f>
        <v>Lodi</v>
      </c>
      <c r="J491" s="763" t="str">
        <f>IFERROR(__xludf.DUMMYFUNCTION("""COMPUTED_VALUE"""),"Via Borgo Adda 54")</f>
        <v>Via Borgo Adda 54</v>
      </c>
      <c r="K491" s="763">
        <f>IFERROR(__xludf.DUMMYFUNCTION("""COMPUTED_VALUE"""),26900.0)</f>
        <v>26900</v>
      </c>
      <c r="L491" s="763" t="str">
        <f>IFERROR(__xludf.DUMMYFUNCTION("""COMPUTED_VALUE"""),"Carte di pagamento")</f>
        <v>Carte di pagamento</v>
      </c>
      <c r="M491" s="763"/>
      <c r="N491" s="763"/>
      <c r="O491" s="763">
        <f>IFERROR(__xludf.DUMMYFUNCTION("""COMPUTED_VALUE"""),0.0)</f>
        <v>0</v>
      </c>
      <c r="P491" s="767">
        <f>IFERROR(__xludf.DUMMYFUNCTION("""COMPUTED_VALUE"""),1.5416666666666667)</f>
        <v>1.541666667</v>
      </c>
      <c r="Q491" s="763" t="str">
        <f>IFERROR(__xludf.DUMMYFUNCTION("""COMPUTED_VALUE"""),"EUR")</f>
        <v>EUR</v>
      </c>
      <c r="R491" s="763">
        <f>IFERROR(__xludf.DUMMYFUNCTION("""COMPUTED_VALUE"""),952.0)</f>
        <v>952</v>
      </c>
      <c r="S491" s="763" t="str">
        <f>IFERROR(__xludf.DUMMYFUNCTION("""COMPUTED_VALUE"""),"Workshop Urban con Kumo - Workshop Kumo Urban")</f>
        <v>Workshop Urban con Kumo - Workshop Kumo Urban</v>
      </c>
      <c r="T491" s="763"/>
      <c r="U491" s="763"/>
      <c r="V491" s="763">
        <f>IFERROR(__xludf.DUMMYFUNCTION("""COMPUTED_VALUE"""),1.0)</f>
        <v>1</v>
      </c>
      <c r="W491" s="763">
        <f>IFERROR(__xludf.DUMMYFUNCTION("""COMPUTED_VALUE"""),37.0)</f>
        <v>37</v>
      </c>
      <c r="X491" s="763">
        <f>IFERROR(__xludf.DUMMYFUNCTION("""COMPUTED_VALUE"""),37.0)</f>
        <v>37</v>
      </c>
      <c r="Y491" s="763"/>
      <c r="Z491" s="768" t="str">
        <f>IFERROR(__xludf.DUMMYFUNCTION("""COMPUTED_VALUE"""),"https://studio-gem.it/wp-admin/post.php?post=65837&amp;action=edit")</f>
        <v>https://studio-gem.it/wp-admin/post.php?post=65837&amp;action=edit</v>
      </c>
      <c r="AA491" s="763"/>
      <c r="AB491" s="763"/>
      <c r="AC491" s="763"/>
      <c r="AD491" s="763"/>
      <c r="AE491" s="763"/>
      <c r="AF491" s="763"/>
      <c r="AG491" s="763"/>
      <c r="AH491" s="763"/>
      <c r="AI491" s="763"/>
      <c r="AJ491" s="763"/>
      <c r="AK491" s="763"/>
      <c r="AL491" s="763"/>
      <c r="AM491" s="763"/>
      <c r="AN491" s="763"/>
      <c r="AO491" s="763"/>
      <c r="AP491" s="763"/>
      <c r="AQ491" s="763"/>
      <c r="AR491" s="763"/>
      <c r="AS491" s="763"/>
      <c r="AT491" s="763"/>
      <c r="AU491" s="763"/>
      <c r="AV491" s="763"/>
      <c r="AW491" s="763"/>
      <c r="AX491" s="763"/>
      <c r="AY491" s="763"/>
      <c r="AZ491" s="763"/>
      <c r="BA491" s="763"/>
      <c r="BB491" s="763"/>
      <c r="BC491" s="763"/>
      <c r="BD491" s="763"/>
      <c r="BE491" s="763"/>
      <c r="BF491" s="763"/>
      <c r="BG491" s="763" t="b">
        <f>IFERROR(__xludf.DUMMYFUNCTION("""COMPUTED_VALUE"""),FALSE)</f>
        <v>0</v>
      </c>
      <c r="BH491" s="763" t="b">
        <f>IFERROR(__xludf.DUMMYFUNCTION("""COMPUTED_VALUE"""),FALSE)</f>
        <v>0</v>
      </c>
      <c r="BI491" s="763" t="b">
        <f>IFERROR(__xludf.DUMMYFUNCTION("""COMPUTED_VALUE"""),FALSE)</f>
        <v>0</v>
      </c>
      <c r="BJ491" s="763" t="b">
        <f>IFERROR(__xludf.DUMMYFUNCTION("""COMPUTED_VALUE"""),FALSE)</f>
        <v>0</v>
      </c>
    </row>
    <row r="492">
      <c r="A492" s="763">
        <f>IFERROR(__xludf.DUMMYFUNCTION("""COMPUTED_VALUE"""),65838.0)</f>
        <v>65838</v>
      </c>
      <c r="B492" s="763">
        <f>IFERROR(__xludf.DUMMYFUNCTION("""COMPUTED_VALUE"""),65838.0)</f>
        <v>65838</v>
      </c>
      <c r="C492" s="763" t="str">
        <f>IFERROR(__xludf.DUMMYFUNCTION("""COMPUTED_VALUE"""),"2025-11-08 05:56:18")</f>
        <v>2025-11-08 05:56:18</v>
      </c>
      <c r="D492" s="763" t="str">
        <f>IFERROR(__xludf.DUMMYFUNCTION("""COMPUTED_VALUE"""),"processing")</f>
        <v>processing</v>
      </c>
      <c r="E492" s="763" t="str">
        <f>IFERROR(__xludf.DUMMYFUNCTION("""COMPUTED_VALUE"""),"Chiara")</f>
        <v>Chiara</v>
      </c>
      <c r="F492" s="763" t="str">
        <f>IFERROR(__xludf.DUMMYFUNCTION("""COMPUTED_VALUE"""),"Piccoli")</f>
        <v>Piccoli</v>
      </c>
      <c r="G492" s="763" t="str">
        <f>IFERROR(__xludf.DUMMYFUNCTION("""COMPUTED_VALUE"""),"chiarapiccoli2.0@gmail.com")</f>
        <v>chiarapiccoli2.0@gmail.com</v>
      </c>
      <c r="H492" s="763">
        <f>IFERROR(__xludf.DUMMYFUNCTION("""COMPUTED_VALUE"""),3.385712471E9)</f>
        <v>3385712471</v>
      </c>
      <c r="I492" s="763" t="str">
        <f>IFERROR(__xludf.DUMMYFUNCTION("""COMPUTED_VALUE"""),"Lodi")</f>
        <v>Lodi</v>
      </c>
      <c r="J492" s="763" t="str">
        <f>IFERROR(__xludf.DUMMYFUNCTION("""COMPUTED_VALUE"""),"Via Borgo Adda 54")</f>
        <v>Via Borgo Adda 54</v>
      </c>
      <c r="K492" s="763">
        <f>IFERROR(__xludf.DUMMYFUNCTION("""COMPUTED_VALUE"""),26900.0)</f>
        <v>26900</v>
      </c>
      <c r="L492" s="763" t="str">
        <f>IFERROR(__xludf.DUMMYFUNCTION("""COMPUTED_VALUE"""),"Carte di pagamento")</f>
        <v>Carte di pagamento</v>
      </c>
      <c r="M492" s="763"/>
      <c r="N492" s="763" t="str">
        <f>IFERROR(__xludf.DUMMYFUNCTION("""COMPUTED_VALUE"""),"65838-1762581380")</f>
        <v>65838-1762581380</v>
      </c>
      <c r="O492" s="763">
        <f>IFERROR(__xludf.DUMMYFUNCTION("""COMPUTED_VALUE"""),0.0)</f>
        <v>0</v>
      </c>
      <c r="P492" s="767">
        <f>IFERROR(__xludf.DUMMYFUNCTION("""COMPUTED_VALUE"""),1.5416666666666667)</f>
        <v>1.541666667</v>
      </c>
      <c r="Q492" s="763" t="str">
        <f>IFERROR(__xludf.DUMMYFUNCTION("""COMPUTED_VALUE"""),"EUR")</f>
        <v>EUR</v>
      </c>
      <c r="R492" s="763">
        <f>IFERROR(__xludf.DUMMYFUNCTION("""COMPUTED_VALUE"""),953.0)</f>
        <v>953</v>
      </c>
      <c r="S492" s="763" t="str">
        <f>IFERROR(__xludf.DUMMYFUNCTION("""COMPUTED_VALUE"""),"Workshop Urban con Kumo - Workshop Kumo Urban")</f>
        <v>Workshop Urban con Kumo - Workshop Kumo Urban</v>
      </c>
      <c r="T492" s="763"/>
      <c r="U492" s="763"/>
      <c r="V492" s="763">
        <f>IFERROR(__xludf.DUMMYFUNCTION("""COMPUTED_VALUE"""),1.0)</f>
        <v>1</v>
      </c>
      <c r="W492" s="763">
        <f>IFERROR(__xludf.DUMMYFUNCTION("""COMPUTED_VALUE"""),37.0)</f>
        <v>37</v>
      </c>
      <c r="X492" s="763">
        <f>IFERROR(__xludf.DUMMYFUNCTION("""COMPUTED_VALUE"""),37.0)</f>
        <v>37</v>
      </c>
      <c r="Y492" s="763"/>
      <c r="Z492" s="768" t="str">
        <f>IFERROR(__xludf.DUMMYFUNCTION("""COMPUTED_VALUE"""),"https://studio-gem.it/wp-admin/post.php?post=65838&amp;action=edit")</f>
        <v>https://studio-gem.it/wp-admin/post.php?post=65838&amp;action=edit</v>
      </c>
      <c r="AA492" s="763"/>
      <c r="AB492" s="763"/>
      <c r="AC492" s="763"/>
      <c r="AD492" s="763"/>
      <c r="AE492" s="763"/>
      <c r="AF492" s="763"/>
      <c r="AG492" s="763"/>
      <c r="AH492" s="763"/>
      <c r="AI492" s="763"/>
      <c r="AJ492" s="763"/>
      <c r="AK492" s="763"/>
      <c r="AL492" s="763"/>
      <c r="AM492" s="763"/>
      <c r="AN492" s="763"/>
      <c r="AO492" s="763"/>
      <c r="AP492" s="763"/>
      <c r="AQ492" s="763"/>
      <c r="AR492" s="763"/>
      <c r="AS492" s="763"/>
      <c r="AT492" s="763"/>
      <c r="AU492" s="763"/>
      <c r="AV492" s="763"/>
      <c r="AW492" s="763"/>
      <c r="AX492" s="763"/>
      <c r="AY492" s="763"/>
      <c r="AZ492" s="763"/>
      <c r="BA492" s="763"/>
      <c r="BB492" s="763"/>
      <c r="BC492" s="763"/>
      <c r="BD492" s="763"/>
      <c r="BE492" s="763"/>
      <c r="BF492" s="763"/>
      <c r="BG492" s="763" t="b">
        <f>IFERROR(__xludf.DUMMYFUNCTION("""COMPUTED_VALUE"""),TRUE)</f>
        <v>1</v>
      </c>
      <c r="BH492" s="763" t="b">
        <f>IFERROR(__xludf.DUMMYFUNCTION("""COMPUTED_VALUE"""),FALSE)</f>
        <v>0</v>
      </c>
      <c r="BI492" s="763" t="b">
        <f>IFERROR(__xludf.DUMMYFUNCTION("""COMPUTED_VALUE"""),TRUE)</f>
        <v>1</v>
      </c>
      <c r="BJ492" s="763" t="b">
        <f>IFERROR(__xludf.DUMMYFUNCTION("""COMPUTED_VALUE"""),TRUE)</f>
        <v>1</v>
      </c>
    </row>
    <row r="493">
      <c r="A493" s="763">
        <f>IFERROR(__xludf.DUMMYFUNCTION("""COMPUTED_VALUE"""),65841.0)</f>
        <v>65841</v>
      </c>
      <c r="B493" s="763">
        <f>IFERROR(__xludf.DUMMYFUNCTION("""COMPUTED_VALUE"""),65841.0)</f>
        <v>65841</v>
      </c>
      <c r="C493" s="763" t="str">
        <f>IFERROR(__xludf.DUMMYFUNCTION("""COMPUTED_VALUE"""),"2025-11-08 10:32:45")</f>
        <v>2025-11-08 10:32:45</v>
      </c>
      <c r="D493" s="763" t="str">
        <f>IFERROR(__xludf.DUMMYFUNCTION("""COMPUTED_VALUE"""),"processing")</f>
        <v>processing</v>
      </c>
      <c r="E493" s="763" t="str">
        <f>IFERROR(__xludf.DUMMYFUNCTION("""COMPUTED_VALUE"""),"Erika joy")</f>
        <v>Erika joy</v>
      </c>
      <c r="F493" s="763" t="str">
        <f>IFERROR(__xludf.DUMMYFUNCTION("""COMPUTED_VALUE"""),"Enriquez")</f>
        <v>Enriquez</v>
      </c>
      <c r="G493" s="763" t="str">
        <f>IFERROR(__xludf.DUMMYFUNCTION("""COMPUTED_VALUE"""),"eerikajoy@yahoo.it")</f>
        <v>eerikajoy@yahoo.it</v>
      </c>
      <c r="H493" s="763">
        <f>IFERROR(__xludf.DUMMYFUNCTION("""COMPUTED_VALUE"""),3.899691211E9)</f>
        <v>3899691211</v>
      </c>
      <c r="I493" s="763" t="str">
        <f>IFERROR(__xludf.DUMMYFUNCTION("""COMPUTED_VALUE"""),"Mantova")</f>
        <v>Mantova</v>
      </c>
      <c r="J493" s="763" t="str">
        <f>IFERROR(__xludf.DUMMYFUNCTION("""COMPUTED_VALUE"""),"Strada villanova de bellis 18")</f>
        <v>Strada villanova de bellis 18</v>
      </c>
      <c r="K493" s="763">
        <f>IFERROR(__xludf.DUMMYFUNCTION("""COMPUTED_VALUE"""),46100.0)</f>
        <v>46100</v>
      </c>
      <c r="L493" s="763" t="str">
        <f>IFERROR(__xludf.DUMMYFUNCTION("""COMPUTED_VALUE"""),"Carte di pagamento")</f>
        <v>Carte di pagamento</v>
      </c>
      <c r="M493" s="763"/>
      <c r="N493" s="763" t="str">
        <f>IFERROR(__xludf.DUMMYFUNCTION("""COMPUTED_VALUE"""),"65841-1762597967")</f>
        <v>65841-1762597967</v>
      </c>
      <c r="O493" s="763">
        <f>IFERROR(__xludf.DUMMYFUNCTION("""COMPUTED_VALUE"""),0.0)</f>
        <v>0</v>
      </c>
      <c r="P493" s="767">
        <f>IFERROR(__xludf.DUMMYFUNCTION("""COMPUTED_VALUE"""),1.5416666666666667)</f>
        <v>1.541666667</v>
      </c>
      <c r="Q493" s="763" t="str">
        <f>IFERROR(__xludf.DUMMYFUNCTION("""COMPUTED_VALUE"""),"EUR")</f>
        <v>EUR</v>
      </c>
      <c r="R493" s="763">
        <f>IFERROR(__xludf.DUMMYFUNCTION("""COMPUTED_VALUE"""),954.0)</f>
        <v>954</v>
      </c>
      <c r="S493" s="763" t="str">
        <f>IFERROR(__xludf.DUMMYFUNCTION("""COMPUTED_VALUE"""),"Workshop Heels con Deborah Esposito - Workshop Heels con Deborah Esposito")</f>
        <v>Workshop Heels con Deborah Esposito - Workshop Heels con Deborah Esposito</v>
      </c>
      <c r="T493" s="763"/>
      <c r="U493" s="763"/>
      <c r="V493" s="763">
        <f>IFERROR(__xludf.DUMMYFUNCTION("""COMPUTED_VALUE"""),1.0)</f>
        <v>1</v>
      </c>
      <c r="W493" s="763">
        <f>IFERROR(__xludf.DUMMYFUNCTION("""COMPUTED_VALUE"""),37.0)</f>
        <v>37</v>
      </c>
      <c r="X493" s="763">
        <f>IFERROR(__xludf.DUMMYFUNCTION("""COMPUTED_VALUE"""),37.0)</f>
        <v>37</v>
      </c>
      <c r="Y493" s="763"/>
      <c r="Z493" s="768" t="str">
        <f>IFERROR(__xludf.DUMMYFUNCTION("""COMPUTED_VALUE"""),"https://studio-gem.it/wp-admin/post.php?post=65841&amp;action=edit")</f>
        <v>https://studio-gem.it/wp-admin/post.php?post=65841&amp;action=edit</v>
      </c>
      <c r="AA493" s="763"/>
      <c r="AB493" s="763"/>
      <c r="AC493" s="763"/>
      <c r="AD493" s="763"/>
      <c r="AE493" s="763"/>
      <c r="AF493" s="763"/>
      <c r="AG493" s="763"/>
      <c r="AH493" s="763"/>
      <c r="AI493" s="763"/>
      <c r="AJ493" s="763"/>
      <c r="AK493" s="763"/>
      <c r="AL493" s="763"/>
      <c r="AM493" s="763"/>
      <c r="AN493" s="763"/>
      <c r="AO493" s="763"/>
      <c r="AP493" s="763"/>
      <c r="AQ493" s="763"/>
      <c r="AR493" s="763"/>
      <c r="AS493" s="763"/>
      <c r="AT493" s="763"/>
      <c r="AU493" s="763"/>
      <c r="AV493" s="763"/>
      <c r="AW493" s="763"/>
      <c r="AX493" s="763"/>
      <c r="AY493" s="763"/>
      <c r="AZ493" s="763"/>
      <c r="BA493" s="763"/>
      <c r="BB493" s="763"/>
      <c r="BC493" s="763"/>
      <c r="BD493" s="763"/>
      <c r="BE493" s="763"/>
      <c r="BF493" s="763"/>
      <c r="BG493" s="763" t="b">
        <f>IFERROR(__xludf.DUMMYFUNCTION("""COMPUTED_VALUE"""),TRUE)</f>
        <v>1</v>
      </c>
      <c r="BH493" s="763" t="b">
        <f>IFERROR(__xludf.DUMMYFUNCTION("""COMPUTED_VALUE"""),FALSE)</f>
        <v>0</v>
      </c>
      <c r="BI493" s="763" t="b">
        <f>IFERROR(__xludf.DUMMYFUNCTION("""COMPUTED_VALUE"""),TRUE)</f>
        <v>1</v>
      </c>
      <c r="BJ493" s="763" t="b">
        <f>IFERROR(__xludf.DUMMYFUNCTION("""COMPUTED_VALUE"""),TRUE)</f>
        <v>1</v>
      </c>
    </row>
    <row r="494">
      <c r="A494" s="763">
        <f>IFERROR(__xludf.DUMMYFUNCTION("""COMPUTED_VALUE"""),65843.0)</f>
        <v>65843</v>
      </c>
      <c r="B494" s="763">
        <f>IFERROR(__xludf.DUMMYFUNCTION("""COMPUTED_VALUE"""),65843.0)</f>
        <v>65843</v>
      </c>
      <c r="C494" s="763" t="str">
        <f>IFERROR(__xludf.DUMMYFUNCTION("""COMPUTED_VALUE"""),"2025-11-08 10:41:49")</f>
        <v>2025-11-08 10:41:49</v>
      </c>
      <c r="D494" s="763" t="str">
        <f>IFERROR(__xludf.DUMMYFUNCTION("""COMPUTED_VALUE"""),"completed")</f>
        <v>completed</v>
      </c>
      <c r="E494" s="763" t="str">
        <f>IFERROR(__xludf.DUMMYFUNCTION("""COMPUTED_VALUE"""),"Carolina")</f>
        <v>Carolina</v>
      </c>
      <c r="F494" s="763" t="str">
        <f>IFERROR(__xludf.DUMMYFUNCTION("""COMPUTED_VALUE"""),"Rognini")</f>
        <v>Rognini</v>
      </c>
      <c r="G494" s="763" t="str">
        <f>IFERROR(__xludf.DUMMYFUNCTION("""COMPUTED_VALUE"""),"carolina.2001@icloud.com")</f>
        <v>carolina.2001@icloud.com</v>
      </c>
      <c r="H494" s="763">
        <f>IFERROR(__xludf.DUMMYFUNCTION("""COMPUTED_VALUE"""),3.204460419E9)</f>
        <v>3204460419</v>
      </c>
      <c r="I494" s="763" t="str">
        <f>IFERROR(__xludf.DUMMYFUNCTION("""COMPUTED_VALUE"""),"Mantova")</f>
        <v>Mantova</v>
      </c>
      <c r="J494" s="763" t="str">
        <f>IFERROR(__xludf.DUMMYFUNCTION("""COMPUTED_VALUE"""),"Viale Belgioioso 29/A")</f>
        <v>Viale Belgioioso 29/A</v>
      </c>
      <c r="K494" s="763">
        <f>IFERROR(__xludf.DUMMYFUNCTION("""COMPUTED_VALUE"""),46100.0)</f>
        <v>46100</v>
      </c>
      <c r="L494" s="763" t="str">
        <f>IFERROR(__xludf.DUMMYFUNCTION("""COMPUTED_VALUE"""),"Apple Pay")</f>
        <v>Apple Pay</v>
      </c>
      <c r="M494" s="763"/>
      <c r="N494" s="763" t="str">
        <f>IFERROR(__xludf.DUMMYFUNCTION("""COMPUTED_VALUE"""),"65843-1762598510")</f>
        <v>65843-1762598510</v>
      </c>
      <c r="O494" s="763">
        <f>IFERROR(__xludf.DUMMYFUNCTION("""COMPUTED_VALUE"""),0.0)</f>
        <v>0</v>
      </c>
      <c r="P494" s="767">
        <f>IFERROR(__xludf.DUMMYFUNCTION("""COMPUTED_VALUE"""),1.5416666666666667)</f>
        <v>1.541666667</v>
      </c>
      <c r="Q494" s="763" t="str">
        <f>IFERROR(__xludf.DUMMYFUNCTION("""COMPUTED_VALUE"""),"EUR")</f>
        <v>EUR</v>
      </c>
      <c r="R494" s="763">
        <f>IFERROR(__xludf.DUMMYFUNCTION("""COMPUTED_VALUE"""),955.0)</f>
        <v>955</v>
      </c>
      <c r="S494" s="763" t="str">
        <f>IFERROR(__xludf.DUMMYFUNCTION("""COMPUTED_VALUE"""),"Workshop Heels con Deborah Esposito - Workshop Heels con Deborah Esposito")</f>
        <v>Workshop Heels con Deborah Esposito - Workshop Heels con Deborah Esposito</v>
      </c>
      <c r="T494" s="763"/>
      <c r="U494" s="763"/>
      <c r="V494" s="763">
        <f>IFERROR(__xludf.DUMMYFUNCTION("""COMPUTED_VALUE"""),1.0)</f>
        <v>1</v>
      </c>
      <c r="W494" s="763">
        <f>IFERROR(__xludf.DUMMYFUNCTION("""COMPUTED_VALUE"""),37.0)</f>
        <v>37</v>
      </c>
      <c r="X494" s="763">
        <f>IFERROR(__xludf.DUMMYFUNCTION("""COMPUTED_VALUE"""),37.0)</f>
        <v>37</v>
      </c>
      <c r="Y494" s="763"/>
      <c r="Z494" s="768" t="str">
        <f>IFERROR(__xludf.DUMMYFUNCTION("""COMPUTED_VALUE"""),"https://studio-gem.it/wp-admin/post.php?post=65843&amp;action=edit")</f>
        <v>https://studio-gem.it/wp-admin/post.php?post=65843&amp;action=edit</v>
      </c>
      <c r="AA494" s="763"/>
      <c r="AB494" s="763"/>
      <c r="AC494" s="763"/>
      <c r="AD494" s="763"/>
      <c r="AE494" s="763"/>
      <c r="AF494" s="763"/>
      <c r="AG494" s="763"/>
      <c r="AH494" s="763"/>
      <c r="AI494" s="763"/>
      <c r="AJ494" s="763"/>
      <c r="AK494" s="763"/>
      <c r="AL494" s="763"/>
      <c r="AM494" s="763"/>
      <c r="AN494" s="763"/>
      <c r="AO494" s="763"/>
      <c r="AP494" s="763"/>
      <c r="AQ494" s="763"/>
      <c r="AR494" s="763"/>
      <c r="AS494" s="763"/>
      <c r="AT494" s="763"/>
      <c r="AU494" s="763"/>
      <c r="AV494" s="763"/>
      <c r="AW494" s="763"/>
      <c r="AX494" s="763"/>
      <c r="AY494" s="763"/>
      <c r="AZ494" s="763"/>
      <c r="BA494" s="763"/>
      <c r="BB494" s="763"/>
      <c r="BC494" s="763"/>
      <c r="BD494" s="763"/>
      <c r="BE494" s="763"/>
      <c r="BF494" s="763"/>
      <c r="BG494" s="763" t="b">
        <f>IFERROR(__xludf.DUMMYFUNCTION("""COMPUTED_VALUE"""),TRUE)</f>
        <v>1</v>
      </c>
      <c r="BH494" s="763" t="b">
        <f>IFERROR(__xludf.DUMMYFUNCTION("""COMPUTED_VALUE"""),FALSE)</f>
        <v>0</v>
      </c>
      <c r="BI494" s="763" t="b">
        <f>IFERROR(__xludf.DUMMYFUNCTION("""COMPUTED_VALUE"""),TRUE)</f>
        <v>1</v>
      </c>
      <c r="BJ494" s="763" t="b">
        <f>IFERROR(__xludf.DUMMYFUNCTION("""COMPUTED_VALUE"""),TRUE)</f>
        <v>1</v>
      </c>
    </row>
    <row r="495">
      <c r="A495" s="763">
        <f>IFERROR(__xludf.DUMMYFUNCTION("""COMPUTED_VALUE"""),65845.0)</f>
        <v>65845</v>
      </c>
      <c r="B495" s="763">
        <f>IFERROR(__xludf.DUMMYFUNCTION("""COMPUTED_VALUE"""),65845.0)</f>
        <v>65845</v>
      </c>
      <c r="C495" s="763" t="str">
        <f>IFERROR(__xludf.DUMMYFUNCTION("""COMPUTED_VALUE"""),"2025-11-08 10:43:34")</f>
        <v>2025-11-08 10:43:34</v>
      </c>
      <c r="D495" s="763" t="str">
        <f>IFERROR(__xludf.DUMMYFUNCTION("""COMPUTED_VALUE"""),"completed")</f>
        <v>completed</v>
      </c>
      <c r="E495" s="763" t="str">
        <f>IFERROR(__xludf.DUMMYFUNCTION("""COMPUTED_VALUE"""),"Andrea")</f>
        <v>Andrea</v>
      </c>
      <c r="F495" s="763" t="str">
        <f>IFERROR(__xludf.DUMMYFUNCTION("""COMPUTED_VALUE"""),"Battaglia")</f>
        <v>Battaglia</v>
      </c>
      <c r="G495" s="763" t="str">
        <f>IFERROR(__xludf.DUMMYFUNCTION("""COMPUTED_VALUE"""),"andrea.98lsa@gmail.com")</f>
        <v>andrea.98lsa@gmail.com</v>
      </c>
      <c r="H495" s="763" t="str">
        <f>IFERROR(__xludf.DUMMYFUNCTION("""COMPUTED_VALUE"""),"+393475682484")</f>
        <v>+393475682484</v>
      </c>
      <c r="I495" s="763" t="str">
        <f>IFERROR(__xludf.DUMMYFUNCTION("""COMPUTED_VALUE"""),"Osio Sopra")</f>
        <v>Osio Sopra</v>
      </c>
      <c r="J495" s="763" t="str">
        <f>IFERROR(__xludf.DUMMYFUNCTION("""COMPUTED_VALUE"""),"Via Leonardo Da Vinci 4")</f>
        <v>Via Leonardo Da Vinci 4</v>
      </c>
      <c r="K495" s="763">
        <f>IFERROR(__xludf.DUMMYFUNCTION("""COMPUTED_VALUE"""),24040.0)</f>
        <v>24040</v>
      </c>
      <c r="L495" s="763" t="str">
        <f>IFERROR(__xludf.DUMMYFUNCTION("""COMPUTED_VALUE"""),"Carte di pagamento")</f>
        <v>Carte di pagamento</v>
      </c>
      <c r="M495" s="763"/>
      <c r="N495" s="763" t="str">
        <f>IFERROR(__xludf.DUMMYFUNCTION("""COMPUTED_VALUE"""),"65845-1762598616")</f>
        <v>65845-1762598616</v>
      </c>
      <c r="O495" s="763">
        <f>IFERROR(__xludf.DUMMYFUNCTION("""COMPUTED_VALUE"""),0.0)</f>
        <v>0</v>
      </c>
      <c r="P495" s="767">
        <f>IFERROR(__xludf.DUMMYFUNCTION("""COMPUTED_VALUE"""),1.5416666666666667)</f>
        <v>1.541666667</v>
      </c>
      <c r="Q495" s="763" t="str">
        <f>IFERROR(__xludf.DUMMYFUNCTION("""COMPUTED_VALUE"""),"EUR")</f>
        <v>EUR</v>
      </c>
      <c r="R495" s="763">
        <f>IFERROR(__xludf.DUMMYFUNCTION("""COMPUTED_VALUE"""),956.0)</f>
        <v>956</v>
      </c>
      <c r="S495" s="763" t="str">
        <f>IFERROR(__xludf.DUMMYFUNCTION("""COMPUTED_VALUE"""),"Workshop Heels con Deborah Esposito - Workshop Heels con Deborah Esposito")</f>
        <v>Workshop Heels con Deborah Esposito - Workshop Heels con Deborah Esposito</v>
      </c>
      <c r="T495" s="763"/>
      <c r="U495" s="763"/>
      <c r="V495" s="763">
        <f>IFERROR(__xludf.DUMMYFUNCTION("""COMPUTED_VALUE"""),1.0)</f>
        <v>1</v>
      </c>
      <c r="W495" s="763">
        <f>IFERROR(__xludf.DUMMYFUNCTION("""COMPUTED_VALUE"""),37.0)</f>
        <v>37</v>
      </c>
      <c r="X495" s="763">
        <f>IFERROR(__xludf.DUMMYFUNCTION("""COMPUTED_VALUE"""),37.0)</f>
        <v>37</v>
      </c>
      <c r="Y495" s="763"/>
      <c r="Z495" s="768" t="str">
        <f>IFERROR(__xludf.DUMMYFUNCTION("""COMPUTED_VALUE"""),"https://studio-gem.it/wp-admin/post.php?post=65845&amp;action=edit")</f>
        <v>https://studio-gem.it/wp-admin/post.php?post=65845&amp;action=edit</v>
      </c>
      <c r="AA495" s="763"/>
      <c r="AB495" s="763"/>
      <c r="AC495" s="763"/>
      <c r="AD495" s="763"/>
      <c r="AE495" s="763"/>
      <c r="AF495" s="763"/>
      <c r="AG495" s="763"/>
      <c r="AH495" s="763"/>
      <c r="AI495" s="763"/>
      <c r="AJ495" s="763"/>
      <c r="AK495" s="763"/>
      <c r="AL495" s="763"/>
      <c r="AM495" s="763"/>
      <c r="AN495" s="763"/>
      <c r="AO495" s="763"/>
      <c r="AP495" s="763"/>
      <c r="AQ495" s="763"/>
      <c r="AR495" s="763"/>
      <c r="AS495" s="763"/>
      <c r="AT495" s="763"/>
      <c r="AU495" s="763"/>
      <c r="AV495" s="763"/>
      <c r="AW495" s="763"/>
      <c r="AX495" s="763"/>
      <c r="AY495" s="763"/>
      <c r="AZ495" s="763"/>
      <c r="BA495" s="763"/>
      <c r="BB495" s="763"/>
      <c r="BC495" s="763"/>
      <c r="BD495" s="763"/>
      <c r="BE495" s="763"/>
      <c r="BF495" s="763"/>
      <c r="BG495" s="763" t="b">
        <f>IFERROR(__xludf.DUMMYFUNCTION("""COMPUTED_VALUE"""),TRUE)</f>
        <v>1</v>
      </c>
      <c r="BH495" s="763" t="b">
        <f>IFERROR(__xludf.DUMMYFUNCTION("""COMPUTED_VALUE"""),FALSE)</f>
        <v>0</v>
      </c>
      <c r="BI495" s="763" t="b">
        <f>IFERROR(__xludf.DUMMYFUNCTION("""COMPUTED_VALUE"""),TRUE)</f>
        <v>1</v>
      </c>
      <c r="BJ495" s="763" t="b">
        <f>IFERROR(__xludf.DUMMYFUNCTION("""COMPUTED_VALUE"""),TRUE)</f>
        <v>1</v>
      </c>
    </row>
    <row r="496">
      <c r="A496" s="763">
        <f>IFERROR(__xludf.DUMMYFUNCTION("""COMPUTED_VALUE"""),65848.0)</f>
        <v>65848</v>
      </c>
      <c r="B496" s="763">
        <f>IFERROR(__xludf.DUMMYFUNCTION("""COMPUTED_VALUE"""),65848.0)</f>
        <v>65848</v>
      </c>
      <c r="C496" s="763" t="str">
        <f>IFERROR(__xludf.DUMMYFUNCTION("""COMPUTED_VALUE"""),"2025-11-08 12:55:13")</f>
        <v>2025-11-08 12:55:13</v>
      </c>
      <c r="D496" s="763" t="str">
        <f>IFERROR(__xludf.DUMMYFUNCTION("""COMPUTED_VALUE"""),"completed")</f>
        <v>completed</v>
      </c>
      <c r="E496" s="763" t="str">
        <f>IFERROR(__xludf.DUMMYFUNCTION("""COMPUTED_VALUE"""),"Gaia")</f>
        <v>Gaia</v>
      </c>
      <c r="F496" s="763" t="str">
        <f>IFERROR(__xludf.DUMMYFUNCTION("""COMPUTED_VALUE"""),"Chacon")</f>
        <v>Chacon</v>
      </c>
      <c r="G496" s="763" t="str">
        <f>IFERROR(__xludf.DUMMYFUNCTION("""COMPUTED_VALUE"""),"gaiach009@gmail.com")</f>
        <v>gaiach009@gmail.com</v>
      </c>
      <c r="H496" s="763">
        <f>IFERROR(__xludf.DUMMYFUNCTION("""COMPUTED_VALUE"""),3.204105336E9)</f>
        <v>3204105336</v>
      </c>
      <c r="I496" s="763" t="str">
        <f>IFERROR(__xludf.DUMMYFUNCTION("""COMPUTED_VALUE"""),"Milano")</f>
        <v>Milano</v>
      </c>
      <c r="J496" s="763" t="str">
        <f>IFERROR(__xludf.DUMMYFUNCTION("""COMPUTED_VALUE"""),"Via roncaglia 19")</f>
        <v>Via roncaglia 19</v>
      </c>
      <c r="K496" s="763">
        <f>IFERROR(__xludf.DUMMYFUNCTION("""COMPUTED_VALUE"""),20146.0)</f>
        <v>20146</v>
      </c>
      <c r="L496" s="763" t="str">
        <f>IFERROR(__xludf.DUMMYFUNCTION("""COMPUTED_VALUE"""),"Carte di pagamento")</f>
        <v>Carte di pagamento</v>
      </c>
      <c r="M496" s="763"/>
      <c r="N496" s="763" t="str">
        <f>IFERROR(__xludf.DUMMYFUNCTION("""COMPUTED_VALUE"""),"65848-1762606515")</f>
        <v>65848-1762606515</v>
      </c>
      <c r="O496" s="763">
        <f>IFERROR(__xludf.DUMMYFUNCTION("""COMPUTED_VALUE"""),0.0)</f>
        <v>0</v>
      </c>
      <c r="P496" s="767">
        <f>IFERROR(__xludf.DUMMYFUNCTION("""COMPUTED_VALUE"""),1.5416666666666667)</f>
        <v>1.541666667</v>
      </c>
      <c r="Q496" s="763" t="str">
        <f>IFERROR(__xludf.DUMMYFUNCTION("""COMPUTED_VALUE"""),"EUR")</f>
        <v>EUR</v>
      </c>
      <c r="R496" s="763">
        <f>IFERROR(__xludf.DUMMYFUNCTION("""COMPUTED_VALUE"""),957.0)</f>
        <v>957</v>
      </c>
      <c r="S496" s="763" t="str">
        <f>IFERROR(__xludf.DUMMYFUNCTION("""COMPUTED_VALUE"""),"Workshop Urban con Kumo - Workshop Kumo Urban")</f>
        <v>Workshop Urban con Kumo - Workshop Kumo Urban</v>
      </c>
      <c r="T496" s="763"/>
      <c r="U496" s="763"/>
      <c r="V496" s="763">
        <f>IFERROR(__xludf.DUMMYFUNCTION("""COMPUTED_VALUE"""),1.0)</f>
        <v>1</v>
      </c>
      <c r="W496" s="763">
        <f>IFERROR(__xludf.DUMMYFUNCTION("""COMPUTED_VALUE"""),37.0)</f>
        <v>37</v>
      </c>
      <c r="X496" s="763">
        <f>IFERROR(__xludf.DUMMYFUNCTION("""COMPUTED_VALUE"""),37.0)</f>
        <v>37</v>
      </c>
      <c r="Y496" s="763"/>
      <c r="Z496" s="768" t="str">
        <f>IFERROR(__xludf.DUMMYFUNCTION("""COMPUTED_VALUE"""),"https://studio-gem.it/wp-admin/post.php?post=65848&amp;action=edit")</f>
        <v>https://studio-gem.it/wp-admin/post.php?post=65848&amp;action=edit</v>
      </c>
      <c r="AA496" s="763"/>
      <c r="AB496" s="763"/>
      <c r="AC496" s="763"/>
      <c r="AD496" s="763"/>
      <c r="AE496" s="763"/>
      <c r="AF496" s="763"/>
      <c r="AG496" s="763"/>
      <c r="AH496" s="763"/>
      <c r="AI496" s="763"/>
      <c r="AJ496" s="763"/>
      <c r="AK496" s="763"/>
      <c r="AL496" s="763"/>
      <c r="AM496" s="763"/>
      <c r="AN496" s="763"/>
      <c r="AO496" s="763"/>
      <c r="AP496" s="763"/>
      <c r="AQ496" s="763"/>
      <c r="AR496" s="763"/>
      <c r="AS496" s="763"/>
      <c r="AT496" s="763"/>
      <c r="AU496" s="763"/>
      <c r="AV496" s="763"/>
      <c r="AW496" s="763"/>
      <c r="AX496" s="763"/>
      <c r="AY496" s="763"/>
      <c r="AZ496" s="763"/>
      <c r="BA496" s="763"/>
      <c r="BB496" s="763"/>
      <c r="BC496" s="763"/>
      <c r="BD496" s="763"/>
      <c r="BE496" s="763"/>
      <c r="BF496" s="763"/>
      <c r="BG496" s="763" t="b">
        <f>IFERROR(__xludf.DUMMYFUNCTION("""COMPUTED_VALUE"""),TRUE)</f>
        <v>1</v>
      </c>
      <c r="BH496" s="763" t="b">
        <f>IFERROR(__xludf.DUMMYFUNCTION("""COMPUTED_VALUE"""),FALSE)</f>
        <v>0</v>
      </c>
      <c r="BI496" s="763" t="b">
        <f>IFERROR(__xludf.DUMMYFUNCTION("""COMPUTED_VALUE"""),TRUE)</f>
        <v>1</v>
      </c>
      <c r="BJ496" s="763" t="b">
        <f>IFERROR(__xludf.DUMMYFUNCTION("""COMPUTED_VALUE"""),TRUE)</f>
        <v>1</v>
      </c>
    </row>
    <row r="497">
      <c r="A497" s="763">
        <f>IFERROR(__xludf.DUMMYFUNCTION("""COMPUTED_VALUE"""),65850.0)</f>
        <v>65850</v>
      </c>
      <c r="B497" s="763">
        <f>IFERROR(__xludf.DUMMYFUNCTION("""COMPUTED_VALUE"""),65850.0)</f>
        <v>65850</v>
      </c>
      <c r="C497" s="763" t="str">
        <f>IFERROR(__xludf.DUMMYFUNCTION("""COMPUTED_VALUE"""),"2025-11-08 13:40:27")</f>
        <v>2025-11-08 13:40:27</v>
      </c>
      <c r="D497" s="763" t="str">
        <f>IFERROR(__xludf.DUMMYFUNCTION("""COMPUTED_VALUE"""),"processing")</f>
        <v>processing</v>
      </c>
      <c r="E497" s="763" t="str">
        <f>IFERROR(__xludf.DUMMYFUNCTION("""COMPUTED_VALUE"""),"Jelena")</f>
        <v>Jelena</v>
      </c>
      <c r="F497" s="763" t="str">
        <f>IFERROR(__xludf.DUMMYFUNCTION("""COMPUTED_VALUE"""),"Stefanovic")</f>
        <v>Stefanovic</v>
      </c>
      <c r="G497" s="763" t="str">
        <f>IFERROR(__xludf.DUMMYFUNCTION("""COMPUTED_VALUE"""),"js.jelenastefanovic@gmail.com")</f>
        <v>js.jelenastefanovic@gmail.com</v>
      </c>
      <c r="H497" s="763">
        <f>IFERROR(__xludf.DUMMYFUNCTION("""COMPUTED_VALUE"""),3.515504082E9)</f>
        <v>3515504082</v>
      </c>
      <c r="I497" s="763" t="str">
        <f>IFERROR(__xludf.DUMMYFUNCTION("""COMPUTED_VALUE"""),"Milano")</f>
        <v>Milano</v>
      </c>
      <c r="J497" s="763" t="str">
        <f>IFERROR(__xludf.DUMMYFUNCTION("""COMPUTED_VALUE"""),"Via Saverio Mercadante 10")</f>
        <v>Via Saverio Mercadante 10</v>
      </c>
      <c r="K497" s="763">
        <f>IFERROR(__xludf.DUMMYFUNCTION("""COMPUTED_VALUE"""),20124.0)</f>
        <v>20124</v>
      </c>
      <c r="L497" s="763" t="str">
        <f>IFERROR(__xludf.DUMMYFUNCTION("""COMPUTED_VALUE"""),"Carte di pagamento")</f>
        <v>Carte di pagamento</v>
      </c>
      <c r="M497" s="763"/>
      <c r="N497" s="763" t="str">
        <f>IFERROR(__xludf.DUMMYFUNCTION("""COMPUTED_VALUE"""),"65850-1762609229")</f>
        <v>65850-1762609229</v>
      </c>
      <c r="O497" s="763">
        <f>IFERROR(__xludf.DUMMYFUNCTION("""COMPUTED_VALUE"""),0.0)</f>
        <v>0</v>
      </c>
      <c r="P497" s="767">
        <f>IFERROR(__xludf.DUMMYFUNCTION("""COMPUTED_VALUE"""),0.8333333333333334)</f>
        <v>0.8333333333</v>
      </c>
      <c r="Q497" s="763" t="str">
        <f>IFERROR(__xludf.DUMMYFUNCTION("""COMPUTED_VALUE"""),"EUR")</f>
        <v>EUR</v>
      </c>
      <c r="R497" s="763">
        <f>IFERROR(__xludf.DUMMYFUNCTION("""COMPUTED_VALUE"""),958.0)</f>
        <v>958</v>
      </c>
      <c r="S497" s="763" t="str">
        <f>IFERROR(__xludf.DUMMYFUNCTION("""COMPUTED_VALUE"""),"Domeniche in movimento - 2 lezioni - Dalle 10 alle 11.50 con Consuelo €20")</f>
        <v>Domeniche in movimento - 2 lezioni - Dalle 10 alle 11.50 con Consuelo €20</v>
      </c>
      <c r="T497" s="763"/>
      <c r="U497" s="763"/>
      <c r="V497" s="763">
        <f>IFERROR(__xludf.DUMMYFUNCTION("""COMPUTED_VALUE"""),1.0)</f>
        <v>1</v>
      </c>
      <c r="W497" s="763">
        <f>IFERROR(__xludf.DUMMYFUNCTION("""COMPUTED_VALUE"""),20.0)</f>
        <v>20</v>
      </c>
      <c r="X497" s="763">
        <f>IFERROR(__xludf.DUMMYFUNCTION("""COMPUTED_VALUE"""),20.0)</f>
        <v>20</v>
      </c>
      <c r="Y497" s="763"/>
      <c r="Z497" s="768" t="str">
        <f>IFERROR(__xludf.DUMMYFUNCTION("""COMPUTED_VALUE"""),"https://studio-gem.it/wp-admin/post.php?post=65850&amp;action=edit")</f>
        <v>https://studio-gem.it/wp-admin/post.php?post=65850&amp;action=edit</v>
      </c>
      <c r="AA497" s="763"/>
      <c r="AB497" s="763"/>
      <c r="AC497" s="763"/>
      <c r="AD497" s="763"/>
      <c r="AE497" s="763"/>
      <c r="AF497" s="763"/>
      <c r="AG497" s="763"/>
      <c r="AH497" s="763"/>
      <c r="AI497" s="763"/>
      <c r="AJ497" s="763"/>
      <c r="AK497" s="763"/>
      <c r="AL497" s="763"/>
      <c r="AM497" s="763"/>
      <c r="AN497" s="763"/>
      <c r="AO497" s="763"/>
      <c r="AP497" s="763"/>
      <c r="AQ497" s="763"/>
      <c r="AR497" s="763"/>
      <c r="AS497" s="763"/>
      <c r="AT497" s="763"/>
      <c r="AU497" s="763"/>
      <c r="AV497" s="763"/>
      <c r="AW497" s="763"/>
      <c r="AX497" s="763"/>
      <c r="AY497" s="763"/>
      <c r="AZ497" s="763"/>
      <c r="BA497" s="763"/>
      <c r="BB497" s="763"/>
      <c r="BC497" s="763"/>
      <c r="BD497" s="763"/>
      <c r="BE497" s="763"/>
      <c r="BF497" s="763"/>
      <c r="BG497" s="763" t="b">
        <f>IFERROR(__xludf.DUMMYFUNCTION("""COMPUTED_VALUE"""),TRUE)</f>
        <v>1</v>
      </c>
      <c r="BH497" s="763" t="b">
        <f>IFERROR(__xludf.DUMMYFUNCTION("""COMPUTED_VALUE"""),FALSE)</f>
        <v>0</v>
      </c>
      <c r="BI497" s="763" t="b">
        <f>IFERROR(__xludf.DUMMYFUNCTION("""COMPUTED_VALUE"""),TRUE)</f>
        <v>1</v>
      </c>
      <c r="BJ497" s="763" t="b">
        <f>IFERROR(__xludf.DUMMYFUNCTION("""COMPUTED_VALUE"""),TRUE)</f>
        <v>1</v>
      </c>
    </row>
    <row r="498">
      <c r="A498" s="763">
        <f>IFERROR(__xludf.DUMMYFUNCTION("""COMPUTED_VALUE"""),65851.0)</f>
        <v>65851</v>
      </c>
      <c r="B498" s="763">
        <f>IFERROR(__xludf.DUMMYFUNCTION("""COMPUTED_VALUE"""),65851.0)</f>
        <v>65851</v>
      </c>
      <c r="C498" s="763" t="str">
        <f>IFERROR(__xludf.DUMMYFUNCTION("""COMPUTED_VALUE"""),"2025-11-08 16:22:11")</f>
        <v>2025-11-08 16:22:11</v>
      </c>
      <c r="D498" s="763" t="str">
        <f>IFERROR(__xludf.DUMMYFUNCTION("""COMPUTED_VALUE"""),"pending")</f>
        <v>pending</v>
      </c>
      <c r="E498" s="763" t="str">
        <f>IFERROR(__xludf.DUMMYFUNCTION("""COMPUTED_VALUE"""),"Giorgia")</f>
        <v>Giorgia</v>
      </c>
      <c r="F498" s="763" t="str">
        <f>IFERROR(__xludf.DUMMYFUNCTION("""COMPUTED_VALUE"""),"Cannito")</f>
        <v>Cannito</v>
      </c>
      <c r="G498" s="763" t="str">
        <f>IFERROR(__xludf.DUMMYFUNCTION("""COMPUTED_VALUE"""),"giorgia.cannito@outlook.it")</f>
        <v>giorgia.cannito@outlook.it</v>
      </c>
      <c r="H498" s="763" t="str">
        <f>IFERROR(__xludf.DUMMYFUNCTION("""COMPUTED_VALUE"""),"+393663125457")</f>
        <v>+393663125457</v>
      </c>
      <c r="I498" s="763" t="str">
        <f>IFERROR(__xludf.DUMMYFUNCTION("""COMPUTED_VALUE"""),"Peschiera Borromeo")</f>
        <v>Peschiera Borromeo</v>
      </c>
      <c r="J498" s="763" t="str">
        <f>IFERROR(__xludf.DUMMYFUNCTION("""COMPUTED_VALUE"""),"Via Due Giugno 6/1")</f>
        <v>Via Due Giugno 6/1</v>
      </c>
      <c r="K498" s="763">
        <f>IFERROR(__xludf.DUMMYFUNCTION("""COMPUTED_VALUE"""),20068.0)</f>
        <v>20068</v>
      </c>
      <c r="L498" s="763" t="str">
        <f>IFERROR(__xludf.DUMMYFUNCTION("""COMPUTED_VALUE"""),"Carte di pagamento")</f>
        <v>Carte di pagamento</v>
      </c>
      <c r="M498" s="763"/>
      <c r="N498" s="763"/>
      <c r="O498" s="763">
        <f>IFERROR(__xludf.DUMMYFUNCTION("""COMPUTED_VALUE"""),0.0)</f>
        <v>0</v>
      </c>
      <c r="P498" s="767">
        <f>IFERROR(__xludf.DUMMYFUNCTION("""COMPUTED_VALUE"""),1.5416666666666667)</f>
        <v>1.541666667</v>
      </c>
      <c r="Q498" s="763" t="str">
        <f>IFERROR(__xludf.DUMMYFUNCTION("""COMPUTED_VALUE"""),"EUR")</f>
        <v>EUR</v>
      </c>
      <c r="R498" s="763">
        <f>IFERROR(__xludf.DUMMYFUNCTION("""COMPUTED_VALUE"""),960.0)</f>
        <v>960</v>
      </c>
      <c r="S498" s="763" t="str">
        <f>IFERROR(__xludf.DUMMYFUNCTION("""COMPUTED_VALUE"""),"Workshop Heels con Deborah Esposito - Workshop Heels con Deborah Esposito")</f>
        <v>Workshop Heels con Deborah Esposito - Workshop Heels con Deborah Esposito</v>
      </c>
      <c r="T498" s="763"/>
      <c r="U498" s="763"/>
      <c r="V498" s="763">
        <f>IFERROR(__xludf.DUMMYFUNCTION("""COMPUTED_VALUE"""),1.0)</f>
        <v>1</v>
      </c>
      <c r="W498" s="763">
        <f>IFERROR(__xludf.DUMMYFUNCTION("""COMPUTED_VALUE"""),37.0)</f>
        <v>37</v>
      </c>
      <c r="X498" s="763">
        <f>IFERROR(__xludf.DUMMYFUNCTION("""COMPUTED_VALUE"""),37.0)</f>
        <v>37</v>
      </c>
      <c r="Y498" s="763"/>
      <c r="Z498" s="768" t="str">
        <f>IFERROR(__xludf.DUMMYFUNCTION("""COMPUTED_VALUE"""),"https://studio-gem.it/wp-admin/post.php?post=65851&amp;action=edit")</f>
        <v>https://studio-gem.it/wp-admin/post.php?post=65851&amp;action=edit</v>
      </c>
      <c r="AA498" s="763"/>
      <c r="AB498" s="763"/>
      <c r="AC498" s="763"/>
      <c r="AD498" s="763"/>
      <c r="AE498" s="763"/>
      <c r="AF498" s="763"/>
      <c r="AG498" s="763"/>
      <c r="AH498" s="763"/>
      <c r="AI498" s="763"/>
      <c r="AJ498" s="763"/>
      <c r="AK498" s="763"/>
      <c r="AL498" s="763"/>
      <c r="AM498" s="763"/>
      <c r="AN498" s="763"/>
      <c r="AO498" s="763"/>
      <c r="AP498" s="763"/>
      <c r="AQ498" s="763"/>
      <c r="AR498" s="763"/>
      <c r="AS498" s="763"/>
      <c r="AT498" s="763"/>
      <c r="AU498" s="763"/>
      <c r="AV498" s="763"/>
      <c r="AW498" s="763"/>
      <c r="AX498" s="763"/>
      <c r="AY498" s="763"/>
      <c r="AZ498" s="763"/>
      <c r="BA498" s="763"/>
      <c r="BB498" s="763"/>
      <c r="BC498" s="763"/>
      <c r="BD498" s="763"/>
      <c r="BE498" s="763"/>
      <c r="BF498" s="763"/>
      <c r="BG498" s="763" t="b">
        <f>IFERROR(__xludf.DUMMYFUNCTION("""COMPUTED_VALUE"""),FALSE)</f>
        <v>0</v>
      </c>
      <c r="BH498" s="763" t="b">
        <f>IFERROR(__xludf.DUMMYFUNCTION("""COMPUTED_VALUE"""),FALSE)</f>
        <v>0</v>
      </c>
      <c r="BI498" s="763" t="b">
        <f>IFERROR(__xludf.DUMMYFUNCTION("""COMPUTED_VALUE"""),FALSE)</f>
        <v>0</v>
      </c>
      <c r="BJ498" s="763" t="b">
        <f>IFERROR(__xludf.DUMMYFUNCTION("""COMPUTED_VALUE"""),FALSE)</f>
        <v>0</v>
      </c>
    </row>
    <row r="499">
      <c r="A499" s="763">
        <f>IFERROR(__xludf.DUMMYFUNCTION("""COMPUTED_VALUE"""),65852.0)</f>
        <v>65852</v>
      </c>
      <c r="B499" s="763">
        <f>IFERROR(__xludf.DUMMYFUNCTION("""COMPUTED_VALUE"""),65852.0)</f>
        <v>65852</v>
      </c>
      <c r="C499" s="763" t="str">
        <f>IFERROR(__xludf.DUMMYFUNCTION("""COMPUTED_VALUE"""),"2025-11-08 16:29:00")</f>
        <v>2025-11-08 16:29:00</v>
      </c>
      <c r="D499" s="763" t="str">
        <f>IFERROR(__xludf.DUMMYFUNCTION("""COMPUTED_VALUE"""),"processing")</f>
        <v>processing</v>
      </c>
      <c r="E499" s="763" t="str">
        <f>IFERROR(__xludf.DUMMYFUNCTION("""COMPUTED_VALUE"""),"Giorgia")</f>
        <v>Giorgia</v>
      </c>
      <c r="F499" s="763" t="str">
        <f>IFERROR(__xludf.DUMMYFUNCTION("""COMPUTED_VALUE"""),"Cannito")</f>
        <v>Cannito</v>
      </c>
      <c r="G499" s="763" t="str">
        <f>IFERROR(__xludf.DUMMYFUNCTION("""COMPUTED_VALUE"""),"giorgia.cannito@outlook.it")</f>
        <v>giorgia.cannito@outlook.it</v>
      </c>
      <c r="H499" s="763">
        <f>IFERROR(__xludf.DUMMYFUNCTION("""COMPUTED_VALUE"""),3.663125457E9)</f>
        <v>3663125457</v>
      </c>
      <c r="I499" s="763" t="str">
        <f>IFERROR(__xludf.DUMMYFUNCTION("""COMPUTED_VALUE"""),"milano")</f>
        <v>milano</v>
      </c>
      <c r="J499" s="763" t="str">
        <f>IFERROR(__xludf.DUMMYFUNCTION("""COMPUTED_VALUE"""),"via 2 giugno 6/1")</f>
        <v>via 2 giugno 6/1</v>
      </c>
      <c r="K499" s="763">
        <f>IFERROR(__xludf.DUMMYFUNCTION("""COMPUTED_VALUE"""),20068.0)</f>
        <v>20068</v>
      </c>
      <c r="L499" s="763" t="str">
        <f>IFERROR(__xludf.DUMMYFUNCTION("""COMPUTED_VALUE"""),"Carte di pagamento")</f>
        <v>Carte di pagamento</v>
      </c>
      <c r="M499" s="763"/>
      <c r="N499" s="763" t="str">
        <f>IFERROR(__xludf.DUMMYFUNCTION("""COMPUTED_VALUE"""),"65852-1762619341")</f>
        <v>65852-1762619341</v>
      </c>
      <c r="O499" s="763">
        <f>IFERROR(__xludf.DUMMYFUNCTION("""COMPUTED_VALUE"""),0.0)</f>
        <v>0</v>
      </c>
      <c r="P499" s="767">
        <f>IFERROR(__xludf.DUMMYFUNCTION("""COMPUTED_VALUE"""),1.5416666666666667)</f>
        <v>1.541666667</v>
      </c>
      <c r="Q499" s="763" t="str">
        <f>IFERROR(__xludf.DUMMYFUNCTION("""COMPUTED_VALUE"""),"EUR")</f>
        <v>EUR</v>
      </c>
      <c r="R499" s="763">
        <f>IFERROR(__xludf.DUMMYFUNCTION("""COMPUTED_VALUE"""),961.0)</f>
        <v>961</v>
      </c>
      <c r="S499" s="763" t="str">
        <f>IFERROR(__xludf.DUMMYFUNCTION("""COMPUTED_VALUE"""),"Workshop Heels con Deborah Esposito - Workshop Heels con Deborah Esposito")</f>
        <v>Workshop Heels con Deborah Esposito - Workshop Heels con Deborah Esposito</v>
      </c>
      <c r="T499" s="763"/>
      <c r="U499" s="763"/>
      <c r="V499" s="763">
        <f>IFERROR(__xludf.DUMMYFUNCTION("""COMPUTED_VALUE"""),1.0)</f>
        <v>1</v>
      </c>
      <c r="W499" s="763">
        <f>IFERROR(__xludf.DUMMYFUNCTION("""COMPUTED_VALUE"""),37.0)</f>
        <v>37</v>
      </c>
      <c r="X499" s="763">
        <f>IFERROR(__xludf.DUMMYFUNCTION("""COMPUTED_VALUE"""),37.0)</f>
        <v>37</v>
      </c>
      <c r="Y499" s="763"/>
      <c r="Z499" s="768" t="str">
        <f>IFERROR(__xludf.DUMMYFUNCTION("""COMPUTED_VALUE"""),"https://studio-gem.it/wp-admin/post.php?post=65852&amp;action=edit")</f>
        <v>https://studio-gem.it/wp-admin/post.php?post=65852&amp;action=edit</v>
      </c>
      <c r="AA499" s="763"/>
      <c r="AB499" s="763"/>
      <c r="AC499" s="763"/>
      <c r="AD499" s="763"/>
      <c r="AE499" s="763"/>
      <c r="AF499" s="763"/>
      <c r="AG499" s="763"/>
      <c r="AH499" s="763"/>
      <c r="AI499" s="763"/>
      <c r="AJ499" s="763"/>
      <c r="AK499" s="763"/>
      <c r="AL499" s="763"/>
      <c r="AM499" s="763"/>
      <c r="AN499" s="763"/>
      <c r="AO499" s="763"/>
      <c r="AP499" s="763"/>
      <c r="AQ499" s="763"/>
      <c r="AR499" s="763"/>
      <c r="AS499" s="763"/>
      <c r="AT499" s="763"/>
      <c r="AU499" s="763"/>
      <c r="AV499" s="763"/>
      <c r="AW499" s="763"/>
      <c r="AX499" s="763"/>
      <c r="AY499" s="763"/>
      <c r="AZ499" s="763"/>
      <c r="BA499" s="763"/>
      <c r="BB499" s="763"/>
      <c r="BC499" s="763"/>
      <c r="BD499" s="763"/>
      <c r="BE499" s="763"/>
      <c r="BF499" s="763"/>
      <c r="BG499" s="763" t="b">
        <f>IFERROR(__xludf.DUMMYFUNCTION("""COMPUTED_VALUE"""),TRUE)</f>
        <v>1</v>
      </c>
      <c r="BH499" s="763" t="b">
        <f>IFERROR(__xludf.DUMMYFUNCTION("""COMPUTED_VALUE"""),FALSE)</f>
        <v>0</v>
      </c>
      <c r="BI499" s="763" t="b">
        <f>IFERROR(__xludf.DUMMYFUNCTION("""COMPUTED_VALUE"""),TRUE)</f>
        <v>1</v>
      </c>
      <c r="BJ499" s="763" t="b">
        <f>IFERROR(__xludf.DUMMYFUNCTION("""COMPUTED_VALUE"""),TRUE)</f>
        <v>1</v>
      </c>
    </row>
    <row r="500">
      <c r="A500" s="763">
        <f>IFERROR(__xludf.DUMMYFUNCTION("""COMPUTED_VALUE"""),65853.0)</f>
        <v>65853</v>
      </c>
      <c r="B500" s="763">
        <f>IFERROR(__xludf.DUMMYFUNCTION("""COMPUTED_VALUE"""),65853.0)</f>
        <v>65853</v>
      </c>
      <c r="C500" s="763" t="str">
        <f>IFERROR(__xludf.DUMMYFUNCTION("""COMPUTED_VALUE"""),"2025-11-08 18:52:32")</f>
        <v>2025-11-08 18:52:32</v>
      </c>
      <c r="D500" s="763" t="str">
        <f>IFERROR(__xludf.DUMMYFUNCTION("""COMPUTED_VALUE"""),"completed")</f>
        <v>completed</v>
      </c>
      <c r="E500" s="763" t="str">
        <f>IFERROR(__xludf.DUMMYFUNCTION("""COMPUTED_VALUE"""),"Federico")</f>
        <v>Federico</v>
      </c>
      <c r="F500" s="763" t="str">
        <f>IFERROR(__xludf.DUMMYFUNCTION("""COMPUTED_VALUE"""),"Zagni")</f>
        <v>Zagni</v>
      </c>
      <c r="G500" s="763" t="str">
        <f>IFERROR(__xludf.DUMMYFUNCTION("""COMPUTED_VALUE"""),"fedzag@gmail.com")</f>
        <v>fedzag@gmail.com</v>
      </c>
      <c r="H500" s="763">
        <f>IFERROR(__xludf.DUMMYFUNCTION("""COMPUTED_VALUE"""),3.313333292E9)</f>
        <v>3313333292</v>
      </c>
      <c r="I500" s="763" t="str">
        <f>IFERROR(__xludf.DUMMYFUNCTION("""COMPUTED_VALUE"""),"Milano")</f>
        <v>Milano</v>
      </c>
      <c r="J500" s="763" t="str">
        <f>IFERROR(__xludf.DUMMYFUNCTION("""COMPUTED_VALUE"""),"Via Natale Battaglia 31")</f>
        <v>Via Natale Battaglia 31</v>
      </c>
      <c r="K500" s="763">
        <f>IFERROR(__xludf.DUMMYFUNCTION("""COMPUTED_VALUE"""),20127.0)</f>
        <v>20127</v>
      </c>
      <c r="L500" s="763" t="str">
        <f>IFERROR(__xludf.DUMMYFUNCTION("""COMPUTED_VALUE"""),"Apple Pay")</f>
        <v>Apple Pay</v>
      </c>
      <c r="M500" s="763"/>
      <c r="N500" s="763" t="str">
        <f>IFERROR(__xludf.DUMMYFUNCTION("""COMPUTED_VALUE"""),"65853-1762627953")</f>
        <v>65853-1762627953</v>
      </c>
      <c r="O500" s="763">
        <f>IFERROR(__xludf.DUMMYFUNCTION("""COMPUTED_VALUE"""),0.0)</f>
        <v>0</v>
      </c>
      <c r="P500" s="767">
        <f>IFERROR(__xludf.DUMMYFUNCTION("""COMPUTED_VALUE"""),2.0833333333333335)</f>
        <v>2.083333333</v>
      </c>
      <c r="Q500" s="763" t="str">
        <f>IFERROR(__xludf.DUMMYFUNCTION("""COMPUTED_VALUE"""),"EUR")</f>
        <v>EUR</v>
      </c>
      <c r="R500" s="763">
        <f>IFERROR(__xludf.DUMMYFUNCTION("""COMPUTED_VALUE"""),962.0)</f>
        <v>962</v>
      </c>
      <c r="S500" s="763" t="str">
        <f>IFERROR(__xludf.DUMMYFUNCTION("""COMPUTED_VALUE"""),"Gift card - Gift card 50€")</f>
        <v>Gift card - Gift card 50€</v>
      </c>
      <c r="T500" s="763"/>
      <c r="U500" s="763"/>
      <c r="V500" s="763">
        <f>IFERROR(__xludf.DUMMYFUNCTION("""COMPUTED_VALUE"""),1.0)</f>
        <v>1</v>
      </c>
      <c r="W500" s="763">
        <f>IFERROR(__xludf.DUMMYFUNCTION("""COMPUTED_VALUE"""),50.0)</f>
        <v>50</v>
      </c>
      <c r="X500" s="763">
        <f>IFERROR(__xludf.DUMMYFUNCTION("""COMPUTED_VALUE"""),50.0)</f>
        <v>50</v>
      </c>
      <c r="Y500" s="763"/>
      <c r="Z500" s="768" t="str">
        <f>IFERROR(__xludf.DUMMYFUNCTION("""COMPUTED_VALUE"""),"https://studio-gem.it/wp-admin/post.php?post=65853&amp;action=edit")</f>
        <v>https://studio-gem.it/wp-admin/post.php?post=65853&amp;action=edit</v>
      </c>
      <c r="AA500" s="763"/>
      <c r="AB500" s="763"/>
      <c r="AC500" s="763"/>
      <c r="AD500" s="763"/>
      <c r="AE500" s="763"/>
      <c r="AF500" s="763"/>
      <c r="AG500" s="763"/>
      <c r="AH500" s="763"/>
      <c r="AI500" s="763"/>
      <c r="AJ500" s="763"/>
      <c r="AK500" s="763"/>
      <c r="AL500" s="763"/>
      <c r="AM500" s="763"/>
      <c r="AN500" s="763"/>
      <c r="AO500" s="763"/>
      <c r="AP500" s="763"/>
      <c r="AQ500" s="763"/>
      <c r="AR500" s="763"/>
      <c r="AS500" s="763"/>
      <c r="AT500" s="763"/>
      <c r="AU500" s="763"/>
      <c r="AV500" s="763"/>
      <c r="AW500" s="763"/>
      <c r="AX500" s="763"/>
      <c r="AY500" s="763"/>
      <c r="AZ500" s="763"/>
      <c r="BA500" s="763"/>
      <c r="BB500" s="763"/>
      <c r="BC500" s="763"/>
      <c r="BD500" s="763"/>
      <c r="BE500" s="763"/>
      <c r="BF500" s="763"/>
      <c r="BG500" s="763" t="b">
        <f>IFERROR(__xludf.DUMMYFUNCTION("""COMPUTED_VALUE"""),TRUE)</f>
        <v>1</v>
      </c>
      <c r="BH500" s="763" t="b">
        <f>IFERROR(__xludf.DUMMYFUNCTION("""COMPUTED_VALUE"""),FALSE)</f>
        <v>0</v>
      </c>
      <c r="BI500" s="763" t="b">
        <f>IFERROR(__xludf.DUMMYFUNCTION("""COMPUTED_VALUE"""),TRUE)</f>
        <v>1</v>
      </c>
      <c r="BJ500" s="763" t="b">
        <f>IFERROR(__xludf.DUMMYFUNCTION("""COMPUTED_VALUE"""),TRUE)</f>
        <v>1</v>
      </c>
    </row>
    <row r="501">
      <c r="A501" s="763">
        <f>IFERROR(__xludf.DUMMYFUNCTION("""COMPUTED_VALUE"""),65855.0)</f>
        <v>65855</v>
      </c>
      <c r="B501" s="763">
        <f>IFERROR(__xludf.DUMMYFUNCTION("""COMPUTED_VALUE"""),65855.0)</f>
        <v>65855</v>
      </c>
      <c r="C501" s="763" t="str">
        <f>IFERROR(__xludf.DUMMYFUNCTION("""COMPUTED_VALUE"""),"2025-11-08 20:24:29")</f>
        <v>2025-11-08 20:24:29</v>
      </c>
      <c r="D501" s="763" t="str">
        <f>IFERROR(__xludf.DUMMYFUNCTION("""COMPUTED_VALUE"""),"pending")</f>
        <v>pending</v>
      </c>
      <c r="E501" s="763" t="str">
        <f>IFERROR(__xludf.DUMMYFUNCTION("""COMPUTED_VALUE"""),"Marina")</f>
        <v>Marina</v>
      </c>
      <c r="F501" s="763" t="str">
        <f>IFERROR(__xludf.DUMMYFUNCTION("""COMPUTED_VALUE"""),"Savchyna")</f>
        <v>Savchyna</v>
      </c>
      <c r="G501" s="763" t="str">
        <f>IFERROR(__xludf.DUMMYFUNCTION("""COMPUTED_VALUE"""),"dina.minenko03@gmail.com")</f>
        <v>dina.minenko03@gmail.com</v>
      </c>
      <c r="H501" s="763" t="str">
        <f>IFERROR(__xludf.DUMMYFUNCTION("""COMPUTED_VALUE"""),"+393298268284")</f>
        <v>+393298268284</v>
      </c>
      <c r="I501" s="763" t="str">
        <f>IFERROR(__xludf.DUMMYFUNCTION("""COMPUTED_VALUE"""),"Cinisello")</f>
        <v>Cinisello</v>
      </c>
      <c r="J501" s="763" t="str">
        <f>IFERROR(__xludf.DUMMYFUNCTION("""COMPUTED_VALUE"""),"Via Po 13")</f>
        <v>Via Po 13</v>
      </c>
      <c r="K501" s="763">
        <f>IFERROR(__xludf.DUMMYFUNCTION("""COMPUTED_VALUE"""),20092.0)</f>
        <v>20092</v>
      </c>
      <c r="L501" s="763" t="str">
        <f>IFERROR(__xludf.DUMMYFUNCTION("""COMPUTED_VALUE"""),"Carte di pagamento")</f>
        <v>Carte di pagamento</v>
      </c>
      <c r="M501" s="763"/>
      <c r="N501" s="763"/>
      <c r="O501" s="763">
        <f>IFERROR(__xludf.DUMMYFUNCTION("""COMPUTED_VALUE"""),0.0)</f>
        <v>0</v>
      </c>
      <c r="P501" s="767">
        <f>IFERROR(__xludf.DUMMYFUNCTION("""COMPUTED_VALUE"""),1.5416666666666667)</f>
        <v>1.541666667</v>
      </c>
      <c r="Q501" s="763" t="str">
        <f>IFERROR(__xludf.DUMMYFUNCTION("""COMPUTED_VALUE"""),"EUR")</f>
        <v>EUR</v>
      </c>
      <c r="R501" s="763">
        <f>IFERROR(__xludf.DUMMYFUNCTION("""COMPUTED_VALUE"""),963.0)</f>
        <v>963</v>
      </c>
      <c r="S501" s="763" t="str">
        <f>IFERROR(__xludf.DUMMYFUNCTION("""COMPUTED_VALUE"""),"Workshop Urban con Kumo - Workshop Kumo Urban")</f>
        <v>Workshop Urban con Kumo - Workshop Kumo Urban</v>
      </c>
      <c r="T501" s="763"/>
      <c r="U501" s="763"/>
      <c r="V501" s="763">
        <f>IFERROR(__xludf.DUMMYFUNCTION("""COMPUTED_VALUE"""),1.0)</f>
        <v>1</v>
      </c>
      <c r="W501" s="763">
        <f>IFERROR(__xludf.DUMMYFUNCTION("""COMPUTED_VALUE"""),37.0)</f>
        <v>37</v>
      </c>
      <c r="X501" s="763">
        <f>IFERROR(__xludf.DUMMYFUNCTION("""COMPUTED_VALUE"""),37.0)</f>
        <v>37</v>
      </c>
      <c r="Y501" s="763"/>
      <c r="Z501" s="768" t="str">
        <f>IFERROR(__xludf.DUMMYFUNCTION("""COMPUTED_VALUE"""),"https://studio-gem.it/wp-admin/post.php?post=65855&amp;action=edit")</f>
        <v>https://studio-gem.it/wp-admin/post.php?post=65855&amp;action=edit</v>
      </c>
      <c r="AA501" s="763"/>
      <c r="AB501" s="763"/>
      <c r="AC501" s="763"/>
      <c r="AD501" s="763"/>
      <c r="AE501" s="763"/>
      <c r="AF501" s="763"/>
      <c r="AG501" s="763"/>
      <c r="AH501" s="763"/>
      <c r="AI501" s="763"/>
      <c r="AJ501" s="763"/>
      <c r="AK501" s="763"/>
      <c r="AL501" s="763"/>
      <c r="AM501" s="763"/>
      <c r="AN501" s="763"/>
      <c r="AO501" s="763"/>
      <c r="AP501" s="763"/>
      <c r="AQ501" s="763"/>
      <c r="AR501" s="763"/>
      <c r="AS501" s="763"/>
      <c r="AT501" s="763"/>
      <c r="AU501" s="763"/>
      <c r="AV501" s="763"/>
      <c r="AW501" s="763"/>
      <c r="AX501" s="763"/>
      <c r="AY501" s="763"/>
      <c r="AZ501" s="763"/>
      <c r="BA501" s="763"/>
      <c r="BB501" s="763"/>
      <c r="BC501" s="763"/>
      <c r="BD501" s="763"/>
      <c r="BE501" s="763"/>
      <c r="BF501" s="763"/>
      <c r="BG501" s="763" t="b">
        <f>IFERROR(__xludf.DUMMYFUNCTION("""COMPUTED_VALUE"""),FALSE)</f>
        <v>0</v>
      </c>
      <c r="BH501" s="763" t="b">
        <f>IFERROR(__xludf.DUMMYFUNCTION("""COMPUTED_VALUE"""),FALSE)</f>
        <v>0</v>
      </c>
      <c r="BI501" s="763" t="b">
        <f>IFERROR(__xludf.DUMMYFUNCTION("""COMPUTED_VALUE"""),FALSE)</f>
        <v>0</v>
      </c>
      <c r="BJ501" s="763" t="b">
        <f>IFERROR(__xludf.DUMMYFUNCTION("""COMPUTED_VALUE"""),FALSE)</f>
        <v>0</v>
      </c>
    </row>
    <row r="502">
      <c r="A502" s="763">
        <f>IFERROR(__xludf.DUMMYFUNCTION("""COMPUTED_VALUE"""),65856.0)</f>
        <v>65856</v>
      </c>
      <c r="B502" s="763">
        <f>IFERROR(__xludf.DUMMYFUNCTION("""COMPUTED_VALUE"""),65856.0)</f>
        <v>65856</v>
      </c>
      <c r="C502" s="763" t="str">
        <f>IFERROR(__xludf.DUMMYFUNCTION("""COMPUTED_VALUE"""),"2025-11-08 20:32:48")</f>
        <v>2025-11-08 20:32:48</v>
      </c>
      <c r="D502" s="763" t="str">
        <f>IFERROR(__xludf.DUMMYFUNCTION("""COMPUTED_VALUE"""),"completed")</f>
        <v>completed</v>
      </c>
      <c r="E502" s="763" t="str">
        <f>IFERROR(__xludf.DUMMYFUNCTION("""COMPUTED_VALUE"""),"Elena")</f>
        <v>Elena</v>
      </c>
      <c r="F502" s="763" t="str">
        <f>IFERROR(__xludf.DUMMYFUNCTION("""COMPUTED_VALUE"""),"Branchi")</f>
        <v>Branchi</v>
      </c>
      <c r="G502" s="763" t="str">
        <f>IFERROR(__xludf.DUMMYFUNCTION("""COMPUTED_VALUE"""),"elenabranchi.06@gmail.com")</f>
        <v>elenabranchi.06@gmail.com</v>
      </c>
      <c r="H502" s="763">
        <f>IFERROR(__xludf.DUMMYFUNCTION("""COMPUTED_VALUE"""),3.703038263E9)</f>
        <v>3703038263</v>
      </c>
      <c r="I502" s="763" t="str">
        <f>IFERROR(__xludf.DUMMYFUNCTION("""COMPUTED_VALUE"""),"Villasanta")</f>
        <v>Villasanta</v>
      </c>
      <c r="J502" s="763" t="str">
        <f>IFERROR(__xludf.DUMMYFUNCTION("""COMPUTED_VALUE"""),"Vespucci 13")</f>
        <v>Vespucci 13</v>
      </c>
      <c r="K502" s="763">
        <f>IFERROR(__xludf.DUMMYFUNCTION("""COMPUTED_VALUE"""),20852.0)</f>
        <v>20852</v>
      </c>
      <c r="L502" s="763" t="str">
        <f>IFERROR(__xludf.DUMMYFUNCTION("""COMPUTED_VALUE"""),"Satispay")</f>
        <v>Satispay</v>
      </c>
      <c r="M502" s="763"/>
      <c r="N502" s="763" t="str">
        <f>IFERROR(__xludf.DUMMYFUNCTION("""COMPUTED_VALUE"""),"019a652b-ec2a-7b3b-87fb-e653762c08a0")</f>
        <v>019a652b-ec2a-7b3b-87fb-e653762c08a0</v>
      </c>
      <c r="O502" s="763">
        <f>IFERROR(__xludf.DUMMYFUNCTION("""COMPUTED_VALUE"""),0.0)</f>
        <v>0</v>
      </c>
      <c r="P502" s="767">
        <f>IFERROR(__xludf.DUMMYFUNCTION("""COMPUTED_VALUE"""),1.5416666666666667)</f>
        <v>1.541666667</v>
      </c>
      <c r="Q502" s="763" t="str">
        <f>IFERROR(__xludf.DUMMYFUNCTION("""COMPUTED_VALUE"""),"EUR")</f>
        <v>EUR</v>
      </c>
      <c r="R502" s="763">
        <f>IFERROR(__xludf.DUMMYFUNCTION("""COMPUTED_VALUE"""),964.0)</f>
        <v>964</v>
      </c>
      <c r="S502" s="763" t="str">
        <f>IFERROR(__xludf.DUMMYFUNCTION("""COMPUTED_VALUE"""),"Workshop Urban con Kumo - Workshop Kumo Urban")</f>
        <v>Workshop Urban con Kumo - Workshop Kumo Urban</v>
      </c>
      <c r="T502" s="763"/>
      <c r="U502" s="763"/>
      <c r="V502" s="763">
        <f>IFERROR(__xludf.DUMMYFUNCTION("""COMPUTED_VALUE"""),1.0)</f>
        <v>1</v>
      </c>
      <c r="W502" s="763">
        <f>IFERROR(__xludf.DUMMYFUNCTION("""COMPUTED_VALUE"""),37.0)</f>
        <v>37</v>
      </c>
      <c r="X502" s="763">
        <f>IFERROR(__xludf.DUMMYFUNCTION("""COMPUTED_VALUE"""),37.0)</f>
        <v>37</v>
      </c>
      <c r="Y502" s="763"/>
      <c r="Z502" s="768" t="str">
        <f>IFERROR(__xludf.DUMMYFUNCTION("""COMPUTED_VALUE"""),"https://studio-gem.it/wp-admin/post.php?post=65856&amp;action=edit")</f>
        <v>https://studio-gem.it/wp-admin/post.php?post=65856&amp;action=edit</v>
      </c>
      <c r="AA502" s="763"/>
      <c r="AB502" s="763"/>
      <c r="AC502" s="763"/>
      <c r="AD502" s="763"/>
      <c r="AE502" s="763"/>
      <c r="AF502" s="763"/>
      <c r="AG502" s="763"/>
      <c r="AH502" s="763"/>
      <c r="AI502" s="763"/>
      <c r="AJ502" s="763"/>
      <c r="AK502" s="763"/>
      <c r="AL502" s="763"/>
      <c r="AM502" s="763"/>
      <c r="AN502" s="763"/>
      <c r="AO502" s="763"/>
      <c r="AP502" s="763"/>
      <c r="AQ502" s="763"/>
      <c r="AR502" s="763"/>
      <c r="AS502" s="763"/>
      <c r="AT502" s="763"/>
      <c r="AU502" s="763"/>
      <c r="AV502" s="763"/>
      <c r="AW502" s="763"/>
      <c r="AX502" s="763"/>
      <c r="AY502" s="763"/>
      <c r="AZ502" s="763"/>
      <c r="BA502" s="763"/>
      <c r="BB502" s="763"/>
      <c r="BC502" s="763"/>
      <c r="BD502" s="763"/>
      <c r="BE502" s="763"/>
      <c r="BF502" s="763"/>
      <c r="BG502" s="763" t="b">
        <f>IFERROR(__xludf.DUMMYFUNCTION("""COMPUTED_VALUE"""),TRUE)</f>
        <v>1</v>
      </c>
      <c r="BH502" s="763" t="b">
        <f>IFERROR(__xludf.DUMMYFUNCTION("""COMPUTED_VALUE"""),FALSE)</f>
        <v>0</v>
      </c>
      <c r="BI502" s="763" t="b">
        <f>IFERROR(__xludf.DUMMYFUNCTION("""COMPUTED_VALUE"""),TRUE)</f>
        <v>1</v>
      </c>
      <c r="BJ502" s="763" t="b">
        <f>IFERROR(__xludf.DUMMYFUNCTION("""COMPUTED_VALUE"""),TRUE)</f>
        <v>1</v>
      </c>
    </row>
    <row r="503">
      <c r="A503" s="763">
        <f>IFERROR(__xludf.DUMMYFUNCTION("""COMPUTED_VALUE"""),65858.0)</f>
        <v>65858</v>
      </c>
      <c r="B503" s="763">
        <f>IFERROR(__xludf.DUMMYFUNCTION("""COMPUTED_VALUE"""),65858.0)</f>
        <v>65858</v>
      </c>
      <c r="C503" s="763" t="str">
        <f>IFERROR(__xludf.DUMMYFUNCTION("""COMPUTED_VALUE"""),"2025-11-08 20:38:16")</f>
        <v>2025-11-08 20:38:16</v>
      </c>
      <c r="D503" s="763" t="str">
        <f>IFERROR(__xludf.DUMMYFUNCTION("""COMPUTED_VALUE"""),"completed")</f>
        <v>completed</v>
      </c>
      <c r="E503" s="763" t="str">
        <f>IFERROR(__xludf.DUMMYFUNCTION("""COMPUTED_VALUE"""),"Marina")</f>
        <v>Marina</v>
      </c>
      <c r="F503" s="763" t="str">
        <f>IFERROR(__xludf.DUMMYFUNCTION("""COMPUTED_VALUE"""),"Savchyna")</f>
        <v>Savchyna</v>
      </c>
      <c r="G503" s="763" t="str">
        <f>IFERROR(__xludf.DUMMYFUNCTION("""COMPUTED_VALUE"""),"maryna.savchyna@gmail.com")</f>
        <v>maryna.savchyna@gmail.com</v>
      </c>
      <c r="H503" s="763" t="str">
        <f>IFERROR(__xludf.DUMMYFUNCTION("""COMPUTED_VALUE"""),"+393298268284")</f>
        <v>+393298268284</v>
      </c>
      <c r="I503" s="763" t="str">
        <f>IFERROR(__xludf.DUMMYFUNCTION("""COMPUTED_VALUE"""),"Cinisello")</f>
        <v>Cinisello</v>
      </c>
      <c r="J503" s="763" t="str">
        <f>IFERROR(__xludf.DUMMYFUNCTION("""COMPUTED_VALUE"""),"Via Po 13")</f>
        <v>Via Po 13</v>
      </c>
      <c r="K503" s="763">
        <f>IFERROR(__xludf.DUMMYFUNCTION("""COMPUTED_VALUE"""),20092.0)</f>
        <v>20092</v>
      </c>
      <c r="L503" s="763" t="str">
        <f>IFERROR(__xludf.DUMMYFUNCTION("""COMPUTED_VALUE"""),"Carte di pagamento")</f>
        <v>Carte di pagamento</v>
      </c>
      <c r="M503" s="763"/>
      <c r="N503" s="763" t="str">
        <f>IFERROR(__xludf.DUMMYFUNCTION("""COMPUTED_VALUE"""),"65858-1762634297")</f>
        <v>65858-1762634297</v>
      </c>
      <c r="O503" s="763">
        <f>IFERROR(__xludf.DUMMYFUNCTION("""COMPUTED_VALUE"""),0.0)</f>
        <v>0</v>
      </c>
      <c r="P503" s="767">
        <f>IFERROR(__xludf.DUMMYFUNCTION("""COMPUTED_VALUE"""),1.5416666666666667)</f>
        <v>1.541666667</v>
      </c>
      <c r="Q503" s="763" t="str">
        <f>IFERROR(__xludf.DUMMYFUNCTION("""COMPUTED_VALUE"""),"EUR")</f>
        <v>EUR</v>
      </c>
      <c r="R503" s="763">
        <f>IFERROR(__xludf.DUMMYFUNCTION("""COMPUTED_VALUE"""),965.0)</f>
        <v>965</v>
      </c>
      <c r="S503" s="763" t="str">
        <f>IFERROR(__xludf.DUMMYFUNCTION("""COMPUTED_VALUE"""),"Workshop Urban con Kumo - Workshop Kumo Urban")</f>
        <v>Workshop Urban con Kumo - Workshop Kumo Urban</v>
      </c>
      <c r="T503" s="763"/>
      <c r="U503" s="763"/>
      <c r="V503" s="763">
        <f>IFERROR(__xludf.DUMMYFUNCTION("""COMPUTED_VALUE"""),1.0)</f>
        <v>1</v>
      </c>
      <c r="W503" s="763">
        <f>IFERROR(__xludf.DUMMYFUNCTION("""COMPUTED_VALUE"""),37.0)</f>
        <v>37</v>
      </c>
      <c r="X503" s="763">
        <f>IFERROR(__xludf.DUMMYFUNCTION("""COMPUTED_VALUE"""),37.0)</f>
        <v>37</v>
      </c>
      <c r="Y503" s="763"/>
      <c r="Z503" s="768" t="str">
        <f>IFERROR(__xludf.DUMMYFUNCTION("""COMPUTED_VALUE"""),"https://studio-gem.it/wp-admin/post.php?post=65858&amp;action=edit")</f>
        <v>https://studio-gem.it/wp-admin/post.php?post=65858&amp;action=edit</v>
      </c>
      <c r="AA503" s="763"/>
      <c r="AB503" s="763"/>
      <c r="AC503" s="763"/>
      <c r="AD503" s="763"/>
      <c r="AE503" s="763"/>
      <c r="AF503" s="763"/>
      <c r="AG503" s="763"/>
      <c r="AH503" s="763"/>
      <c r="AI503" s="763"/>
      <c r="AJ503" s="763"/>
      <c r="AK503" s="763"/>
      <c r="AL503" s="763"/>
      <c r="AM503" s="763"/>
      <c r="AN503" s="763"/>
      <c r="AO503" s="763"/>
      <c r="AP503" s="763"/>
      <c r="AQ503" s="763"/>
      <c r="AR503" s="763"/>
      <c r="AS503" s="763"/>
      <c r="AT503" s="763"/>
      <c r="AU503" s="763"/>
      <c r="AV503" s="763"/>
      <c r="AW503" s="763"/>
      <c r="AX503" s="763"/>
      <c r="AY503" s="763"/>
      <c r="AZ503" s="763"/>
      <c r="BA503" s="763"/>
      <c r="BB503" s="763"/>
      <c r="BC503" s="763"/>
      <c r="BD503" s="763"/>
      <c r="BE503" s="763"/>
      <c r="BF503" s="763"/>
      <c r="BG503" s="763" t="b">
        <f>IFERROR(__xludf.DUMMYFUNCTION("""COMPUTED_VALUE"""),TRUE)</f>
        <v>1</v>
      </c>
      <c r="BH503" s="763" t="b">
        <f>IFERROR(__xludf.DUMMYFUNCTION("""COMPUTED_VALUE"""),FALSE)</f>
        <v>0</v>
      </c>
      <c r="BI503" s="763" t="b">
        <f>IFERROR(__xludf.DUMMYFUNCTION("""COMPUTED_VALUE"""),TRUE)</f>
        <v>1</v>
      </c>
      <c r="BJ503" s="763" t="b">
        <f>IFERROR(__xludf.DUMMYFUNCTION("""COMPUTED_VALUE"""),TRUE)</f>
        <v>1</v>
      </c>
    </row>
    <row r="504">
      <c r="A504" s="763">
        <f>IFERROR(__xludf.DUMMYFUNCTION("""COMPUTED_VALUE"""),65860.0)</f>
        <v>65860</v>
      </c>
      <c r="B504" s="763">
        <f>IFERROR(__xludf.DUMMYFUNCTION("""COMPUTED_VALUE"""),65860.0)</f>
        <v>65860</v>
      </c>
      <c r="C504" s="763" t="str">
        <f>IFERROR(__xludf.DUMMYFUNCTION("""COMPUTED_VALUE"""),"2025-11-09 09:45:54")</f>
        <v>2025-11-09 09:45:54</v>
      </c>
      <c r="D504" s="763" t="str">
        <f>IFERROR(__xludf.DUMMYFUNCTION("""COMPUTED_VALUE"""),"processing")</f>
        <v>processing</v>
      </c>
      <c r="E504" s="763" t="str">
        <f>IFERROR(__xludf.DUMMYFUNCTION("""COMPUTED_VALUE"""),"Susi")</f>
        <v>Susi</v>
      </c>
      <c r="F504" s="763" t="str">
        <f>IFERROR(__xludf.DUMMYFUNCTION("""COMPUTED_VALUE"""),"Chirico")</f>
        <v>Chirico</v>
      </c>
      <c r="G504" s="763" t="str">
        <f>IFERROR(__xludf.DUMMYFUNCTION("""COMPUTED_VALUE"""),"am.chirico@libero.it")</f>
        <v>am.chirico@libero.it</v>
      </c>
      <c r="H504" s="763">
        <f>IFERROR(__xludf.DUMMYFUNCTION("""COMPUTED_VALUE"""),3.386379899E9)</f>
        <v>3386379899</v>
      </c>
      <c r="I504" s="763" t="str">
        <f>IFERROR(__xludf.DUMMYFUNCTION("""COMPUTED_VALUE"""),"Milano")</f>
        <v>Milano</v>
      </c>
      <c r="J504" s="763" t="str">
        <f>IFERROR(__xludf.DUMMYFUNCTION("""COMPUTED_VALUE"""),"Via Monsignor Luigi Martini 15")</f>
        <v>Via Monsignor Luigi Martini 15</v>
      </c>
      <c r="K504" s="763">
        <f>IFERROR(__xludf.DUMMYFUNCTION("""COMPUTED_VALUE"""),20161.0)</f>
        <v>20161</v>
      </c>
      <c r="L504" s="763" t="str">
        <f>IFERROR(__xludf.DUMMYFUNCTION("""COMPUTED_VALUE"""),"Carte di pagamento")</f>
        <v>Carte di pagamento</v>
      </c>
      <c r="M504" s="763"/>
      <c r="N504" s="763" t="str">
        <f>IFERROR(__xludf.DUMMYFUNCTION("""COMPUTED_VALUE"""),"65860-1762681555")</f>
        <v>65860-1762681555</v>
      </c>
      <c r="O504" s="763">
        <f>IFERROR(__xludf.DUMMYFUNCTION("""COMPUTED_VALUE"""),0.0)</f>
        <v>0</v>
      </c>
      <c r="P504" s="767">
        <f>IFERROR(__xludf.DUMMYFUNCTION("""COMPUTED_VALUE"""),1.5416666666666667)</f>
        <v>1.541666667</v>
      </c>
      <c r="Q504" s="763" t="str">
        <f>IFERROR(__xludf.DUMMYFUNCTION("""COMPUTED_VALUE"""),"EUR")</f>
        <v>EUR</v>
      </c>
      <c r="R504" s="763">
        <f>IFERROR(__xludf.DUMMYFUNCTION("""COMPUTED_VALUE"""),966.0)</f>
        <v>966</v>
      </c>
      <c r="S504" s="763" t="str">
        <f>IFERROR(__xludf.DUMMYFUNCTION("""COMPUTED_VALUE"""),"Workshop Heels con Deborah Esposito - Workshop Heels con Deborah Esposito")</f>
        <v>Workshop Heels con Deborah Esposito - Workshop Heels con Deborah Esposito</v>
      </c>
      <c r="T504" s="763"/>
      <c r="U504" s="763"/>
      <c r="V504" s="763">
        <f>IFERROR(__xludf.DUMMYFUNCTION("""COMPUTED_VALUE"""),1.0)</f>
        <v>1</v>
      </c>
      <c r="W504" s="763">
        <f>IFERROR(__xludf.DUMMYFUNCTION("""COMPUTED_VALUE"""),37.0)</f>
        <v>37</v>
      </c>
      <c r="X504" s="763">
        <f>IFERROR(__xludf.DUMMYFUNCTION("""COMPUTED_VALUE"""),37.0)</f>
        <v>37</v>
      </c>
      <c r="Y504" s="763"/>
      <c r="Z504" s="768" t="str">
        <f>IFERROR(__xludf.DUMMYFUNCTION("""COMPUTED_VALUE"""),"https://studio-gem.it/wp-admin/post.php?post=65860&amp;action=edit")</f>
        <v>https://studio-gem.it/wp-admin/post.php?post=65860&amp;action=edit</v>
      </c>
      <c r="AA504" s="763"/>
      <c r="AB504" s="763"/>
      <c r="AC504" s="763"/>
      <c r="AD504" s="763"/>
      <c r="AE504" s="763"/>
      <c r="AF504" s="763"/>
      <c r="AG504" s="763"/>
      <c r="AH504" s="763"/>
      <c r="AI504" s="763"/>
      <c r="AJ504" s="763"/>
      <c r="AK504" s="763"/>
      <c r="AL504" s="763"/>
      <c r="AM504" s="763"/>
      <c r="AN504" s="763"/>
      <c r="AO504" s="763"/>
      <c r="AP504" s="763"/>
      <c r="AQ504" s="763"/>
      <c r="AR504" s="763"/>
      <c r="AS504" s="763"/>
      <c r="AT504" s="763"/>
      <c r="AU504" s="763"/>
      <c r="AV504" s="763"/>
      <c r="AW504" s="763"/>
      <c r="AX504" s="763"/>
      <c r="AY504" s="763"/>
      <c r="AZ504" s="763"/>
      <c r="BA504" s="763"/>
      <c r="BB504" s="763"/>
      <c r="BC504" s="763"/>
      <c r="BD504" s="763"/>
      <c r="BE504" s="763"/>
      <c r="BF504" s="763"/>
      <c r="BG504" s="763" t="b">
        <f>IFERROR(__xludf.DUMMYFUNCTION("""COMPUTED_VALUE"""),TRUE)</f>
        <v>1</v>
      </c>
      <c r="BH504" s="763" t="b">
        <f>IFERROR(__xludf.DUMMYFUNCTION("""COMPUTED_VALUE"""),FALSE)</f>
        <v>0</v>
      </c>
      <c r="BI504" s="763" t="b">
        <f>IFERROR(__xludf.DUMMYFUNCTION("""COMPUTED_VALUE"""),TRUE)</f>
        <v>1</v>
      </c>
      <c r="BJ504" s="763" t="b">
        <f>IFERROR(__xludf.DUMMYFUNCTION("""COMPUTED_VALUE"""),TRUE)</f>
        <v>1</v>
      </c>
    </row>
    <row r="505">
      <c r="A505" s="763">
        <f>IFERROR(__xludf.DUMMYFUNCTION("""COMPUTED_VALUE"""),65862.0)</f>
        <v>65862</v>
      </c>
      <c r="B505" s="763">
        <f>IFERROR(__xludf.DUMMYFUNCTION("""COMPUTED_VALUE"""),65862.0)</f>
        <v>65862</v>
      </c>
      <c r="C505" s="763" t="str">
        <f>IFERROR(__xludf.DUMMYFUNCTION("""COMPUTED_VALUE"""),"2025-11-09 17:20:42")</f>
        <v>2025-11-09 17:20:42</v>
      </c>
      <c r="D505" s="763" t="str">
        <f>IFERROR(__xludf.DUMMYFUNCTION("""COMPUTED_VALUE"""),"completed")</f>
        <v>completed</v>
      </c>
      <c r="E505" s="763" t="str">
        <f>IFERROR(__xludf.DUMMYFUNCTION("""COMPUTED_VALUE"""),"Arianna")</f>
        <v>Arianna</v>
      </c>
      <c r="F505" s="763" t="str">
        <f>IFERROR(__xludf.DUMMYFUNCTION("""COMPUTED_VALUE"""),"Picco")</f>
        <v>Picco</v>
      </c>
      <c r="G505" s="763" t="str">
        <f>IFERROR(__xludf.DUMMYFUNCTION("""COMPUTED_VALUE"""),"arianna.picco1996@gmail.com")</f>
        <v>arianna.picco1996@gmail.com</v>
      </c>
      <c r="H505" s="763">
        <f>IFERROR(__xludf.DUMMYFUNCTION("""COMPUTED_VALUE"""),3.487801958E9)</f>
        <v>3487801958</v>
      </c>
      <c r="I505" s="763" t="str">
        <f>IFERROR(__xludf.DUMMYFUNCTION("""COMPUTED_VALUE"""),"Milano")</f>
        <v>Milano</v>
      </c>
      <c r="J505" s="763" t="str">
        <f>IFERROR(__xludf.DUMMYFUNCTION("""COMPUTED_VALUE"""),"Viale Coni Zugna 44")</f>
        <v>Viale Coni Zugna 44</v>
      </c>
      <c r="K505" s="763">
        <f>IFERROR(__xludf.DUMMYFUNCTION("""COMPUTED_VALUE"""),20144.0)</f>
        <v>20144</v>
      </c>
      <c r="L505" s="763" t="str">
        <f>IFERROR(__xludf.DUMMYFUNCTION("""COMPUTED_VALUE"""),"Carte di pagamento")</f>
        <v>Carte di pagamento</v>
      </c>
      <c r="M505" s="763"/>
      <c r="N505" s="763" t="str">
        <f>IFERROR(__xludf.DUMMYFUNCTION("""COMPUTED_VALUE"""),"65862-1762708844")</f>
        <v>65862-1762708844</v>
      </c>
      <c r="O505" s="763">
        <f>IFERROR(__xludf.DUMMYFUNCTION("""COMPUTED_VALUE"""),0.0)</f>
        <v>0</v>
      </c>
      <c r="P505" s="767">
        <f>IFERROR(__xludf.DUMMYFUNCTION("""COMPUTED_VALUE"""),2.6666666666666665)</f>
        <v>2.666666667</v>
      </c>
      <c r="Q505" s="763" t="str">
        <f>IFERROR(__xludf.DUMMYFUNCTION("""COMPUTED_VALUE"""),"EUR")</f>
        <v>EUR</v>
      </c>
      <c r="R505" s="763">
        <f>IFERROR(__xludf.DUMMYFUNCTION("""COMPUTED_VALUE"""),967.0)</f>
        <v>967</v>
      </c>
      <c r="S505" s="763" t="str">
        <f>IFERROR(__xludf.DUMMYFUNCTION("""COMPUTED_VALUE"""),"Workshop Salsa Musicality con Nicolò De Angelis - Workshop Nicolò Salsa Musicality")</f>
        <v>Workshop Salsa Musicality con Nicolò De Angelis - Workshop Nicolò Salsa Musicality</v>
      </c>
      <c r="T505" s="763"/>
      <c r="U505" s="763"/>
      <c r="V505" s="763">
        <f>IFERROR(__xludf.DUMMYFUNCTION("""COMPUTED_VALUE"""),2.0)</f>
        <v>2</v>
      </c>
      <c r="W505" s="763">
        <f>IFERROR(__xludf.DUMMYFUNCTION("""COMPUTED_VALUE"""),32.0)</f>
        <v>32</v>
      </c>
      <c r="X505" s="763">
        <f>IFERROR(__xludf.DUMMYFUNCTION("""COMPUTED_VALUE"""),64.0)</f>
        <v>64</v>
      </c>
      <c r="Y505" s="763"/>
      <c r="Z505" s="768" t="str">
        <f>IFERROR(__xludf.DUMMYFUNCTION("""COMPUTED_VALUE"""),"https://studio-gem.it/wp-admin/post.php?post=65862&amp;action=edit")</f>
        <v>https://studio-gem.it/wp-admin/post.php?post=65862&amp;action=edit</v>
      </c>
      <c r="AA505" s="763"/>
      <c r="AB505" s="763"/>
      <c r="AC505" s="763"/>
      <c r="AD505" s="763"/>
      <c r="AE505" s="763"/>
      <c r="AF505" s="763"/>
      <c r="AG505" s="763"/>
      <c r="AH505" s="763"/>
      <c r="AI505" s="763"/>
      <c r="AJ505" s="763"/>
      <c r="AK505" s="763"/>
      <c r="AL505" s="763"/>
      <c r="AM505" s="763"/>
      <c r="AN505" s="763"/>
      <c r="AO505" s="763"/>
      <c r="AP505" s="763"/>
      <c r="AQ505" s="763"/>
      <c r="AR505" s="763"/>
      <c r="AS505" s="763"/>
      <c r="AT505" s="763"/>
      <c r="AU505" s="763"/>
      <c r="AV505" s="763"/>
      <c r="AW505" s="763"/>
      <c r="AX505" s="763"/>
      <c r="AY505" s="763"/>
      <c r="AZ505" s="763"/>
      <c r="BA505" s="763"/>
      <c r="BB505" s="763"/>
      <c r="BC505" s="763"/>
      <c r="BD505" s="763"/>
      <c r="BE505" s="763"/>
      <c r="BF505" s="763"/>
      <c r="BG505" s="763" t="b">
        <f>IFERROR(__xludf.DUMMYFUNCTION("""COMPUTED_VALUE"""),TRUE)</f>
        <v>1</v>
      </c>
      <c r="BH505" s="763" t="b">
        <f>IFERROR(__xludf.DUMMYFUNCTION("""COMPUTED_VALUE"""),FALSE)</f>
        <v>0</v>
      </c>
      <c r="BI505" s="763" t="b">
        <f>IFERROR(__xludf.DUMMYFUNCTION("""COMPUTED_VALUE"""),TRUE)</f>
        <v>1</v>
      </c>
      <c r="BJ505" s="763" t="b">
        <f>IFERROR(__xludf.DUMMYFUNCTION("""COMPUTED_VALUE"""),TRUE)</f>
        <v>1</v>
      </c>
    </row>
    <row r="506">
      <c r="A506" s="763">
        <f>IFERROR(__xludf.DUMMYFUNCTION("""COMPUTED_VALUE"""),65881.0)</f>
        <v>65881</v>
      </c>
      <c r="B506" s="763">
        <f>IFERROR(__xludf.DUMMYFUNCTION("""COMPUTED_VALUE"""),65881.0)</f>
        <v>65881</v>
      </c>
      <c r="C506" s="763" t="str">
        <f>IFERROR(__xludf.DUMMYFUNCTION("""COMPUTED_VALUE"""),"2025-11-10 10:19:50")</f>
        <v>2025-11-10 10:19:50</v>
      </c>
      <c r="D506" s="763" t="str">
        <f>IFERROR(__xludf.DUMMYFUNCTION("""COMPUTED_VALUE"""),"completed")</f>
        <v>completed</v>
      </c>
      <c r="E506" s="763" t="str">
        <f>IFERROR(__xludf.DUMMYFUNCTION("""COMPUTED_VALUE"""),"Daniela")</f>
        <v>Daniela</v>
      </c>
      <c r="F506" s="763" t="str">
        <f>IFERROR(__xludf.DUMMYFUNCTION("""COMPUTED_VALUE"""),"Decillo")</f>
        <v>Decillo</v>
      </c>
      <c r="G506" s="763" t="str">
        <f>IFERROR(__xludf.DUMMYFUNCTION("""COMPUTED_VALUE"""),"danieladecillo@hotmail.it")</f>
        <v>danieladecillo@hotmail.it</v>
      </c>
      <c r="H506" s="763">
        <f>IFERROR(__xludf.DUMMYFUNCTION("""COMPUTED_VALUE"""),3.421623739E9)</f>
        <v>3421623739</v>
      </c>
      <c r="I506" s="763" t="str">
        <f>IFERROR(__xludf.DUMMYFUNCTION("""COMPUTED_VALUE"""),"Milan")</f>
        <v>Milan</v>
      </c>
      <c r="J506" s="763" t="str">
        <f>IFERROR(__xludf.DUMMYFUNCTION("""COMPUTED_VALUE"""),"Via Corsico 5")</f>
        <v>Via Corsico 5</v>
      </c>
      <c r="K506" s="763">
        <f>IFERROR(__xludf.DUMMYFUNCTION("""COMPUTED_VALUE"""),20144.0)</f>
        <v>20144</v>
      </c>
      <c r="L506" s="763" t="str">
        <f>IFERROR(__xludf.DUMMYFUNCTION("""COMPUTED_VALUE"""),"Apple Pay")</f>
        <v>Apple Pay</v>
      </c>
      <c r="M506" s="763"/>
      <c r="N506" s="763" t="str">
        <f>IFERROR(__xludf.DUMMYFUNCTION("""COMPUTED_VALUE"""),"65881-1762769992")</f>
        <v>65881-1762769992</v>
      </c>
      <c r="O506" s="763">
        <f>IFERROR(__xludf.DUMMYFUNCTION("""COMPUTED_VALUE"""),0.0)</f>
        <v>0</v>
      </c>
      <c r="P506" s="767">
        <f>IFERROR(__xludf.DUMMYFUNCTION("""COMPUTED_VALUE"""),1.3333333333333333)</f>
        <v>1.333333333</v>
      </c>
      <c r="Q506" s="763" t="str">
        <f>IFERROR(__xludf.DUMMYFUNCTION("""COMPUTED_VALUE"""),"EUR")</f>
        <v>EUR</v>
      </c>
      <c r="R506" s="763">
        <f>IFERROR(__xludf.DUMMYFUNCTION("""COMPUTED_VALUE"""),968.0)</f>
        <v>968</v>
      </c>
      <c r="S506" s="763" t="str">
        <f>IFERROR(__xludf.DUMMYFUNCTION("""COMPUTED_VALUE"""),"Workshop Salsa Musicality con Nicolò De Angelis - Workshop Nicolò Salsa Musicality")</f>
        <v>Workshop Salsa Musicality con Nicolò De Angelis - Workshop Nicolò Salsa Musicality</v>
      </c>
      <c r="T506" s="763"/>
      <c r="U506" s="763"/>
      <c r="V506" s="763">
        <f>IFERROR(__xludf.DUMMYFUNCTION("""COMPUTED_VALUE"""),1.0)</f>
        <v>1</v>
      </c>
      <c r="W506" s="763">
        <f>IFERROR(__xludf.DUMMYFUNCTION("""COMPUTED_VALUE"""),32.0)</f>
        <v>32</v>
      </c>
      <c r="X506" s="763">
        <f>IFERROR(__xludf.DUMMYFUNCTION("""COMPUTED_VALUE"""),32.0)</f>
        <v>32</v>
      </c>
      <c r="Y506" s="763"/>
      <c r="Z506" s="768" t="str">
        <f>IFERROR(__xludf.DUMMYFUNCTION("""COMPUTED_VALUE"""),"https://studio-gem.it/wp-admin/post.php?post=65881&amp;action=edit")</f>
        <v>https://studio-gem.it/wp-admin/post.php?post=65881&amp;action=edit</v>
      </c>
      <c r="AA506" s="763"/>
      <c r="AB506" s="763"/>
      <c r="AC506" s="763"/>
      <c r="AD506" s="763"/>
      <c r="AE506" s="763"/>
      <c r="AF506" s="763"/>
      <c r="AG506" s="763"/>
      <c r="AH506" s="763"/>
      <c r="AI506" s="763"/>
      <c r="AJ506" s="763"/>
      <c r="AK506" s="763"/>
      <c r="AL506" s="763"/>
      <c r="AM506" s="763"/>
      <c r="AN506" s="763"/>
      <c r="AO506" s="763"/>
      <c r="AP506" s="763"/>
      <c r="AQ506" s="763"/>
      <c r="AR506" s="763"/>
      <c r="AS506" s="763"/>
      <c r="AT506" s="763"/>
      <c r="AU506" s="763"/>
      <c r="AV506" s="763"/>
      <c r="AW506" s="763"/>
      <c r="AX506" s="763"/>
      <c r="AY506" s="763"/>
      <c r="AZ506" s="763"/>
      <c r="BA506" s="763"/>
      <c r="BB506" s="763"/>
      <c r="BC506" s="763"/>
      <c r="BD506" s="763"/>
      <c r="BE506" s="763"/>
      <c r="BF506" s="763"/>
      <c r="BG506" s="763" t="b">
        <f>IFERROR(__xludf.DUMMYFUNCTION("""COMPUTED_VALUE"""),TRUE)</f>
        <v>1</v>
      </c>
      <c r="BH506" s="763" t="b">
        <f>IFERROR(__xludf.DUMMYFUNCTION("""COMPUTED_VALUE"""),FALSE)</f>
        <v>0</v>
      </c>
      <c r="BI506" s="763" t="b">
        <f>IFERROR(__xludf.DUMMYFUNCTION("""COMPUTED_VALUE"""),TRUE)</f>
        <v>1</v>
      </c>
      <c r="BJ506" s="763" t="b">
        <f>IFERROR(__xludf.DUMMYFUNCTION("""COMPUTED_VALUE"""),TRUE)</f>
        <v>1</v>
      </c>
    </row>
    <row r="507">
      <c r="A507" s="763">
        <f>IFERROR(__xludf.DUMMYFUNCTION("""COMPUTED_VALUE"""),65911.0)</f>
        <v>65911</v>
      </c>
      <c r="B507" s="763">
        <f>IFERROR(__xludf.DUMMYFUNCTION("""COMPUTED_VALUE"""),65911.0)</f>
        <v>65911</v>
      </c>
      <c r="C507" s="763" t="str">
        <f>IFERROR(__xludf.DUMMYFUNCTION("""COMPUTED_VALUE"""),"2025-11-10 12:48:19")</f>
        <v>2025-11-10 12:48:19</v>
      </c>
      <c r="D507" s="763" t="str">
        <f>IFERROR(__xludf.DUMMYFUNCTION("""COMPUTED_VALUE"""),"completed")</f>
        <v>completed</v>
      </c>
      <c r="E507" s="763" t="str">
        <f>IFERROR(__xludf.DUMMYFUNCTION("""COMPUTED_VALUE"""),"Alessio")</f>
        <v>Alessio</v>
      </c>
      <c r="F507" s="763" t="str">
        <f>IFERROR(__xludf.DUMMYFUNCTION("""COMPUTED_VALUE"""),"Campagna")</f>
        <v>Campagna</v>
      </c>
      <c r="G507" s="763" t="str">
        <f>IFERROR(__xludf.DUMMYFUNCTION("""COMPUTED_VALUE"""),"alessiotcgtrade@gmail.com")</f>
        <v>alessiotcgtrade@gmail.com</v>
      </c>
      <c r="H507" s="763">
        <f>IFERROR(__xludf.DUMMYFUNCTION("""COMPUTED_VALUE"""),3.517240804E9)</f>
        <v>3517240804</v>
      </c>
      <c r="I507" s="763" t="str">
        <f>IFERROR(__xludf.DUMMYFUNCTION("""COMPUTED_VALUE"""),"Milano")</f>
        <v>Milano</v>
      </c>
      <c r="J507" s="763" t="str">
        <f>IFERROR(__xludf.DUMMYFUNCTION("""COMPUTED_VALUE"""),"Corso di porta vigentina 38")</f>
        <v>Corso di porta vigentina 38</v>
      </c>
      <c r="K507" s="763">
        <f>IFERROR(__xludf.DUMMYFUNCTION("""COMPUTED_VALUE"""),20122.0)</f>
        <v>20122</v>
      </c>
      <c r="L507" s="763"/>
      <c r="M507" s="763"/>
      <c r="N507" s="763"/>
      <c r="O507" s="763">
        <f>IFERROR(__xludf.DUMMYFUNCTION("""COMPUTED_VALUE"""),0.0)</f>
        <v>0</v>
      </c>
      <c r="P507" s="767">
        <f>IFERROR(__xludf.DUMMYFUNCTION("""COMPUTED_VALUE"""),0.0)</f>
        <v>0</v>
      </c>
      <c r="Q507" s="763" t="str">
        <f>IFERROR(__xludf.DUMMYFUNCTION("""COMPUTED_VALUE"""),"EUR")</f>
        <v>EUR</v>
      </c>
      <c r="R507" s="763">
        <f>IFERROR(__xludf.DUMMYFUNCTION("""COMPUTED_VALUE"""),969.0)</f>
        <v>969</v>
      </c>
      <c r="S507" s="763" t="str">
        <f>IFERROR(__xludf.DUMMYFUNCTION("""COMPUTED_VALUE"""),"Domeniche in movimento - Gratuito per open fitness e open mattino 2 lezioni dalle 10 alle 11.50")</f>
        <v>Domeniche in movimento - Gratuito per open fitness e open mattino 2 lezioni dalle 10 alle 11.50</v>
      </c>
      <c r="T507" s="763"/>
      <c r="U507" s="763"/>
      <c r="V507" s="763">
        <f>IFERROR(__xludf.DUMMYFUNCTION("""COMPUTED_VALUE"""),1.0)</f>
        <v>1</v>
      </c>
      <c r="W507" s="763">
        <f>IFERROR(__xludf.DUMMYFUNCTION("""COMPUTED_VALUE"""),0.0)</f>
        <v>0</v>
      </c>
      <c r="X507" s="763">
        <f>IFERROR(__xludf.DUMMYFUNCTION("""COMPUTED_VALUE"""),0.0)</f>
        <v>0</v>
      </c>
      <c r="Y507" s="763"/>
      <c r="Z507" s="768" t="str">
        <f>IFERROR(__xludf.DUMMYFUNCTION("""COMPUTED_VALUE"""),"https://studio-gem.it/wp-admin/post.php?post=65911&amp;action=edit")</f>
        <v>https://studio-gem.it/wp-admin/post.php?post=65911&amp;action=edit</v>
      </c>
      <c r="AA507" s="763"/>
      <c r="AB507" s="763"/>
      <c r="AC507" s="763"/>
      <c r="AD507" s="763"/>
      <c r="AE507" s="763"/>
      <c r="AF507" s="763"/>
      <c r="AG507" s="763"/>
      <c r="AH507" s="763"/>
      <c r="AI507" s="763"/>
      <c r="AJ507" s="763"/>
      <c r="AK507" s="763"/>
      <c r="AL507" s="763"/>
      <c r="AM507" s="763"/>
      <c r="AN507" s="763"/>
      <c r="AO507" s="763"/>
      <c r="AP507" s="763"/>
      <c r="AQ507" s="763"/>
      <c r="AR507" s="763"/>
      <c r="AS507" s="763"/>
      <c r="AT507" s="763"/>
      <c r="AU507" s="763"/>
      <c r="AV507" s="763"/>
      <c r="AW507" s="763"/>
      <c r="AX507" s="763"/>
      <c r="AY507" s="763"/>
      <c r="AZ507" s="763"/>
      <c r="BA507" s="763"/>
      <c r="BB507" s="763"/>
      <c r="BC507" s="763"/>
      <c r="BD507" s="763"/>
      <c r="BE507" s="763"/>
      <c r="BF507" s="763"/>
      <c r="BG507" s="763" t="b">
        <f>IFERROR(__xludf.DUMMYFUNCTION("""COMPUTED_VALUE"""),TRUE)</f>
        <v>1</v>
      </c>
      <c r="BH507" s="763" t="b">
        <f>IFERROR(__xludf.DUMMYFUNCTION("""COMPUTED_VALUE"""),FALSE)</f>
        <v>0</v>
      </c>
      <c r="BI507" s="763" t="b">
        <f>IFERROR(__xludf.DUMMYFUNCTION("""COMPUTED_VALUE"""),TRUE)</f>
        <v>1</v>
      </c>
      <c r="BJ507" s="763" t="b">
        <f>IFERROR(__xludf.DUMMYFUNCTION("""COMPUTED_VALUE"""),TRUE)</f>
        <v>1</v>
      </c>
    </row>
    <row r="508">
      <c r="A508" s="763">
        <f>IFERROR(__xludf.DUMMYFUNCTION("""COMPUTED_VALUE"""),65956.0)</f>
        <v>65956</v>
      </c>
      <c r="B508" s="763">
        <f>IFERROR(__xludf.DUMMYFUNCTION("""COMPUTED_VALUE"""),65956.0)</f>
        <v>65956</v>
      </c>
      <c r="C508" s="763" t="str">
        <f>IFERROR(__xludf.DUMMYFUNCTION("""COMPUTED_VALUE"""),"2025-11-10 15:50:03")</f>
        <v>2025-11-10 15:50:03</v>
      </c>
      <c r="D508" s="763" t="str">
        <f>IFERROR(__xludf.DUMMYFUNCTION("""COMPUTED_VALUE"""),"completed")</f>
        <v>completed</v>
      </c>
      <c r="E508" s="763" t="str">
        <f>IFERROR(__xludf.DUMMYFUNCTION("""COMPUTED_VALUE"""),"Maria Sofia")</f>
        <v>Maria Sofia</v>
      </c>
      <c r="F508" s="763" t="str">
        <f>IFERROR(__xludf.DUMMYFUNCTION("""COMPUTED_VALUE"""),"Miscia")</f>
        <v>Miscia</v>
      </c>
      <c r="G508" s="763" t="str">
        <f>IFERROR(__xludf.DUMMYFUNCTION("""COMPUTED_VALUE"""),"mariasofiamiscia@gmail.com")</f>
        <v>mariasofiamiscia@gmail.com</v>
      </c>
      <c r="H508" s="763">
        <f>IFERROR(__xludf.DUMMYFUNCTION("""COMPUTED_VALUE"""),3.312035454E9)</f>
        <v>3312035454</v>
      </c>
      <c r="I508" s="763" t="str">
        <f>IFERROR(__xludf.DUMMYFUNCTION("""COMPUTED_VALUE"""),"Milano")</f>
        <v>Milano</v>
      </c>
      <c r="J508" s="763" t="str">
        <f>IFERROR(__xludf.DUMMYFUNCTION("""COMPUTED_VALUE"""),"Via Fogazzaro 8")</f>
        <v>Via Fogazzaro 8</v>
      </c>
      <c r="K508" s="763">
        <f>IFERROR(__xludf.DUMMYFUNCTION("""COMPUTED_VALUE"""),20135.0)</f>
        <v>20135</v>
      </c>
      <c r="L508" s="763" t="str">
        <f>IFERROR(__xludf.DUMMYFUNCTION("""COMPUTED_VALUE"""),"Satispay")</f>
        <v>Satispay</v>
      </c>
      <c r="M508" s="763" t="str">
        <f>IFERROR(__xludf.DUMMYFUNCTION("""COMPUTED_VALUE"""),"nura02ws")</f>
        <v>nura02ws</v>
      </c>
      <c r="N508" s="763" t="str">
        <f>IFERROR(__xludf.DUMMYFUNCTION("""COMPUTED_VALUE"""),"019a6e75-c8c3-731b-96a5-d66a4594925a")</f>
        <v>019a6e75-c8c3-731b-96a5-d66a4594925a</v>
      </c>
      <c r="O508" s="763">
        <f>IFERROR(__xludf.DUMMYFUNCTION("""COMPUTED_VALUE"""),0.0)</f>
        <v>0</v>
      </c>
      <c r="P508" s="767">
        <f>IFERROR(__xludf.DUMMYFUNCTION("""COMPUTED_VALUE"""),2.1666666666666665)</f>
        <v>2.166666667</v>
      </c>
      <c r="Q508" s="763" t="str">
        <f>IFERROR(__xludf.DUMMYFUNCTION("""COMPUTED_VALUE"""),"EUR")</f>
        <v>EUR</v>
      </c>
      <c r="R508" s="763">
        <f>IFERROR(__xludf.DUMMYFUNCTION("""COMPUTED_VALUE"""),970.0)</f>
        <v>970</v>
      </c>
      <c r="S508" s="763" t="str">
        <f>IFERROR(__xludf.DUMMYFUNCTION("""COMPUTED_VALUE"""),"Workshop Salsa flamenco e pasitos con Nerea Perez - Workshop Nerea Salsa Flamenco")</f>
        <v>Workshop Salsa flamenco e pasitos con Nerea Perez - Workshop Nerea Salsa Flamenco</v>
      </c>
      <c r="T508" s="763"/>
      <c r="U508" s="763"/>
      <c r="V508" s="763">
        <f>IFERROR(__xludf.DUMMYFUNCTION("""COMPUTED_VALUE"""),1.0)</f>
        <v>1</v>
      </c>
      <c r="W508" s="763">
        <f>IFERROR(__xludf.DUMMYFUNCTION("""COMPUTED_VALUE"""),26.0)</f>
        <v>26</v>
      </c>
      <c r="X508" s="763">
        <f>IFERROR(__xludf.DUMMYFUNCTION("""COMPUTED_VALUE"""),26.0)</f>
        <v>26</v>
      </c>
      <c r="Y508" s="763"/>
      <c r="Z508" s="768" t="str">
        <f>IFERROR(__xludf.DUMMYFUNCTION("""COMPUTED_VALUE"""),"https://studio-gem.it/wp-admin/post.php?post=65956&amp;action=edit")</f>
        <v>https://studio-gem.it/wp-admin/post.php?post=65956&amp;action=edit</v>
      </c>
      <c r="AA508" s="763"/>
      <c r="AB508" s="763"/>
      <c r="AC508" s="763"/>
      <c r="AD508" s="763"/>
      <c r="AE508" s="763"/>
      <c r="AF508" s="763"/>
      <c r="AG508" s="763"/>
      <c r="AH508" s="763"/>
      <c r="AI508" s="763"/>
      <c r="AJ508" s="763"/>
      <c r="AK508" s="763"/>
      <c r="AL508" s="763"/>
      <c r="AM508" s="763"/>
      <c r="AN508" s="763"/>
      <c r="AO508" s="763"/>
      <c r="AP508" s="763"/>
      <c r="AQ508" s="763"/>
      <c r="AR508" s="763"/>
      <c r="AS508" s="763"/>
      <c r="AT508" s="763"/>
      <c r="AU508" s="763"/>
      <c r="AV508" s="763"/>
      <c r="AW508" s="763"/>
      <c r="AX508" s="763"/>
      <c r="AY508" s="763"/>
      <c r="AZ508" s="763"/>
      <c r="BA508" s="763"/>
      <c r="BB508" s="763"/>
      <c r="BC508" s="763"/>
      <c r="BD508" s="763"/>
      <c r="BE508" s="763"/>
      <c r="BF508" s="763"/>
      <c r="BG508" s="763" t="b">
        <f>IFERROR(__xludf.DUMMYFUNCTION("""COMPUTED_VALUE"""),TRUE)</f>
        <v>1</v>
      </c>
      <c r="BH508" s="763" t="b">
        <f>IFERROR(__xludf.DUMMYFUNCTION("""COMPUTED_VALUE"""),FALSE)</f>
        <v>0</v>
      </c>
      <c r="BI508" s="763" t="b">
        <f>IFERROR(__xludf.DUMMYFUNCTION("""COMPUTED_VALUE"""),TRUE)</f>
        <v>1</v>
      </c>
      <c r="BJ508" s="763" t="b">
        <f>IFERROR(__xludf.DUMMYFUNCTION("""COMPUTED_VALUE"""),TRUE)</f>
        <v>1</v>
      </c>
    </row>
    <row r="509">
      <c r="A509" s="763">
        <f>IFERROR(__xludf.DUMMYFUNCTION("""COMPUTED_VALUE"""),65956.0)</f>
        <v>65956</v>
      </c>
      <c r="B509" s="763">
        <f>IFERROR(__xludf.DUMMYFUNCTION("""COMPUTED_VALUE"""),65956.0)</f>
        <v>65956</v>
      </c>
      <c r="C509" s="763" t="str">
        <f>IFERROR(__xludf.DUMMYFUNCTION("""COMPUTED_VALUE"""),"2025-11-10 15:50:03")</f>
        <v>2025-11-10 15:50:03</v>
      </c>
      <c r="D509" s="763" t="str">
        <f>IFERROR(__xludf.DUMMYFUNCTION("""COMPUTED_VALUE"""),"completed")</f>
        <v>completed</v>
      </c>
      <c r="E509" s="763" t="str">
        <f>IFERROR(__xludf.DUMMYFUNCTION("""COMPUTED_VALUE"""),"Maria Sofia")</f>
        <v>Maria Sofia</v>
      </c>
      <c r="F509" s="763" t="str">
        <f>IFERROR(__xludf.DUMMYFUNCTION("""COMPUTED_VALUE"""),"Miscia")</f>
        <v>Miscia</v>
      </c>
      <c r="G509" s="763" t="str">
        <f>IFERROR(__xludf.DUMMYFUNCTION("""COMPUTED_VALUE"""),"mariasofiamiscia@gmail.com")</f>
        <v>mariasofiamiscia@gmail.com</v>
      </c>
      <c r="H509" s="763">
        <f>IFERROR(__xludf.DUMMYFUNCTION("""COMPUTED_VALUE"""),3.312035454E9)</f>
        <v>3312035454</v>
      </c>
      <c r="I509" s="763" t="str">
        <f>IFERROR(__xludf.DUMMYFUNCTION("""COMPUTED_VALUE"""),"Milano")</f>
        <v>Milano</v>
      </c>
      <c r="J509" s="763" t="str">
        <f>IFERROR(__xludf.DUMMYFUNCTION("""COMPUTED_VALUE"""),"Via Fogazzaro 8")</f>
        <v>Via Fogazzaro 8</v>
      </c>
      <c r="K509" s="763">
        <f>IFERROR(__xludf.DUMMYFUNCTION("""COMPUTED_VALUE"""),20135.0)</f>
        <v>20135</v>
      </c>
      <c r="L509" s="763" t="str">
        <f>IFERROR(__xludf.DUMMYFUNCTION("""COMPUTED_VALUE"""),"Satispay")</f>
        <v>Satispay</v>
      </c>
      <c r="M509" s="763" t="str">
        <f>IFERROR(__xludf.DUMMYFUNCTION("""COMPUTED_VALUE"""),"nura02ws")</f>
        <v>nura02ws</v>
      </c>
      <c r="N509" s="763" t="str">
        <f>IFERROR(__xludf.DUMMYFUNCTION("""COMPUTED_VALUE"""),"019a6e75-c8c3-731b-96a5-d66a4594925a")</f>
        <v>019a6e75-c8c3-731b-96a5-d66a4594925a</v>
      </c>
      <c r="O509" s="763">
        <f>IFERROR(__xludf.DUMMYFUNCTION("""COMPUTED_VALUE"""),0.0)</f>
        <v>0</v>
      </c>
      <c r="P509" s="767">
        <f>IFERROR(__xludf.DUMMYFUNCTION("""COMPUTED_VALUE"""),2.1666666666666665)</f>
        <v>2.166666667</v>
      </c>
      <c r="Q509" s="763" t="str">
        <f>IFERROR(__xludf.DUMMYFUNCTION("""COMPUTED_VALUE"""),"EUR")</f>
        <v>EUR</v>
      </c>
      <c r="R509" s="763">
        <f>IFERROR(__xludf.DUMMYFUNCTION("""COMPUTED_VALUE"""),971.0)</f>
        <v>971</v>
      </c>
      <c r="S509" s="763" t="str">
        <f>IFERROR(__xludf.DUMMYFUNCTION("""COMPUTED_VALUE"""),"Workshop Salsa flamenco e pasitos con Nerea Perez - Workshop Nerea Pasitos")</f>
        <v>Workshop Salsa flamenco e pasitos con Nerea Perez - Workshop Nerea Pasitos</v>
      </c>
      <c r="T509" s="763"/>
      <c r="U509" s="763"/>
      <c r="V509" s="763">
        <f>IFERROR(__xludf.DUMMYFUNCTION("""COMPUTED_VALUE"""),1.0)</f>
        <v>1</v>
      </c>
      <c r="W509" s="763">
        <f>IFERROR(__xludf.DUMMYFUNCTION("""COMPUTED_VALUE"""),26.0)</f>
        <v>26</v>
      </c>
      <c r="X509" s="763">
        <f>IFERROR(__xludf.DUMMYFUNCTION("""COMPUTED_VALUE"""),26.0)</f>
        <v>26</v>
      </c>
      <c r="Y509" s="763"/>
      <c r="Z509" s="768" t="str">
        <f>IFERROR(__xludf.DUMMYFUNCTION("""COMPUTED_VALUE"""),"https://studio-gem.it/wp-admin/post.php?post=65956&amp;action=edit")</f>
        <v>https://studio-gem.it/wp-admin/post.php?post=65956&amp;action=edit</v>
      </c>
      <c r="AA509" s="763"/>
      <c r="AB509" s="763"/>
      <c r="AC509" s="763"/>
      <c r="AD509" s="763"/>
      <c r="AE509" s="763"/>
      <c r="AF509" s="763"/>
      <c r="AG509" s="763"/>
      <c r="AH509" s="763"/>
      <c r="AI509" s="763"/>
      <c r="AJ509" s="763"/>
      <c r="AK509" s="763"/>
      <c r="AL509" s="763"/>
      <c r="AM509" s="763"/>
      <c r="AN509" s="763"/>
      <c r="AO509" s="763"/>
      <c r="AP509" s="763"/>
      <c r="AQ509" s="763"/>
      <c r="AR509" s="763"/>
      <c r="AS509" s="763"/>
      <c r="AT509" s="763"/>
      <c r="AU509" s="763"/>
      <c r="AV509" s="763"/>
      <c r="AW509" s="763"/>
      <c r="AX509" s="763"/>
      <c r="AY509" s="763"/>
      <c r="AZ509" s="763"/>
      <c r="BA509" s="763"/>
      <c r="BB509" s="763"/>
      <c r="BC509" s="763"/>
      <c r="BD509" s="763"/>
      <c r="BE509" s="763"/>
      <c r="BF509" s="763"/>
      <c r="BG509" s="763" t="b">
        <f>IFERROR(__xludf.DUMMYFUNCTION("""COMPUTED_VALUE"""),TRUE)</f>
        <v>1</v>
      </c>
      <c r="BH509" s="763" t="b">
        <f>IFERROR(__xludf.DUMMYFUNCTION("""COMPUTED_VALUE"""),FALSE)</f>
        <v>0</v>
      </c>
      <c r="BI509" s="763" t="b">
        <f>IFERROR(__xludf.DUMMYFUNCTION("""COMPUTED_VALUE"""),TRUE)</f>
        <v>1</v>
      </c>
      <c r="BJ509" s="763" t="b">
        <f>IFERROR(__xludf.DUMMYFUNCTION("""COMPUTED_VALUE"""),TRUE)</f>
        <v>1</v>
      </c>
    </row>
    <row r="510">
      <c r="A510" s="763">
        <f>IFERROR(__xludf.DUMMYFUNCTION("""COMPUTED_VALUE"""),65958.0)</f>
        <v>65958</v>
      </c>
      <c r="B510" s="763">
        <f>IFERROR(__xludf.DUMMYFUNCTION("""COMPUTED_VALUE"""),65958.0)</f>
        <v>65958</v>
      </c>
      <c r="C510" s="763" t="str">
        <f>IFERROR(__xludf.DUMMYFUNCTION("""COMPUTED_VALUE"""),"2025-11-11 06:44:20")</f>
        <v>2025-11-11 06:44:20</v>
      </c>
      <c r="D510" s="763" t="str">
        <f>IFERROR(__xludf.DUMMYFUNCTION("""COMPUTED_VALUE"""),"processing")</f>
        <v>processing</v>
      </c>
      <c r="E510" s="763" t="str">
        <f>IFERROR(__xludf.DUMMYFUNCTION("""COMPUTED_VALUE"""),"Guendalina")</f>
        <v>Guendalina</v>
      </c>
      <c r="F510" s="763" t="str">
        <f>IFERROR(__xludf.DUMMYFUNCTION("""COMPUTED_VALUE"""),"Elia")</f>
        <v>Elia</v>
      </c>
      <c r="G510" s="763" t="str">
        <f>IFERROR(__xludf.DUMMYFUNCTION("""COMPUTED_VALUE"""),"eliaguendalina@gmail.com")</f>
        <v>eliaguendalina@gmail.com</v>
      </c>
      <c r="H510" s="763">
        <f>IFERROR(__xludf.DUMMYFUNCTION("""COMPUTED_VALUE"""),3.897868627E9)</f>
        <v>3897868627</v>
      </c>
      <c r="I510" s="763" t="str">
        <f>IFERROR(__xludf.DUMMYFUNCTION("""COMPUTED_VALUE"""),"Milano")</f>
        <v>Milano</v>
      </c>
      <c r="J510" s="763" t="str">
        <f>IFERROR(__xludf.DUMMYFUNCTION("""COMPUTED_VALUE"""),"Via barbieri 4")</f>
        <v>Via barbieri 4</v>
      </c>
      <c r="K510" s="763">
        <f>IFERROR(__xludf.DUMMYFUNCTION("""COMPUTED_VALUE"""),20136.0)</f>
        <v>20136</v>
      </c>
      <c r="L510" s="763" t="str">
        <f>IFERROR(__xludf.DUMMYFUNCTION("""COMPUTED_VALUE"""),"Carte di pagamento")</f>
        <v>Carte di pagamento</v>
      </c>
      <c r="M510" s="763" t="str">
        <f>IFERROR(__xludf.DUMMYFUNCTION("""COMPUTED_VALUE"""),"massi02ws")</f>
        <v>massi02ws</v>
      </c>
      <c r="N510" s="763" t="str">
        <f>IFERROR(__xludf.DUMMYFUNCTION("""COMPUTED_VALUE"""),"65958-1762843461")</f>
        <v>65958-1762843461</v>
      </c>
      <c r="O510" s="763">
        <f>IFERROR(__xludf.DUMMYFUNCTION("""COMPUTED_VALUE"""),0.0)</f>
        <v>0</v>
      </c>
      <c r="P510" s="767">
        <f>IFERROR(__xludf.DUMMYFUNCTION("""COMPUTED_VALUE"""),1.25)</f>
        <v>1.25</v>
      </c>
      <c r="Q510" s="763" t="str">
        <f>IFERROR(__xludf.DUMMYFUNCTION("""COMPUTED_VALUE"""),"EUR")</f>
        <v>EUR</v>
      </c>
      <c r="R510" s="763">
        <f>IFERROR(__xludf.DUMMYFUNCTION("""COMPUTED_VALUE"""),973.0)</f>
        <v>973</v>
      </c>
      <c r="S510" s="763" t="str">
        <f>IFERROR(__xludf.DUMMYFUNCTION("""COMPUTED_VALUE"""),"Workshop Salsa Musicality con Nicolò De Angelis - Workshop Nicolò Salsa Musicality")</f>
        <v>Workshop Salsa Musicality con Nicolò De Angelis - Workshop Nicolò Salsa Musicality</v>
      </c>
      <c r="T510" s="763"/>
      <c r="U510" s="763"/>
      <c r="V510" s="763">
        <f>IFERROR(__xludf.DUMMYFUNCTION("""COMPUTED_VALUE"""),1.0)</f>
        <v>1</v>
      </c>
      <c r="W510" s="763">
        <f>IFERROR(__xludf.DUMMYFUNCTION("""COMPUTED_VALUE"""),30.0)</f>
        <v>30</v>
      </c>
      <c r="X510" s="763">
        <f>IFERROR(__xludf.DUMMYFUNCTION("""COMPUTED_VALUE"""),30.0)</f>
        <v>30</v>
      </c>
      <c r="Y510" s="763"/>
      <c r="Z510" s="768" t="str">
        <f>IFERROR(__xludf.DUMMYFUNCTION("""COMPUTED_VALUE"""),"https://studio-gem.it/wp-admin/post.php?post=65958&amp;action=edit")</f>
        <v>https://studio-gem.it/wp-admin/post.php?post=65958&amp;action=edit</v>
      </c>
      <c r="AA510" s="763"/>
      <c r="AB510" s="763"/>
      <c r="AC510" s="763"/>
      <c r="AD510" s="763"/>
      <c r="AE510" s="763"/>
      <c r="AF510" s="763"/>
      <c r="AG510" s="763"/>
      <c r="AH510" s="763"/>
      <c r="AI510" s="763"/>
      <c r="AJ510" s="763"/>
      <c r="AK510" s="763"/>
      <c r="AL510" s="763"/>
      <c r="AM510" s="763"/>
      <c r="AN510" s="763"/>
      <c r="AO510" s="763"/>
      <c r="AP510" s="763"/>
      <c r="AQ510" s="763"/>
      <c r="AR510" s="763"/>
      <c r="AS510" s="763"/>
      <c r="AT510" s="763"/>
      <c r="AU510" s="763"/>
      <c r="AV510" s="763"/>
      <c r="AW510" s="763"/>
      <c r="AX510" s="763"/>
      <c r="AY510" s="763"/>
      <c r="AZ510" s="763"/>
      <c r="BA510" s="763"/>
      <c r="BB510" s="763"/>
      <c r="BC510" s="763"/>
      <c r="BD510" s="763"/>
      <c r="BE510" s="763"/>
      <c r="BF510" s="763"/>
      <c r="BG510" s="763" t="b">
        <f>IFERROR(__xludf.DUMMYFUNCTION("""COMPUTED_VALUE"""),TRUE)</f>
        <v>1</v>
      </c>
      <c r="BH510" s="763" t="b">
        <f>IFERROR(__xludf.DUMMYFUNCTION("""COMPUTED_VALUE"""),FALSE)</f>
        <v>0</v>
      </c>
      <c r="BI510" s="763" t="b">
        <f>IFERROR(__xludf.DUMMYFUNCTION("""COMPUTED_VALUE"""),TRUE)</f>
        <v>1</v>
      </c>
      <c r="BJ510" s="763" t="b">
        <f>IFERROR(__xludf.DUMMYFUNCTION("""COMPUTED_VALUE"""),TRUE)</f>
        <v>1</v>
      </c>
    </row>
    <row r="511">
      <c r="A511" s="763">
        <f>IFERROR(__xludf.DUMMYFUNCTION("""COMPUTED_VALUE"""),65959.0)</f>
        <v>65959</v>
      </c>
      <c r="B511" s="763">
        <f>IFERROR(__xludf.DUMMYFUNCTION("""COMPUTED_VALUE"""),65959.0)</f>
        <v>65959</v>
      </c>
      <c r="C511" s="763" t="str">
        <f>IFERROR(__xludf.DUMMYFUNCTION("""COMPUTED_VALUE"""),"2025-11-11 08:57:37")</f>
        <v>2025-11-11 08:57:37</v>
      </c>
      <c r="D511" s="763" t="str">
        <f>IFERROR(__xludf.DUMMYFUNCTION("""COMPUTED_VALUE"""),"pending")</f>
        <v>pending</v>
      </c>
      <c r="E511" s="763" t="str">
        <f>IFERROR(__xludf.DUMMYFUNCTION("""COMPUTED_VALUE"""),"Ago")</f>
        <v>Ago</v>
      </c>
      <c r="F511" s="763" t="str">
        <f>IFERROR(__xludf.DUMMYFUNCTION("""COMPUTED_VALUE"""),"Genca")</f>
        <v>Genca</v>
      </c>
      <c r="G511" s="763" t="str">
        <f>IFERROR(__xludf.DUMMYFUNCTION("""COMPUTED_VALUE"""),"ag@ag.com")</f>
        <v>ag@ag.com</v>
      </c>
      <c r="H511" s="763">
        <f>IFERROR(__xludf.DUMMYFUNCTION("""COMPUTED_VALUE"""),335.0)</f>
        <v>335</v>
      </c>
      <c r="I511" s="763" t="str">
        <f>IFERROR(__xludf.DUMMYFUNCTION("""COMPUTED_VALUE"""),"Lagos")</f>
        <v>Lagos</v>
      </c>
      <c r="J511" s="763" t="str">
        <f>IFERROR(__xludf.DUMMYFUNCTION("""COMPUTED_VALUE"""),"Via mia")</f>
        <v>Via mia</v>
      </c>
      <c r="K511" s="763">
        <f>IFERROR(__xludf.DUMMYFUNCTION("""COMPUTED_VALUE"""),30000.0)</f>
        <v>30000</v>
      </c>
      <c r="L511" s="763" t="str">
        <f>IFERROR(__xludf.DUMMYFUNCTION("""COMPUTED_VALUE"""),"Carte di pagamento")</f>
        <v>Carte di pagamento</v>
      </c>
      <c r="M511" s="763"/>
      <c r="N511" s="763"/>
      <c r="O511" s="763">
        <f>IFERROR(__xludf.DUMMYFUNCTION("""COMPUTED_VALUE"""),0.0)</f>
        <v>0</v>
      </c>
      <c r="P511" s="767">
        <f>IFERROR(__xludf.DUMMYFUNCTION("""COMPUTED_VALUE"""),1.3333333333333333)</f>
        <v>1.333333333</v>
      </c>
      <c r="Q511" s="763" t="str">
        <f>IFERROR(__xludf.DUMMYFUNCTION("""COMPUTED_VALUE"""),"EUR")</f>
        <v>EUR</v>
      </c>
      <c r="R511" s="763">
        <f>IFERROR(__xludf.DUMMYFUNCTION("""COMPUTED_VALUE"""),975.0)</f>
        <v>975</v>
      </c>
      <c r="S511" s="763" t="str">
        <f>IFERROR(__xludf.DUMMYFUNCTION("""COMPUTED_VALUE"""),"Workshop Salsa Musicality con Nicolò De Angelis - Workshop Nicolò Salsa Musicality")</f>
        <v>Workshop Salsa Musicality con Nicolò De Angelis - Workshop Nicolò Salsa Musicality</v>
      </c>
      <c r="T511" s="763"/>
      <c r="U511" s="763"/>
      <c r="V511" s="763">
        <f>IFERROR(__xludf.DUMMYFUNCTION("""COMPUTED_VALUE"""),1.0)</f>
        <v>1</v>
      </c>
      <c r="W511" s="763">
        <f>IFERROR(__xludf.DUMMYFUNCTION("""COMPUTED_VALUE"""),32.0)</f>
        <v>32</v>
      </c>
      <c r="X511" s="763">
        <f>IFERROR(__xludf.DUMMYFUNCTION("""COMPUTED_VALUE"""),32.0)</f>
        <v>32</v>
      </c>
      <c r="Y511" s="763"/>
      <c r="Z511" s="768" t="str">
        <f>IFERROR(__xludf.DUMMYFUNCTION("""COMPUTED_VALUE"""),"https://studio-gem.it/wp-admin/post.php?post=65959&amp;action=edit")</f>
        <v>https://studio-gem.it/wp-admin/post.php?post=65959&amp;action=edit</v>
      </c>
      <c r="AA511" s="763"/>
      <c r="AB511" s="763"/>
      <c r="AC511" s="763"/>
      <c r="AD511" s="763"/>
      <c r="AE511" s="763"/>
      <c r="AF511" s="763"/>
      <c r="AG511" s="763"/>
      <c r="AH511" s="763"/>
      <c r="AI511" s="763"/>
      <c r="AJ511" s="763"/>
      <c r="AK511" s="763"/>
      <c r="AL511" s="763"/>
      <c r="AM511" s="763"/>
      <c r="AN511" s="763"/>
      <c r="AO511" s="763"/>
      <c r="AP511" s="763"/>
      <c r="AQ511" s="763"/>
      <c r="AR511" s="763"/>
      <c r="AS511" s="763"/>
      <c r="AT511" s="763"/>
      <c r="AU511" s="763"/>
      <c r="AV511" s="763"/>
      <c r="AW511" s="763"/>
      <c r="AX511" s="763"/>
      <c r="AY511" s="763"/>
      <c r="AZ511" s="763"/>
      <c r="BA511" s="763"/>
      <c r="BB511" s="763"/>
      <c r="BC511" s="763"/>
      <c r="BD511" s="763"/>
      <c r="BE511" s="763"/>
      <c r="BF511" s="763"/>
      <c r="BG511" s="763" t="b">
        <f>IFERROR(__xludf.DUMMYFUNCTION("""COMPUTED_VALUE"""),FALSE)</f>
        <v>0</v>
      </c>
      <c r="BH511" s="763" t="b">
        <f>IFERROR(__xludf.DUMMYFUNCTION("""COMPUTED_VALUE"""),FALSE)</f>
        <v>0</v>
      </c>
      <c r="BI511" s="763" t="b">
        <f>IFERROR(__xludf.DUMMYFUNCTION("""COMPUTED_VALUE"""),FALSE)</f>
        <v>0</v>
      </c>
      <c r="BJ511" s="763" t="b">
        <f>IFERROR(__xludf.DUMMYFUNCTION("""COMPUTED_VALUE"""),FALSE)</f>
        <v>0</v>
      </c>
    </row>
    <row r="512">
      <c r="A512" s="763">
        <f>IFERROR(__xludf.DUMMYFUNCTION("""COMPUTED_VALUE"""),65960.0)</f>
        <v>65960</v>
      </c>
      <c r="B512" s="763">
        <f>IFERROR(__xludf.DUMMYFUNCTION("""COMPUTED_VALUE"""),65960.0)</f>
        <v>65960</v>
      </c>
      <c r="C512" s="763" t="str">
        <f>IFERROR(__xludf.DUMMYFUNCTION("""COMPUTED_VALUE"""),"2025-11-11 09:16:07")</f>
        <v>2025-11-11 09:16:07</v>
      </c>
      <c r="D512" s="763" t="str">
        <f>IFERROR(__xludf.DUMMYFUNCTION("""COMPUTED_VALUE"""),"completed")</f>
        <v>completed</v>
      </c>
      <c r="E512" s="763" t="str">
        <f>IFERROR(__xludf.DUMMYFUNCTION("""COMPUTED_VALUE"""),"Giulia")</f>
        <v>Giulia</v>
      </c>
      <c r="F512" s="763" t="str">
        <f>IFERROR(__xludf.DUMMYFUNCTION("""COMPUTED_VALUE"""),"Molon")</f>
        <v>Molon</v>
      </c>
      <c r="G512" s="763" t="str">
        <f>IFERROR(__xludf.DUMMYFUNCTION("""COMPUTED_VALUE"""),"giulia.molon95@gmail.com")</f>
        <v>giulia.molon95@gmail.com</v>
      </c>
      <c r="H512" s="763">
        <f>IFERROR(__xludf.DUMMYFUNCTION("""COMPUTED_VALUE"""),3.278872919E9)</f>
        <v>3278872919</v>
      </c>
      <c r="I512" s="763" t="str">
        <f>IFERROR(__xludf.DUMMYFUNCTION("""COMPUTED_VALUE"""),"Milano")</f>
        <v>Milano</v>
      </c>
      <c r="J512" s="763" t="str">
        <f>IFERROR(__xludf.DUMMYFUNCTION("""COMPUTED_VALUE"""),"Via Ennio Morlotti 11")</f>
        <v>Via Ennio Morlotti 11</v>
      </c>
      <c r="K512" s="763">
        <f>IFERROR(__xludf.DUMMYFUNCTION("""COMPUTED_VALUE"""),20161.0)</f>
        <v>20161</v>
      </c>
      <c r="L512" s="763" t="str">
        <f>IFERROR(__xludf.DUMMYFUNCTION("""COMPUTED_VALUE"""),"Apple Pay")</f>
        <v>Apple Pay</v>
      </c>
      <c r="M512" s="763"/>
      <c r="N512" s="763" t="str">
        <f>IFERROR(__xludf.DUMMYFUNCTION("""COMPUTED_VALUE"""),"65960-1762852568")</f>
        <v>65960-1762852568</v>
      </c>
      <c r="O512" s="763">
        <f>IFERROR(__xludf.DUMMYFUNCTION("""COMPUTED_VALUE"""),0.0)</f>
        <v>0</v>
      </c>
      <c r="P512" s="767">
        <f>IFERROR(__xludf.DUMMYFUNCTION("""COMPUTED_VALUE"""),1.5416666666666667)</f>
        <v>1.541666667</v>
      </c>
      <c r="Q512" s="763" t="str">
        <f>IFERROR(__xludf.DUMMYFUNCTION("""COMPUTED_VALUE"""),"EUR")</f>
        <v>EUR</v>
      </c>
      <c r="R512" s="763">
        <f>IFERROR(__xludf.DUMMYFUNCTION("""COMPUTED_VALUE"""),976.0)</f>
        <v>976</v>
      </c>
      <c r="S512" s="763" t="str">
        <f>IFERROR(__xludf.DUMMYFUNCTION("""COMPUTED_VALUE"""),"Workshop Heels con Deborah Esposito - Workshop Heels con Deborah Esposito")</f>
        <v>Workshop Heels con Deborah Esposito - Workshop Heels con Deborah Esposito</v>
      </c>
      <c r="T512" s="763"/>
      <c r="U512" s="763"/>
      <c r="V512" s="763">
        <f>IFERROR(__xludf.DUMMYFUNCTION("""COMPUTED_VALUE"""),1.0)</f>
        <v>1</v>
      </c>
      <c r="W512" s="763">
        <f>IFERROR(__xludf.DUMMYFUNCTION("""COMPUTED_VALUE"""),37.0)</f>
        <v>37</v>
      </c>
      <c r="X512" s="763">
        <f>IFERROR(__xludf.DUMMYFUNCTION("""COMPUTED_VALUE"""),37.0)</f>
        <v>37</v>
      </c>
      <c r="Y512" s="763"/>
      <c r="Z512" s="768" t="str">
        <f>IFERROR(__xludf.DUMMYFUNCTION("""COMPUTED_VALUE"""),"https://studio-gem.it/wp-admin/post.php?post=65960&amp;action=edit")</f>
        <v>https://studio-gem.it/wp-admin/post.php?post=65960&amp;action=edit</v>
      </c>
      <c r="AA512" s="763"/>
      <c r="AB512" s="763"/>
      <c r="AC512" s="763"/>
      <c r="AD512" s="763"/>
      <c r="AE512" s="763"/>
      <c r="AF512" s="763"/>
      <c r="AG512" s="763"/>
      <c r="AH512" s="763"/>
      <c r="AI512" s="763"/>
      <c r="AJ512" s="763"/>
      <c r="AK512" s="763"/>
      <c r="AL512" s="763"/>
      <c r="AM512" s="763"/>
      <c r="AN512" s="763"/>
      <c r="AO512" s="763"/>
      <c r="AP512" s="763"/>
      <c r="AQ512" s="763"/>
      <c r="AR512" s="763"/>
      <c r="AS512" s="763"/>
      <c r="AT512" s="763"/>
      <c r="AU512" s="763"/>
      <c r="AV512" s="763"/>
      <c r="AW512" s="763"/>
      <c r="AX512" s="763"/>
      <c r="AY512" s="763"/>
      <c r="AZ512" s="763"/>
      <c r="BA512" s="763"/>
      <c r="BB512" s="763"/>
      <c r="BC512" s="763"/>
      <c r="BD512" s="763"/>
      <c r="BE512" s="763"/>
      <c r="BF512" s="763"/>
      <c r="BG512" s="763" t="b">
        <f>IFERROR(__xludf.DUMMYFUNCTION("""COMPUTED_VALUE"""),TRUE)</f>
        <v>1</v>
      </c>
      <c r="BH512" s="763" t="b">
        <f>IFERROR(__xludf.DUMMYFUNCTION("""COMPUTED_VALUE"""),FALSE)</f>
        <v>0</v>
      </c>
      <c r="BI512" s="763" t="b">
        <f>IFERROR(__xludf.DUMMYFUNCTION("""COMPUTED_VALUE"""),TRUE)</f>
        <v>1</v>
      </c>
      <c r="BJ512" s="763" t="b">
        <f>IFERROR(__xludf.DUMMYFUNCTION("""COMPUTED_VALUE"""),TRUE)</f>
        <v>1</v>
      </c>
    </row>
    <row r="513">
      <c r="A513" s="763">
        <f>IFERROR(__xludf.DUMMYFUNCTION("""COMPUTED_VALUE"""),65963.0)</f>
        <v>65963</v>
      </c>
      <c r="B513" s="763">
        <f>IFERROR(__xludf.DUMMYFUNCTION("""COMPUTED_VALUE"""),65963.0)</f>
        <v>65963</v>
      </c>
      <c r="C513" s="763" t="str">
        <f>IFERROR(__xludf.DUMMYFUNCTION("""COMPUTED_VALUE"""),"2025-11-11 09:18:07")</f>
        <v>2025-11-11 09:18:07</v>
      </c>
      <c r="D513" s="763" t="str">
        <f>IFERROR(__xludf.DUMMYFUNCTION("""COMPUTED_VALUE"""),"pending")</f>
        <v>pending</v>
      </c>
      <c r="E513" s="763" t="str">
        <f>IFERROR(__xludf.DUMMYFUNCTION("""COMPUTED_VALUE"""),"Greta")</f>
        <v>Greta</v>
      </c>
      <c r="F513" s="763" t="str">
        <f>IFERROR(__xludf.DUMMYFUNCTION("""COMPUTED_VALUE"""),"Scorza")</f>
        <v>Scorza</v>
      </c>
      <c r="G513" s="763" t="str">
        <f>IFERROR(__xludf.DUMMYFUNCTION("""COMPUTED_VALUE"""),"gretascorza16@gmail.com")</f>
        <v>gretascorza16@gmail.com</v>
      </c>
      <c r="H513" s="763">
        <f>IFERROR(__xludf.DUMMYFUNCTION("""COMPUTED_VALUE"""),3.299333239E9)</f>
        <v>3299333239</v>
      </c>
      <c r="I513" s="763" t="str">
        <f>IFERROR(__xludf.DUMMYFUNCTION("""COMPUTED_VALUE"""),"Cologno Monzese")</f>
        <v>Cologno Monzese</v>
      </c>
      <c r="J513" s="763" t="str">
        <f>IFERROR(__xludf.DUMMYFUNCTION("""COMPUTED_VALUE"""),"Via Sormani,40")</f>
        <v>Via Sormani,40</v>
      </c>
      <c r="K513" s="763">
        <f>IFERROR(__xludf.DUMMYFUNCTION("""COMPUTED_VALUE"""),20093.0)</f>
        <v>20093</v>
      </c>
      <c r="L513" s="763" t="str">
        <f>IFERROR(__xludf.DUMMYFUNCTION("""COMPUTED_VALUE"""),"Scalapay - Pay in 3")</f>
        <v>Scalapay - Pay in 3</v>
      </c>
      <c r="M513" s="763"/>
      <c r="N513" s="763"/>
      <c r="O513" s="763">
        <f>IFERROR(__xludf.DUMMYFUNCTION("""COMPUTED_VALUE"""),0.0)</f>
        <v>0</v>
      </c>
      <c r="P513" s="767">
        <f>IFERROR(__xludf.DUMMYFUNCTION("""COMPUTED_VALUE"""),1.5416666666666667)</f>
        <v>1.541666667</v>
      </c>
      <c r="Q513" s="763" t="str">
        <f>IFERROR(__xludf.DUMMYFUNCTION("""COMPUTED_VALUE"""),"EUR")</f>
        <v>EUR</v>
      </c>
      <c r="R513" s="763">
        <f>IFERROR(__xludf.DUMMYFUNCTION("""COMPUTED_VALUE"""),979.0)</f>
        <v>979</v>
      </c>
      <c r="S513" s="763" t="str">
        <f>IFERROR(__xludf.DUMMYFUNCTION("""COMPUTED_VALUE"""),"Workshop Heels con Deborah Esposito - Workshop Heels con Deborah Esposito")</f>
        <v>Workshop Heels con Deborah Esposito - Workshop Heels con Deborah Esposito</v>
      </c>
      <c r="T513" s="763"/>
      <c r="U513" s="763"/>
      <c r="V513" s="763">
        <f>IFERROR(__xludf.DUMMYFUNCTION("""COMPUTED_VALUE"""),1.0)</f>
        <v>1</v>
      </c>
      <c r="W513" s="763">
        <f>IFERROR(__xludf.DUMMYFUNCTION("""COMPUTED_VALUE"""),37.0)</f>
        <v>37</v>
      </c>
      <c r="X513" s="763">
        <f>IFERROR(__xludf.DUMMYFUNCTION("""COMPUTED_VALUE"""),37.0)</f>
        <v>37</v>
      </c>
      <c r="Y513" s="763"/>
      <c r="Z513" s="768" t="str">
        <f>IFERROR(__xludf.DUMMYFUNCTION("""COMPUTED_VALUE"""),"https://studio-gem.it/wp-admin/post.php?post=65963&amp;action=edit")</f>
        <v>https://studio-gem.it/wp-admin/post.php?post=65963&amp;action=edit</v>
      </c>
      <c r="AA513" s="763"/>
      <c r="AB513" s="763"/>
      <c r="AC513" s="763"/>
      <c r="AD513" s="763"/>
      <c r="AE513" s="763"/>
      <c r="AF513" s="763"/>
      <c r="AG513" s="763"/>
      <c r="AH513" s="763"/>
      <c r="AI513" s="763"/>
      <c r="AJ513" s="763"/>
      <c r="AK513" s="763"/>
      <c r="AL513" s="763"/>
      <c r="AM513" s="763"/>
      <c r="AN513" s="763"/>
      <c r="AO513" s="763"/>
      <c r="AP513" s="763"/>
      <c r="AQ513" s="763"/>
      <c r="AR513" s="763"/>
      <c r="AS513" s="763"/>
      <c r="AT513" s="763"/>
      <c r="AU513" s="763"/>
      <c r="AV513" s="763"/>
      <c r="AW513" s="763"/>
      <c r="AX513" s="763"/>
      <c r="AY513" s="763"/>
      <c r="AZ513" s="763"/>
      <c r="BA513" s="763"/>
      <c r="BB513" s="763"/>
      <c r="BC513" s="763"/>
      <c r="BD513" s="763"/>
      <c r="BE513" s="763"/>
      <c r="BF513" s="763"/>
      <c r="BG513" s="763" t="b">
        <f>IFERROR(__xludf.DUMMYFUNCTION("""COMPUTED_VALUE"""),FALSE)</f>
        <v>0</v>
      </c>
      <c r="BH513" s="763" t="b">
        <f>IFERROR(__xludf.DUMMYFUNCTION("""COMPUTED_VALUE"""),FALSE)</f>
        <v>0</v>
      </c>
      <c r="BI513" s="763" t="b">
        <f>IFERROR(__xludf.DUMMYFUNCTION("""COMPUTED_VALUE"""),FALSE)</f>
        <v>0</v>
      </c>
      <c r="BJ513" s="763" t="b">
        <f>IFERROR(__xludf.DUMMYFUNCTION("""COMPUTED_VALUE"""),FALSE)</f>
        <v>0</v>
      </c>
    </row>
    <row r="514">
      <c r="A514" s="763">
        <f>IFERROR(__xludf.DUMMYFUNCTION("""COMPUTED_VALUE"""),65967.0)</f>
        <v>65967</v>
      </c>
      <c r="B514" s="763">
        <f>IFERROR(__xludf.DUMMYFUNCTION("""COMPUTED_VALUE"""),65967.0)</f>
        <v>65967</v>
      </c>
      <c r="C514" s="763" t="str">
        <f>IFERROR(__xludf.DUMMYFUNCTION("""COMPUTED_VALUE"""),"2025-11-11 09:33:14")</f>
        <v>2025-11-11 09:33:14</v>
      </c>
      <c r="D514" s="763" t="str">
        <f>IFERROR(__xludf.DUMMYFUNCTION("""COMPUTED_VALUE"""),"completed")</f>
        <v>completed</v>
      </c>
      <c r="E514" s="763" t="str">
        <f>IFERROR(__xludf.DUMMYFUNCTION("""COMPUTED_VALUE"""),"Greta")</f>
        <v>Greta</v>
      </c>
      <c r="F514" s="763" t="str">
        <f>IFERROR(__xludf.DUMMYFUNCTION("""COMPUTED_VALUE"""),"Scorza")</f>
        <v>Scorza</v>
      </c>
      <c r="G514" s="763" t="str">
        <f>IFERROR(__xludf.DUMMYFUNCTION("""COMPUTED_VALUE"""),"gretascorza16@gmail.com")</f>
        <v>gretascorza16@gmail.com</v>
      </c>
      <c r="H514" s="763">
        <f>IFERROR(__xludf.DUMMYFUNCTION("""COMPUTED_VALUE"""),3.299333239E9)</f>
        <v>3299333239</v>
      </c>
      <c r="I514" s="763" t="str">
        <f>IFERROR(__xludf.DUMMYFUNCTION("""COMPUTED_VALUE"""),"Cologno Monzese")</f>
        <v>Cologno Monzese</v>
      </c>
      <c r="J514" s="763" t="str">
        <f>IFERROR(__xludf.DUMMYFUNCTION("""COMPUTED_VALUE"""),"Via Sormani,40")</f>
        <v>Via Sormani,40</v>
      </c>
      <c r="K514" s="763">
        <f>IFERROR(__xludf.DUMMYFUNCTION("""COMPUTED_VALUE"""),20093.0)</f>
        <v>20093</v>
      </c>
      <c r="L514" s="763" t="str">
        <f>IFERROR(__xludf.DUMMYFUNCTION("""COMPUTED_VALUE"""),"Apple Pay")</f>
        <v>Apple Pay</v>
      </c>
      <c r="M514" s="763"/>
      <c r="N514" s="763" t="str">
        <f>IFERROR(__xludf.DUMMYFUNCTION("""COMPUTED_VALUE"""),"65967-1762853596")</f>
        <v>65967-1762853596</v>
      </c>
      <c r="O514" s="763">
        <f>IFERROR(__xludf.DUMMYFUNCTION("""COMPUTED_VALUE"""),0.0)</f>
        <v>0</v>
      </c>
      <c r="P514" s="767">
        <f>IFERROR(__xludf.DUMMYFUNCTION("""COMPUTED_VALUE"""),1.5416666666666667)</f>
        <v>1.541666667</v>
      </c>
      <c r="Q514" s="763" t="str">
        <f>IFERROR(__xludf.DUMMYFUNCTION("""COMPUTED_VALUE"""),"EUR")</f>
        <v>EUR</v>
      </c>
      <c r="R514" s="763">
        <f>IFERROR(__xludf.DUMMYFUNCTION("""COMPUTED_VALUE"""),980.0)</f>
        <v>980</v>
      </c>
      <c r="S514" s="763" t="str">
        <f>IFERROR(__xludf.DUMMYFUNCTION("""COMPUTED_VALUE"""),"Workshop Heels con Deborah Esposito - Workshop Heels con Deborah Esposito")</f>
        <v>Workshop Heels con Deborah Esposito - Workshop Heels con Deborah Esposito</v>
      </c>
      <c r="T514" s="763"/>
      <c r="U514" s="763"/>
      <c r="V514" s="763">
        <f>IFERROR(__xludf.DUMMYFUNCTION("""COMPUTED_VALUE"""),1.0)</f>
        <v>1</v>
      </c>
      <c r="W514" s="763">
        <f>IFERROR(__xludf.DUMMYFUNCTION("""COMPUTED_VALUE"""),37.0)</f>
        <v>37</v>
      </c>
      <c r="X514" s="763">
        <f>IFERROR(__xludf.DUMMYFUNCTION("""COMPUTED_VALUE"""),37.0)</f>
        <v>37</v>
      </c>
      <c r="Y514" s="763"/>
      <c r="Z514" s="768" t="str">
        <f>IFERROR(__xludf.DUMMYFUNCTION("""COMPUTED_VALUE"""),"https://studio-gem.it/wp-admin/post.php?post=65967&amp;action=edit")</f>
        <v>https://studio-gem.it/wp-admin/post.php?post=65967&amp;action=edit</v>
      </c>
      <c r="AA514" s="763"/>
      <c r="AB514" s="763"/>
      <c r="AC514" s="763"/>
      <c r="AD514" s="763"/>
      <c r="AE514" s="763"/>
      <c r="AF514" s="763"/>
      <c r="AG514" s="763"/>
      <c r="AH514" s="763"/>
      <c r="AI514" s="763"/>
      <c r="AJ514" s="763"/>
      <c r="AK514" s="763"/>
      <c r="AL514" s="763"/>
      <c r="AM514" s="763"/>
      <c r="AN514" s="763"/>
      <c r="AO514" s="763"/>
      <c r="AP514" s="763"/>
      <c r="AQ514" s="763"/>
      <c r="AR514" s="763"/>
      <c r="AS514" s="763"/>
      <c r="AT514" s="763"/>
      <c r="AU514" s="763"/>
      <c r="AV514" s="763"/>
      <c r="AW514" s="763"/>
      <c r="AX514" s="763"/>
      <c r="AY514" s="763"/>
      <c r="AZ514" s="763"/>
      <c r="BA514" s="763"/>
      <c r="BB514" s="763"/>
      <c r="BC514" s="763"/>
      <c r="BD514" s="763"/>
      <c r="BE514" s="763"/>
      <c r="BF514" s="763"/>
      <c r="BG514" s="763" t="b">
        <f>IFERROR(__xludf.DUMMYFUNCTION("""COMPUTED_VALUE"""),TRUE)</f>
        <v>1</v>
      </c>
      <c r="BH514" s="763" t="b">
        <f>IFERROR(__xludf.DUMMYFUNCTION("""COMPUTED_VALUE"""),FALSE)</f>
        <v>0</v>
      </c>
      <c r="BI514" s="763" t="b">
        <f>IFERROR(__xludf.DUMMYFUNCTION("""COMPUTED_VALUE"""),TRUE)</f>
        <v>1</v>
      </c>
      <c r="BJ514" s="763" t="b">
        <f>IFERROR(__xludf.DUMMYFUNCTION("""COMPUTED_VALUE"""),TRUE)</f>
        <v>1</v>
      </c>
    </row>
    <row r="515">
      <c r="A515" s="763">
        <f>IFERROR(__xludf.DUMMYFUNCTION("""COMPUTED_VALUE"""),65998.0)</f>
        <v>65998</v>
      </c>
      <c r="B515" s="763">
        <f>IFERROR(__xludf.DUMMYFUNCTION("""COMPUTED_VALUE"""),65998.0)</f>
        <v>65998</v>
      </c>
      <c r="C515" s="763" t="str">
        <f>IFERROR(__xludf.DUMMYFUNCTION("""COMPUTED_VALUE"""),"2025-11-11 11:34:17")</f>
        <v>2025-11-11 11:34:17</v>
      </c>
      <c r="D515" s="763" t="str">
        <f>IFERROR(__xludf.DUMMYFUNCTION("""COMPUTED_VALUE"""),"completed")</f>
        <v>completed</v>
      </c>
      <c r="E515" s="763" t="str">
        <f>IFERROR(__xludf.DUMMYFUNCTION("""COMPUTED_VALUE"""),"Roberta")</f>
        <v>Roberta</v>
      </c>
      <c r="F515" s="763" t="str">
        <f>IFERROR(__xludf.DUMMYFUNCTION("""COMPUTED_VALUE"""),"Mariani")</f>
        <v>Mariani</v>
      </c>
      <c r="G515" s="763" t="str">
        <f>IFERROR(__xludf.DUMMYFUNCTION("""COMPUTED_VALUE"""),"roberta_mariani@hottmail.it")</f>
        <v>roberta_mariani@hottmail.it</v>
      </c>
      <c r="H515" s="763">
        <f>IFERROR(__xludf.DUMMYFUNCTION("""COMPUTED_VALUE"""),3.49892317E9)</f>
        <v>3498923170</v>
      </c>
      <c r="I515" s="763" t="str">
        <f>IFERROR(__xludf.DUMMYFUNCTION("""COMPUTED_VALUE"""),"Mila")</f>
        <v>Mila</v>
      </c>
      <c r="J515" s="763" t="str">
        <f>IFERROR(__xludf.DUMMYFUNCTION("""COMPUTED_VALUE"""),"Toscolano 1")</f>
        <v>Toscolano 1</v>
      </c>
      <c r="K515" s="763">
        <f>IFERROR(__xludf.DUMMYFUNCTION("""COMPUTED_VALUE"""),20138.0)</f>
        <v>20138</v>
      </c>
      <c r="L515" s="763" t="str">
        <f>IFERROR(__xludf.DUMMYFUNCTION("""COMPUTED_VALUE"""),"Apple Pay")</f>
        <v>Apple Pay</v>
      </c>
      <c r="M515" s="763" t="str">
        <f>IFERROR(__xludf.DUMMYFUNCTION("""COMPUTED_VALUE"""),"santo05natale")</f>
        <v>santo05natale</v>
      </c>
      <c r="N515" s="763" t="str">
        <f>IFERROR(__xludf.DUMMYFUNCTION("""COMPUTED_VALUE"""),"65998-1762860858")</f>
        <v>65998-1762860858</v>
      </c>
      <c r="O515" s="763">
        <f>IFERROR(__xludf.DUMMYFUNCTION("""COMPUTED_VALUE"""),0.0)</f>
        <v>0</v>
      </c>
      <c r="P515" s="767">
        <f>IFERROR(__xludf.DUMMYFUNCTION("""COMPUTED_VALUE"""),2.0833333333333335)</f>
        <v>2.083333333</v>
      </c>
      <c r="Q515" s="763" t="str">
        <f>IFERROR(__xludf.DUMMYFUNCTION("""COMPUTED_VALUE"""),"EUR")</f>
        <v>EUR</v>
      </c>
      <c r="R515" s="763">
        <f>IFERROR(__xludf.DUMMYFUNCTION("""COMPUTED_VALUE"""),981.0)</f>
        <v>981</v>
      </c>
      <c r="S515" s="763" t="str">
        <f>IFERROR(__xludf.DUMMYFUNCTION("""COMPUTED_VALUE"""),"Festa di Natale 2025 - Festa di natale 2025 lezioni + pizza + serata 55€")</f>
        <v>Festa di Natale 2025 - Festa di natale 2025 lezioni + pizza + serata 55€</v>
      </c>
      <c r="T515" s="763"/>
      <c r="U515" s="763"/>
      <c r="V515" s="763">
        <f>IFERROR(__xludf.DUMMYFUNCTION("""COMPUTED_VALUE"""),1.0)</f>
        <v>1</v>
      </c>
      <c r="W515" s="763">
        <f>IFERROR(__xludf.DUMMYFUNCTION("""COMPUTED_VALUE"""),50.0)</f>
        <v>50</v>
      </c>
      <c r="X515" s="763">
        <f>IFERROR(__xludf.DUMMYFUNCTION("""COMPUTED_VALUE"""),50.0)</f>
        <v>50</v>
      </c>
      <c r="Y515" s="763"/>
      <c r="Z515" s="768" t="str">
        <f>IFERROR(__xludf.DUMMYFUNCTION("""COMPUTED_VALUE"""),"https://studio-gem.it/wp-admin/post.php?post=65998&amp;action=edit")</f>
        <v>https://studio-gem.it/wp-admin/post.php?post=65998&amp;action=edit</v>
      </c>
      <c r="AA515" s="763"/>
      <c r="AB515" s="763"/>
      <c r="AC515" s="763"/>
      <c r="AD515" s="763"/>
      <c r="AE515" s="763"/>
      <c r="AF515" s="763"/>
      <c r="AG515" s="763"/>
      <c r="AH515" s="763"/>
      <c r="AI515" s="763"/>
      <c r="AJ515" s="763"/>
      <c r="AK515" s="763"/>
      <c r="AL515" s="763"/>
      <c r="AM515" s="763"/>
      <c r="AN515" s="763"/>
      <c r="AO515" s="763"/>
      <c r="AP515" s="763"/>
      <c r="AQ515" s="763"/>
      <c r="AR515" s="763"/>
      <c r="AS515" s="763"/>
      <c r="AT515" s="763"/>
      <c r="AU515" s="763"/>
      <c r="AV515" s="763"/>
      <c r="AW515" s="763"/>
      <c r="AX515" s="763"/>
      <c r="AY515" s="763"/>
      <c r="AZ515" s="763"/>
      <c r="BA515" s="763"/>
      <c r="BB515" s="763"/>
      <c r="BC515" s="763"/>
      <c r="BD515" s="763"/>
      <c r="BE515" s="763"/>
      <c r="BF515" s="763"/>
      <c r="BG515" s="763" t="b">
        <f>IFERROR(__xludf.DUMMYFUNCTION("""COMPUTED_VALUE"""),TRUE)</f>
        <v>1</v>
      </c>
      <c r="BH515" s="763" t="b">
        <f>IFERROR(__xludf.DUMMYFUNCTION("""COMPUTED_VALUE"""),FALSE)</f>
        <v>0</v>
      </c>
      <c r="BI515" s="763" t="b">
        <f>IFERROR(__xludf.DUMMYFUNCTION("""COMPUTED_VALUE"""),TRUE)</f>
        <v>1</v>
      </c>
      <c r="BJ515" s="763" t="b">
        <f>IFERROR(__xludf.DUMMYFUNCTION("""COMPUTED_VALUE"""),TRUE)</f>
        <v>1</v>
      </c>
    </row>
    <row r="516">
      <c r="A516" s="763">
        <f>IFERROR(__xludf.DUMMYFUNCTION("""COMPUTED_VALUE"""),66000.0)</f>
        <v>66000</v>
      </c>
      <c r="B516" s="763">
        <f>IFERROR(__xludf.DUMMYFUNCTION("""COMPUTED_VALUE"""),66000.0)</f>
        <v>66000</v>
      </c>
      <c r="C516" s="763" t="str">
        <f>IFERROR(__xludf.DUMMYFUNCTION("""COMPUTED_VALUE"""),"2025-11-11 11:39:45")</f>
        <v>2025-11-11 11:39:45</v>
      </c>
      <c r="D516" s="763" t="str">
        <f>IFERROR(__xludf.DUMMYFUNCTION("""COMPUTED_VALUE"""),"completed")</f>
        <v>completed</v>
      </c>
      <c r="E516" s="763" t="str">
        <f>IFERROR(__xludf.DUMMYFUNCTION("""COMPUTED_VALUE"""),"Virginia")</f>
        <v>Virginia</v>
      </c>
      <c r="F516" s="763" t="str">
        <f>IFERROR(__xludf.DUMMYFUNCTION("""COMPUTED_VALUE"""),"Ingegneri")</f>
        <v>Ingegneri</v>
      </c>
      <c r="G516" s="763" t="str">
        <f>IFERROR(__xludf.DUMMYFUNCTION("""COMPUTED_VALUE"""),"virginiaingegneri@gmail.com")</f>
        <v>virginiaingegneri@gmail.com</v>
      </c>
      <c r="H516" s="763">
        <f>IFERROR(__xludf.DUMMYFUNCTION("""COMPUTED_VALUE"""),3.478840176E9)</f>
        <v>3478840176</v>
      </c>
      <c r="I516" s="763" t="str">
        <f>IFERROR(__xludf.DUMMYFUNCTION("""COMPUTED_VALUE"""),"Milano")</f>
        <v>Milano</v>
      </c>
      <c r="J516" s="763" t="str">
        <f>IFERROR(__xludf.DUMMYFUNCTION("""COMPUTED_VALUE"""),"Piazza Aspromonte 6")</f>
        <v>Piazza Aspromonte 6</v>
      </c>
      <c r="K516" s="763">
        <f>IFERROR(__xludf.DUMMYFUNCTION("""COMPUTED_VALUE"""),33121.0)</f>
        <v>33121</v>
      </c>
      <c r="L516" s="763" t="str">
        <f>IFERROR(__xludf.DUMMYFUNCTION("""COMPUTED_VALUE"""),"Satispay")</f>
        <v>Satispay</v>
      </c>
      <c r="M516" s="763" t="str">
        <f>IFERROR(__xludf.DUMMYFUNCTION("""COMPUTED_VALUE"""),"santo05natale")</f>
        <v>santo05natale</v>
      </c>
      <c r="N516" s="763" t="str">
        <f>IFERROR(__xludf.DUMMYFUNCTION("""COMPUTED_VALUE"""),"019a72b6-f977-76e4-bab9-29a83dfdb591")</f>
        <v>019a72b6-f977-76e4-bab9-29a83dfdb591</v>
      </c>
      <c r="O516" s="763">
        <f>IFERROR(__xludf.DUMMYFUNCTION("""COMPUTED_VALUE"""),0.0)</f>
        <v>0</v>
      </c>
      <c r="P516" s="767">
        <f>IFERROR(__xludf.DUMMYFUNCTION("""COMPUTED_VALUE"""),2.0833333333333335)</f>
        <v>2.083333333</v>
      </c>
      <c r="Q516" s="763" t="str">
        <f>IFERROR(__xludf.DUMMYFUNCTION("""COMPUTED_VALUE"""),"EUR")</f>
        <v>EUR</v>
      </c>
      <c r="R516" s="763">
        <f>IFERROR(__xludf.DUMMYFUNCTION("""COMPUTED_VALUE"""),983.0)</f>
        <v>983</v>
      </c>
      <c r="S516" s="763" t="str">
        <f>IFERROR(__xludf.DUMMYFUNCTION("""COMPUTED_VALUE"""),"Festa di Natale 2025 - Festa di natale 2025 lezioni + pizza + serata 55€")</f>
        <v>Festa di Natale 2025 - Festa di natale 2025 lezioni + pizza + serata 55€</v>
      </c>
      <c r="T516" s="763"/>
      <c r="U516" s="763"/>
      <c r="V516" s="763">
        <f>IFERROR(__xludf.DUMMYFUNCTION("""COMPUTED_VALUE"""),1.0)</f>
        <v>1</v>
      </c>
      <c r="W516" s="763">
        <f>IFERROR(__xludf.DUMMYFUNCTION("""COMPUTED_VALUE"""),50.0)</f>
        <v>50</v>
      </c>
      <c r="X516" s="763">
        <f>IFERROR(__xludf.DUMMYFUNCTION("""COMPUTED_VALUE"""),50.0)</f>
        <v>50</v>
      </c>
      <c r="Y516" s="763"/>
      <c r="Z516" s="768" t="str">
        <f>IFERROR(__xludf.DUMMYFUNCTION("""COMPUTED_VALUE"""),"https://studio-gem.it/wp-admin/post.php?post=66000&amp;action=edit")</f>
        <v>https://studio-gem.it/wp-admin/post.php?post=66000&amp;action=edit</v>
      </c>
      <c r="AA516" s="763"/>
      <c r="AB516" s="763"/>
      <c r="AC516" s="763"/>
      <c r="AD516" s="763"/>
      <c r="AE516" s="763"/>
      <c r="AF516" s="763"/>
      <c r="AG516" s="763"/>
      <c r="AH516" s="763"/>
      <c r="AI516" s="763"/>
      <c r="AJ516" s="763"/>
      <c r="AK516" s="763"/>
      <c r="AL516" s="763"/>
      <c r="AM516" s="763"/>
      <c r="AN516" s="763"/>
      <c r="AO516" s="763"/>
      <c r="AP516" s="763"/>
      <c r="AQ516" s="763"/>
      <c r="AR516" s="763"/>
      <c r="AS516" s="763"/>
      <c r="AT516" s="763"/>
      <c r="AU516" s="763"/>
      <c r="AV516" s="763"/>
      <c r="AW516" s="763"/>
      <c r="AX516" s="763"/>
      <c r="AY516" s="763"/>
      <c r="AZ516" s="763"/>
      <c r="BA516" s="763"/>
      <c r="BB516" s="763"/>
      <c r="BC516" s="763"/>
      <c r="BD516" s="763"/>
      <c r="BE516" s="763"/>
      <c r="BF516" s="763"/>
      <c r="BG516" s="763" t="b">
        <f>IFERROR(__xludf.DUMMYFUNCTION("""COMPUTED_VALUE"""),TRUE)</f>
        <v>1</v>
      </c>
      <c r="BH516" s="763" t="b">
        <f>IFERROR(__xludf.DUMMYFUNCTION("""COMPUTED_VALUE"""),FALSE)</f>
        <v>0</v>
      </c>
      <c r="BI516" s="763" t="b">
        <f>IFERROR(__xludf.DUMMYFUNCTION("""COMPUTED_VALUE"""),TRUE)</f>
        <v>1</v>
      </c>
      <c r="BJ516" s="763" t="b">
        <f>IFERROR(__xludf.DUMMYFUNCTION("""COMPUTED_VALUE"""),TRUE)</f>
        <v>1</v>
      </c>
    </row>
    <row r="517">
      <c r="A517" s="763">
        <f>IFERROR(__xludf.DUMMYFUNCTION("""COMPUTED_VALUE"""),66011.0)</f>
        <v>66011</v>
      </c>
      <c r="B517" s="763">
        <f>IFERROR(__xludf.DUMMYFUNCTION("""COMPUTED_VALUE"""),66011.0)</f>
        <v>66011</v>
      </c>
      <c r="C517" s="763" t="str">
        <f>IFERROR(__xludf.DUMMYFUNCTION("""COMPUTED_VALUE"""),"2025-11-11 12:06:43")</f>
        <v>2025-11-11 12:06:43</v>
      </c>
      <c r="D517" s="763" t="str">
        <f>IFERROR(__xludf.DUMMYFUNCTION("""COMPUTED_VALUE"""),"processing")</f>
        <v>processing</v>
      </c>
      <c r="E517" s="763" t="str">
        <f>IFERROR(__xludf.DUMMYFUNCTION("""COMPUTED_VALUE"""),"Marco")</f>
        <v>Marco</v>
      </c>
      <c r="F517" s="763" t="str">
        <f>IFERROR(__xludf.DUMMYFUNCTION("""COMPUTED_VALUE"""),"Tamigi")</f>
        <v>Tamigi</v>
      </c>
      <c r="G517" s="763" t="str">
        <f>IFERROR(__xludf.DUMMYFUNCTION("""COMPUTED_VALUE"""),"djtigi@yahoo.it")</f>
        <v>djtigi@yahoo.it</v>
      </c>
      <c r="H517" s="763">
        <f>IFERROR(__xludf.DUMMYFUNCTION("""COMPUTED_VALUE"""),3.922808058E9)</f>
        <v>3922808058</v>
      </c>
      <c r="I517" s="763" t="str">
        <f>IFERROR(__xludf.DUMMYFUNCTION("""COMPUTED_VALUE"""),"Locate di Triulzi")</f>
        <v>Locate di Triulzi</v>
      </c>
      <c r="J517" s="763" t="str">
        <f>IFERROR(__xludf.DUMMYFUNCTION("""COMPUTED_VALUE"""),"Via Luigi Calori 7")</f>
        <v>Via Luigi Calori 7</v>
      </c>
      <c r="K517" s="763">
        <f>IFERROR(__xludf.DUMMYFUNCTION("""COMPUTED_VALUE"""),20085.0)</f>
        <v>20085</v>
      </c>
      <c r="L517" s="763" t="str">
        <f>IFERROR(__xludf.DUMMYFUNCTION("""COMPUTED_VALUE"""),"Carte di pagamento")</f>
        <v>Carte di pagamento</v>
      </c>
      <c r="M517" s="763" t="str">
        <f>IFERROR(__xludf.DUMMYFUNCTION("""COMPUTED_VALUE"""),"santo05natale")</f>
        <v>santo05natale</v>
      </c>
      <c r="N517" s="763" t="str">
        <f>IFERROR(__xludf.DUMMYFUNCTION("""COMPUTED_VALUE"""),"66011-1762862805")</f>
        <v>66011-1762862805</v>
      </c>
      <c r="O517" s="763">
        <f>IFERROR(__xludf.DUMMYFUNCTION("""COMPUTED_VALUE"""),0.0)</f>
        <v>0</v>
      </c>
      <c r="P517" s="767">
        <f>IFERROR(__xludf.DUMMYFUNCTION("""COMPUTED_VALUE"""),2.0833333333333335)</f>
        <v>2.083333333</v>
      </c>
      <c r="Q517" s="763" t="str">
        <f>IFERROR(__xludf.DUMMYFUNCTION("""COMPUTED_VALUE"""),"EUR")</f>
        <v>EUR</v>
      </c>
      <c r="R517" s="763">
        <f>IFERROR(__xludf.DUMMYFUNCTION("""COMPUTED_VALUE"""),985.0)</f>
        <v>985</v>
      </c>
      <c r="S517" s="763" t="str">
        <f>IFERROR(__xludf.DUMMYFUNCTION("""COMPUTED_VALUE"""),"Festa di Natale 2025 - Festa di natale 2025 lezioni + pizza + serata 55€")</f>
        <v>Festa di Natale 2025 - Festa di natale 2025 lezioni + pizza + serata 55€</v>
      </c>
      <c r="T517" s="763"/>
      <c r="U517" s="763"/>
      <c r="V517" s="763">
        <f>IFERROR(__xludf.DUMMYFUNCTION("""COMPUTED_VALUE"""),1.0)</f>
        <v>1</v>
      </c>
      <c r="W517" s="763">
        <f>IFERROR(__xludf.DUMMYFUNCTION("""COMPUTED_VALUE"""),50.0)</f>
        <v>50</v>
      </c>
      <c r="X517" s="763">
        <f>IFERROR(__xludf.DUMMYFUNCTION("""COMPUTED_VALUE"""),50.0)</f>
        <v>50</v>
      </c>
      <c r="Y517" s="763"/>
      <c r="Z517" s="768" t="str">
        <f>IFERROR(__xludf.DUMMYFUNCTION("""COMPUTED_VALUE"""),"https://studio-gem.it/wp-admin/post.php?post=66011&amp;action=edit")</f>
        <v>https://studio-gem.it/wp-admin/post.php?post=66011&amp;action=edit</v>
      </c>
      <c r="AA517" s="763"/>
      <c r="AB517" s="763"/>
      <c r="AC517" s="763"/>
      <c r="AD517" s="763"/>
      <c r="AE517" s="763"/>
      <c r="AF517" s="763"/>
      <c r="AG517" s="763"/>
      <c r="AH517" s="763"/>
      <c r="AI517" s="763"/>
      <c r="AJ517" s="763"/>
      <c r="AK517" s="763"/>
      <c r="AL517" s="763"/>
      <c r="AM517" s="763"/>
      <c r="AN517" s="763"/>
      <c r="AO517" s="763"/>
      <c r="AP517" s="763"/>
      <c r="AQ517" s="763"/>
      <c r="AR517" s="763"/>
      <c r="AS517" s="763"/>
      <c r="AT517" s="763"/>
      <c r="AU517" s="763"/>
      <c r="AV517" s="763"/>
      <c r="AW517" s="763"/>
      <c r="AX517" s="763"/>
      <c r="AY517" s="763"/>
      <c r="AZ517" s="763"/>
      <c r="BA517" s="763"/>
      <c r="BB517" s="763"/>
      <c r="BC517" s="763"/>
      <c r="BD517" s="763"/>
      <c r="BE517" s="763"/>
      <c r="BF517" s="763"/>
      <c r="BG517" s="763" t="b">
        <f>IFERROR(__xludf.DUMMYFUNCTION("""COMPUTED_VALUE"""),TRUE)</f>
        <v>1</v>
      </c>
      <c r="BH517" s="763" t="b">
        <f>IFERROR(__xludf.DUMMYFUNCTION("""COMPUTED_VALUE"""),FALSE)</f>
        <v>0</v>
      </c>
      <c r="BI517" s="763" t="b">
        <f>IFERROR(__xludf.DUMMYFUNCTION("""COMPUTED_VALUE"""),TRUE)</f>
        <v>1</v>
      </c>
      <c r="BJ517" s="763" t="b">
        <f>IFERROR(__xludf.DUMMYFUNCTION("""COMPUTED_VALUE"""),TRUE)</f>
        <v>1</v>
      </c>
    </row>
    <row r="518">
      <c r="A518" s="763">
        <f>IFERROR(__xludf.DUMMYFUNCTION("""COMPUTED_VALUE"""),66015.0)</f>
        <v>66015</v>
      </c>
      <c r="B518" s="763">
        <f>IFERROR(__xludf.DUMMYFUNCTION("""COMPUTED_VALUE"""),66015.0)</f>
        <v>66015</v>
      </c>
      <c r="C518" s="763" t="str">
        <f>IFERROR(__xludf.DUMMYFUNCTION("""COMPUTED_VALUE"""),"2025-11-11 16:06:42")</f>
        <v>2025-11-11 16:06:42</v>
      </c>
      <c r="D518" s="763" t="str">
        <f>IFERROR(__xludf.DUMMYFUNCTION("""COMPUTED_VALUE"""),"completed")</f>
        <v>completed</v>
      </c>
      <c r="E518" s="763" t="str">
        <f>IFERROR(__xludf.DUMMYFUNCTION("""COMPUTED_VALUE"""),"Piero")</f>
        <v>Piero</v>
      </c>
      <c r="F518" s="763" t="str">
        <f>IFERROR(__xludf.DUMMYFUNCTION("""COMPUTED_VALUE"""),"Bertuzzi")</f>
        <v>Bertuzzi</v>
      </c>
      <c r="G518" s="763" t="str">
        <f>IFERROR(__xludf.DUMMYFUNCTION("""COMPUTED_VALUE"""),"piero.bertuzzi@yellowhub.it")</f>
        <v>piero.bertuzzi@yellowhub.it</v>
      </c>
      <c r="H518" s="763">
        <f>IFERROR(__xludf.DUMMYFUNCTION("""COMPUTED_VALUE"""),3.485211126E9)</f>
        <v>3485211126</v>
      </c>
      <c r="I518" s="763" t="str">
        <f>IFERROR(__xludf.DUMMYFUNCTION("""COMPUTED_VALUE"""),"Milano")</f>
        <v>Milano</v>
      </c>
      <c r="J518" s="763" t="str">
        <f>IFERROR(__xludf.DUMMYFUNCTION("""COMPUTED_VALUE"""),"Via Arezzo, 9/B")</f>
        <v>Via Arezzo, 9/B</v>
      </c>
      <c r="K518" s="763">
        <f>IFERROR(__xludf.DUMMYFUNCTION("""COMPUTED_VALUE"""),20162.0)</f>
        <v>20162</v>
      </c>
      <c r="L518" s="763" t="str">
        <f>IFERROR(__xludf.DUMMYFUNCTION("""COMPUTED_VALUE"""),"Carte di pagamento")</f>
        <v>Carte di pagamento</v>
      </c>
      <c r="M518" s="763"/>
      <c r="N518" s="763" t="str">
        <f>IFERROR(__xludf.DUMMYFUNCTION("""COMPUTED_VALUE"""),"66015-1762877204")</f>
        <v>66015-1762877204</v>
      </c>
      <c r="O518" s="763">
        <f>IFERROR(__xludf.DUMMYFUNCTION("""COMPUTED_VALUE"""),0.0)</f>
        <v>0</v>
      </c>
      <c r="P518" s="767">
        <f>IFERROR(__xludf.DUMMYFUNCTION("""COMPUTED_VALUE"""),2.0833333333333335)</f>
        <v>2.083333333</v>
      </c>
      <c r="Q518" s="763" t="str">
        <f>IFERROR(__xludf.DUMMYFUNCTION("""COMPUTED_VALUE"""),"EUR")</f>
        <v>EUR</v>
      </c>
      <c r="R518" s="763">
        <f>IFERROR(__xludf.DUMMYFUNCTION("""COMPUTED_VALUE"""),987.0)</f>
        <v>987</v>
      </c>
      <c r="S518" s="763" t="str">
        <f>IFERROR(__xludf.DUMMYFUNCTION("""COMPUTED_VALUE"""),"Festa di Natale 2025 - Festa di natale 2025 lezioni + pizza + serata 55€")</f>
        <v>Festa di Natale 2025 - Festa di natale 2025 lezioni + pizza + serata 55€</v>
      </c>
      <c r="T518" s="763"/>
      <c r="U518" s="763"/>
      <c r="V518" s="763">
        <f>IFERROR(__xludf.DUMMYFUNCTION("""COMPUTED_VALUE"""),1.0)</f>
        <v>1</v>
      </c>
      <c r="W518" s="763">
        <f>IFERROR(__xludf.DUMMYFUNCTION("""COMPUTED_VALUE"""),50.0)</f>
        <v>50</v>
      </c>
      <c r="X518" s="763">
        <f>IFERROR(__xludf.DUMMYFUNCTION("""COMPUTED_VALUE"""),50.0)</f>
        <v>50</v>
      </c>
      <c r="Y518" s="763"/>
      <c r="Z518" s="768" t="str">
        <f>IFERROR(__xludf.DUMMYFUNCTION("""COMPUTED_VALUE"""),"https://studio-gem.it/wp-admin/post.php?post=66015&amp;action=edit")</f>
        <v>https://studio-gem.it/wp-admin/post.php?post=66015&amp;action=edit</v>
      </c>
      <c r="AA518" s="763"/>
      <c r="AB518" s="763"/>
      <c r="AC518" s="763"/>
      <c r="AD518" s="763"/>
      <c r="AE518" s="763"/>
      <c r="AF518" s="763"/>
      <c r="AG518" s="763"/>
      <c r="AH518" s="763"/>
      <c r="AI518" s="763"/>
      <c r="AJ518" s="763"/>
      <c r="AK518" s="763"/>
      <c r="AL518" s="763"/>
      <c r="AM518" s="763"/>
      <c r="AN518" s="763"/>
      <c r="AO518" s="763"/>
      <c r="AP518" s="763"/>
      <c r="AQ518" s="763"/>
      <c r="AR518" s="763"/>
      <c r="AS518" s="763"/>
      <c r="AT518" s="763"/>
      <c r="AU518" s="763"/>
      <c r="AV518" s="763"/>
      <c r="AW518" s="763"/>
      <c r="AX518" s="763"/>
      <c r="AY518" s="763"/>
      <c r="AZ518" s="763"/>
      <c r="BA518" s="763"/>
      <c r="BB518" s="763"/>
      <c r="BC518" s="763"/>
      <c r="BD518" s="763"/>
      <c r="BE518" s="763"/>
      <c r="BF518" s="763"/>
      <c r="BG518" s="763" t="b">
        <f>IFERROR(__xludf.DUMMYFUNCTION("""COMPUTED_VALUE"""),TRUE)</f>
        <v>1</v>
      </c>
      <c r="BH518" s="763" t="b">
        <f>IFERROR(__xludf.DUMMYFUNCTION("""COMPUTED_VALUE"""),FALSE)</f>
        <v>0</v>
      </c>
      <c r="BI518" s="763" t="b">
        <f>IFERROR(__xludf.DUMMYFUNCTION("""COMPUTED_VALUE"""),TRUE)</f>
        <v>1</v>
      </c>
      <c r="BJ518" s="763" t="b">
        <f>IFERROR(__xludf.DUMMYFUNCTION("""COMPUTED_VALUE"""),TRUE)</f>
        <v>1</v>
      </c>
    </row>
    <row r="519">
      <c r="A519" s="763">
        <f>IFERROR(__xludf.DUMMYFUNCTION("""COMPUTED_VALUE"""),66017.0)</f>
        <v>66017</v>
      </c>
      <c r="B519" s="763">
        <f>IFERROR(__xludf.DUMMYFUNCTION("""COMPUTED_VALUE"""),66017.0)</f>
        <v>66017</v>
      </c>
      <c r="C519" s="763" t="str">
        <f>IFERROR(__xludf.DUMMYFUNCTION("""COMPUTED_VALUE"""),"2025-11-11 17:18:15")</f>
        <v>2025-11-11 17:18:15</v>
      </c>
      <c r="D519" s="763" t="str">
        <f>IFERROR(__xludf.DUMMYFUNCTION("""COMPUTED_VALUE"""),"completed")</f>
        <v>completed</v>
      </c>
      <c r="E519" s="763" t="str">
        <f>IFERROR(__xludf.DUMMYFUNCTION("""COMPUTED_VALUE"""),"Beatrice")</f>
        <v>Beatrice</v>
      </c>
      <c r="F519" s="763" t="str">
        <f>IFERROR(__xludf.DUMMYFUNCTION("""COMPUTED_VALUE"""),"Grisi")</f>
        <v>Grisi</v>
      </c>
      <c r="G519" s="763" t="str">
        <f>IFERROR(__xludf.DUMMYFUNCTION("""COMPUTED_VALUE"""),"bea.grisi92@gmail.com")</f>
        <v>bea.grisi92@gmail.com</v>
      </c>
      <c r="H519" s="763">
        <f>IFERROR(__xludf.DUMMYFUNCTION("""COMPUTED_VALUE"""),3.408671887E9)</f>
        <v>3408671887</v>
      </c>
      <c r="I519" s="763" t="str">
        <f>IFERROR(__xludf.DUMMYFUNCTION("""COMPUTED_VALUE"""),"milano")</f>
        <v>milano</v>
      </c>
      <c r="J519" s="763" t="str">
        <f>IFERROR(__xludf.DUMMYFUNCTION("""COMPUTED_VALUE"""),"via arrivabene 11")</f>
        <v>via arrivabene 11</v>
      </c>
      <c r="K519" s="763">
        <f>IFERROR(__xludf.DUMMYFUNCTION("""COMPUTED_VALUE"""),20158.0)</f>
        <v>20158</v>
      </c>
      <c r="L519" s="763" t="str">
        <f>IFERROR(__xludf.DUMMYFUNCTION("""COMPUTED_VALUE"""),"Satispay")</f>
        <v>Satispay</v>
      </c>
      <c r="M519" s="763" t="str">
        <f>IFERROR(__xludf.DUMMYFUNCTION("""COMPUTED_VALUE"""),"santo05natale")</f>
        <v>santo05natale</v>
      </c>
      <c r="N519" s="763" t="str">
        <f>IFERROR(__xludf.DUMMYFUNCTION("""COMPUTED_VALUE"""),"019a73ec-e4a4-7dc7-9f4e-848435f7d7e5")</f>
        <v>019a73ec-e4a4-7dc7-9f4e-848435f7d7e5</v>
      </c>
      <c r="O519" s="763">
        <f>IFERROR(__xludf.DUMMYFUNCTION("""COMPUTED_VALUE"""),0.0)</f>
        <v>0</v>
      </c>
      <c r="P519" s="767">
        <f>IFERROR(__xludf.DUMMYFUNCTION("""COMPUTED_VALUE"""),2.0833333333333335)</f>
        <v>2.083333333</v>
      </c>
      <c r="Q519" s="763" t="str">
        <f>IFERROR(__xludf.DUMMYFUNCTION("""COMPUTED_VALUE"""),"EUR")</f>
        <v>EUR</v>
      </c>
      <c r="R519" s="763">
        <f>IFERROR(__xludf.DUMMYFUNCTION("""COMPUTED_VALUE"""),989.0)</f>
        <v>989</v>
      </c>
      <c r="S519" s="763" t="str">
        <f>IFERROR(__xludf.DUMMYFUNCTION("""COMPUTED_VALUE"""),"Festa di Natale 2025 - Festa di natale 2025 lezioni + pizza + serata 55€")</f>
        <v>Festa di Natale 2025 - Festa di natale 2025 lezioni + pizza + serata 55€</v>
      </c>
      <c r="T519" s="763"/>
      <c r="U519" s="763"/>
      <c r="V519" s="763">
        <f>IFERROR(__xludf.DUMMYFUNCTION("""COMPUTED_VALUE"""),1.0)</f>
        <v>1</v>
      </c>
      <c r="W519" s="763">
        <f>IFERROR(__xludf.DUMMYFUNCTION("""COMPUTED_VALUE"""),50.0)</f>
        <v>50</v>
      </c>
      <c r="X519" s="763">
        <f>IFERROR(__xludf.DUMMYFUNCTION("""COMPUTED_VALUE"""),50.0)</f>
        <v>50</v>
      </c>
      <c r="Y519" s="763"/>
      <c r="Z519" s="768" t="str">
        <f>IFERROR(__xludf.DUMMYFUNCTION("""COMPUTED_VALUE"""),"https://studio-gem.it/wp-admin/post.php?post=66017&amp;action=edit")</f>
        <v>https://studio-gem.it/wp-admin/post.php?post=66017&amp;action=edit</v>
      </c>
      <c r="AA519" s="763"/>
      <c r="AB519" s="763"/>
      <c r="AC519" s="763"/>
      <c r="AD519" s="763"/>
      <c r="AE519" s="763"/>
      <c r="AF519" s="763"/>
      <c r="AG519" s="763"/>
      <c r="AH519" s="763"/>
      <c r="AI519" s="763"/>
      <c r="AJ519" s="763"/>
      <c r="AK519" s="763"/>
      <c r="AL519" s="763"/>
      <c r="AM519" s="763"/>
      <c r="AN519" s="763"/>
      <c r="AO519" s="763"/>
      <c r="AP519" s="763"/>
      <c r="AQ519" s="763"/>
      <c r="AR519" s="763"/>
      <c r="AS519" s="763"/>
      <c r="AT519" s="763"/>
      <c r="AU519" s="763"/>
      <c r="AV519" s="763"/>
      <c r="AW519" s="763"/>
      <c r="AX519" s="763"/>
      <c r="AY519" s="763"/>
      <c r="AZ519" s="763"/>
      <c r="BA519" s="763"/>
      <c r="BB519" s="763"/>
      <c r="BC519" s="763"/>
      <c r="BD519" s="763"/>
      <c r="BE519" s="763"/>
      <c r="BF519" s="763"/>
      <c r="BG519" s="763" t="b">
        <f>IFERROR(__xludf.DUMMYFUNCTION("""COMPUTED_VALUE"""),TRUE)</f>
        <v>1</v>
      </c>
      <c r="BH519" s="763" t="b">
        <f>IFERROR(__xludf.DUMMYFUNCTION("""COMPUTED_VALUE"""),FALSE)</f>
        <v>0</v>
      </c>
      <c r="BI519" s="763" t="b">
        <f>IFERROR(__xludf.DUMMYFUNCTION("""COMPUTED_VALUE"""),TRUE)</f>
        <v>1</v>
      </c>
      <c r="BJ519" s="763" t="b">
        <f>IFERROR(__xludf.DUMMYFUNCTION("""COMPUTED_VALUE"""),TRUE)</f>
        <v>1</v>
      </c>
    </row>
    <row r="520">
      <c r="A520" s="763">
        <f>IFERROR(__xludf.DUMMYFUNCTION("""COMPUTED_VALUE"""),66019.0)</f>
        <v>66019</v>
      </c>
      <c r="B520" s="763">
        <f>IFERROR(__xludf.DUMMYFUNCTION("""COMPUTED_VALUE"""),66019.0)</f>
        <v>66019</v>
      </c>
      <c r="C520" s="763" t="str">
        <f>IFERROR(__xludf.DUMMYFUNCTION("""COMPUTED_VALUE"""),"2025-11-11 17:45:57")</f>
        <v>2025-11-11 17:45:57</v>
      </c>
      <c r="D520" s="763" t="str">
        <f>IFERROR(__xludf.DUMMYFUNCTION("""COMPUTED_VALUE"""),"processing")</f>
        <v>processing</v>
      </c>
      <c r="E520" s="763" t="str">
        <f>IFERROR(__xludf.DUMMYFUNCTION("""COMPUTED_VALUE"""),"claudia")</f>
        <v>claudia</v>
      </c>
      <c r="F520" s="763" t="str">
        <f>IFERROR(__xludf.DUMMYFUNCTION("""COMPUTED_VALUE"""),"ristani")</f>
        <v>ristani</v>
      </c>
      <c r="G520" s="763" t="str">
        <f>IFERROR(__xludf.DUMMYFUNCTION("""COMPUTED_VALUE"""),"claudia.ristani95@gmail.com")</f>
        <v>claudia.ristani95@gmail.com</v>
      </c>
      <c r="H520" s="763">
        <f>IFERROR(__xludf.DUMMYFUNCTION("""COMPUTED_VALUE"""),3.479631773E9)</f>
        <v>3479631773</v>
      </c>
      <c r="I520" s="763" t="str">
        <f>IFERROR(__xludf.DUMMYFUNCTION("""COMPUTED_VALUE"""),"Milano")</f>
        <v>Milano</v>
      </c>
      <c r="J520" s="763" t="str">
        <f>IFERROR(__xludf.DUMMYFUNCTION("""COMPUTED_VALUE"""),"Viale beatrice d’este 35")</f>
        <v>Viale beatrice d’este 35</v>
      </c>
      <c r="K520" s="763">
        <f>IFERROR(__xludf.DUMMYFUNCTION("""COMPUTED_VALUE"""),20122.0)</f>
        <v>20122</v>
      </c>
      <c r="L520" s="763" t="str">
        <f>IFERROR(__xludf.DUMMYFUNCTION("""COMPUTED_VALUE"""),"Satispay")</f>
        <v>Satispay</v>
      </c>
      <c r="M520" s="763"/>
      <c r="N520" s="763" t="str">
        <f>IFERROR(__xludf.DUMMYFUNCTION("""COMPUTED_VALUE"""),"019a7406-3d25-71f0-ac2e-2ab65a8b545d")</f>
        <v>019a7406-3d25-71f0-ac2e-2ab65a8b545d</v>
      </c>
      <c r="O520" s="763">
        <f>IFERROR(__xludf.DUMMYFUNCTION("""COMPUTED_VALUE"""),0.0)</f>
        <v>0</v>
      </c>
      <c r="P520" s="767">
        <f>IFERROR(__xludf.DUMMYFUNCTION("""COMPUTED_VALUE"""),2.2916666666666665)</f>
        <v>2.291666667</v>
      </c>
      <c r="Q520" s="763" t="str">
        <f>IFERROR(__xludf.DUMMYFUNCTION("""COMPUTED_VALUE"""),"EUR")</f>
        <v>EUR</v>
      </c>
      <c r="R520" s="763">
        <f>IFERROR(__xludf.DUMMYFUNCTION("""COMPUTED_VALUE"""),991.0)</f>
        <v>991</v>
      </c>
      <c r="S520" s="763" t="str">
        <f>IFERROR(__xludf.DUMMYFUNCTION("""COMPUTED_VALUE"""),"Festa di Natale 2025 - Festa di natale 2025 lezioni + pizza + serata 55€")</f>
        <v>Festa di Natale 2025 - Festa di natale 2025 lezioni + pizza + serata 55€</v>
      </c>
      <c r="T520" s="763"/>
      <c r="U520" s="763"/>
      <c r="V520" s="763">
        <f>IFERROR(__xludf.DUMMYFUNCTION("""COMPUTED_VALUE"""),1.0)</f>
        <v>1</v>
      </c>
      <c r="W520" s="763">
        <f>IFERROR(__xludf.DUMMYFUNCTION("""COMPUTED_VALUE"""),55.0)</f>
        <v>55</v>
      </c>
      <c r="X520" s="763">
        <f>IFERROR(__xludf.DUMMYFUNCTION("""COMPUTED_VALUE"""),55.0)</f>
        <v>55</v>
      </c>
      <c r="Y520" s="763"/>
      <c r="Z520" s="768" t="str">
        <f>IFERROR(__xludf.DUMMYFUNCTION("""COMPUTED_VALUE"""),"https://studio-gem.it/wp-admin/post.php?post=66019&amp;action=edit")</f>
        <v>https://studio-gem.it/wp-admin/post.php?post=66019&amp;action=edit</v>
      </c>
      <c r="AA520" s="763"/>
      <c r="AB520" s="763"/>
      <c r="AC520" s="763"/>
      <c r="AD520" s="763"/>
      <c r="AE520" s="763"/>
      <c r="AF520" s="763"/>
      <c r="AG520" s="763"/>
      <c r="AH520" s="763"/>
      <c r="AI520" s="763"/>
      <c r="AJ520" s="763"/>
      <c r="AK520" s="763"/>
      <c r="AL520" s="763"/>
      <c r="AM520" s="763"/>
      <c r="AN520" s="763"/>
      <c r="AO520" s="763"/>
      <c r="AP520" s="763"/>
      <c r="AQ520" s="763"/>
      <c r="AR520" s="763"/>
      <c r="AS520" s="763"/>
      <c r="AT520" s="763"/>
      <c r="AU520" s="763"/>
      <c r="AV520" s="763"/>
      <c r="AW520" s="763"/>
      <c r="AX520" s="763"/>
      <c r="AY520" s="763"/>
      <c r="AZ520" s="763"/>
      <c r="BA520" s="763"/>
      <c r="BB520" s="763"/>
      <c r="BC520" s="763"/>
      <c r="BD520" s="763"/>
      <c r="BE520" s="763"/>
      <c r="BF520" s="763"/>
      <c r="BG520" s="763" t="b">
        <f>IFERROR(__xludf.DUMMYFUNCTION("""COMPUTED_VALUE"""),TRUE)</f>
        <v>1</v>
      </c>
      <c r="BH520" s="763" t="b">
        <f>IFERROR(__xludf.DUMMYFUNCTION("""COMPUTED_VALUE"""),FALSE)</f>
        <v>0</v>
      </c>
      <c r="BI520" s="763" t="b">
        <f>IFERROR(__xludf.DUMMYFUNCTION("""COMPUTED_VALUE"""),TRUE)</f>
        <v>1</v>
      </c>
      <c r="BJ520" s="763" t="b">
        <f>IFERROR(__xludf.DUMMYFUNCTION("""COMPUTED_VALUE"""),TRUE)</f>
        <v>1</v>
      </c>
    </row>
    <row r="521">
      <c r="A521" s="763">
        <f>IFERROR(__xludf.DUMMYFUNCTION("""COMPUTED_VALUE"""),66020.0)</f>
        <v>66020</v>
      </c>
      <c r="B521" s="763">
        <f>IFERROR(__xludf.DUMMYFUNCTION("""COMPUTED_VALUE"""),66020.0)</f>
        <v>66020</v>
      </c>
      <c r="C521" s="763" t="str">
        <f>IFERROR(__xludf.DUMMYFUNCTION("""COMPUTED_VALUE"""),"2025-11-11 21:41:14")</f>
        <v>2025-11-11 21:41:14</v>
      </c>
      <c r="D521" s="763" t="str">
        <f>IFERROR(__xludf.DUMMYFUNCTION("""COMPUTED_VALUE"""),"processing")</f>
        <v>processing</v>
      </c>
      <c r="E521" s="763" t="str">
        <f>IFERROR(__xludf.DUMMYFUNCTION("""COMPUTED_VALUE"""),"Paola")</f>
        <v>Paola</v>
      </c>
      <c r="F521" s="763" t="str">
        <f>IFERROR(__xludf.DUMMYFUNCTION("""COMPUTED_VALUE"""),"Tosi")</f>
        <v>Tosi</v>
      </c>
      <c r="G521" s="763" t="str">
        <f>IFERROR(__xludf.DUMMYFUNCTION("""COMPUTED_VALUE"""),"paola.tosi.11@gmail.com")</f>
        <v>paola.tosi.11@gmail.com</v>
      </c>
      <c r="H521" s="763">
        <f>IFERROR(__xludf.DUMMYFUNCTION("""COMPUTED_VALUE"""),3.386447117E9)</f>
        <v>3386447117</v>
      </c>
      <c r="I521" s="763" t="str">
        <f>IFERROR(__xludf.DUMMYFUNCTION("""COMPUTED_VALUE"""),"Milano")</f>
        <v>Milano</v>
      </c>
      <c r="J521" s="763" t="str">
        <f>IFERROR(__xludf.DUMMYFUNCTION("""COMPUTED_VALUE"""),"Via Pasquale Sottocorno 9")</f>
        <v>Via Pasquale Sottocorno 9</v>
      </c>
      <c r="K521" s="763">
        <f>IFERROR(__xludf.DUMMYFUNCTION("""COMPUTED_VALUE"""),20129.0)</f>
        <v>20129</v>
      </c>
      <c r="L521" s="763" t="str">
        <f>IFERROR(__xludf.DUMMYFUNCTION("""COMPUTED_VALUE"""),"Satispay")</f>
        <v>Satispay</v>
      </c>
      <c r="M521" s="763" t="str">
        <f>IFERROR(__xludf.DUMMYFUNCTION("""COMPUTED_VALUE"""),"santo05natale")</f>
        <v>santo05natale</v>
      </c>
      <c r="N521" s="763" t="str">
        <f>IFERROR(__xludf.DUMMYFUNCTION("""COMPUTED_VALUE"""),"019a74dd-a694-714d-807d-5c9bd2190ef9")</f>
        <v>019a74dd-a694-714d-807d-5c9bd2190ef9</v>
      </c>
      <c r="O521" s="763">
        <f>IFERROR(__xludf.DUMMYFUNCTION("""COMPUTED_VALUE"""),0.0)</f>
        <v>0</v>
      </c>
      <c r="P521" s="767">
        <f>IFERROR(__xludf.DUMMYFUNCTION("""COMPUTED_VALUE"""),0.8333333333333334)</f>
        <v>0.8333333333</v>
      </c>
      <c r="Q521" s="763" t="str">
        <f>IFERROR(__xludf.DUMMYFUNCTION("""COMPUTED_VALUE"""),"EUR")</f>
        <v>EUR</v>
      </c>
      <c r="R521" s="763">
        <f>IFERROR(__xludf.DUMMYFUNCTION("""COMPUTED_VALUE"""),992.0)</f>
        <v>992</v>
      </c>
      <c r="S521" s="763" t="str">
        <f>IFERROR(__xludf.DUMMYFUNCTION("""COMPUTED_VALUE"""),"Festa di Natale 2025 - Festa di natale 2025 SOLO serata 25€")</f>
        <v>Festa di Natale 2025 - Festa di natale 2025 SOLO serata 25€</v>
      </c>
      <c r="T521" s="763"/>
      <c r="U521" s="763"/>
      <c r="V521" s="763">
        <f>IFERROR(__xludf.DUMMYFUNCTION("""COMPUTED_VALUE"""),1.0)</f>
        <v>1</v>
      </c>
      <c r="W521" s="763">
        <f>IFERROR(__xludf.DUMMYFUNCTION("""COMPUTED_VALUE"""),20.0)</f>
        <v>20</v>
      </c>
      <c r="X521" s="763">
        <f>IFERROR(__xludf.DUMMYFUNCTION("""COMPUTED_VALUE"""),20.0)</f>
        <v>20</v>
      </c>
      <c r="Y521" s="763"/>
      <c r="Z521" s="768" t="str">
        <f>IFERROR(__xludf.DUMMYFUNCTION("""COMPUTED_VALUE"""),"https://studio-gem.it/wp-admin/post.php?post=66020&amp;action=edit")</f>
        <v>https://studio-gem.it/wp-admin/post.php?post=66020&amp;action=edit</v>
      </c>
      <c r="AA521" s="763"/>
      <c r="AB521" s="763"/>
      <c r="AC521" s="763"/>
      <c r="AD521" s="763"/>
      <c r="AE521" s="763"/>
      <c r="AF521" s="763"/>
      <c r="AG521" s="763"/>
      <c r="AH521" s="763"/>
      <c r="AI521" s="763"/>
      <c r="AJ521" s="763"/>
      <c r="AK521" s="763"/>
      <c r="AL521" s="763"/>
      <c r="AM521" s="763"/>
      <c r="AN521" s="763"/>
      <c r="AO521" s="763"/>
      <c r="AP521" s="763"/>
      <c r="AQ521" s="763"/>
      <c r="AR521" s="763"/>
      <c r="AS521" s="763"/>
      <c r="AT521" s="763"/>
      <c r="AU521" s="763"/>
      <c r="AV521" s="763"/>
      <c r="AW521" s="763"/>
      <c r="AX521" s="763"/>
      <c r="AY521" s="763"/>
      <c r="AZ521" s="763"/>
      <c r="BA521" s="763"/>
      <c r="BB521" s="763"/>
      <c r="BC521" s="763"/>
      <c r="BD521" s="763"/>
      <c r="BE521" s="763"/>
      <c r="BF521" s="763"/>
      <c r="BG521" s="763" t="b">
        <f>IFERROR(__xludf.DUMMYFUNCTION("""COMPUTED_VALUE"""),TRUE)</f>
        <v>1</v>
      </c>
      <c r="BH521" s="763" t="b">
        <f>IFERROR(__xludf.DUMMYFUNCTION("""COMPUTED_VALUE"""),FALSE)</f>
        <v>0</v>
      </c>
      <c r="BI521" s="763" t="b">
        <f>IFERROR(__xludf.DUMMYFUNCTION("""COMPUTED_VALUE"""),TRUE)</f>
        <v>1</v>
      </c>
      <c r="BJ521" s="763" t="b">
        <f>IFERROR(__xludf.DUMMYFUNCTION("""COMPUTED_VALUE"""),TRUE)</f>
        <v>1</v>
      </c>
    </row>
    <row r="522">
      <c r="A522" s="763">
        <f>IFERROR(__xludf.DUMMYFUNCTION("""COMPUTED_VALUE"""),66021.0)</f>
        <v>66021</v>
      </c>
      <c r="B522" s="763">
        <f>IFERROR(__xludf.DUMMYFUNCTION("""COMPUTED_VALUE"""),66021.0)</f>
        <v>66021</v>
      </c>
      <c r="C522" s="763" t="str">
        <f>IFERROR(__xludf.DUMMYFUNCTION("""COMPUTED_VALUE"""),"2025-11-11 22:04:52")</f>
        <v>2025-11-11 22:04:52</v>
      </c>
      <c r="D522" s="763" t="str">
        <f>IFERROR(__xludf.DUMMYFUNCTION("""COMPUTED_VALUE"""),"pending")</f>
        <v>pending</v>
      </c>
      <c r="E522" s="763" t="str">
        <f>IFERROR(__xludf.DUMMYFUNCTION("""COMPUTED_VALUE"""),"Viktorija")</f>
        <v>Viktorija</v>
      </c>
      <c r="F522" s="763" t="str">
        <f>IFERROR(__xludf.DUMMYFUNCTION("""COMPUTED_VALUE"""),"Nenartovic Babinceva")</f>
        <v>Nenartovic Babinceva</v>
      </c>
      <c r="G522" s="763" t="str">
        <f>IFERROR(__xludf.DUMMYFUNCTION("""COMPUTED_VALUE"""),"viktorija.nenart@gmail.com")</f>
        <v>viktorija.nenart@gmail.com</v>
      </c>
      <c r="H522" s="763">
        <f>IFERROR(__xludf.DUMMYFUNCTION("""COMPUTED_VALUE"""),6.1480181E7)</f>
        <v>61480181</v>
      </c>
      <c r="I522" s="763" t="str">
        <f>IFERROR(__xludf.DUMMYFUNCTION("""COMPUTED_VALUE"""),"Vilnius")</f>
        <v>Vilnius</v>
      </c>
      <c r="J522" s="763" t="str">
        <f>IFERROR(__xludf.DUMMYFUNCTION("""COMPUTED_VALUE"""),"Trempų g. 5")</f>
        <v>Trempų g. 5</v>
      </c>
      <c r="K522" s="763">
        <f>IFERROR(__xludf.DUMMYFUNCTION("""COMPUTED_VALUE"""),6272.0)</f>
        <v>6272</v>
      </c>
      <c r="L522" s="763" t="str">
        <f>IFERROR(__xludf.DUMMYFUNCTION("""COMPUTED_VALUE"""),"Carte di pagamento")</f>
        <v>Carte di pagamento</v>
      </c>
      <c r="M522" s="763"/>
      <c r="N522" s="763"/>
      <c r="O522" s="763">
        <f>IFERROR(__xludf.DUMMYFUNCTION("""COMPUTED_VALUE"""),0.0)</f>
        <v>0</v>
      </c>
      <c r="P522" s="767">
        <f>IFERROR(__xludf.DUMMYFUNCTION("""COMPUTED_VALUE"""),6.166666666666667)</f>
        <v>6.166666667</v>
      </c>
      <c r="Q522" s="763" t="str">
        <f>IFERROR(__xludf.DUMMYFUNCTION("""COMPUTED_VALUE"""),"EUR")</f>
        <v>EUR</v>
      </c>
      <c r="R522" s="763">
        <f>IFERROR(__xludf.DUMMYFUNCTION("""COMPUTED_VALUE"""),994.0)</f>
        <v>994</v>
      </c>
      <c r="S522" s="763" t="str">
        <f>IFERROR(__xludf.DUMMYFUNCTION("""COMPUTED_VALUE"""),"Workshop Heels con Deborah Esposito - Workshop Heels con Deborah Esposito")</f>
        <v>Workshop Heels con Deborah Esposito - Workshop Heels con Deborah Esposito</v>
      </c>
      <c r="T522" s="763"/>
      <c r="U522" s="763"/>
      <c r="V522" s="763">
        <f>IFERROR(__xludf.DUMMYFUNCTION("""COMPUTED_VALUE"""),4.0)</f>
        <v>4</v>
      </c>
      <c r="W522" s="763">
        <f>IFERROR(__xludf.DUMMYFUNCTION("""COMPUTED_VALUE"""),37.0)</f>
        <v>37</v>
      </c>
      <c r="X522" s="763">
        <f>IFERROR(__xludf.DUMMYFUNCTION("""COMPUTED_VALUE"""),148.0)</f>
        <v>148</v>
      </c>
      <c r="Y522" s="763"/>
      <c r="Z522" s="768" t="str">
        <f>IFERROR(__xludf.DUMMYFUNCTION("""COMPUTED_VALUE"""),"https://studio-gem.it/wp-admin/post.php?post=66021&amp;action=edit")</f>
        <v>https://studio-gem.it/wp-admin/post.php?post=66021&amp;action=edit</v>
      </c>
      <c r="AA522" s="763"/>
      <c r="AB522" s="763"/>
      <c r="AC522" s="763"/>
      <c r="AD522" s="763"/>
      <c r="AE522" s="763"/>
      <c r="AF522" s="763"/>
      <c r="AG522" s="763"/>
      <c r="AH522" s="763"/>
      <c r="AI522" s="763"/>
      <c r="AJ522" s="763"/>
      <c r="AK522" s="763"/>
      <c r="AL522" s="763"/>
      <c r="AM522" s="763"/>
      <c r="AN522" s="763"/>
      <c r="AO522" s="763"/>
      <c r="AP522" s="763"/>
      <c r="AQ522" s="763"/>
      <c r="AR522" s="763"/>
      <c r="AS522" s="763"/>
      <c r="AT522" s="763"/>
      <c r="AU522" s="763"/>
      <c r="AV522" s="763"/>
      <c r="AW522" s="763"/>
      <c r="AX522" s="763"/>
      <c r="AY522" s="763"/>
      <c r="AZ522" s="763"/>
      <c r="BA522" s="763"/>
      <c r="BB522" s="763"/>
      <c r="BC522" s="763"/>
      <c r="BD522" s="763"/>
      <c r="BE522" s="763"/>
      <c r="BF522" s="763"/>
      <c r="BG522" s="763" t="b">
        <f>IFERROR(__xludf.DUMMYFUNCTION("""COMPUTED_VALUE"""),FALSE)</f>
        <v>0</v>
      </c>
      <c r="BH522" s="763" t="b">
        <f>IFERROR(__xludf.DUMMYFUNCTION("""COMPUTED_VALUE"""),FALSE)</f>
        <v>0</v>
      </c>
      <c r="BI522" s="763" t="b">
        <f>IFERROR(__xludf.DUMMYFUNCTION("""COMPUTED_VALUE"""),FALSE)</f>
        <v>0</v>
      </c>
      <c r="BJ522" s="763" t="b">
        <f>IFERROR(__xludf.DUMMYFUNCTION("""COMPUTED_VALUE"""),FALSE)</f>
        <v>0</v>
      </c>
    </row>
    <row r="523">
      <c r="A523" s="763">
        <f>IFERROR(__xludf.DUMMYFUNCTION("""COMPUTED_VALUE"""),66023.0)</f>
        <v>66023</v>
      </c>
      <c r="B523" s="763">
        <f>IFERROR(__xludf.DUMMYFUNCTION("""COMPUTED_VALUE"""),66023.0)</f>
        <v>66023</v>
      </c>
      <c r="C523" s="763" t="str">
        <f>IFERROR(__xludf.DUMMYFUNCTION("""COMPUTED_VALUE"""),"2025-11-12 11:47:41")</f>
        <v>2025-11-12 11:47:41</v>
      </c>
      <c r="D523" s="763" t="str">
        <f>IFERROR(__xludf.DUMMYFUNCTION("""COMPUTED_VALUE"""),"pending")</f>
        <v>pending</v>
      </c>
      <c r="E523" s="763" t="str">
        <f>IFERROR(__xludf.DUMMYFUNCTION("""COMPUTED_VALUE"""),"Elena")</f>
        <v>Elena</v>
      </c>
      <c r="F523" s="763" t="str">
        <f>IFERROR(__xludf.DUMMYFUNCTION("""COMPUTED_VALUE"""),"Airoldi")</f>
        <v>Airoldi</v>
      </c>
      <c r="G523" s="763" t="str">
        <f>IFERROR(__xludf.DUMMYFUNCTION("""COMPUTED_VALUE"""),"elena.airoldi94@gmail.com")</f>
        <v>elena.airoldi94@gmail.com</v>
      </c>
      <c r="H523" s="763" t="str">
        <f>IFERROR(__xludf.DUMMYFUNCTION("""COMPUTED_VALUE"""),"+393496138832")</f>
        <v>+393496138832</v>
      </c>
      <c r="I523" s="763" t="str">
        <f>IFERROR(__xludf.DUMMYFUNCTION("""COMPUTED_VALUE"""),"Vercurago")</f>
        <v>Vercurago</v>
      </c>
      <c r="J523" s="763" t="str">
        <f>IFERROR(__xludf.DUMMYFUNCTION("""COMPUTED_VALUE"""),"Via Adda, 5")</f>
        <v>Via Adda, 5</v>
      </c>
      <c r="K523" s="763">
        <f>IFERROR(__xludf.DUMMYFUNCTION("""COMPUTED_VALUE"""),23808.0)</f>
        <v>23808</v>
      </c>
      <c r="L523" s="763" t="str">
        <f>IFERROR(__xludf.DUMMYFUNCTION("""COMPUTED_VALUE"""),"Carte di pagamento")</f>
        <v>Carte di pagamento</v>
      </c>
      <c r="M523" s="763" t="str">
        <f>IFERROR(__xludf.DUMMYFUNCTION("""COMPUTED_VALUE"""),"nura05natale")</f>
        <v>nura05natale</v>
      </c>
      <c r="N523" s="763"/>
      <c r="O523" s="763">
        <f>IFERROR(__xludf.DUMMYFUNCTION("""COMPUTED_VALUE"""),0.0)</f>
        <v>0</v>
      </c>
      <c r="P523" s="767">
        <f>IFERROR(__xludf.DUMMYFUNCTION("""COMPUTED_VALUE"""),4.375)</f>
        <v>4.375</v>
      </c>
      <c r="Q523" s="763" t="str">
        <f>IFERROR(__xludf.DUMMYFUNCTION("""COMPUTED_VALUE"""),"EUR")</f>
        <v>EUR</v>
      </c>
      <c r="R523" s="763">
        <f>IFERROR(__xludf.DUMMYFUNCTION("""COMPUTED_VALUE"""),995.0)</f>
        <v>995</v>
      </c>
      <c r="S523" s="763" t="str">
        <f>IFERROR(__xludf.DUMMYFUNCTION("""COMPUTED_VALUE"""),"Festa di Natale 2025 - Festa di natale 2025 lezioni + pizza + serata 55€")</f>
        <v>Festa di Natale 2025 - Festa di natale 2025 lezioni + pizza + serata 55€</v>
      </c>
      <c r="T523" s="763"/>
      <c r="U523" s="763"/>
      <c r="V523" s="763">
        <f>IFERROR(__xludf.DUMMYFUNCTION("""COMPUTED_VALUE"""),2.0)</f>
        <v>2</v>
      </c>
      <c r="W523" s="763">
        <f>IFERROR(__xludf.DUMMYFUNCTION("""COMPUTED_VALUE"""),52.5)</f>
        <v>52.5</v>
      </c>
      <c r="X523" s="763">
        <f>IFERROR(__xludf.DUMMYFUNCTION("""COMPUTED_VALUE"""),105.0)</f>
        <v>105</v>
      </c>
      <c r="Y523" s="763"/>
      <c r="Z523" s="768" t="str">
        <f>IFERROR(__xludf.DUMMYFUNCTION("""COMPUTED_VALUE"""),"https://studio-gem.it/wp-admin/post.php?post=66023&amp;action=edit")</f>
        <v>https://studio-gem.it/wp-admin/post.php?post=66023&amp;action=edit</v>
      </c>
      <c r="AA523" s="763"/>
      <c r="AB523" s="763"/>
      <c r="AC523" s="763"/>
      <c r="AD523" s="763"/>
      <c r="AE523" s="763"/>
      <c r="AF523" s="763"/>
      <c r="AG523" s="763"/>
      <c r="AH523" s="763"/>
      <c r="AI523" s="763"/>
      <c r="AJ523" s="763"/>
      <c r="AK523" s="763"/>
      <c r="AL523" s="763"/>
      <c r="AM523" s="763"/>
      <c r="AN523" s="763"/>
      <c r="AO523" s="763"/>
      <c r="AP523" s="763"/>
      <c r="AQ523" s="763"/>
      <c r="AR523" s="763"/>
      <c r="AS523" s="763"/>
      <c r="AT523" s="763"/>
      <c r="AU523" s="763"/>
      <c r="AV523" s="763"/>
      <c r="AW523" s="763"/>
      <c r="AX523" s="763"/>
      <c r="AY523" s="763"/>
      <c r="AZ523" s="763"/>
      <c r="BA523" s="763"/>
      <c r="BB523" s="763"/>
      <c r="BC523" s="763"/>
      <c r="BD523" s="763"/>
      <c r="BE523" s="763"/>
      <c r="BF523" s="763"/>
      <c r="BG523" s="763" t="b">
        <f>IFERROR(__xludf.DUMMYFUNCTION("""COMPUTED_VALUE"""),FALSE)</f>
        <v>0</v>
      </c>
      <c r="BH523" s="763" t="b">
        <f>IFERROR(__xludf.DUMMYFUNCTION("""COMPUTED_VALUE"""),FALSE)</f>
        <v>0</v>
      </c>
      <c r="BI523" s="763" t="b">
        <f>IFERROR(__xludf.DUMMYFUNCTION("""COMPUTED_VALUE"""),FALSE)</f>
        <v>0</v>
      </c>
      <c r="BJ523" s="763" t="b">
        <f>IFERROR(__xludf.DUMMYFUNCTION("""COMPUTED_VALUE"""),FALSE)</f>
        <v>0</v>
      </c>
    </row>
    <row r="524">
      <c r="A524" s="763">
        <f>IFERROR(__xludf.DUMMYFUNCTION("""COMPUTED_VALUE"""),66024.0)</f>
        <v>66024</v>
      </c>
      <c r="B524" s="763">
        <f>IFERROR(__xludf.DUMMYFUNCTION("""COMPUTED_VALUE"""),66024.0)</f>
        <v>66024</v>
      </c>
      <c r="C524" s="763" t="str">
        <f>IFERROR(__xludf.DUMMYFUNCTION("""COMPUTED_VALUE"""),"2025-11-12 12:03:12")</f>
        <v>2025-11-12 12:03:12</v>
      </c>
      <c r="D524" s="763" t="str">
        <f>IFERROR(__xludf.DUMMYFUNCTION("""COMPUTED_VALUE"""),"completed")</f>
        <v>completed</v>
      </c>
      <c r="E524" s="763" t="str">
        <f>IFERROR(__xludf.DUMMYFUNCTION("""COMPUTED_VALUE"""),"Noemi")</f>
        <v>Noemi</v>
      </c>
      <c r="F524" s="763" t="str">
        <f>IFERROR(__xludf.DUMMYFUNCTION("""COMPUTED_VALUE"""),"Lombardi")</f>
        <v>Lombardi</v>
      </c>
      <c r="G524" s="763" t="str">
        <f>IFERROR(__xludf.DUMMYFUNCTION("""COMPUTED_VALUE"""),"noemi.lombardi@yahoo.it")</f>
        <v>noemi.lombardi@yahoo.it</v>
      </c>
      <c r="H524" s="763">
        <f>IFERROR(__xludf.DUMMYFUNCTION("""COMPUTED_VALUE"""),3.4592426E9)</f>
        <v>3459242600</v>
      </c>
      <c r="I524" s="763" t="str">
        <f>IFERROR(__xludf.DUMMYFUNCTION("""COMPUTED_VALUE"""),"Milano")</f>
        <v>Milano</v>
      </c>
      <c r="J524" s="763" t="str">
        <f>IFERROR(__xludf.DUMMYFUNCTION("""COMPUTED_VALUE"""),"Via Marradi 1")</f>
        <v>Via Marradi 1</v>
      </c>
      <c r="K524" s="763">
        <f>IFERROR(__xludf.DUMMYFUNCTION("""COMPUTED_VALUE"""),20123.0)</f>
        <v>20123</v>
      </c>
      <c r="L524" s="763" t="str">
        <f>IFERROR(__xludf.DUMMYFUNCTION("""COMPUTED_VALUE"""),"Apple Pay")</f>
        <v>Apple Pay</v>
      </c>
      <c r="M524" s="763"/>
      <c r="N524" s="763" t="str">
        <f>IFERROR(__xludf.DUMMYFUNCTION("""COMPUTED_VALUE"""),"66024-1762948994")</f>
        <v>66024-1762948994</v>
      </c>
      <c r="O524" s="763">
        <f>IFERROR(__xludf.DUMMYFUNCTION("""COMPUTED_VALUE"""),0.0)</f>
        <v>0</v>
      </c>
      <c r="P524" s="767">
        <f>IFERROR(__xludf.DUMMYFUNCTION("""COMPUTED_VALUE"""),1.0416666666666667)</f>
        <v>1.041666667</v>
      </c>
      <c r="Q524" s="763" t="str">
        <f>IFERROR(__xludf.DUMMYFUNCTION("""COMPUTED_VALUE"""),"EUR")</f>
        <v>EUR</v>
      </c>
      <c r="R524" s="763">
        <f>IFERROR(__xludf.DUMMYFUNCTION("""COMPUTED_VALUE"""),997.0)</f>
        <v>997</v>
      </c>
      <c r="S524" s="763" t="str">
        <f>IFERROR(__xludf.DUMMYFUNCTION("""COMPUTED_VALUE"""),"Festa di Natale 2025 - Festa di natale 2025 SOLO serata 25€")</f>
        <v>Festa di Natale 2025 - Festa di natale 2025 SOLO serata 25€</v>
      </c>
      <c r="T524" s="763"/>
      <c r="U524" s="763"/>
      <c r="V524" s="763">
        <f>IFERROR(__xludf.DUMMYFUNCTION("""COMPUTED_VALUE"""),1.0)</f>
        <v>1</v>
      </c>
      <c r="W524" s="763">
        <f>IFERROR(__xludf.DUMMYFUNCTION("""COMPUTED_VALUE"""),25.0)</f>
        <v>25</v>
      </c>
      <c r="X524" s="763">
        <f>IFERROR(__xludf.DUMMYFUNCTION("""COMPUTED_VALUE"""),25.0)</f>
        <v>25</v>
      </c>
      <c r="Y524" s="763"/>
      <c r="Z524" s="768" t="str">
        <f>IFERROR(__xludf.DUMMYFUNCTION("""COMPUTED_VALUE"""),"https://studio-gem.it/wp-admin/post.php?post=66024&amp;action=edit")</f>
        <v>https://studio-gem.it/wp-admin/post.php?post=66024&amp;action=edit</v>
      </c>
      <c r="AA524" s="763"/>
      <c r="AB524" s="763"/>
      <c r="AC524" s="763"/>
      <c r="AD524" s="763"/>
      <c r="AE524" s="763"/>
      <c r="AF524" s="763"/>
      <c r="AG524" s="763"/>
      <c r="AH524" s="763"/>
      <c r="AI524" s="763"/>
      <c r="AJ524" s="763"/>
      <c r="AK524" s="763"/>
      <c r="AL524" s="763"/>
      <c r="AM524" s="763"/>
      <c r="AN524" s="763"/>
      <c r="AO524" s="763"/>
      <c r="AP524" s="763"/>
      <c r="AQ524" s="763"/>
      <c r="AR524" s="763"/>
      <c r="AS524" s="763"/>
      <c r="AT524" s="763"/>
      <c r="AU524" s="763"/>
      <c r="AV524" s="763"/>
      <c r="AW524" s="763"/>
      <c r="AX524" s="763"/>
      <c r="AY524" s="763"/>
      <c r="AZ524" s="763"/>
      <c r="BA524" s="763"/>
      <c r="BB524" s="763"/>
      <c r="BC524" s="763"/>
      <c r="BD524" s="763"/>
      <c r="BE524" s="763"/>
      <c r="BF524" s="763"/>
      <c r="BG524" s="763" t="b">
        <f>IFERROR(__xludf.DUMMYFUNCTION("""COMPUTED_VALUE"""),TRUE)</f>
        <v>1</v>
      </c>
      <c r="BH524" s="763" t="b">
        <f>IFERROR(__xludf.DUMMYFUNCTION("""COMPUTED_VALUE"""),FALSE)</f>
        <v>0</v>
      </c>
      <c r="BI524" s="763" t="b">
        <f>IFERROR(__xludf.DUMMYFUNCTION("""COMPUTED_VALUE"""),TRUE)</f>
        <v>1</v>
      </c>
      <c r="BJ524" s="763" t="b">
        <f>IFERROR(__xludf.DUMMYFUNCTION("""COMPUTED_VALUE"""),TRUE)</f>
        <v>1</v>
      </c>
    </row>
    <row r="525">
      <c r="A525" s="763">
        <f>IFERROR(__xludf.DUMMYFUNCTION("""COMPUTED_VALUE"""),66026.0)</f>
        <v>66026</v>
      </c>
      <c r="B525" s="763">
        <f>IFERROR(__xludf.DUMMYFUNCTION("""COMPUTED_VALUE"""),66026.0)</f>
        <v>66026</v>
      </c>
      <c r="C525" s="763" t="str">
        <f>IFERROR(__xludf.DUMMYFUNCTION("""COMPUTED_VALUE"""),"2025-11-12 12:19:31")</f>
        <v>2025-11-12 12:19:31</v>
      </c>
      <c r="D525" s="763" t="str">
        <f>IFERROR(__xludf.DUMMYFUNCTION("""COMPUTED_VALUE"""),"processing")</f>
        <v>processing</v>
      </c>
      <c r="E525" s="763" t="str">
        <f>IFERROR(__xludf.DUMMYFUNCTION("""COMPUTED_VALUE"""),"Letizia")</f>
        <v>Letizia</v>
      </c>
      <c r="F525" s="763" t="str">
        <f>IFERROR(__xludf.DUMMYFUNCTION("""COMPUTED_VALUE"""),"Bua")</f>
        <v>Bua</v>
      </c>
      <c r="G525" s="763" t="str">
        <f>IFERROR(__xludf.DUMMYFUNCTION("""COMPUTED_VALUE"""),"perrie2013@libero.it")</f>
        <v>perrie2013@libero.it</v>
      </c>
      <c r="H525" s="763">
        <f>IFERROR(__xludf.DUMMYFUNCTION("""COMPUTED_VALUE"""),3.896980899E9)</f>
        <v>3896980899</v>
      </c>
      <c r="I525" s="763" t="str">
        <f>IFERROR(__xludf.DUMMYFUNCTION("""COMPUTED_VALUE"""),"Milano")</f>
        <v>Milano</v>
      </c>
      <c r="J525" s="763" t="str">
        <f>IFERROR(__xludf.DUMMYFUNCTION("""COMPUTED_VALUE"""),"via Aldo tarabella 11")</f>
        <v>via Aldo tarabella 11</v>
      </c>
      <c r="K525" s="763">
        <f>IFERROR(__xludf.DUMMYFUNCTION("""COMPUTED_VALUE"""),20132.0)</f>
        <v>20132</v>
      </c>
      <c r="L525" s="763" t="str">
        <f>IFERROR(__xludf.DUMMYFUNCTION("""COMPUTED_VALUE"""),"Carte di pagamento")</f>
        <v>Carte di pagamento</v>
      </c>
      <c r="M525" s="763" t="str">
        <f>IFERROR(__xludf.DUMMYFUNCTION("""COMPUTED_VALUE"""),"nura05natale")</f>
        <v>nura05natale</v>
      </c>
      <c r="N525" s="763" t="str">
        <f>IFERROR(__xludf.DUMMYFUNCTION("""COMPUTED_VALUE"""),"66026-1762949972")</f>
        <v>66026-1762949972</v>
      </c>
      <c r="O525" s="763">
        <f>IFERROR(__xludf.DUMMYFUNCTION("""COMPUTED_VALUE"""),0.0)</f>
        <v>0</v>
      </c>
      <c r="P525" s="767">
        <f>IFERROR(__xludf.DUMMYFUNCTION("""COMPUTED_VALUE"""),2.0833333333333335)</f>
        <v>2.083333333</v>
      </c>
      <c r="Q525" s="763" t="str">
        <f>IFERROR(__xludf.DUMMYFUNCTION("""COMPUTED_VALUE"""),"EUR")</f>
        <v>EUR</v>
      </c>
      <c r="R525" s="763">
        <f>IFERROR(__xludf.DUMMYFUNCTION("""COMPUTED_VALUE"""),998.0)</f>
        <v>998</v>
      </c>
      <c r="S525" s="763" t="str">
        <f>IFERROR(__xludf.DUMMYFUNCTION("""COMPUTED_VALUE"""),"Festa di Natale 2025 - Festa di natale 2025 lezioni + pizza + serata 55€")</f>
        <v>Festa di Natale 2025 - Festa di natale 2025 lezioni + pizza + serata 55€</v>
      </c>
      <c r="T525" s="763"/>
      <c r="U525" s="763"/>
      <c r="V525" s="763">
        <f>IFERROR(__xludf.DUMMYFUNCTION("""COMPUTED_VALUE"""),1.0)</f>
        <v>1</v>
      </c>
      <c r="W525" s="763">
        <f>IFERROR(__xludf.DUMMYFUNCTION("""COMPUTED_VALUE"""),50.0)</f>
        <v>50</v>
      </c>
      <c r="X525" s="763">
        <f>IFERROR(__xludf.DUMMYFUNCTION("""COMPUTED_VALUE"""),50.0)</f>
        <v>50</v>
      </c>
      <c r="Y525" s="763"/>
      <c r="Z525" s="768" t="str">
        <f>IFERROR(__xludf.DUMMYFUNCTION("""COMPUTED_VALUE"""),"https://studio-gem.it/wp-admin/post.php?post=66026&amp;action=edit")</f>
        <v>https://studio-gem.it/wp-admin/post.php?post=66026&amp;action=edit</v>
      </c>
      <c r="AA525" s="763"/>
      <c r="AB525" s="763"/>
      <c r="AC525" s="763"/>
      <c r="AD525" s="763"/>
      <c r="AE525" s="763"/>
      <c r="AF525" s="763"/>
      <c r="AG525" s="763"/>
      <c r="AH525" s="763"/>
      <c r="AI525" s="763"/>
      <c r="AJ525" s="763"/>
      <c r="AK525" s="763"/>
      <c r="AL525" s="763"/>
      <c r="AM525" s="763"/>
      <c r="AN525" s="763"/>
      <c r="AO525" s="763"/>
      <c r="AP525" s="763"/>
      <c r="AQ525" s="763"/>
      <c r="AR525" s="763"/>
      <c r="AS525" s="763"/>
      <c r="AT525" s="763"/>
      <c r="AU525" s="763"/>
      <c r="AV525" s="763"/>
      <c r="AW525" s="763"/>
      <c r="AX525" s="763"/>
      <c r="AY525" s="763"/>
      <c r="AZ525" s="763"/>
      <c r="BA525" s="763"/>
      <c r="BB525" s="763"/>
      <c r="BC525" s="763"/>
      <c r="BD525" s="763"/>
      <c r="BE525" s="763"/>
      <c r="BF525" s="763"/>
      <c r="BG525" s="763" t="b">
        <f>IFERROR(__xludf.DUMMYFUNCTION("""COMPUTED_VALUE"""),TRUE)</f>
        <v>1</v>
      </c>
      <c r="BH525" s="763" t="b">
        <f>IFERROR(__xludf.DUMMYFUNCTION("""COMPUTED_VALUE"""),FALSE)</f>
        <v>0</v>
      </c>
      <c r="BI525" s="763" t="b">
        <f>IFERROR(__xludf.DUMMYFUNCTION("""COMPUTED_VALUE"""),TRUE)</f>
        <v>1</v>
      </c>
      <c r="BJ525" s="763" t="b">
        <f>IFERROR(__xludf.DUMMYFUNCTION("""COMPUTED_VALUE"""),TRUE)</f>
        <v>1</v>
      </c>
    </row>
    <row r="526">
      <c r="A526" s="763">
        <f>IFERROR(__xludf.DUMMYFUNCTION("""COMPUTED_VALUE"""),66028.0)</f>
        <v>66028</v>
      </c>
      <c r="B526" s="763">
        <f>IFERROR(__xludf.DUMMYFUNCTION("""COMPUTED_VALUE"""),66028.0)</f>
        <v>66028</v>
      </c>
      <c r="C526" s="763" t="str">
        <f>IFERROR(__xludf.DUMMYFUNCTION("""COMPUTED_VALUE"""),"2025-11-12 13:00:40")</f>
        <v>2025-11-12 13:00:40</v>
      </c>
      <c r="D526" s="763" t="str">
        <f>IFERROR(__xludf.DUMMYFUNCTION("""COMPUTED_VALUE"""),"processing")</f>
        <v>processing</v>
      </c>
      <c r="E526" s="763" t="str">
        <f>IFERROR(__xludf.DUMMYFUNCTION("""COMPUTED_VALUE"""),"Lara")</f>
        <v>Lara</v>
      </c>
      <c r="F526" s="763" t="str">
        <f>IFERROR(__xludf.DUMMYFUNCTION("""COMPUTED_VALUE"""),"Paganelli")</f>
        <v>Paganelli</v>
      </c>
      <c r="G526" s="763" t="str">
        <f>IFERROR(__xludf.DUMMYFUNCTION("""COMPUTED_VALUE"""),"paganelli.lara@gmail.com")</f>
        <v>paganelli.lara@gmail.com</v>
      </c>
      <c r="H526" s="763">
        <f>IFERROR(__xludf.DUMMYFUNCTION("""COMPUTED_VALUE"""),3.270464071E9)</f>
        <v>3270464071</v>
      </c>
      <c r="I526" s="763" t="str">
        <f>IFERROR(__xludf.DUMMYFUNCTION("""COMPUTED_VALUE"""),"Milano")</f>
        <v>Milano</v>
      </c>
      <c r="J526" s="763" t="str">
        <f>IFERROR(__xludf.DUMMYFUNCTION("""COMPUTED_VALUE"""),"Via Bessarione 29")</f>
        <v>Via Bessarione 29</v>
      </c>
      <c r="K526" s="763">
        <f>IFERROR(__xludf.DUMMYFUNCTION("""COMPUTED_VALUE"""),20139.0)</f>
        <v>20139</v>
      </c>
      <c r="L526" s="763" t="str">
        <f>IFERROR(__xludf.DUMMYFUNCTION("""COMPUTED_VALUE"""),"Carte di pagamento")</f>
        <v>Carte di pagamento</v>
      </c>
      <c r="M526" s="763"/>
      <c r="N526" s="763" t="str">
        <f>IFERROR(__xludf.DUMMYFUNCTION("""COMPUTED_VALUE"""),"66028-1762952441")</f>
        <v>66028-1762952441</v>
      </c>
      <c r="O526" s="763">
        <f>IFERROR(__xludf.DUMMYFUNCTION("""COMPUTED_VALUE"""),0.0)</f>
        <v>0</v>
      </c>
      <c r="P526" s="767">
        <f>IFERROR(__xludf.DUMMYFUNCTION("""COMPUTED_VALUE"""),1.5416666666666667)</f>
        <v>1.541666667</v>
      </c>
      <c r="Q526" s="763" t="str">
        <f>IFERROR(__xludf.DUMMYFUNCTION("""COMPUTED_VALUE"""),"EUR")</f>
        <v>EUR</v>
      </c>
      <c r="R526" s="763">
        <f>IFERROR(__xludf.DUMMYFUNCTION("""COMPUTED_VALUE"""),1000.0)</f>
        <v>1000</v>
      </c>
      <c r="S526" s="763" t="str">
        <f>IFERROR(__xludf.DUMMYFUNCTION("""COMPUTED_VALUE"""),"Workshop Heels con Deborah Esposito - Workshop Heels con Deborah Esposito")</f>
        <v>Workshop Heels con Deborah Esposito - Workshop Heels con Deborah Esposito</v>
      </c>
      <c r="T526" s="763"/>
      <c r="U526" s="763"/>
      <c r="V526" s="763">
        <f>IFERROR(__xludf.DUMMYFUNCTION("""COMPUTED_VALUE"""),1.0)</f>
        <v>1</v>
      </c>
      <c r="W526" s="763">
        <f>IFERROR(__xludf.DUMMYFUNCTION("""COMPUTED_VALUE"""),37.0)</f>
        <v>37</v>
      </c>
      <c r="X526" s="763">
        <f>IFERROR(__xludf.DUMMYFUNCTION("""COMPUTED_VALUE"""),37.0)</f>
        <v>37</v>
      </c>
      <c r="Y526" s="763"/>
      <c r="Z526" s="768" t="str">
        <f>IFERROR(__xludf.DUMMYFUNCTION("""COMPUTED_VALUE"""),"https://studio-gem.it/wp-admin/post.php?post=66028&amp;action=edit")</f>
        <v>https://studio-gem.it/wp-admin/post.php?post=66028&amp;action=edit</v>
      </c>
      <c r="AA526" s="763"/>
      <c r="AB526" s="763"/>
      <c r="AC526" s="763"/>
      <c r="AD526" s="763"/>
      <c r="AE526" s="763"/>
      <c r="AF526" s="763"/>
      <c r="AG526" s="763"/>
      <c r="AH526" s="763"/>
      <c r="AI526" s="763"/>
      <c r="AJ526" s="763"/>
      <c r="AK526" s="763"/>
      <c r="AL526" s="763"/>
      <c r="AM526" s="763"/>
      <c r="AN526" s="763"/>
      <c r="AO526" s="763"/>
      <c r="AP526" s="763"/>
      <c r="AQ526" s="763"/>
      <c r="AR526" s="763"/>
      <c r="AS526" s="763"/>
      <c r="AT526" s="763"/>
      <c r="AU526" s="763"/>
      <c r="AV526" s="763"/>
      <c r="AW526" s="763"/>
      <c r="AX526" s="763"/>
      <c r="AY526" s="763"/>
      <c r="AZ526" s="763"/>
      <c r="BA526" s="763"/>
      <c r="BB526" s="763"/>
      <c r="BC526" s="763"/>
      <c r="BD526" s="763"/>
      <c r="BE526" s="763"/>
      <c r="BF526" s="763"/>
      <c r="BG526" s="763" t="b">
        <f>IFERROR(__xludf.DUMMYFUNCTION("""COMPUTED_VALUE"""),TRUE)</f>
        <v>1</v>
      </c>
      <c r="BH526" s="763" t="b">
        <f>IFERROR(__xludf.DUMMYFUNCTION("""COMPUTED_VALUE"""),FALSE)</f>
        <v>0</v>
      </c>
      <c r="BI526" s="763" t="b">
        <f>IFERROR(__xludf.DUMMYFUNCTION("""COMPUTED_VALUE"""),TRUE)</f>
        <v>1</v>
      </c>
      <c r="BJ526" s="763" t="b">
        <f>IFERROR(__xludf.DUMMYFUNCTION("""COMPUTED_VALUE"""),TRUE)</f>
        <v>1</v>
      </c>
    </row>
    <row r="527">
      <c r="A527" s="763">
        <f>IFERROR(__xludf.DUMMYFUNCTION("""COMPUTED_VALUE"""),66029.0)</f>
        <v>66029</v>
      </c>
      <c r="B527" s="763">
        <f>IFERROR(__xludf.DUMMYFUNCTION("""COMPUTED_VALUE"""),66029.0)</f>
        <v>66029</v>
      </c>
      <c r="C527" s="763" t="str">
        <f>IFERROR(__xludf.DUMMYFUNCTION("""COMPUTED_VALUE"""),"2025-11-12 13:02:27")</f>
        <v>2025-11-12 13:02:27</v>
      </c>
      <c r="D527" s="763" t="str">
        <f>IFERROR(__xludf.DUMMYFUNCTION("""COMPUTED_VALUE"""),"processing")</f>
        <v>processing</v>
      </c>
      <c r="E527" s="763" t="str">
        <f>IFERROR(__xludf.DUMMYFUNCTION("""COMPUTED_VALUE"""),"Chiara")</f>
        <v>Chiara</v>
      </c>
      <c r="F527" s="763" t="str">
        <f>IFERROR(__xludf.DUMMYFUNCTION("""COMPUTED_VALUE"""),"Di Berardino")</f>
        <v>Di Berardino</v>
      </c>
      <c r="G527" s="763" t="str">
        <f>IFERROR(__xludf.DUMMYFUNCTION("""COMPUTED_VALUE"""),"chiara.diberardino97@gmail.com")</f>
        <v>chiara.diberardino97@gmail.com</v>
      </c>
      <c r="H527" s="763">
        <f>IFERROR(__xludf.DUMMYFUNCTION("""COMPUTED_VALUE"""),3.408852726E9)</f>
        <v>3408852726</v>
      </c>
      <c r="I527" s="763" t="str">
        <f>IFERROR(__xludf.DUMMYFUNCTION("""COMPUTED_VALUE"""),"Mantova")</f>
        <v>Mantova</v>
      </c>
      <c r="J527" s="763" t="str">
        <f>IFERROR(__xludf.DUMMYFUNCTION("""COMPUTED_VALUE"""),"Via Parma 18 A")</f>
        <v>Via Parma 18 A</v>
      </c>
      <c r="K527" s="763">
        <f>IFERROR(__xludf.DUMMYFUNCTION("""COMPUTED_VALUE"""),46100.0)</f>
        <v>46100</v>
      </c>
      <c r="L527" s="763" t="str">
        <f>IFERROR(__xludf.DUMMYFUNCTION("""COMPUTED_VALUE"""),"Carte di pagamento")</f>
        <v>Carte di pagamento</v>
      </c>
      <c r="M527" s="763"/>
      <c r="N527" s="763" t="str">
        <f>IFERROR(__xludf.DUMMYFUNCTION("""COMPUTED_VALUE"""),"66029-1762952549")</f>
        <v>66029-1762952549</v>
      </c>
      <c r="O527" s="763">
        <f>IFERROR(__xludf.DUMMYFUNCTION("""COMPUTED_VALUE"""),0.0)</f>
        <v>0</v>
      </c>
      <c r="P527" s="767">
        <f>IFERROR(__xludf.DUMMYFUNCTION("""COMPUTED_VALUE"""),1.5416666666666667)</f>
        <v>1.541666667</v>
      </c>
      <c r="Q527" s="763" t="str">
        <f>IFERROR(__xludf.DUMMYFUNCTION("""COMPUTED_VALUE"""),"EUR")</f>
        <v>EUR</v>
      </c>
      <c r="R527" s="763">
        <f>IFERROR(__xludf.DUMMYFUNCTION("""COMPUTED_VALUE"""),1001.0)</f>
        <v>1001</v>
      </c>
      <c r="S527" s="763" t="str">
        <f>IFERROR(__xludf.DUMMYFUNCTION("""COMPUTED_VALUE"""),"Workshop Heels con Deborah Esposito - Workshop Heels con Deborah Esposito")</f>
        <v>Workshop Heels con Deborah Esposito - Workshop Heels con Deborah Esposito</v>
      </c>
      <c r="T527" s="763"/>
      <c r="U527" s="763"/>
      <c r="V527" s="763">
        <f>IFERROR(__xludf.DUMMYFUNCTION("""COMPUTED_VALUE"""),1.0)</f>
        <v>1</v>
      </c>
      <c r="W527" s="763">
        <f>IFERROR(__xludf.DUMMYFUNCTION("""COMPUTED_VALUE"""),37.0)</f>
        <v>37</v>
      </c>
      <c r="X527" s="763">
        <f>IFERROR(__xludf.DUMMYFUNCTION("""COMPUTED_VALUE"""),37.0)</f>
        <v>37</v>
      </c>
      <c r="Y527" s="763"/>
      <c r="Z527" s="768" t="str">
        <f>IFERROR(__xludf.DUMMYFUNCTION("""COMPUTED_VALUE"""),"https://studio-gem.it/wp-admin/post.php?post=66029&amp;action=edit")</f>
        <v>https://studio-gem.it/wp-admin/post.php?post=66029&amp;action=edit</v>
      </c>
      <c r="AA527" s="763"/>
      <c r="AB527" s="763"/>
      <c r="AC527" s="763"/>
      <c r="AD527" s="763"/>
      <c r="AE527" s="763"/>
      <c r="AF527" s="763"/>
      <c r="AG527" s="763"/>
      <c r="AH527" s="763"/>
      <c r="AI527" s="763"/>
      <c r="AJ527" s="763"/>
      <c r="AK527" s="763"/>
      <c r="AL527" s="763"/>
      <c r="AM527" s="763"/>
      <c r="AN527" s="763"/>
      <c r="AO527" s="763"/>
      <c r="AP527" s="763"/>
      <c r="AQ527" s="763"/>
      <c r="AR527" s="763"/>
      <c r="AS527" s="763"/>
      <c r="AT527" s="763"/>
      <c r="AU527" s="763"/>
      <c r="AV527" s="763"/>
      <c r="AW527" s="763"/>
      <c r="AX527" s="763"/>
      <c r="AY527" s="763"/>
      <c r="AZ527" s="763"/>
      <c r="BA527" s="763"/>
      <c r="BB527" s="763"/>
      <c r="BC527" s="763"/>
      <c r="BD527" s="763"/>
      <c r="BE527" s="763"/>
      <c r="BF527" s="763"/>
      <c r="BG527" s="763" t="b">
        <f>IFERROR(__xludf.DUMMYFUNCTION("""COMPUTED_VALUE"""),TRUE)</f>
        <v>1</v>
      </c>
      <c r="BH527" s="763" t="b">
        <f>IFERROR(__xludf.DUMMYFUNCTION("""COMPUTED_VALUE"""),FALSE)</f>
        <v>0</v>
      </c>
      <c r="BI527" s="763" t="b">
        <f>IFERROR(__xludf.DUMMYFUNCTION("""COMPUTED_VALUE"""),TRUE)</f>
        <v>1</v>
      </c>
      <c r="BJ527" s="763" t="b">
        <f>IFERROR(__xludf.DUMMYFUNCTION("""COMPUTED_VALUE"""),TRUE)</f>
        <v>1</v>
      </c>
    </row>
    <row r="528">
      <c r="A528" s="763">
        <f>IFERROR(__xludf.DUMMYFUNCTION("""COMPUTED_VALUE"""),66030.0)</f>
        <v>66030</v>
      </c>
      <c r="B528" s="763">
        <f>IFERROR(__xludf.DUMMYFUNCTION("""COMPUTED_VALUE"""),66030.0)</f>
        <v>66030</v>
      </c>
      <c r="C528" s="763" t="str">
        <f>IFERROR(__xludf.DUMMYFUNCTION("""COMPUTED_VALUE"""),"2025-11-12 13:08:08")</f>
        <v>2025-11-12 13:08:08</v>
      </c>
      <c r="D528" s="763" t="str">
        <f>IFERROR(__xludf.DUMMYFUNCTION("""COMPUTED_VALUE"""),"processing")</f>
        <v>processing</v>
      </c>
      <c r="E528" s="763" t="str">
        <f>IFERROR(__xludf.DUMMYFUNCTION("""COMPUTED_VALUE"""),"Francesca")</f>
        <v>Francesca</v>
      </c>
      <c r="F528" s="763" t="str">
        <f>IFERROR(__xludf.DUMMYFUNCTION("""COMPUTED_VALUE"""),"mascia")</f>
        <v>mascia</v>
      </c>
      <c r="G528" s="763" t="str">
        <f>IFERROR(__xludf.DUMMYFUNCTION("""COMPUTED_VALUE"""),"francesca.mascia01@gmail.com")</f>
        <v>francesca.mascia01@gmail.com</v>
      </c>
      <c r="H528" s="763">
        <f>IFERROR(__xludf.DUMMYFUNCTION("""COMPUTED_VALUE"""),3.481605739E9)</f>
        <v>3481605739</v>
      </c>
      <c r="I528" s="763" t="str">
        <f>IFERROR(__xludf.DUMMYFUNCTION("""COMPUTED_VALUE"""),"GORGONZOLA")</f>
        <v>GORGONZOLA</v>
      </c>
      <c r="J528" s="763" t="str">
        <f>IFERROR(__xludf.DUMMYFUNCTION("""COMPUTED_VALUE"""),"Via Cascina Carcassola 1")</f>
        <v>Via Cascina Carcassola 1</v>
      </c>
      <c r="K528" s="763">
        <f>IFERROR(__xludf.DUMMYFUNCTION("""COMPUTED_VALUE"""),20139.0)</f>
        <v>20139</v>
      </c>
      <c r="L528" s="763" t="str">
        <f>IFERROR(__xludf.DUMMYFUNCTION("""COMPUTED_VALUE"""),"Carte di pagamento")</f>
        <v>Carte di pagamento</v>
      </c>
      <c r="M528" s="763"/>
      <c r="N528" s="763" t="str">
        <f>IFERROR(__xludf.DUMMYFUNCTION("""COMPUTED_VALUE"""),"66030-1762952889")</f>
        <v>66030-1762952889</v>
      </c>
      <c r="O528" s="763">
        <f>IFERROR(__xludf.DUMMYFUNCTION("""COMPUTED_VALUE"""),0.0)</f>
        <v>0</v>
      </c>
      <c r="P528" s="767">
        <f>IFERROR(__xludf.DUMMYFUNCTION("""COMPUTED_VALUE"""),1.5416666666666667)</f>
        <v>1.541666667</v>
      </c>
      <c r="Q528" s="763" t="str">
        <f>IFERROR(__xludf.DUMMYFUNCTION("""COMPUTED_VALUE"""),"EUR")</f>
        <v>EUR</v>
      </c>
      <c r="R528" s="763">
        <f>IFERROR(__xludf.DUMMYFUNCTION("""COMPUTED_VALUE"""),1002.0)</f>
        <v>1002</v>
      </c>
      <c r="S528" s="763" t="str">
        <f>IFERROR(__xludf.DUMMYFUNCTION("""COMPUTED_VALUE"""),"Workshop Heels con Deborah Esposito - Workshop Heels con Deborah Esposito")</f>
        <v>Workshop Heels con Deborah Esposito - Workshop Heels con Deborah Esposito</v>
      </c>
      <c r="T528" s="763"/>
      <c r="U528" s="763"/>
      <c r="V528" s="763">
        <f>IFERROR(__xludf.DUMMYFUNCTION("""COMPUTED_VALUE"""),1.0)</f>
        <v>1</v>
      </c>
      <c r="W528" s="763">
        <f>IFERROR(__xludf.DUMMYFUNCTION("""COMPUTED_VALUE"""),37.0)</f>
        <v>37</v>
      </c>
      <c r="X528" s="763">
        <f>IFERROR(__xludf.DUMMYFUNCTION("""COMPUTED_VALUE"""),37.0)</f>
        <v>37</v>
      </c>
      <c r="Y528" s="763"/>
      <c r="Z528" s="768" t="str">
        <f>IFERROR(__xludf.DUMMYFUNCTION("""COMPUTED_VALUE"""),"https://studio-gem.it/wp-admin/post.php?post=66030&amp;action=edit")</f>
        <v>https://studio-gem.it/wp-admin/post.php?post=66030&amp;action=edit</v>
      </c>
      <c r="AA528" s="763"/>
      <c r="AB528" s="763"/>
      <c r="AC528" s="763"/>
      <c r="AD528" s="763"/>
      <c r="AE528" s="763"/>
      <c r="AF528" s="763"/>
      <c r="AG528" s="763"/>
      <c r="AH528" s="763"/>
      <c r="AI528" s="763"/>
      <c r="AJ528" s="763"/>
      <c r="AK528" s="763"/>
      <c r="AL528" s="763"/>
      <c r="AM528" s="763"/>
      <c r="AN528" s="763"/>
      <c r="AO528" s="763"/>
      <c r="AP528" s="763"/>
      <c r="AQ528" s="763"/>
      <c r="AR528" s="763"/>
      <c r="AS528" s="763"/>
      <c r="AT528" s="763"/>
      <c r="AU528" s="763"/>
      <c r="AV528" s="763"/>
      <c r="AW528" s="763"/>
      <c r="AX528" s="763"/>
      <c r="AY528" s="763"/>
      <c r="AZ528" s="763"/>
      <c r="BA528" s="763"/>
      <c r="BB528" s="763"/>
      <c r="BC528" s="763"/>
      <c r="BD528" s="763"/>
      <c r="BE528" s="763"/>
      <c r="BF528" s="763"/>
      <c r="BG528" s="763" t="b">
        <f>IFERROR(__xludf.DUMMYFUNCTION("""COMPUTED_VALUE"""),TRUE)</f>
        <v>1</v>
      </c>
      <c r="BH528" s="763" t="b">
        <f>IFERROR(__xludf.DUMMYFUNCTION("""COMPUTED_VALUE"""),FALSE)</f>
        <v>0</v>
      </c>
      <c r="BI528" s="763" t="b">
        <f>IFERROR(__xludf.DUMMYFUNCTION("""COMPUTED_VALUE"""),TRUE)</f>
        <v>1</v>
      </c>
      <c r="BJ528" s="763" t="b">
        <f>IFERROR(__xludf.DUMMYFUNCTION("""COMPUTED_VALUE"""),TRUE)</f>
        <v>1</v>
      </c>
    </row>
    <row r="529">
      <c r="A529" s="763">
        <f>IFERROR(__xludf.DUMMYFUNCTION("""COMPUTED_VALUE"""),66035.0)</f>
        <v>66035</v>
      </c>
      <c r="B529" s="763">
        <f>IFERROR(__xludf.DUMMYFUNCTION("""COMPUTED_VALUE"""),66035.0)</f>
        <v>66035</v>
      </c>
      <c r="C529" s="763" t="str">
        <f>IFERROR(__xludf.DUMMYFUNCTION("""COMPUTED_VALUE"""),"2025-11-12 14:19:54")</f>
        <v>2025-11-12 14:19:54</v>
      </c>
      <c r="D529" s="763" t="str">
        <f>IFERROR(__xludf.DUMMYFUNCTION("""COMPUTED_VALUE"""),"completed")</f>
        <v>completed</v>
      </c>
      <c r="E529" s="763" t="str">
        <f>IFERROR(__xludf.DUMMYFUNCTION("""COMPUTED_VALUE"""),"Giulia")</f>
        <v>Giulia</v>
      </c>
      <c r="F529" s="763" t="str">
        <f>IFERROR(__xludf.DUMMYFUNCTION("""COMPUTED_VALUE"""),"Ghetti")</f>
        <v>Ghetti</v>
      </c>
      <c r="G529" s="763" t="str">
        <f>IFERROR(__xludf.DUMMYFUNCTION("""COMPUTED_VALUE"""),"giulia.ghetti72@gmail.com")</f>
        <v>giulia.ghetti72@gmail.com</v>
      </c>
      <c r="H529" s="763">
        <f>IFERROR(__xludf.DUMMYFUNCTION("""COMPUTED_VALUE"""),3.931926517E9)</f>
        <v>3931926517</v>
      </c>
      <c r="I529" s="763" t="str">
        <f>IFERROR(__xludf.DUMMYFUNCTION("""COMPUTED_VALUE"""),"Milano")</f>
        <v>Milano</v>
      </c>
      <c r="J529" s="763" t="str">
        <f>IFERROR(__xludf.DUMMYFUNCTION("""COMPUTED_VALUE"""),"Via Muratori 46/9")</f>
        <v>Via Muratori 46/9</v>
      </c>
      <c r="K529" s="763">
        <f>IFERROR(__xludf.DUMMYFUNCTION("""COMPUTED_VALUE"""),20135.0)</f>
        <v>20135</v>
      </c>
      <c r="L529" s="763" t="str">
        <f>IFERROR(__xludf.DUMMYFUNCTION("""COMPUTED_VALUE"""),"Carte di pagamento")</f>
        <v>Carte di pagamento</v>
      </c>
      <c r="M529" s="763" t="str">
        <f>IFERROR(__xludf.DUMMYFUNCTION("""COMPUTED_VALUE"""),"santo05natale")</f>
        <v>santo05natale</v>
      </c>
      <c r="N529" s="763" t="str">
        <f>IFERROR(__xludf.DUMMYFUNCTION("""COMPUTED_VALUE"""),"66035-1762957196")</f>
        <v>66035-1762957196</v>
      </c>
      <c r="O529" s="763">
        <f>IFERROR(__xludf.DUMMYFUNCTION("""COMPUTED_VALUE"""),0.0)</f>
        <v>0</v>
      </c>
      <c r="P529" s="767">
        <f>IFERROR(__xludf.DUMMYFUNCTION("""COMPUTED_VALUE"""),2.0833333333333335)</f>
        <v>2.083333333</v>
      </c>
      <c r="Q529" s="763" t="str">
        <f>IFERROR(__xludf.DUMMYFUNCTION("""COMPUTED_VALUE"""),"EUR")</f>
        <v>EUR</v>
      </c>
      <c r="R529" s="763">
        <f>IFERROR(__xludf.DUMMYFUNCTION("""COMPUTED_VALUE"""),1003.0)</f>
        <v>1003</v>
      </c>
      <c r="S529" s="763" t="str">
        <f>IFERROR(__xludf.DUMMYFUNCTION("""COMPUTED_VALUE"""),"Festa di Natale 2025 - Festa di natale 2025 lezioni + pizza + serata 55€")</f>
        <v>Festa di Natale 2025 - Festa di natale 2025 lezioni + pizza + serata 55€</v>
      </c>
      <c r="T529" s="763"/>
      <c r="U529" s="763"/>
      <c r="V529" s="763">
        <f>IFERROR(__xludf.DUMMYFUNCTION("""COMPUTED_VALUE"""),1.0)</f>
        <v>1</v>
      </c>
      <c r="W529" s="763">
        <f>IFERROR(__xludf.DUMMYFUNCTION("""COMPUTED_VALUE"""),50.0)</f>
        <v>50</v>
      </c>
      <c r="X529" s="763">
        <f>IFERROR(__xludf.DUMMYFUNCTION("""COMPUTED_VALUE"""),50.0)</f>
        <v>50</v>
      </c>
      <c r="Y529" s="763"/>
      <c r="Z529" s="768" t="str">
        <f>IFERROR(__xludf.DUMMYFUNCTION("""COMPUTED_VALUE"""),"https://studio-gem.it/wp-admin/post.php?post=66035&amp;action=edit")</f>
        <v>https://studio-gem.it/wp-admin/post.php?post=66035&amp;action=edit</v>
      </c>
      <c r="AA529" s="763"/>
      <c r="AB529" s="763"/>
      <c r="AC529" s="763"/>
      <c r="AD529" s="763"/>
      <c r="AE529" s="763"/>
      <c r="AF529" s="763"/>
      <c r="AG529" s="763"/>
      <c r="AH529" s="763"/>
      <c r="AI529" s="763"/>
      <c r="AJ529" s="763"/>
      <c r="AK529" s="763"/>
      <c r="AL529" s="763"/>
      <c r="AM529" s="763"/>
      <c r="AN529" s="763"/>
      <c r="AO529" s="763"/>
      <c r="AP529" s="763"/>
      <c r="AQ529" s="763"/>
      <c r="AR529" s="763"/>
      <c r="AS529" s="763"/>
      <c r="AT529" s="763"/>
      <c r="AU529" s="763"/>
      <c r="AV529" s="763"/>
      <c r="AW529" s="763"/>
      <c r="AX529" s="763"/>
      <c r="AY529" s="763"/>
      <c r="AZ529" s="763"/>
      <c r="BA529" s="763"/>
      <c r="BB529" s="763"/>
      <c r="BC529" s="763"/>
      <c r="BD529" s="763"/>
      <c r="BE529" s="763"/>
      <c r="BF529" s="763"/>
      <c r="BG529" s="763" t="b">
        <f>IFERROR(__xludf.DUMMYFUNCTION("""COMPUTED_VALUE"""),TRUE)</f>
        <v>1</v>
      </c>
      <c r="BH529" s="763" t="b">
        <f>IFERROR(__xludf.DUMMYFUNCTION("""COMPUTED_VALUE"""),FALSE)</f>
        <v>0</v>
      </c>
      <c r="BI529" s="763" t="b">
        <f>IFERROR(__xludf.DUMMYFUNCTION("""COMPUTED_VALUE"""),TRUE)</f>
        <v>1</v>
      </c>
      <c r="BJ529" s="763" t="b">
        <f>IFERROR(__xludf.DUMMYFUNCTION("""COMPUTED_VALUE"""),TRUE)</f>
        <v>1</v>
      </c>
    </row>
    <row r="530">
      <c r="A530" s="763">
        <f>IFERROR(__xludf.DUMMYFUNCTION("""COMPUTED_VALUE"""),66037.0)</f>
        <v>66037</v>
      </c>
      <c r="B530" s="763">
        <f>IFERROR(__xludf.DUMMYFUNCTION("""COMPUTED_VALUE"""),66037.0)</f>
        <v>66037</v>
      </c>
      <c r="C530" s="763" t="str">
        <f>IFERROR(__xludf.DUMMYFUNCTION("""COMPUTED_VALUE"""),"2025-11-12 14:33:05")</f>
        <v>2025-11-12 14:33:05</v>
      </c>
      <c r="D530" s="763" t="str">
        <f>IFERROR(__xludf.DUMMYFUNCTION("""COMPUTED_VALUE"""),"completed")</f>
        <v>completed</v>
      </c>
      <c r="E530" s="763" t="str">
        <f>IFERROR(__xludf.DUMMYFUNCTION("""COMPUTED_VALUE"""),"Annalisa")</f>
        <v>Annalisa</v>
      </c>
      <c r="F530" s="763" t="str">
        <f>IFERROR(__xludf.DUMMYFUNCTION("""COMPUTED_VALUE"""),"Bombini")</f>
        <v>Bombini</v>
      </c>
      <c r="G530" s="763" t="str">
        <f>IFERROR(__xludf.DUMMYFUNCTION("""COMPUTED_VALUE"""),"annalisa.bombini@icloud.com")</f>
        <v>annalisa.bombini@icloud.com</v>
      </c>
      <c r="H530" s="763">
        <f>IFERROR(__xludf.DUMMYFUNCTION("""COMPUTED_VALUE"""),3.285609091E9)</f>
        <v>3285609091</v>
      </c>
      <c r="I530" s="763" t="str">
        <f>IFERROR(__xludf.DUMMYFUNCTION("""COMPUTED_VALUE"""),"Milano")</f>
        <v>Milano</v>
      </c>
      <c r="J530" s="763" t="str">
        <f>IFERROR(__xludf.DUMMYFUNCTION("""COMPUTED_VALUE"""),"Viale Gran Sasso 46")</f>
        <v>Viale Gran Sasso 46</v>
      </c>
      <c r="K530" s="763">
        <f>IFERROR(__xludf.DUMMYFUNCTION("""COMPUTED_VALUE"""),20131.0)</f>
        <v>20131</v>
      </c>
      <c r="L530" s="763" t="str">
        <f>IFERROR(__xludf.DUMMYFUNCTION("""COMPUTED_VALUE"""),"Carte di pagamento")</f>
        <v>Carte di pagamento</v>
      </c>
      <c r="M530" s="763" t="str">
        <f>IFERROR(__xludf.DUMMYFUNCTION("""COMPUTED_VALUE"""),"santo05natale")</f>
        <v>santo05natale</v>
      </c>
      <c r="N530" s="763" t="str">
        <f>IFERROR(__xludf.DUMMYFUNCTION("""COMPUTED_VALUE"""),"66037-1762957987")</f>
        <v>66037-1762957987</v>
      </c>
      <c r="O530" s="763">
        <f>IFERROR(__xludf.DUMMYFUNCTION("""COMPUTED_VALUE"""),0.0)</f>
        <v>0</v>
      </c>
      <c r="P530" s="767">
        <f>IFERROR(__xludf.DUMMYFUNCTION("""COMPUTED_VALUE"""),2.0833333333333335)</f>
        <v>2.083333333</v>
      </c>
      <c r="Q530" s="763" t="str">
        <f>IFERROR(__xludf.DUMMYFUNCTION("""COMPUTED_VALUE"""),"EUR")</f>
        <v>EUR</v>
      </c>
      <c r="R530" s="763">
        <f>IFERROR(__xludf.DUMMYFUNCTION("""COMPUTED_VALUE"""),1005.0)</f>
        <v>1005</v>
      </c>
      <c r="S530" s="763" t="str">
        <f>IFERROR(__xludf.DUMMYFUNCTION("""COMPUTED_VALUE"""),"Festa di Natale 2025 - Festa di natale 2025 lezioni + pizza + serata 55€")</f>
        <v>Festa di Natale 2025 - Festa di natale 2025 lezioni + pizza + serata 55€</v>
      </c>
      <c r="T530" s="763"/>
      <c r="U530" s="763"/>
      <c r="V530" s="763">
        <f>IFERROR(__xludf.DUMMYFUNCTION("""COMPUTED_VALUE"""),1.0)</f>
        <v>1</v>
      </c>
      <c r="W530" s="763">
        <f>IFERROR(__xludf.DUMMYFUNCTION("""COMPUTED_VALUE"""),50.0)</f>
        <v>50</v>
      </c>
      <c r="X530" s="763">
        <f>IFERROR(__xludf.DUMMYFUNCTION("""COMPUTED_VALUE"""),50.0)</f>
        <v>50</v>
      </c>
      <c r="Y530" s="763"/>
      <c r="Z530" s="768" t="str">
        <f>IFERROR(__xludf.DUMMYFUNCTION("""COMPUTED_VALUE"""),"https://studio-gem.it/wp-admin/post.php?post=66037&amp;action=edit")</f>
        <v>https://studio-gem.it/wp-admin/post.php?post=66037&amp;action=edit</v>
      </c>
      <c r="AA530" s="763"/>
      <c r="AB530" s="763"/>
      <c r="AC530" s="763"/>
      <c r="AD530" s="763"/>
      <c r="AE530" s="763"/>
      <c r="AF530" s="763"/>
      <c r="AG530" s="763"/>
      <c r="AH530" s="763"/>
      <c r="AI530" s="763"/>
      <c r="AJ530" s="763"/>
      <c r="AK530" s="763"/>
      <c r="AL530" s="763"/>
      <c r="AM530" s="763"/>
      <c r="AN530" s="763"/>
      <c r="AO530" s="763"/>
      <c r="AP530" s="763"/>
      <c r="AQ530" s="763"/>
      <c r="AR530" s="763"/>
      <c r="AS530" s="763"/>
      <c r="AT530" s="763"/>
      <c r="AU530" s="763"/>
      <c r="AV530" s="763"/>
      <c r="AW530" s="763"/>
      <c r="AX530" s="763"/>
      <c r="AY530" s="763"/>
      <c r="AZ530" s="763"/>
      <c r="BA530" s="763"/>
      <c r="BB530" s="763"/>
      <c r="BC530" s="763"/>
      <c r="BD530" s="763"/>
      <c r="BE530" s="763"/>
      <c r="BF530" s="763"/>
      <c r="BG530" s="763" t="b">
        <f>IFERROR(__xludf.DUMMYFUNCTION("""COMPUTED_VALUE"""),TRUE)</f>
        <v>1</v>
      </c>
      <c r="BH530" s="763" t="b">
        <f>IFERROR(__xludf.DUMMYFUNCTION("""COMPUTED_VALUE"""),FALSE)</f>
        <v>0</v>
      </c>
      <c r="BI530" s="763" t="b">
        <f>IFERROR(__xludf.DUMMYFUNCTION("""COMPUTED_VALUE"""),TRUE)</f>
        <v>1</v>
      </c>
      <c r="BJ530" s="763" t="b">
        <f>IFERROR(__xludf.DUMMYFUNCTION("""COMPUTED_VALUE"""),TRUE)</f>
        <v>1</v>
      </c>
    </row>
    <row r="531">
      <c r="A531" s="763">
        <f>IFERROR(__xludf.DUMMYFUNCTION("""COMPUTED_VALUE"""),66041.0)</f>
        <v>66041</v>
      </c>
      <c r="B531" s="763">
        <f>IFERROR(__xludf.DUMMYFUNCTION("""COMPUTED_VALUE"""),66041.0)</f>
        <v>66041</v>
      </c>
      <c r="C531" s="763" t="str">
        <f>IFERROR(__xludf.DUMMYFUNCTION("""COMPUTED_VALUE"""),"2025-11-12 18:34:52")</f>
        <v>2025-11-12 18:34:52</v>
      </c>
      <c r="D531" s="763" t="str">
        <f>IFERROR(__xludf.DUMMYFUNCTION("""COMPUTED_VALUE"""),"completed")</f>
        <v>completed</v>
      </c>
      <c r="E531" s="763" t="str">
        <f>IFERROR(__xludf.DUMMYFUNCTION("""COMPUTED_VALUE"""),"Alessio")</f>
        <v>Alessio</v>
      </c>
      <c r="F531" s="763" t="str">
        <f>IFERROR(__xludf.DUMMYFUNCTION("""COMPUTED_VALUE"""),"Liberti")</f>
        <v>Liberti</v>
      </c>
      <c r="G531" s="763" t="str">
        <f>IFERROR(__xludf.DUMMYFUNCTION("""COMPUTED_VALUE"""),"liberti900@gmail.com")</f>
        <v>liberti900@gmail.com</v>
      </c>
      <c r="H531" s="763" t="str">
        <f>IFERROR(__xludf.DUMMYFUNCTION("""COMPUTED_VALUE"""),"+393664135323")</f>
        <v>+393664135323</v>
      </c>
      <c r="I531" s="763" t="str">
        <f>IFERROR(__xludf.DUMMYFUNCTION("""COMPUTED_VALUE"""),"Busto Arsizio")</f>
        <v>Busto Arsizio</v>
      </c>
      <c r="J531" s="763" t="str">
        <f>IFERROR(__xludf.DUMMYFUNCTION("""COMPUTED_VALUE"""),"Via Cassano Magnago 14")</f>
        <v>Via Cassano Magnago 14</v>
      </c>
      <c r="K531" s="763">
        <f>IFERROR(__xludf.DUMMYFUNCTION("""COMPUTED_VALUE"""),21052.0)</f>
        <v>21052</v>
      </c>
      <c r="L531" s="763" t="str">
        <f>IFERROR(__xludf.DUMMYFUNCTION("""COMPUTED_VALUE"""),"Apple Pay")</f>
        <v>Apple Pay</v>
      </c>
      <c r="M531" s="763"/>
      <c r="N531" s="763" t="str">
        <f>IFERROR(__xludf.DUMMYFUNCTION("""COMPUTED_VALUE"""),"66041-1762972494")</f>
        <v>66041-1762972494</v>
      </c>
      <c r="O531" s="763">
        <f>IFERROR(__xludf.DUMMYFUNCTION("""COMPUTED_VALUE"""),0.0)</f>
        <v>0</v>
      </c>
      <c r="P531" s="767">
        <f>IFERROR(__xludf.DUMMYFUNCTION("""COMPUTED_VALUE"""),1.3333333333333333)</f>
        <v>1.333333333</v>
      </c>
      <c r="Q531" s="763" t="str">
        <f>IFERROR(__xludf.DUMMYFUNCTION("""COMPUTED_VALUE"""),"EUR")</f>
        <v>EUR</v>
      </c>
      <c r="R531" s="763">
        <f>IFERROR(__xludf.DUMMYFUNCTION("""COMPUTED_VALUE"""),1007.0)</f>
        <v>1007</v>
      </c>
      <c r="S531" s="763" t="str">
        <f>IFERROR(__xludf.DUMMYFUNCTION("""COMPUTED_VALUE"""),"Workshop Salsa Musicality con Nicolò De Angelis - Workshop Nicolò Salsa Musicality")</f>
        <v>Workshop Salsa Musicality con Nicolò De Angelis - Workshop Nicolò Salsa Musicality</v>
      </c>
      <c r="T531" s="763"/>
      <c r="U531" s="763"/>
      <c r="V531" s="763">
        <f>IFERROR(__xludf.DUMMYFUNCTION("""COMPUTED_VALUE"""),1.0)</f>
        <v>1</v>
      </c>
      <c r="W531" s="763">
        <f>IFERROR(__xludf.DUMMYFUNCTION("""COMPUTED_VALUE"""),32.0)</f>
        <v>32</v>
      </c>
      <c r="X531" s="763">
        <f>IFERROR(__xludf.DUMMYFUNCTION("""COMPUTED_VALUE"""),32.0)</f>
        <v>32</v>
      </c>
      <c r="Y531" s="763"/>
      <c r="Z531" s="768" t="str">
        <f>IFERROR(__xludf.DUMMYFUNCTION("""COMPUTED_VALUE"""),"https://studio-gem.it/wp-admin/post.php?post=66041&amp;action=edit")</f>
        <v>https://studio-gem.it/wp-admin/post.php?post=66041&amp;action=edit</v>
      </c>
      <c r="AA531" s="763"/>
      <c r="AB531" s="763"/>
      <c r="AC531" s="763"/>
      <c r="AD531" s="763"/>
      <c r="AE531" s="763"/>
      <c r="AF531" s="763"/>
      <c r="AG531" s="763"/>
      <c r="AH531" s="763"/>
      <c r="AI531" s="763"/>
      <c r="AJ531" s="763"/>
      <c r="AK531" s="763"/>
      <c r="AL531" s="763"/>
      <c r="AM531" s="763"/>
      <c r="AN531" s="763"/>
      <c r="AO531" s="763"/>
      <c r="AP531" s="763"/>
      <c r="AQ531" s="763"/>
      <c r="AR531" s="763"/>
      <c r="AS531" s="763"/>
      <c r="AT531" s="763"/>
      <c r="AU531" s="763"/>
      <c r="AV531" s="763"/>
      <c r="AW531" s="763"/>
      <c r="AX531" s="763"/>
      <c r="AY531" s="763"/>
      <c r="AZ531" s="763"/>
      <c r="BA531" s="763"/>
      <c r="BB531" s="763"/>
      <c r="BC531" s="763"/>
      <c r="BD531" s="763"/>
      <c r="BE531" s="763"/>
      <c r="BF531" s="763"/>
      <c r="BG531" s="763" t="b">
        <f>IFERROR(__xludf.DUMMYFUNCTION("""COMPUTED_VALUE"""),TRUE)</f>
        <v>1</v>
      </c>
      <c r="BH531" s="763" t="b">
        <f>IFERROR(__xludf.DUMMYFUNCTION("""COMPUTED_VALUE"""),FALSE)</f>
        <v>0</v>
      </c>
      <c r="BI531" s="763" t="b">
        <f>IFERROR(__xludf.DUMMYFUNCTION("""COMPUTED_VALUE"""),TRUE)</f>
        <v>1</v>
      </c>
      <c r="BJ531" s="763" t="b">
        <f>IFERROR(__xludf.DUMMYFUNCTION("""COMPUTED_VALUE"""),TRUE)</f>
        <v>1</v>
      </c>
    </row>
    <row r="532">
      <c r="A532" s="763">
        <f>IFERROR(__xludf.DUMMYFUNCTION("""COMPUTED_VALUE"""),66043.0)</f>
        <v>66043</v>
      </c>
      <c r="B532" s="763">
        <f>IFERROR(__xludf.DUMMYFUNCTION("""COMPUTED_VALUE"""),66043.0)</f>
        <v>66043</v>
      </c>
      <c r="C532" s="763" t="str">
        <f>IFERROR(__xludf.DUMMYFUNCTION("""COMPUTED_VALUE"""),"2025-11-12 19:08:10")</f>
        <v>2025-11-12 19:08:10</v>
      </c>
      <c r="D532" s="763" t="str">
        <f>IFERROR(__xludf.DUMMYFUNCTION("""COMPUTED_VALUE"""),"completed")</f>
        <v>completed</v>
      </c>
      <c r="E532" s="763" t="str">
        <f>IFERROR(__xludf.DUMMYFUNCTION("""COMPUTED_VALUE"""),"Giulia")</f>
        <v>Giulia</v>
      </c>
      <c r="F532" s="763" t="str">
        <f>IFERROR(__xludf.DUMMYFUNCTION("""COMPUTED_VALUE"""),"Eleuteri")</f>
        <v>Eleuteri</v>
      </c>
      <c r="G532" s="763" t="str">
        <f>IFERROR(__xludf.DUMMYFUNCTION("""COMPUTED_VALUE"""),"giulia.eleuteri06@gmail.com")</f>
        <v>giulia.eleuteri06@gmail.com</v>
      </c>
      <c r="H532" s="763">
        <f>IFERROR(__xludf.DUMMYFUNCTION("""COMPUTED_VALUE"""),3.486480889E9)</f>
        <v>3486480889</v>
      </c>
      <c r="I532" s="763" t="str">
        <f>IFERROR(__xludf.DUMMYFUNCTION("""COMPUTED_VALUE"""),"Casalecchio di Reno")</f>
        <v>Casalecchio di Reno</v>
      </c>
      <c r="J532" s="763" t="str">
        <f>IFERROR(__xludf.DUMMYFUNCTION("""COMPUTED_VALUE"""),"Via Porrettana 446")</f>
        <v>Via Porrettana 446</v>
      </c>
      <c r="K532" s="763">
        <f>IFERROR(__xludf.DUMMYFUNCTION("""COMPUTED_VALUE"""),40033.0)</f>
        <v>40033</v>
      </c>
      <c r="L532" s="763" t="str">
        <f>IFERROR(__xludf.DUMMYFUNCTION("""COMPUTED_VALUE"""),"Apple Pay")</f>
        <v>Apple Pay</v>
      </c>
      <c r="M532" s="763"/>
      <c r="N532" s="763" t="str">
        <f>IFERROR(__xludf.DUMMYFUNCTION("""COMPUTED_VALUE"""),"66043-1762974491")</f>
        <v>66043-1762974491</v>
      </c>
      <c r="O532" s="763">
        <f>IFERROR(__xludf.DUMMYFUNCTION("""COMPUTED_VALUE"""),0.0)</f>
        <v>0</v>
      </c>
      <c r="P532" s="767">
        <f>IFERROR(__xludf.DUMMYFUNCTION("""COMPUTED_VALUE"""),1.3333333333333333)</f>
        <v>1.333333333</v>
      </c>
      <c r="Q532" s="763" t="str">
        <f>IFERROR(__xludf.DUMMYFUNCTION("""COMPUTED_VALUE"""),"EUR")</f>
        <v>EUR</v>
      </c>
      <c r="R532" s="763">
        <f>IFERROR(__xludf.DUMMYFUNCTION("""COMPUTED_VALUE"""),1008.0)</f>
        <v>1008</v>
      </c>
      <c r="S532" s="763" t="str">
        <f>IFERROR(__xludf.DUMMYFUNCTION("""COMPUTED_VALUE"""),"Workshop Salsa Musicality con Nicolò De Angelis - Workshop Nicolò Salsa Musicality")</f>
        <v>Workshop Salsa Musicality con Nicolò De Angelis - Workshop Nicolò Salsa Musicality</v>
      </c>
      <c r="T532" s="763"/>
      <c r="U532" s="763"/>
      <c r="V532" s="763">
        <f>IFERROR(__xludf.DUMMYFUNCTION("""COMPUTED_VALUE"""),1.0)</f>
        <v>1</v>
      </c>
      <c r="W532" s="763">
        <f>IFERROR(__xludf.DUMMYFUNCTION("""COMPUTED_VALUE"""),32.0)</f>
        <v>32</v>
      </c>
      <c r="X532" s="763">
        <f>IFERROR(__xludf.DUMMYFUNCTION("""COMPUTED_VALUE"""),32.0)</f>
        <v>32</v>
      </c>
      <c r="Y532" s="763"/>
      <c r="Z532" s="768" t="str">
        <f>IFERROR(__xludf.DUMMYFUNCTION("""COMPUTED_VALUE"""),"https://studio-gem.it/wp-admin/post.php?post=66043&amp;action=edit")</f>
        <v>https://studio-gem.it/wp-admin/post.php?post=66043&amp;action=edit</v>
      </c>
      <c r="AA532" s="763"/>
      <c r="AB532" s="763"/>
      <c r="AC532" s="763"/>
      <c r="AD532" s="763"/>
      <c r="AE532" s="763"/>
      <c r="AF532" s="763"/>
      <c r="AG532" s="763"/>
      <c r="AH532" s="763"/>
      <c r="AI532" s="763"/>
      <c r="AJ532" s="763"/>
      <c r="AK532" s="763"/>
      <c r="AL532" s="763"/>
      <c r="AM532" s="763"/>
      <c r="AN532" s="763"/>
      <c r="AO532" s="763"/>
      <c r="AP532" s="763"/>
      <c r="AQ532" s="763"/>
      <c r="AR532" s="763"/>
      <c r="AS532" s="763"/>
      <c r="AT532" s="763"/>
      <c r="AU532" s="763"/>
      <c r="AV532" s="763"/>
      <c r="AW532" s="763"/>
      <c r="AX532" s="763"/>
      <c r="AY532" s="763"/>
      <c r="AZ532" s="763"/>
      <c r="BA532" s="763"/>
      <c r="BB532" s="763"/>
      <c r="BC532" s="763"/>
      <c r="BD532" s="763"/>
      <c r="BE532" s="763"/>
      <c r="BF532" s="763"/>
      <c r="BG532" s="763" t="b">
        <f>IFERROR(__xludf.DUMMYFUNCTION("""COMPUTED_VALUE"""),TRUE)</f>
        <v>1</v>
      </c>
      <c r="BH532" s="763" t="b">
        <f>IFERROR(__xludf.DUMMYFUNCTION("""COMPUTED_VALUE"""),FALSE)</f>
        <v>0</v>
      </c>
      <c r="BI532" s="763" t="b">
        <f>IFERROR(__xludf.DUMMYFUNCTION("""COMPUTED_VALUE"""),TRUE)</f>
        <v>1</v>
      </c>
      <c r="BJ532" s="763" t="b">
        <f>IFERROR(__xludf.DUMMYFUNCTION("""COMPUTED_VALUE"""),TRUE)</f>
        <v>1</v>
      </c>
    </row>
    <row r="533">
      <c r="A533" s="763">
        <f>IFERROR(__xludf.DUMMYFUNCTION("""COMPUTED_VALUE"""),66046.0)</f>
        <v>66046</v>
      </c>
      <c r="B533" s="763">
        <f>IFERROR(__xludf.DUMMYFUNCTION("""COMPUTED_VALUE"""),66046.0)</f>
        <v>66046</v>
      </c>
      <c r="C533" s="763" t="str">
        <f>IFERROR(__xludf.DUMMYFUNCTION("""COMPUTED_VALUE"""),"2025-11-12 21:47:20")</f>
        <v>2025-11-12 21:47:20</v>
      </c>
      <c r="D533" s="763" t="str">
        <f>IFERROR(__xludf.DUMMYFUNCTION("""COMPUTED_VALUE"""),"processing")</f>
        <v>processing</v>
      </c>
      <c r="E533" s="763" t="str">
        <f>IFERROR(__xludf.DUMMYFUNCTION("""COMPUTED_VALUE"""),"VIKTORIJA")</f>
        <v>VIKTORIJA</v>
      </c>
      <c r="F533" s="763" t="str">
        <f>IFERROR(__xludf.DUMMYFUNCTION("""COMPUTED_VALUE"""),"NENARTOVIC")</f>
        <v>NENARTOVIC</v>
      </c>
      <c r="G533" s="763" t="str">
        <f>IFERROR(__xludf.DUMMYFUNCTION("""COMPUTED_VALUE"""),"viktorija.nenart@gmail.com")</f>
        <v>viktorija.nenart@gmail.com</v>
      </c>
      <c r="H533" s="763" t="str">
        <f>IFERROR(__xludf.DUMMYFUNCTION("""COMPUTED_VALUE"""),"+37061480181")</f>
        <v>+37061480181</v>
      </c>
      <c r="I533" s="763" t="str">
        <f>IFERROR(__xludf.DUMMYFUNCTION("""COMPUTED_VALUE"""),"Vilnius")</f>
        <v>Vilnius</v>
      </c>
      <c r="J533" s="763" t="str">
        <f>IFERROR(__xludf.DUMMYFUNCTION("""COMPUTED_VALUE"""),"Trempų G. 5")</f>
        <v>Trempų G. 5</v>
      </c>
      <c r="K533" s="763">
        <f>IFERROR(__xludf.DUMMYFUNCTION("""COMPUTED_VALUE"""),6272.0)</f>
        <v>6272</v>
      </c>
      <c r="L533" s="763" t="str">
        <f>IFERROR(__xludf.DUMMYFUNCTION("""COMPUTED_VALUE"""),"Carte di pagamento")</f>
        <v>Carte di pagamento</v>
      </c>
      <c r="M533" s="763"/>
      <c r="N533" s="763" t="str">
        <f>IFERROR(__xludf.DUMMYFUNCTION("""COMPUTED_VALUE"""),"66046-1762984042")</f>
        <v>66046-1762984042</v>
      </c>
      <c r="O533" s="763">
        <f>IFERROR(__xludf.DUMMYFUNCTION("""COMPUTED_VALUE"""),0.0)</f>
        <v>0</v>
      </c>
      <c r="P533" s="767">
        <f>IFERROR(__xludf.DUMMYFUNCTION("""COMPUTED_VALUE"""),1.5416666666666667)</f>
        <v>1.541666667</v>
      </c>
      <c r="Q533" s="763" t="str">
        <f>IFERROR(__xludf.DUMMYFUNCTION("""COMPUTED_VALUE"""),"EUR")</f>
        <v>EUR</v>
      </c>
      <c r="R533" s="763">
        <f>IFERROR(__xludf.DUMMYFUNCTION("""COMPUTED_VALUE"""),1009.0)</f>
        <v>1009</v>
      </c>
      <c r="S533" s="763" t="str">
        <f>IFERROR(__xludf.DUMMYFUNCTION("""COMPUTED_VALUE"""),"Workshop Heels con Deborah Esposito - Workshop Heels con Deborah Esposito")</f>
        <v>Workshop Heels con Deborah Esposito - Workshop Heels con Deborah Esposito</v>
      </c>
      <c r="T533" s="763"/>
      <c r="U533" s="763"/>
      <c r="V533" s="763">
        <f>IFERROR(__xludf.DUMMYFUNCTION("""COMPUTED_VALUE"""),1.0)</f>
        <v>1</v>
      </c>
      <c r="W533" s="763">
        <f>IFERROR(__xludf.DUMMYFUNCTION("""COMPUTED_VALUE"""),37.0)</f>
        <v>37</v>
      </c>
      <c r="X533" s="763">
        <f>IFERROR(__xludf.DUMMYFUNCTION("""COMPUTED_VALUE"""),37.0)</f>
        <v>37</v>
      </c>
      <c r="Y533" s="763"/>
      <c r="Z533" s="768" t="str">
        <f>IFERROR(__xludf.DUMMYFUNCTION("""COMPUTED_VALUE"""),"https://studio-gem.it/wp-admin/post.php?post=66046&amp;action=edit")</f>
        <v>https://studio-gem.it/wp-admin/post.php?post=66046&amp;action=edit</v>
      </c>
      <c r="AA533" s="763"/>
      <c r="AB533" s="763"/>
      <c r="AC533" s="763"/>
      <c r="AD533" s="763"/>
      <c r="AE533" s="763"/>
      <c r="AF533" s="763"/>
      <c r="AG533" s="763"/>
      <c r="AH533" s="763"/>
      <c r="AI533" s="763"/>
      <c r="AJ533" s="763"/>
      <c r="AK533" s="763"/>
      <c r="AL533" s="763"/>
      <c r="AM533" s="763"/>
      <c r="AN533" s="763"/>
      <c r="AO533" s="763"/>
      <c r="AP533" s="763"/>
      <c r="AQ533" s="763"/>
      <c r="AR533" s="763"/>
      <c r="AS533" s="763"/>
      <c r="AT533" s="763"/>
      <c r="AU533" s="763"/>
      <c r="AV533" s="763"/>
      <c r="AW533" s="763"/>
      <c r="AX533" s="763"/>
      <c r="AY533" s="763"/>
      <c r="AZ533" s="763"/>
      <c r="BA533" s="763"/>
      <c r="BB533" s="763"/>
      <c r="BC533" s="763"/>
      <c r="BD533" s="763"/>
      <c r="BE533" s="763"/>
      <c r="BF533" s="763"/>
      <c r="BG533" s="763" t="b">
        <f>IFERROR(__xludf.DUMMYFUNCTION("""COMPUTED_VALUE"""),TRUE)</f>
        <v>1</v>
      </c>
      <c r="BH533" s="763" t="b">
        <f>IFERROR(__xludf.DUMMYFUNCTION("""COMPUTED_VALUE"""),FALSE)</f>
        <v>0</v>
      </c>
      <c r="BI533" s="763" t="b">
        <f>IFERROR(__xludf.DUMMYFUNCTION("""COMPUTED_VALUE"""),TRUE)</f>
        <v>1</v>
      </c>
      <c r="BJ533" s="763" t="b">
        <f>IFERROR(__xludf.DUMMYFUNCTION("""COMPUTED_VALUE"""),TRUE)</f>
        <v>1</v>
      </c>
    </row>
    <row r="534">
      <c r="A534" s="763">
        <f>IFERROR(__xludf.DUMMYFUNCTION("""COMPUTED_VALUE"""),66047.0)</f>
        <v>66047</v>
      </c>
      <c r="B534" s="763">
        <f>IFERROR(__xludf.DUMMYFUNCTION("""COMPUTED_VALUE"""),66047.0)</f>
        <v>66047</v>
      </c>
      <c r="C534" s="763" t="str">
        <f>IFERROR(__xludf.DUMMYFUNCTION("""COMPUTED_VALUE"""),"2025-11-12 23:09:07")</f>
        <v>2025-11-12 23:09:07</v>
      </c>
      <c r="D534" s="763" t="str">
        <f>IFERROR(__xludf.DUMMYFUNCTION("""COMPUTED_VALUE"""),"completed")</f>
        <v>completed</v>
      </c>
      <c r="E534" s="763" t="str">
        <f>IFERROR(__xludf.DUMMYFUNCTION("""COMPUTED_VALUE"""),"Flavia")</f>
        <v>Flavia</v>
      </c>
      <c r="F534" s="763" t="str">
        <f>IFERROR(__xludf.DUMMYFUNCTION("""COMPUTED_VALUE"""),"Farenenella")</f>
        <v>Farenenella</v>
      </c>
      <c r="G534" s="763" t="str">
        <f>IFERROR(__xludf.DUMMYFUNCTION("""COMPUTED_VALUE"""),"farenellaflavia@gmail.com")</f>
        <v>farenellaflavia@gmail.com</v>
      </c>
      <c r="H534" s="763">
        <f>IFERROR(__xludf.DUMMYFUNCTION("""COMPUTED_VALUE"""),3.427036082E9)</f>
        <v>3427036082</v>
      </c>
      <c r="I534" s="763" t="str">
        <f>IFERROR(__xludf.DUMMYFUNCTION("""COMPUTED_VALUE"""),"Pescheria Borromeo")</f>
        <v>Pescheria Borromeo</v>
      </c>
      <c r="J534" s="763" t="str">
        <f>IFERROR(__xludf.DUMMYFUNCTION("""COMPUTED_VALUE"""),"Papa Giovanni XXIII 21A")</f>
        <v>Papa Giovanni XXIII 21A</v>
      </c>
      <c r="K534" s="763">
        <f>IFERROR(__xludf.DUMMYFUNCTION("""COMPUTED_VALUE"""),20068.0)</f>
        <v>20068</v>
      </c>
      <c r="L534" s="763" t="str">
        <f>IFERROR(__xludf.DUMMYFUNCTION("""COMPUTED_VALUE"""),"Google Pay")</f>
        <v>Google Pay</v>
      </c>
      <c r="M534" s="763"/>
      <c r="N534" s="763" t="str">
        <f>IFERROR(__xludf.DUMMYFUNCTION("""COMPUTED_VALUE"""),"66047-1762988948")</f>
        <v>66047-1762988948</v>
      </c>
      <c r="O534" s="763">
        <f>IFERROR(__xludf.DUMMYFUNCTION("""COMPUTED_VALUE"""),0.0)</f>
        <v>0</v>
      </c>
      <c r="P534" s="767">
        <f>IFERROR(__xludf.DUMMYFUNCTION("""COMPUTED_VALUE"""),1.3333333333333333)</f>
        <v>1.333333333</v>
      </c>
      <c r="Q534" s="763" t="str">
        <f>IFERROR(__xludf.DUMMYFUNCTION("""COMPUTED_VALUE"""),"EUR")</f>
        <v>EUR</v>
      </c>
      <c r="R534" s="763">
        <f>IFERROR(__xludf.DUMMYFUNCTION("""COMPUTED_VALUE"""),1010.0)</f>
        <v>1010</v>
      </c>
      <c r="S534" s="763" t="str">
        <f>IFERROR(__xludf.DUMMYFUNCTION("""COMPUTED_VALUE"""),"Workshop Salsa Musicality con Nicolò De Angelis - Workshop Nicolò Salsa Musicality")</f>
        <v>Workshop Salsa Musicality con Nicolò De Angelis - Workshop Nicolò Salsa Musicality</v>
      </c>
      <c r="T534" s="763"/>
      <c r="U534" s="763"/>
      <c r="V534" s="763">
        <f>IFERROR(__xludf.DUMMYFUNCTION("""COMPUTED_VALUE"""),1.0)</f>
        <v>1</v>
      </c>
      <c r="W534" s="763">
        <f>IFERROR(__xludf.DUMMYFUNCTION("""COMPUTED_VALUE"""),32.0)</f>
        <v>32</v>
      </c>
      <c r="X534" s="763">
        <f>IFERROR(__xludf.DUMMYFUNCTION("""COMPUTED_VALUE"""),32.0)</f>
        <v>32</v>
      </c>
      <c r="Y534" s="763"/>
      <c r="Z534" s="768" t="str">
        <f>IFERROR(__xludf.DUMMYFUNCTION("""COMPUTED_VALUE"""),"https://studio-gem.it/wp-admin/post.php?post=66047&amp;action=edit")</f>
        <v>https://studio-gem.it/wp-admin/post.php?post=66047&amp;action=edit</v>
      </c>
      <c r="AA534" s="763"/>
      <c r="AB534" s="763"/>
      <c r="AC534" s="763"/>
      <c r="AD534" s="763"/>
      <c r="AE534" s="763"/>
      <c r="AF534" s="763"/>
      <c r="AG534" s="763"/>
      <c r="AH534" s="763"/>
      <c r="AI534" s="763"/>
      <c r="AJ534" s="763"/>
      <c r="AK534" s="763"/>
      <c r="AL534" s="763"/>
      <c r="AM534" s="763"/>
      <c r="AN534" s="763"/>
      <c r="AO534" s="763"/>
      <c r="AP534" s="763"/>
      <c r="AQ534" s="763"/>
      <c r="AR534" s="763"/>
      <c r="AS534" s="763"/>
      <c r="AT534" s="763"/>
      <c r="AU534" s="763"/>
      <c r="AV534" s="763"/>
      <c r="AW534" s="763"/>
      <c r="AX534" s="763"/>
      <c r="AY534" s="763"/>
      <c r="AZ534" s="763"/>
      <c r="BA534" s="763"/>
      <c r="BB534" s="763"/>
      <c r="BC534" s="763"/>
      <c r="BD534" s="763"/>
      <c r="BE534" s="763"/>
      <c r="BF534" s="763"/>
      <c r="BG534" s="763" t="b">
        <f>IFERROR(__xludf.DUMMYFUNCTION("""COMPUTED_VALUE"""),TRUE)</f>
        <v>1</v>
      </c>
      <c r="BH534" s="763" t="b">
        <f>IFERROR(__xludf.DUMMYFUNCTION("""COMPUTED_VALUE"""),FALSE)</f>
        <v>0</v>
      </c>
      <c r="BI534" s="763" t="b">
        <f>IFERROR(__xludf.DUMMYFUNCTION("""COMPUTED_VALUE"""),TRUE)</f>
        <v>1</v>
      </c>
      <c r="BJ534" s="763" t="b">
        <f>IFERROR(__xludf.DUMMYFUNCTION("""COMPUTED_VALUE"""),TRUE)</f>
        <v>1</v>
      </c>
    </row>
    <row r="535">
      <c r="A535" s="763">
        <f>IFERROR(__xludf.DUMMYFUNCTION("""COMPUTED_VALUE"""),66049.0)</f>
        <v>66049</v>
      </c>
      <c r="B535" s="763">
        <f>IFERROR(__xludf.DUMMYFUNCTION("""COMPUTED_VALUE"""),66049.0)</f>
        <v>66049</v>
      </c>
      <c r="C535" s="763" t="str">
        <f>IFERROR(__xludf.DUMMYFUNCTION("""COMPUTED_VALUE"""),"2025-11-12 23:10:19")</f>
        <v>2025-11-12 23:10:19</v>
      </c>
      <c r="D535" s="763" t="str">
        <f>IFERROR(__xludf.DUMMYFUNCTION("""COMPUTED_VALUE"""),"completed")</f>
        <v>completed</v>
      </c>
      <c r="E535" s="763" t="str">
        <f>IFERROR(__xludf.DUMMYFUNCTION("""COMPUTED_VALUE"""),"Elisa")</f>
        <v>Elisa</v>
      </c>
      <c r="F535" s="763" t="str">
        <f>IFERROR(__xludf.DUMMYFUNCTION("""COMPUTED_VALUE"""),"Curto")</f>
        <v>Curto</v>
      </c>
      <c r="G535" s="763" t="str">
        <f>IFERROR(__xludf.DUMMYFUNCTION("""COMPUTED_VALUE"""),"elisa.curto97@gmail.com")</f>
        <v>elisa.curto97@gmail.com</v>
      </c>
      <c r="H535" s="763">
        <f>IFERROR(__xludf.DUMMYFUNCTION("""COMPUTED_VALUE"""),3.494407921E9)</f>
        <v>3494407921</v>
      </c>
      <c r="I535" s="763" t="str">
        <f>IFERROR(__xludf.DUMMYFUNCTION("""COMPUTED_VALUE"""),"Ossona")</f>
        <v>Ossona</v>
      </c>
      <c r="J535" s="763" t="str">
        <f>IFERROR(__xludf.DUMMYFUNCTION("""COMPUTED_VALUE"""),"Monte Rosa 3")</f>
        <v>Monte Rosa 3</v>
      </c>
      <c r="K535" s="763">
        <f>IFERROR(__xludf.DUMMYFUNCTION("""COMPUTED_VALUE"""),20002.0)</f>
        <v>20002</v>
      </c>
      <c r="L535" s="763" t="str">
        <f>IFERROR(__xludf.DUMMYFUNCTION("""COMPUTED_VALUE"""),"Carte di pagamento")</f>
        <v>Carte di pagamento</v>
      </c>
      <c r="M535" s="763" t="str">
        <f>IFERROR(__xludf.DUMMYFUNCTION("""COMPUTED_VALUE"""),"nura05natale")</f>
        <v>nura05natale</v>
      </c>
      <c r="N535" s="763" t="str">
        <f>IFERROR(__xludf.DUMMYFUNCTION("""COMPUTED_VALUE"""),"66049-1762989021")</f>
        <v>66049-1762989021</v>
      </c>
      <c r="O535" s="763">
        <f>IFERROR(__xludf.DUMMYFUNCTION("""COMPUTED_VALUE"""),0.0)</f>
        <v>0</v>
      </c>
      <c r="P535" s="767">
        <f>IFERROR(__xludf.DUMMYFUNCTION("""COMPUTED_VALUE"""),2.0833333333333335)</f>
        <v>2.083333333</v>
      </c>
      <c r="Q535" s="763" t="str">
        <f>IFERROR(__xludf.DUMMYFUNCTION("""COMPUTED_VALUE"""),"EUR")</f>
        <v>EUR</v>
      </c>
      <c r="R535" s="763">
        <f>IFERROR(__xludf.DUMMYFUNCTION("""COMPUTED_VALUE"""),1011.0)</f>
        <v>1011</v>
      </c>
      <c r="S535" s="763" t="str">
        <f>IFERROR(__xludf.DUMMYFUNCTION("""COMPUTED_VALUE"""),"Festa di Natale 2025 - Festa di natale 2025 lezioni + pizza + serata 55€")</f>
        <v>Festa di Natale 2025 - Festa di natale 2025 lezioni + pizza + serata 55€</v>
      </c>
      <c r="T535" s="763"/>
      <c r="U535" s="763"/>
      <c r="V535" s="763">
        <f>IFERROR(__xludf.DUMMYFUNCTION("""COMPUTED_VALUE"""),1.0)</f>
        <v>1</v>
      </c>
      <c r="W535" s="763">
        <f>IFERROR(__xludf.DUMMYFUNCTION("""COMPUTED_VALUE"""),50.0)</f>
        <v>50</v>
      </c>
      <c r="X535" s="763">
        <f>IFERROR(__xludf.DUMMYFUNCTION("""COMPUTED_VALUE"""),50.0)</f>
        <v>50</v>
      </c>
      <c r="Y535" s="763"/>
      <c r="Z535" s="768" t="str">
        <f>IFERROR(__xludf.DUMMYFUNCTION("""COMPUTED_VALUE"""),"https://studio-gem.it/wp-admin/post.php?post=66049&amp;action=edit")</f>
        <v>https://studio-gem.it/wp-admin/post.php?post=66049&amp;action=edit</v>
      </c>
      <c r="AA535" s="763"/>
      <c r="AB535" s="763"/>
      <c r="AC535" s="763"/>
      <c r="AD535" s="763"/>
      <c r="AE535" s="763"/>
      <c r="AF535" s="763"/>
      <c r="AG535" s="763"/>
      <c r="AH535" s="763"/>
      <c r="AI535" s="763"/>
      <c r="AJ535" s="763"/>
      <c r="AK535" s="763"/>
      <c r="AL535" s="763"/>
      <c r="AM535" s="763"/>
      <c r="AN535" s="763"/>
      <c r="AO535" s="763"/>
      <c r="AP535" s="763"/>
      <c r="AQ535" s="763"/>
      <c r="AR535" s="763"/>
      <c r="AS535" s="763"/>
      <c r="AT535" s="763"/>
      <c r="AU535" s="763"/>
      <c r="AV535" s="763"/>
      <c r="AW535" s="763"/>
      <c r="AX535" s="763"/>
      <c r="AY535" s="763"/>
      <c r="AZ535" s="763"/>
      <c r="BA535" s="763"/>
      <c r="BB535" s="763"/>
      <c r="BC535" s="763"/>
      <c r="BD535" s="763"/>
      <c r="BE535" s="763"/>
      <c r="BF535" s="763"/>
      <c r="BG535" s="763" t="b">
        <f>IFERROR(__xludf.DUMMYFUNCTION("""COMPUTED_VALUE"""),TRUE)</f>
        <v>1</v>
      </c>
      <c r="BH535" s="763" t="b">
        <f>IFERROR(__xludf.DUMMYFUNCTION("""COMPUTED_VALUE"""),FALSE)</f>
        <v>0</v>
      </c>
      <c r="BI535" s="763" t="b">
        <f>IFERROR(__xludf.DUMMYFUNCTION("""COMPUTED_VALUE"""),TRUE)</f>
        <v>1</v>
      </c>
      <c r="BJ535" s="763" t="b">
        <f>IFERROR(__xludf.DUMMYFUNCTION("""COMPUTED_VALUE"""),TRUE)</f>
        <v>1</v>
      </c>
    </row>
    <row r="536">
      <c r="A536" s="763">
        <f>IFERROR(__xludf.DUMMYFUNCTION("""COMPUTED_VALUE"""),66051.0)</f>
        <v>66051</v>
      </c>
      <c r="B536" s="763">
        <f>IFERROR(__xludf.DUMMYFUNCTION("""COMPUTED_VALUE"""),66051.0)</f>
        <v>66051</v>
      </c>
      <c r="C536" s="763" t="str">
        <f>IFERROR(__xludf.DUMMYFUNCTION("""COMPUTED_VALUE"""),"2025-11-13 08:31:53")</f>
        <v>2025-11-13 08:31:53</v>
      </c>
      <c r="D536" s="763" t="str">
        <f>IFERROR(__xludf.DUMMYFUNCTION("""COMPUTED_VALUE"""),"completed")</f>
        <v>completed</v>
      </c>
      <c r="E536" s="763" t="str">
        <f>IFERROR(__xludf.DUMMYFUNCTION("""COMPUTED_VALUE"""),"Alessandra")</f>
        <v>Alessandra</v>
      </c>
      <c r="F536" s="763" t="str">
        <f>IFERROR(__xludf.DUMMYFUNCTION("""COMPUTED_VALUE"""),"Barnaba")</f>
        <v>Barnaba</v>
      </c>
      <c r="G536" s="763" t="str">
        <f>IFERROR(__xludf.DUMMYFUNCTION("""COMPUTED_VALUE"""),"alexbar96@hotmail.it")</f>
        <v>alexbar96@hotmail.it</v>
      </c>
      <c r="H536" s="763">
        <f>IFERROR(__xludf.DUMMYFUNCTION("""COMPUTED_VALUE"""),3.392078751E9)</f>
        <v>3392078751</v>
      </c>
      <c r="I536" s="763" t="str">
        <f>IFERROR(__xludf.DUMMYFUNCTION("""COMPUTED_VALUE"""),"Milano")</f>
        <v>Milano</v>
      </c>
      <c r="J536" s="763" t="str">
        <f>IFERROR(__xludf.DUMMYFUNCTION("""COMPUTED_VALUE"""),"Beatrice d’Este 34")</f>
        <v>Beatrice d’Este 34</v>
      </c>
      <c r="K536" s="763">
        <f>IFERROR(__xludf.DUMMYFUNCTION("""COMPUTED_VALUE"""),20122.0)</f>
        <v>20122</v>
      </c>
      <c r="L536" s="763" t="str">
        <f>IFERROR(__xludf.DUMMYFUNCTION("""COMPUTED_VALUE"""),"Satispay")</f>
        <v>Satispay</v>
      </c>
      <c r="M536" s="763"/>
      <c r="N536" s="763" t="str">
        <f>IFERROR(__xludf.DUMMYFUNCTION("""COMPUTED_VALUE"""),"019a7c57-b466-7a43-a7f8-6a2958d4ea12")</f>
        <v>019a7c57-b466-7a43-a7f8-6a2958d4ea12</v>
      </c>
      <c r="O536" s="763">
        <f>IFERROR(__xludf.DUMMYFUNCTION("""COMPUTED_VALUE"""),0.0)</f>
        <v>0</v>
      </c>
      <c r="P536" s="767">
        <f>IFERROR(__xludf.DUMMYFUNCTION("""COMPUTED_VALUE"""),2.2916666666666665)</f>
        <v>2.291666667</v>
      </c>
      <c r="Q536" s="763" t="str">
        <f>IFERROR(__xludf.DUMMYFUNCTION("""COMPUTED_VALUE"""),"EUR")</f>
        <v>EUR</v>
      </c>
      <c r="R536" s="763">
        <f>IFERROR(__xludf.DUMMYFUNCTION("""COMPUTED_VALUE"""),1013.0)</f>
        <v>1013</v>
      </c>
      <c r="S536" s="763" t="str">
        <f>IFERROR(__xludf.DUMMYFUNCTION("""COMPUTED_VALUE"""),"Festa di Natale 2025 - Festa di natale 2025 lezioni + pizza + serata 55€")</f>
        <v>Festa di Natale 2025 - Festa di natale 2025 lezioni + pizza + serata 55€</v>
      </c>
      <c r="T536" s="763"/>
      <c r="U536" s="763"/>
      <c r="V536" s="763">
        <f>IFERROR(__xludf.DUMMYFUNCTION("""COMPUTED_VALUE"""),1.0)</f>
        <v>1</v>
      </c>
      <c r="W536" s="763">
        <f>IFERROR(__xludf.DUMMYFUNCTION("""COMPUTED_VALUE"""),55.0)</f>
        <v>55</v>
      </c>
      <c r="X536" s="763">
        <f>IFERROR(__xludf.DUMMYFUNCTION("""COMPUTED_VALUE"""),55.0)</f>
        <v>55</v>
      </c>
      <c r="Y536" s="763"/>
      <c r="Z536" s="768" t="str">
        <f>IFERROR(__xludf.DUMMYFUNCTION("""COMPUTED_VALUE"""),"https://studio-gem.it/wp-admin/post.php?post=66051&amp;action=edit")</f>
        <v>https://studio-gem.it/wp-admin/post.php?post=66051&amp;action=edit</v>
      </c>
      <c r="AA536" s="763"/>
      <c r="AB536" s="763"/>
      <c r="AC536" s="763"/>
      <c r="AD536" s="763"/>
      <c r="AE536" s="763"/>
      <c r="AF536" s="763"/>
      <c r="AG536" s="763"/>
      <c r="AH536" s="763"/>
      <c r="AI536" s="763"/>
      <c r="AJ536" s="763"/>
      <c r="AK536" s="763"/>
      <c r="AL536" s="763"/>
      <c r="AM536" s="763"/>
      <c r="AN536" s="763"/>
      <c r="AO536" s="763"/>
      <c r="AP536" s="763"/>
      <c r="AQ536" s="763"/>
      <c r="AR536" s="763"/>
      <c r="AS536" s="763"/>
      <c r="AT536" s="763"/>
      <c r="AU536" s="763"/>
      <c r="AV536" s="763"/>
      <c r="AW536" s="763"/>
      <c r="AX536" s="763"/>
      <c r="AY536" s="763"/>
      <c r="AZ536" s="763"/>
      <c r="BA536" s="763"/>
      <c r="BB536" s="763"/>
      <c r="BC536" s="763"/>
      <c r="BD536" s="763"/>
      <c r="BE536" s="763"/>
      <c r="BF536" s="763"/>
      <c r="BG536" s="763" t="b">
        <f>IFERROR(__xludf.DUMMYFUNCTION("""COMPUTED_VALUE"""),TRUE)</f>
        <v>1</v>
      </c>
      <c r="BH536" s="763" t="b">
        <f>IFERROR(__xludf.DUMMYFUNCTION("""COMPUTED_VALUE"""),FALSE)</f>
        <v>0</v>
      </c>
      <c r="BI536" s="763" t="b">
        <f>IFERROR(__xludf.DUMMYFUNCTION("""COMPUTED_VALUE"""),TRUE)</f>
        <v>1</v>
      </c>
      <c r="BJ536" s="763" t="b">
        <f>IFERROR(__xludf.DUMMYFUNCTION("""COMPUTED_VALUE"""),TRUE)</f>
        <v>1</v>
      </c>
    </row>
    <row r="537">
      <c r="A537" s="763">
        <f>IFERROR(__xludf.DUMMYFUNCTION("""COMPUTED_VALUE"""),66055.0)</f>
        <v>66055</v>
      </c>
      <c r="B537" s="763">
        <f>IFERROR(__xludf.DUMMYFUNCTION("""COMPUTED_VALUE"""),66055.0)</f>
        <v>66055</v>
      </c>
      <c r="C537" s="763" t="str">
        <f>IFERROR(__xludf.DUMMYFUNCTION("""COMPUTED_VALUE"""),"2025-11-13 11:48:40")</f>
        <v>2025-11-13 11:48:40</v>
      </c>
      <c r="D537" s="763" t="str">
        <f>IFERROR(__xludf.DUMMYFUNCTION("""COMPUTED_VALUE"""),"completed")</f>
        <v>completed</v>
      </c>
      <c r="E537" s="763" t="str">
        <f>IFERROR(__xludf.DUMMYFUNCTION("""COMPUTED_VALUE"""),"Domiziana")</f>
        <v>Domiziana</v>
      </c>
      <c r="F537" s="763" t="str">
        <f>IFERROR(__xludf.DUMMYFUNCTION("""COMPUTED_VALUE"""),"Desantis")</f>
        <v>Desantis</v>
      </c>
      <c r="G537" s="763" t="str">
        <f>IFERROR(__xludf.DUMMYFUNCTION("""COMPUTED_VALUE"""),"domi.desantis@gmail.com")</f>
        <v>domi.desantis@gmail.com</v>
      </c>
      <c r="H537" s="763">
        <f>IFERROR(__xludf.DUMMYFUNCTION("""COMPUTED_VALUE"""),3.482468895E9)</f>
        <v>3482468895</v>
      </c>
      <c r="I537" s="763" t="str">
        <f>IFERROR(__xludf.DUMMYFUNCTION("""COMPUTED_VALUE"""),"Milano")</f>
        <v>Milano</v>
      </c>
      <c r="J537" s="763" t="str">
        <f>IFERROR(__xludf.DUMMYFUNCTION("""COMPUTED_VALUE"""),"Via Ernesto Reinach, 6")</f>
        <v>Via Ernesto Reinach, 6</v>
      </c>
      <c r="K537" s="763">
        <f>IFERROR(__xludf.DUMMYFUNCTION("""COMPUTED_VALUE"""),20159.0)</f>
        <v>20159</v>
      </c>
      <c r="L537" s="763" t="str">
        <f>IFERROR(__xludf.DUMMYFUNCTION("""COMPUTED_VALUE"""),"Apple Pay")</f>
        <v>Apple Pay</v>
      </c>
      <c r="M537" s="763"/>
      <c r="N537" s="763" t="str">
        <f>IFERROR(__xludf.DUMMYFUNCTION("""COMPUTED_VALUE"""),"66055-1763034522")</f>
        <v>66055-1763034522</v>
      </c>
      <c r="O537" s="763">
        <f>IFERROR(__xludf.DUMMYFUNCTION("""COMPUTED_VALUE"""),0.0)</f>
        <v>0</v>
      </c>
      <c r="P537" s="767">
        <f>IFERROR(__xludf.DUMMYFUNCTION("""COMPUTED_VALUE"""),1.3333333333333333)</f>
        <v>1.333333333</v>
      </c>
      <c r="Q537" s="763" t="str">
        <f>IFERROR(__xludf.DUMMYFUNCTION("""COMPUTED_VALUE"""),"EUR")</f>
        <v>EUR</v>
      </c>
      <c r="R537" s="763">
        <f>IFERROR(__xludf.DUMMYFUNCTION("""COMPUTED_VALUE"""),1014.0)</f>
        <v>1014</v>
      </c>
      <c r="S537" s="763" t="str">
        <f>IFERROR(__xludf.DUMMYFUNCTION("""COMPUTED_VALUE"""),"Workshop Salsa Musicality con Nicolò De Angelis - Workshop Nicolò Salsa Musicality")</f>
        <v>Workshop Salsa Musicality con Nicolò De Angelis - Workshop Nicolò Salsa Musicality</v>
      </c>
      <c r="T537" s="763"/>
      <c r="U537" s="763"/>
      <c r="V537" s="763">
        <f>IFERROR(__xludf.DUMMYFUNCTION("""COMPUTED_VALUE"""),1.0)</f>
        <v>1</v>
      </c>
      <c r="W537" s="763">
        <f>IFERROR(__xludf.DUMMYFUNCTION("""COMPUTED_VALUE"""),32.0)</f>
        <v>32</v>
      </c>
      <c r="X537" s="763">
        <f>IFERROR(__xludf.DUMMYFUNCTION("""COMPUTED_VALUE"""),32.0)</f>
        <v>32</v>
      </c>
      <c r="Y537" s="763"/>
      <c r="Z537" s="768" t="str">
        <f>IFERROR(__xludf.DUMMYFUNCTION("""COMPUTED_VALUE"""),"https://studio-gem.it/wp-admin/post.php?post=66055&amp;action=edit")</f>
        <v>https://studio-gem.it/wp-admin/post.php?post=66055&amp;action=edit</v>
      </c>
      <c r="AA537" s="763"/>
      <c r="AB537" s="763"/>
      <c r="AC537" s="763"/>
      <c r="AD537" s="763"/>
      <c r="AE537" s="763"/>
      <c r="AF537" s="763"/>
      <c r="AG537" s="763"/>
      <c r="AH537" s="763"/>
      <c r="AI537" s="763"/>
      <c r="AJ537" s="763"/>
      <c r="AK537" s="763"/>
      <c r="AL537" s="763"/>
      <c r="AM537" s="763"/>
      <c r="AN537" s="763"/>
      <c r="AO537" s="763"/>
      <c r="AP537" s="763"/>
      <c r="AQ537" s="763"/>
      <c r="AR537" s="763"/>
      <c r="AS537" s="763"/>
      <c r="AT537" s="763"/>
      <c r="AU537" s="763"/>
      <c r="AV537" s="763"/>
      <c r="AW537" s="763"/>
      <c r="AX537" s="763"/>
      <c r="AY537" s="763"/>
      <c r="AZ537" s="763"/>
      <c r="BA537" s="763"/>
      <c r="BB537" s="763"/>
      <c r="BC537" s="763"/>
      <c r="BD537" s="763"/>
      <c r="BE537" s="763"/>
      <c r="BF537" s="763"/>
      <c r="BG537" s="763" t="b">
        <f>IFERROR(__xludf.DUMMYFUNCTION("""COMPUTED_VALUE"""),TRUE)</f>
        <v>1</v>
      </c>
      <c r="BH537" s="763" t="b">
        <f>IFERROR(__xludf.DUMMYFUNCTION("""COMPUTED_VALUE"""),FALSE)</f>
        <v>0</v>
      </c>
      <c r="BI537" s="763" t="b">
        <f>IFERROR(__xludf.DUMMYFUNCTION("""COMPUTED_VALUE"""),TRUE)</f>
        <v>1</v>
      </c>
      <c r="BJ537" s="763" t="b">
        <f>IFERROR(__xludf.DUMMYFUNCTION("""COMPUTED_VALUE"""),TRUE)</f>
        <v>1</v>
      </c>
    </row>
    <row r="538">
      <c r="A538" s="763">
        <f>IFERROR(__xludf.DUMMYFUNCTION("""COMPUTED_VALUE"""),66057.0)</f>
        <v>66057</v>
      </c>
      <c r="B538" s="763">
        <f>IFERROR(__xludf.DUMMYFUNCTION("""COMPUTED_VALUE"""),66057.0)</f>
        <v>66057</v>
      </c>
      <c r="C538" s="763" t="str">
        <f>IFERROR(__xludf.DUMMYFUNCTION("""COMPUTED_VALUE"""),"2025-11-13 12:39:59")</f>
        <v>2025-11-13 12:39:59</v>
      </c>
      <c r="D538" s="763" t="str">
        <f>IFERROR(__xludf.DUMMYFUNCTION("""COMPUTED_VALUE"""),"completed")</f>
        <v>completed</v>
      </c>
      <c r="E538" s="763" t="str">
        <f>IFERROR(__xludf.DUMMYFUNCTION("""COMPUTED_VALUE"""),"Valquiria")</f>
        <v>Valquiria</v>
      </c>
      <c r="F538" s="763" t="str">
        <f>IFERROR(__xludf.DUMMYFUNCTION("""COMPUTED_VALUE"""),"Mendes")</f>
        <v>Mendes</v>
      </c>
      <c r="G538" s="763" t="str">
        <f>IFERROR(__xludf.DUMMYFUNCTION("""COMPUTED_VALUE"""),"mandepraval@gmail.com")</f>
        <v>mandepraval@gmail.com</v>
      </c>
      <c r="H538" s="763">
        <f>IFERROR(__xludf.DUMMYFUNCTION("""COMPUTED_VALUE"""),3.31413269E9)</f>
        <v>3314132690</v>
      </c>
      <c r="I538" s="763" t="str">
        <f>IFERROR(__xludf.DUMMYFUNCTION("""COMPUTED_VALUE"""),"Milano")</f>
        <v>Milano</v>
      </c>
      <c r="J538" s="763" t="str">
        <f>IFERROR(__xludf.DUMMYFUNCTION("""COMPUTED_VALUE"""),"Via Andrea Solari 43")</f>
        <v>Via Andrea Solari 43</v>
      </c>
      <c r="K538" s="763">
        <f>IFERROR(__xludf.DUMMYFUNCTION("""COMPUTED_VALUE"""),20144.0)</f>
        <v>20144</v>
      </c>
      <c r="L538" s="763" t="str">
        <f>IFERROR(__xludf.DUMMYFUNCTION("""COMPUTED_VALUE"""),"Apple Pay")</f>
        <v>Apple Pay</v>
      </c>
      <c r="M538" s="763"/>
      <c r="N538" s="763" t="str">
        <f>IFERROR(__xludf.DUMMYFUNCTION("""COMPUTED_VALUE"""),"66057-1763037600")</f>
        <v>66057-1763037600</v>
      </c>
      <c r="O538" s="763">
        <f>IFERROR(__xludf.DUMMYFUNCTION("""COMPUTED_VALUE"""),0.0)</f>
        <v>0</v>
      </c>
      <c r="P538" s="767">
        <f>IFERROR(__xludf.DUMMYFUNCTION("""COMPUTED_VALUE"""),1.5416666666666667)</f>
        <v>1.541666667</v>
      </c>
      <c r="Q538" s="763" t="str">
        <f>IFERROR(__xludf.DUMMYFUNCTION("""COMPUTED_VALUE"""),"EUR")</f>
        <v>EUR</v>
      </c>
      <c r="R538" s="763">
        <f>IFERROR(__xludf.DUMMYFUNCTION("""COMPUTED_VALUE"""),1015.0)</f>
        <v>1015</v>
      </c>
      <c r="S538" s="763" t="str">
        <f>IFERROR(__xludf.DUMMYFUNCTION("""COMPUTED_VALUE"""),"Workshop Heels con Deborah Esposito - Workshop Heels con Deborah Esposito")</f>
        <v>Workshop Heels con Deborah Esposito - Workshop Heels con Deborah Esposito</v>
      </c>
      <c r="T538" s="763"/>
      <c r="U538" s="763"/>
      <c r="V538" s="763">
        <f>IFERROR(__xludf.DUMMYFUNCTION("""COMPUTED_VALUE"""),1.0)</f>
        <v>1</v>
      </c>
      <c r="W538" s="763">
        <f>IFERROR(__xludf.DUMMYFUNCTION("""COMPUTED_VALUE"""),37.0)</f>
        <v>37</v>
      </c>
      <c r="X538" s="763">
        <f>IFERROR(__xludf.DUMMYFUNCTION("""COMPUTED_VALUE"""),37.0)</f>
        <v>37</v>
      </c>
      <c r="Y538" s="763"/>
      <c r="Z538" s="768" t="str">
        <f>IFERROR(__xludf.DUMMYFUNCTION("""COMPUTED_VALUE"""),"https://studio-gem.it/wp-admin/post.php?post=66057&amp;action=edit")</f>
        <v>https://studio-gem.it/wp-admin/post.php?post=66057&amp;action=edit</v>
      </c>
      <c r="AA538" s="763"/>
      <c r="AB538" s="763"/>
      <c r="AC538" s="763"/>
      <c r="AD538" s="763"/>
      <c r="AE538" s="763"/>
      <c r="AF538" s="763"/>
      <c r="AG538" s="763"/>
      <c r="AH538" s="763"/>
      <c r="AI538" s="763"/>
      <c r="AJ538" s="763"/>
      <c r="AK538" s="763"/>
      <c r="AL538" s="763"/>
      <c r="AM538" s="763"/>
      <c r="AN538" s="763"/>
      <c r="AO538" s="763"/>
      <c r="AP538" s="763"/>
      <c r="AQ538" s="763"/>
      <c r="AR538" s="763"/>
      <c r="AS538" s="763"/>
      <c r="AT538" s="763"/>
      <c r="AU538" s="763"/>
      <c r="AV538" s="763"/>
      <c r="AW538" s="763"/>
      <c r="AX538" s="763"/>
      <c r="AY538" s="763"/>
      <c r="AZ538" s="763"/>
      <c r="BA538" s="763"/>
      <c r="BB538" s="763"/>
      <c r="BC538" s="763"/>
      <c r="BD538" s="763"/>
      <c r="BE538" s="763"/>
      <c r="BF538" s="763"/>
      <c r="BG538" s="763" t="b">
        <f>IFERROR(__xludf.DUMMYFUNCTION("""COMPUTED_VALUE"""),TRUE)</f>
        <v>1</v>
      </c>
      <c r="BH538" s="763" t="b">
        <f>IFERROR(__xludf.DUMMYFUNCTION("""COMPUTED_VALUE"""),FALSE)</f>
        <v>0</v>
      </c>
      <c r="BI538" s="763" t="b">
        <f>IFERROR(__xludf.DUMMYFUNCTION("""COMPUTED_VALUE"""),TRUE)</f>
        <v>1</v>
      </c>
      <c r="BJ538" s="763" t="b">
        <f>IFERROR(__xludf.DUMMYFUNCTION("""COMPUTED_VALUE"""),TRUE)</f>
        <v>1</v>
      </c>
    </row>
    <row r="539">
      <c r="A539" s="763">
        <f>IFERROR(__xludf.DUMMYFUNCTION("""COMPUTED_VALUE"""),66060.0)</f>
        <v>66060</v>
      </c>
      <c r="B539" s="763">
        <f>IFERROR(__xludf.DUMMYFUNCTION("""COMPUTED_VALUE"""),66060.0)</f>
        <v>66060</v>
      </c>
      <c r="C539" s="763" t="str">
        <f>IFERROR(__xludf.DUMMYFUNCTION("""COMPUTED_VALUE"""),"2025-11-13 13:01:40")</f>
        <v>2025-11-13 13:01:40</v>
      </c>
      <c r="D539" s="763" t="str">
        <f>IFERROR(__xludf.DUMMYFUNCTION("""COMPUTED_VALUE"""),"pending")</f>
        <v>pending</v>
      </c>
      <c r="E539" s="763" t="str">
        <f>IFERROR(__xludf.DUMMYFUNCTION("""COMPUTED_VALUE"""),"Isabela")</f>
        <v>Isabela</v>
      </c>
      <c r="F539" s="763" t="str">
        <f>IFERROR(__xludf.DUMMYFUNCTION("""COMPUTED_VALUE"""),"Brasileiro")</f>
        <v>Brasileiro</v>
      </c>
      <c r="G539" s="763" t="str">
        <f>IFERROR(__xludf.DUMMYFUNCTION("""COMPUTED_VALUE"""),"mirkoisabela@gmail.com")</f>
        <v>mirkoisabela@gmail.com</v>
      </c>
      <c r="H539" s="763">
        <f>IFERROR(__xludf.DUMMYFUNCTION("""COMPUTED_VALUE"""),3.286575647E9)</f>
        <v>3286575647</v>
      </c>
      <c r="I539" s="763" t="str">
        <f>IFERROR(__xludf.DUMMYFUNCTION("""COMPUTED_VALUE"""),"Milano")</f>
        <v>Milano</v>
      </c>
      <c r="J539" s="763" t="str">
        <f>IFERROR(__xludf.DUMMYFUNCTION("""COMPUTED_VALUE"""),"Settembrini 30")</f>
        <v>Settembrini 30</v>
      </c>
      <c r="K539" s="763">
        <f>IFERROR(__xludf.DUMMYFUNCTION("""COMPUTED_VALUE"""),20124.0)</f>
        <v>20124</v>
      </c>
      <c r="L539" s="763" t="str">
        <f>IFERROR(__xludf.DUMMYFUNCTION("""COMPUTED_VALUE"""),"Apple Pay")</f>
        <v>Apple Pay</v>
      </c>
      <c r="M539" s="763"/>
      <c r="N539" s="763"/>
      <c r="O539" s="763">
        <f>IFERROR(__xludf.DUMMYFUNCTION("""COMPUTED_VALUE"""),0.0)</f>
        <v>0</v>
      </c>
      <c r="P539" s="767">
        <f>IFERROR(__xludf.DUMMYFUNCTION("""COMPUTED_VALUE"""),1.5416666666666667)</f>
        <v>1.541666667</v>
      </c>
      <c r="Q539" s="763" t="str">
        <f>IFERROR(__xludf.DUMMYFUNCTION("""COMPUTED_VALUE"""),"EUR")</f>
        <v>EUR</v>
      </c>
      <c r="R539" s="763">
        <f>IFERROR(__xludf.DUMMYFUNCTION("""COMPUTED_VALUE"""),1016.0)</f>
        <v>1016</v>
      </c>
      <c r="S539" s="763" t="str">
        <f>IFERROR(__xludf.DUMMYFUNCTION("""COMPUTED_VALUE"""),"Workshop Heels con Deborah Esposito - Workshop Heels con Deborah Esposito")</f>
        <v>Workshop Heels con Deborah Esposito - Workshop Heels con Deborah Esposito</v>
      </c>
      <c r="T539" s="763"/>
      <c r="U539" s="763"/>
      <c r="V539" s="763">
        <f>IFERROR(__xludf.DUMMYFUNCTION("""COMPUTED_VALUE"""),1.0)</f>
        <v>1</v>
      </c>
      <c r="W539" s="763">
        <f>IFERROR(__xludf.DUMMYFUNCTION("""COMPUTED_VALUE"""),37.0)</f>
        <v>37</v>
      </c>
      <c r="X539" s="763">
        <f>IFERROR(__xludf.DUMMYFUNCTION("""COMPUTED_VALUE"""),37.0)</f>
        <v>37</v>
      </c>
      <c r="Y539" s="763"/>
      <c r="Z539" s="768" t="str">
        <f>IFERROR(__xludf.DUMMYFUNCTION("""COMPUTED_VALUE"""),"https://studio-gem.it/wp-admin/post.php?post=66060&amp;action=edit")</f>
        <v>https://studio-gem.it/wp-admin/post.php?post=66060&amp;action=edit</v>
      </c>
      <c r="AA539" s="763"/>
      <c r="AB539" s="763"/>
      <c r="AC539" s="763"/>
      <c r="AD539" s="763"/>
      <c r="AE539" s="763"/>
      <c r="AF539" s="763"/>
      <c r="AG539" s="763"/>
      <c r="AH539" s="763"/>
      <c r="AI539" s="763"/>
      <c r="AJ539" s="763"/>
      <c r="AK539" s="763"/>
      <c r="AL539" s="763"/>
      <c r="AM539" s="763"/>
      <c r="AN539" s="763"/>
      <c r="AO539" s="763"/>
      <c r="AP539" s="763"/>
      <c r="AQ539" s="763"/>
      <c r="AR539" s="763"/>
      <c r="AS539" s="763"/>
      <c r="AT539" s="763"/>
      <c r="AU539" s="763"/>
      <c r="AV539" s="763"/>
      <c r="AW539" s="763"/>
      <c r="AX539" s="763"/>
      <c r="AY539" s="763"/>
      <c r="AZ539" s="763"/>
      <c r="BA539" s="763"/>
      <c r="BB539" s="763"/>
      <c r="BC539" s="763"/>
      <c r="BD539" s="763"/>
      <c r="BE539" s="763"/>
      <c r="BF539" s="763"/>
      <c r="BG539" s="763" t="b">
        <f>IFERROR(__xludf.DUMMYFUNCTION("""COMPUTED_VALUE"""),FALSE)</f>
        <v>0</v>
      </c>
      <c r="BH539" s="763" t="b">
        <f>IFERROR(__xludf.DUMMYFUNCTION("""COMPUTED_VALUE"""),FALSE)</f>
        <v>0</v>
      </c>
      <c r="BI539" s="763" t="b">
        <f>IFERROR(__xludf.DUMMYFUNCTION("""COMPUTED_VALUE"""),FALSE)</f>
        <v>0</v>
      </c>
      <c r="BJ539" s="763" t="b">
        <f>IFERROR(__xludf.DUMMYFUNCTION("""COMPUTED_VALUE"""),FALSE)</f>
        <v>0</v>
      </c>
    </row>
    <row r="540">
      <c r="A540" s="763">
        <f>IFERROR(__xludf.DUMMYFUNCTION("""COMPUTED_VALUE"""),66063.0)</f>
        <v>66063</v>
      </c>
      <c r="B540" s="763">
        <f>IFERROR(__xludf.DUMMYFUNCTION("""COMPUTED_VALUE"""),66063.0)</f>
        <v>66063</v>
      </c>
      <c r="C540" s="763" t="str">
        <f>IFERROR(__xludf.DUMMYFUNCTION("""COMPUTED_VALUE"""),"2025-11-13 17:29:18")</f>
        <v>2025-11-13 17:29:18</v>
      </c>
      <c r="D540" s="763" t="str">
        <f>IFERROR(__xludf.DUMMYFUNCTION("""COMPUTED_VALUE"""),"processing")</f>
        <v>processing</v>
      </c>
      <c r="E540" s="763" t="str">
        <f>IFERROR(__xludf.DUMMYFUNCTION("""COMPUTED_VALUE"""),"Teresa")</f>
        <v>Teresa</v>
      </c>
      <c r="F540" s="763" t="str">
        <f>IFERROR(__xludf.DUMMYFUNCTION("""COMPUTED_VALUE"""),"Ferrari")</f>
        <v>Ferrari</v>
      </c>
      <c r="G540" s="763" t="str">
        <f>IFERROR(__xludf.DUMMYFUNCTION("""COMPUTED_VALUE"""),"teresaferrari98@gmail.com")</f>
        <v>teresaferrari98@gmail.com</v>
      </c>
      <c r="H540" s="763">
        <f>IFERROR(__xludf.DUMMYFUNCTION("""COMPUTED_VALUE"""),3.333305791E9)</f>
        <v>3333305791</v>
      </c>
      <c r="I540" s="763" t="str">
        <f>IFERROR(__xludf.DUMMYFUNCTION("""COMPUTED_VALUE"""),"Cabiate")</f>
        <v>Cabiate</v>
      </c>
      <c r="J540" s="763" t="str">
        <f>IFERROR(__xludf.DUMMYFUNCTION("""COMPUTED_VALUE"""),"Via isonzo 1")</f>
        <v>Via isonzo 1</v>
      </c>
      <c r="K540" s="763">
        <f>IFERROR(__xludf.DUMMYFUNCTION("""COMPUTED_VALUE"""),22060.0)</f>
        <v>22060</v>
      </c>
      <c r="L540" s="763" t="str">
        <f>IFERROR(__xludf.DUMMYFUNCTION("""COMPUTED_VALUE"""),"Carte di pagamento")</f>
        <v>Carte di pagamento</v>
      </c>
      <c r="M540" s="763" t="str">
        <f>IFERROR(__xludf.DUMMYFUNCTION("""COMPUTED_VALUE"""),"estefany02ws")</f>
        <v>estefany02ws</v>
      </c>
      <c r="N540" s="763" t="str">
        <f>IFERROR(__xludf.DUMMYFUNCTION("""COMPUTED_VALUE"""),"66063-1763054959")</f>
        <v>66063-1763054959</v>
      </c>
      <c r="O540" s="763">
        <f>IFERROR(__xludf.DUMMYFUNCTION("""COMPUTED_VALUE"""),0.0)</f>
        <v>0</v>
      </c>
      <c r="P540" s="767">
        <f>IFERROR(__xludf.DUMMYFUNCTION("""COMPUTED_VALUE"""),1.4583333333333333)</f>
        <v>1.458333333</v>
      </c>
      <c r="Q540" s="763" t="str">
        <f>IFERROR(__xludf.DUMMYFUNCTION("""COMPUTED_VALUE"""),"EUR")</f>
        <v>EUR</v>
      </c>
      <c r="R540" s="763">
        <f>IFERROR(__xludf.DUMMYFUNCTION("""COMPUTED_VALUE"""),1017.0)</f>
        <v>1017</v>
      </c>
      <c r="S540" s="763" t="str">
        <f>IFERROR(__xludf.DUMMYFUNCTION("""COMPUTED_VALUE"""),"Workshop Heels con Deborah Esposito - Workshop Heels con Deborah Esposito")</f>
        <v>Workshop Heels con Deborah Esposito - Workshop Heels con Deborah Esposito</v>
      </c>
      <c r="T540" s="763"/>
      <c r="U540" s="763"/>
      <c r="V540" s="763">
        <f>IFERROR(__xludf.DUMMYFUNCTION("""COMPUTED_VALUE"""),1.0)</f>
        <v>1</v>
      </c>
      <c r="W540" s="763">
        <f>IFERROR(__xludf.DUMMYFUNCTION("""COMPUTED_VALUE"""),35.0)</f>
        <v>35</v>
      </c>
      <c r="X540" s="763">
        <f>IFERROR(__xludf.DUMMYFUNCTION("""COMPUTED_VALUE"""),35.0)</f>
        <v>35</v>
      </c>
      <c r="Y540" s="763"/>
      <c r="Z540" s="768" t="str">
        <f>IFERROR(__xludf.DUMMYFUNCTION("""COMPUTED_VALUE"""),"https://studio-gem.it/wp-admin/post.php?post=66063&amp;action=edit")</f>
        <v>https://studio-gem.it/wp-admin/post.php?post=66063&amp;action=edit</v>
      </c>
      <c r="AA540" s="763"/>
      <c r="AB540" s="763"/>
      <c r="AC540" s="763"/>
      <c r="AD540" s="763"/>
      <c r="AE540" s="763"/>
      <c r="AF540" s="763"/>
      <c r="AG540" s="763"/>
      <c r="AH540" s="763"/>
      <c r="AI540" s="763"/>
      <c r="AJ540" s="763"/>
      <c r="AK540" s="763"/>
      <c r="AL540" s="763"/>
      <c r="AM540" s="763"/>
      <c r="AN540" s="763"/>
      <c r="AO540" s="763"/>
      <c r="AP540" s="763"/>
      <c r="AQ540" s="763"/>
      <c r="AR540" s="763"/>
      <c r="AS540" s="763"/>
      <c r="AT540" s="763"/>
      <c r="AU540" s="763"/>
      <c r="AV540" s="763"/>
      <c r="AW540" s="763"/>
      <c r="AX540" s="763"/>
      <c r="AY540" s="763"/>
      <c r="AZ540" s="763"/>
      <c r="BA540" s="763"/>
      <c r="BB540" s="763"/>
      <c r="BC540" s="763"/>
      <c r="BD540" s="763"/>
      <c r="BE540" s="763"/>
      <c r="BF540" s="763"/>
      <c r="BG540" s="763" t="b">
        <f>IFERROR(__xludf.DUMMYFUNCTION("""COMPUTED_VALUE"""),TRUE)</f>
        <v>1</v>
      </c>
      <c r="BH540" s="763" t="b">
        <f>IFERROR(__xludf.DUMMYFUNCTION("""COMPUTED_VALUE"""),FALSE)</f>
        <v>0</v>
      </c>
      <c r="BI540" s="763" t="b">
        <f>IFERROR(__xludf.DUMMYFUNCTION("""COMPUTED_VALUE"""),TRUE)</f>
        <v>1</v>
      </c>
      <c r="BJ540" s="763" t="b">
        <f>IFERROR(__xludf.DUMMYFUNCTION("""COMPUTED_VALUE"""),TRUE)</f>
        <v>1</v>
      </c>
    </row>
    <row r="541">
      <c r="A541" s="763">
        <f>IFERROR(__xludf.DUMMYFUNCTION("""COMPUTED_VALUE"""),66064.0)</f>
        <v>66064</v>
      </c>
      <c r="B541" s="763">
        <f>IFERROR(__xludf.DUMMYFUNCTION("""COMPUTED_VALUE"""),66064.0)</f>
        <v>66064</v>
      </c>
      <c r="C541" s="763" t="str">
        <f>IFERROR(__xludf.DUMMYFUNCTION("""COMPUTED_VALUE"""),"2025-11-13 22:12:13")</f>
        <v>2025-11-13 22:12:13</v>
      </c>
      <c r="D541" s="763" t="str">
        <f>IFERROR(__xludf.DUMMYFUNCTION("""COMPUTED_VALUE"""),"pending")</f>
        <v>pending</v>
      </c>
      <c r="E541" s="763" t="str">
        <f>IFERROR(__xludf.DUMMYFUNCTION("""COMPUTED_VALUE"""),"Lion Lucas")</f>
        <v>Lion Lucas</v>
      </c>
      <c r="F541" s="763" t="str">
        <f>IFERROR(__xludf.DUMMYFUNCTION("""COMPUTED_VALUE"""),"Alfred")</f>
        <v>Alfred</v>
      </c>
      <c r="G541" s="763" t="str">
        <f>IFERROR(__xludf.DUMMYFUNCTION("""COMPUTED_VALUE"""),"lion.lucas.alfred@icloud.com")</f>
        <v>lion.lucas.alfred@icloud.com</v>
      </c>
      <c r="H541" s="763" t="str">
        <f>IFERROR(__xludf.DUMMYFUNCTION("""COMPUTED_VALUE"""),"+4915906366805")</f>
        <v>+4915906366805</v>
      </c>
      <c r="I541" s="763" t="str">
        <f>IFERROR(__xludf.DUMMYFUNCTION("""COMPUTED_VALUE"""),"Bielefeld")</f>
        <v>Bielefeld</v>
      </c>
      <c r="J541" s="763" t="str">
        <f>IFERROR(__xludf.DUMMYFUNCTION("""COMPUTED_VALUE"""),"Goldaper Strasse 5c")</f>
        <v>Goldaper Strasse 5c</v>
      </c>
      <c r="K541" s="763">
        <f>IFERROR(__xludf.DUMMYFUNCTION("""COMPUTED_VALUE"""),33605.0)</f>
        <v>33605</v>
      </c>
      <c r="L541" s="763" t="str">
        <f>IFERROR(__xludf.DUMMYFUNCTION("""COMPUTED_VALUE"""),"Carte di pagamento")</f>
        <v>Carte di pagamento</v>
      </c>
      <c r="M541" s="763" t="str">
        <f>IFERROR(__xludf.DUMMYFUNCTION("""COMPUTED_VALUE"""),"giuditta02ws")</f>
        <v>giuditta02ws</v>
      </c>
      <c r="N541" s="763"/>
      <c r="O541" s="763">
        <f>IFERROR(__xludf.DUMMYFUNCTION("""COMPUTED_VALUE"""),0.0)</f>
        <v>0</v>
      </c>
      <c r="P541" s="767">
        <f>IFERROR(__xludf.DUMMYFUNCTION("""COMPUTED_VALUE"""),1.25)</f>
        <v>1.25</v>
      </c>
      <c r="Q541" s="763" t="str">
        <f>IFERROR(__xludf.DUMMYFUNCTION("""COMPUTED_VALUE"""),"EUR")</f>
        <v>EUR</v>
      </c>
      <c r="R541" s="763">
        <f>IFERROR(__xludf.DUMMYFUNCTION("""COMPUTED_VALUE"""),1019.0)</f>
        <v>1019</v>
      </c>
      <c r="S541" s="763" t="str">
        <f>IFERROR(__xludf.DUMMYFUNCTION("""COMPUTED_VALUE"""),"Workshop Salsa Musicality con Nicolò De Angelis - Workshop Nicolò Salsa Musicality")</f>
        <v>Workshop Salsa Musicality con Nicolò De Angelis - Workshop Nicolò Salsa Musicality</v>
      </c>
      <c r="T541" s="763"/>
      <c r="U541" s="763"/>
      <c r="V541" s="763">
        <f>IFERROR(__xludf.DUMMYFUNCTION("""COMPUTED_VALUE"""),1.0)</f>
        <v>1</v>
      </c>
      <c r="W541" s="763">
        <f>IFERROR(__xludf.DUMMYFUNCTION("""COMPUTED_VALUE"""),30.0)</f>
        <v>30</v>
      </c>
      <c r="X541" s="763">
        <f>IFERROR(__xludf.DUMMYFUNCTION("""COMPUTED_VALUE"""),30.0)</f>
        <v>30</v>
      </c>
      <c r="Y541" s="763"/>
      <c r="Z541" s="768" t="str">
        <f>IFERROR(__xludf.DUMMYFUNCTION("""COMPUTED_VALUE"""),"https://studio-gem.it/wp-admin/post.php?post=66064&amp;action=edit")</f>
        <v>https://studio-gem.it/wp-admin/post.php?post=66064&amp;action=edit</v>
      </c>
      <c r="AA541" s="763"/>
      <c r="AB541" s="763"/>
      <c r="AC541" s="763"/>
      <c r="AD541" s="763"/>
      <c r="AE541" s="763"/>
      <c r="AF541" s="763"/>
      <c r="AG541" s="763"/>
      <c r="AH541" s="763"/>
      <c r="AI541" s="763"/>
      <c r="AJ541" s="763"/>
      <c r="AK541" s="763"/>
      <c r="AL541" s="763"/>
      <c r="AM541" s="763"/>
      <c r="AN541" s="763"/>
      <c r="AO541" s="763"/>
      <c r="AP541" s="763"/>
      <c r="AQ541" s="763"/>
      <c r="AR541" s="763"/>
      <c r="AS541" s="763"/>
      <c r="AT541" s="763"/>
      <c r="AU541" s="763"/>
      <c r="AV541" s="763"/>
      <c r="AW541" s="763"/>
      <c r="AX541" s="763"/>
      <c r="AY541" s="763"/>
      <c r="AZ541" s="763"/>
      <c r="BA541" s="763"/>
      <c r="BB541" s="763"/>
      <c r="BC541" s="763"/>
      <c r="BD541" s="763"/>
      <c r="BE541" s="763"/>
      <c r="BF541" s="763"/>
      <c r="BG541" s="763" t="b">
        <f>IFERROR(__xludf.DUMMYFUNCTION("""COMPUTED_VALUE"""),FALSE)</f>
        <v>0</v>
      </c>
      <c r="BH541" s="763" t="b">
        <f>IFERROR(__xludf.DUMMYFUNCTION("""COMPUTED_VALUE"""),FALSE)</f>
        <v>0</v>
      </c>
      <c r="BI541" s="763" t="b">
        <f>IFERROR(__xludf.DUMMYFUNCTION("""COMPUTED_VALUE"""),FALSE)</f>
        <v>0</v>
      </c>
      <c r="BJ541" s="763" t="b">
        <f>IFERROR(__xludf.DUMMYFUNCTION("""COMPUTED_VALUE"""),FALSE)</f>
        <v>0</v>
      </c>
    </row>
    <row r="542">
      <c r="A542" s="763">
        <f>IFERROR(__xludf.DUMMYFUNCTION("""COMPUTED_VALUE"""),66064.0)</f>
        <v>66064</v>
      </c>
      <c r="B542" s="763">
        <f>IFERROR(__xludf.DUMMYFUNCTION("""COMPUTED_VALUE"""),66064.0)</f>
        <v>66064</v>
      </c>
      <c r="C542" s="763" t="str">
        <f>IFERROR(__xludf.DUMMYFUNCTION("""COMPUTED_VALUE"""),"2025-11-13 22:12:13")</f>
        <v>2025-11-13 22:12:13</v>
      </c>
      <c r="D542" s="763" t="str">
        <f>IFERROR(__xludf.DUMMYFUNCTION("""COMPUTED_VALUE"""),"completed")</f>
        <v>completed</v>
      </c>
      <c r="E542" s="763" t="str">
        <f>IFERROR(__xludf.DUMMYFUNCTION("""COMPUTED_VALUE"""),"Lion Lucas")</f>
        <v>Lion Lucas</v>
      </c>
      <c r="F542" s="763" t="str">
        <f>IFERROR(__xludf.DUMMYFUNCTION("""COMPUTED_VALUE"""),"Alfred")</f>
        <v>Alfred</v>
      </c>
      <c r="G542" s="763" t="str">
        <f>IFERROR(__xludf.DUMMYFUNCTION("""COMPUTED_VALUE"""),"lion.lucas.alfred@icloud.com")</f>
        <v>lion.lucas.alfred@icloud.com</v>
      </c>
      <c r="H542" s="763" t="str">
        <f>IFERROR(__xludf.DUMMYFUNCTION("""COMPUTED_VALUE"""),"+4915906366805")</f>
        <v>+4915906366805</v>
      </c>
      <c r="I542" s="763" t="str">
        <f>IFERROR(__xludf.DUMMYFUNCTION("""COMPUTED_VALUE"""),"Bielefeld")</f>
        <v>Bielefeld</v>
      </c>
      <c r="J542" s="763" t="str">
        <f>IFERROR(__xludf.DUMMYFUNCTION("""COMPUTED_VALUE"""),"Goldaper Strasse 5c")</f>
        <v>Goldaper Strasse 5c</v>
      </c>
      <c r="K542" s="763">
        <f>IFERROR(__xludf.DUMMYFUNCTION("""COMPUTED_VALUE"""),33605.0)</f>
        <v>33605</v>
      </c>
      <c r="L542" s="763" t="str">
        <f>IFERROR(__xludf.DUMMYFUNCTION("""COMPUTED_VALUE"""),"Apple Pay")</f>
        <v>Apple Pay</v>
      </c>
      <c r="M542" s="763" t="str">
        <f>IFERROR(__xludf.DUMMYFUNCTION("""COMPUTED_VALUE"""),"giuditta02ws")</f>
        <v>giuditta02ws</v>
      </c>
      <c r="N542" s="763" t="str">
        <f>IFERROR(__xludf.DUMMYFUNCTION("""COMPUTED_VALUE"""),"66064-1763072098")</f>
        <v>66064-1763072098</v>
      </c>
      <c r="O542" s="763">
        <f>IFERROR(__xludf.DUMMYFUNCTION("""COMPUTED_VALUE"""),0.0)</f>
        <v>0</v>
      </c>
      <c r="P542" s="767">
        <f>IFERROR(__xludf.DUMMYFUNCTION("""COMPUTED_VALUE"""),1.25)</f>
        <v>1.25</v>
      </c>
      <c r="Q542" s="763" t="str">
        <f>IFERROR(__xludf.DUMMYFUNCTION("""COMPUTED_VALUE"""),"EUR")</f>
        <v>EUR</v>
      </c>
      <c r="R542" s="763">
        <f>IFERROR(__xludf.DUMMYFUNCTION("""COMPUTED_VALUE"""),1021.0)</f>
        <v>1021</v>
      </c>
      <c r="S542" s="763" t="str">
        <f>IFERROR(__xludf.DUMMYFUNCTION("""COMPUTED_VALUE"""),"Workshop Salsa Musicality con Nicolò De Angelis - Workshop Nicolò Salsa Musicality")</f>
        <v>Workshop Salsa Musicality con Nicolò De Angelis - Workshop Nicolò Salsa Musicality</v>
      </c>
      <c r="T542" s="763"/>
      <c r="U542" s="763"/>
      <c r="V542" s="763">
        <f>IFERROR(__xludf.DUMMYFUNCTION("""COMPUTED_VALUE"""),1.0)</f>
        <v>1</v>
      </c>
      <c r="W542" s="763">
        <f>IFERROR(__xludf.DUMMYFUNCTION("""COMPUTED_VALUE"""),30.0)</f>
        <v>30</v>
      </c>
      <c r="X542" s="763">
        <f>IFERROR(__xludf.DUMMYFUNCTION("""COMPUTED_VALUE"""),30.0)</f>
        <v>30</v>
      </c>
      <c r="Y542" s="763"/>
      <c r="Z542" s="768" t="str">
        <f>IFERROR(__xludf.DUMMYFUNCTION("""COMPUTED_VALUE"""),"https://studio-gem.it/wp-admin/post.php?post=66064&amp;action=edit")</f>
        <v>https://studio-gem.it/wp-admin/post.php?post=66064&amp;action=edit</v>
      </c>
      <c r="AA542" s="763"/>
      <c r="AB542" s="763"/>
      <c r="AC542" s="763"/>
      <c r="AD542" s="763"/>
      <c r="AE542" s="763"/>
      <c r="AF542" s="763"/>
      <c r="AG542" s="763"/>
      <c r="AH542" s="763"/>
      <c r="AI542" s="763"/>
      <c r="AJ542" s="763"/>
      <c r="AK542" s="763"/>
      <c r="AL542" s="763"/>
      <c r="AM542" s="763"/>
      <c r="AN542" s="763"/>
      <c r="AO542" s="763"/>
      <c r="AP542" s="763"/>
      <c r="AQ542" s="763"/>
      <c r="AR542" s="763"/>
      <c r="AS542" s="763"/>
      <c r="AT542" s="763"/>
      <c r="AU542" s="763"/>
      <c r="AV542" s="763"/>
      <c r="AW542" s="763"/>
      <c r="AX542" s="763"/>
      <c r="AY542" s="763"/>
      <c r="AZ542" s="763"/>
      <c r="BA542" s="763"/>
      <c r="BB542" s="763"/>
      <c r="BC542" s="763"/>
      <c r="BD542" s="763"/>
      <c r="BE542" s="763"/>
      <c r="BF542" s="763"/>
      <c r="BG542" s="763" t="b">
        <f>IFERROR(__xludf.DUMMYFUNCTION("""COMPUTED_VALUE"""),TRUE)</f>
        <v>1</v>
      </c>
      <c r="BH542" s="763" t="b">
        <f>IFERROR(__xludf.DUMMYFUNCTION("""COMPUTED_VALUE"""),FALSE)</f>
        <v>0</v>
      </c>
      <c r="BI542" s="763" t="b">
        <f>IFERROR(__xludf.DUMMYFUNCTION("""COMPUTED_VALUE"""),TRUE)</f>
        <v>1</v>
      </c>
      <c r="BJ542" s="763" t="b">
        <f>IFERROR(__xludf.DUMMYFUNCTION("""COMPUTED_VALUE"""),TRUE)</f>
        <v>1</v>
      </c>
    </row>
    <row r="543">
      <c r="A543" s="763">
        <f>IFERROR(__xludf.DUMMYFUNCTION("""COMPUTED_VALUE"""),66066.0)</f>
        <v>66066</v>
      </c>
      <c r="B543" s="763">
        <f>IFERROR(__xludf.DUMMYFUNCTION("""COMPUTED_VALUE"""),66066.0)</f>
        <v>66066</v>
      </c>
      <c r="C543" s="763" t="str">
        <f>IFERROR(__xludf.DUMMYFUNCTION("""COMPUTED_VALUE"""),"2025-11-13 22:33:02")</f>
        <v>2025-11-13 22:33:02</v>
      </c>
      <c r="D543" s="763" t="str">
        <f>IFERROR(__xludf.DUMMYFUNCTION("""COMPUTED_VALUE"""),"completed")</f>
        <v>completed</v>
      </c>
      <c r="E543" s="763" t="str">
        <f>IFERROR(__xludf.DUMMYFUNCTION("""COMPUTED_VALUE"""),"Manuela")</f>
        <v>Manuela</v>
      </c>
      <c r="F543" s="763" t="str">
        <f>IFERROR(__xludf.DUMMYFUNCTION("""COMPUTED_VALUE"""),"Precerutti")</f>
        <v>Precerutti</v>
      </c>
      <c r="G543" s="763" t="str">
        <f>IFERROR(__xludf.DUMMYFUNCTION("""COMPUTED_VALUE"""),"manuela.precerutti@cchellenic.com")</f>
        <v>manuela.precerutti@cchellenic.com</v>
      </c>
      <c r="H543" s="763">
        <f>IFERROR(__xludf.DUMMYFUNCTION("""COMPUTED_VALUE"""),3.420984354E9)</f>
        <v>3420984354</v>
      </c>
      <c r="I543" s="763" t="str">
        <f>IFERROR(__xludf.DUMMYFUNCTION("""COMPUTED_VALUE"""),"Milano")</f>
        <v>Milano</v>
      </c>
      <c r="J543" s="763" t="str">
        <f>IFERROR(__xludf.DUMMYFUNCTION("""COMPUTED_VALUE"""),"Via P. Portinari 1")</f>
        <v>Via P. Portinari 1</v>
      </c>
      <c r="K543" s="763">
        <f>IFERROR(__xludf.DUMMYFUNCTION("""COMPUTED_VALUE"""),20125.0)</f>
        <v>20125</v>
      </c>
      <c r="L543" s="763" t="str">
        <f>IFERROR(__xludf.DUMMYFUNCTION("""COMPUTED_VALUE"""),"Carte di pagamento")</f>
        <v>Carte di pagamento</v>
      </c>
      <c r="M543" s="763" t="str">
        <f>IFERROR(__xludf.DUMMYFUNCTION("""COMPUTED_VALUE"""),"santo05natale")</f>
        <v>santo05natale</v>
      </c>
      <c r="N543" s="763" t="str">
        <f>IFERROR(__xludf.DUMMYFUNCTION("""COMPUTED_VALUE"""),"66066-1763073183")</f>
        <v>66066-1763073183</v>
      </c>
      <c r="O543" s="763">
        <f>IFERROR(__xludf.DUMMYFUNCTION("""COMPUTED_VALUE"""),0.0)</f>
        <v>0</v>
      </c>
      <c r="P543" s="767">
        <f>IFERROR(__xludf.DUMMYFUNCTION("""COMPUTED_VALUE"""),2.0833333333333335)</f>
        <v>2.083333333</v>
      </c>
      <c r="Q543" s="763" t="str">
        <f>IFERROR(__xludf.DUMMYFUNCTION("""COMPUTED_VALUE"""),"EUR")</f>
        <v>EUR</v>
      </c>
      <c r="R543" s="763">
        <f>IFERROR(__xludf.DUMMYFUNCTION("""COMPUTED_VALUE"""),1023.0)</f>
        <v>1023</v>
      </c>
      <c r="S543" s="763" t="str">
        <f>IFERROR(__xludf.DUMMYFUNCTION("""COMPUTED_VALUE"""),"Festa di Natale 2025 - Festa di natale 2025 lezioni + pizza + serata 55€")</f>
        <v>Festa di Natale 2025 - Festa di natale 2025 lezioni + pizza + serata 55€</v>
      </c>
      <c r="T543" s="763"/>
      <c r="U543" s="763"/>
      <c r="V543" s="763">
        <f>IFERROR(__xludf.DUMMYFUNCTION("""COMPUTED_VALUE"""),1.0)</f>
        <v>1</v>
      </c>
      <c r="W543" s="763">
        <f>IFERROR(__xludf.DUMMYFUNCTION("""COMPUTED_VALUE"""),50.0)</f>
        <v>50</v>
      </c>
      <c r="X543" s="763">
        <f>IFERROR(__xludf.DUMMYFUNCTION("""COMPUTED_VALUE"""),50.0)</f>
        <v>50</v>
      </c>
      <c r="Y543" s="763"/>
      <c r="Z543" s="768" t="str">
        <f>IFERROR(__xludf.DUMMYFUNCTION("""COMPUTED_VALUE"""),"https://studio-gem.it/wp-admin/post.php?post=66066&amp;action=edit")</f>
        <v>https://studio-gem.it/wp-admin/post.php?post=66066&amp;action=edit</v>
      </c>
      <c r="AA543" s="763"/>
      <c r="AB543" s="763"/>
      <c r="AC543" s="763"/>
      <c r="AD543" s="763"/>
      <c r="AE543" s="763"/>
      <c r="AF543" s="763"/>
      <c r="AG543" s="763"/>
      <c r="AH543" s="763"/>
      <c r="AI543" s="763"/>
      <c r="AJ543" s="763"/>
      <c r="AK543" s="763"/>
      <c r="AL543" s="763"/>
      <c r="AM543" s="763"/>
      <c r="AN543" s="763"/>
      <c r="AO543" s="763"/>
      <c r="AP543" s="763"/>
      <c r="AQ543" s="763"/>
      <c r="AR543" s="763"/>
      <c r="AS543" s="763"/>
      <c r="AT543" s="763"/>
      <c r="AU543" s="763"/>
      <c r="AV543" s="763"/>
      <c r="AW543" s="763"/>
      <c r="AX543" s="763"/>
      <c r="AY543" s="763"/>
      <c r="AZ543" s="763"/>
      <c r="BA543" s="763"/>
      <c r="BB543" s="763"/>
      <c r="BC543" s="763"/>
      <c r="BD543" s="763"/>
      <c r="BE543" s="763"/>
      <c r="BF543" s="763"/>
      <c r="BG543" s="763" t="b">
        <f>IFERROR(__xludf.DUMMYFUNCTION("""COMPUTED_VALUE"""),TRUE)</f>
        <v>1</v>
      </c>
      <c r="BH543" s="763" t="b">
        <f>IFERROR(__xludf.DUMMYFUNCTION("""COMPUTED_VALUE"""),FALSE)</f>
        <v>0</v>
      </c>
      <c r="BI543" s="763" t="b">
        <f>IFERROR(__xludf.DUMMYFUNCTION("""COMPUTED_VALUE"""),TRUE)</f>
        <v>1</v>
      </c>
      <c r="BJ543" s="763" t="b">
        <f>IFERROR(__xludf.DUMMYFUNCTION("""COMPUTED_VALUE"""),TRUE)</f>
        <v>1</v>
      </c>
    </row>
    <row r="544">
      <c r="A544" s="763">
        <f>IFERROR(__xludf.DUMMYFUNCTION("""COMPUTED_VALUE"""),66068.0)</f>
        <v>66068</v>
      </c>
      <c r="B544" s="763">
        <f>IFERROR(__xludf.DUMMYFUNCTION("""COMPUTED_VALUE"""),66068.0)</f>
        <v>66068</v>
      </c>
      <c r="C544" s="763" t="str">
        <f>IFERROR(__xludf.DUMMYFUNCTION("""COMPUTED_VALUE"""),"2025-11-14 07:47:43")</f>
        <v>2025-11-14 07:47:43</v>
      </c>
      <c r="D544" s="763" t="str">
        <f>IFERROR(__xludf.DUMMYFUNCTION("""COMPUTED_VALUE"""),"completed")</f>
        <v>completed</v>
      </c>
      <c r="E544" s="763" t="str">
        <f>IFERROR(__xludf.DUMMYFUNCTION("""COMPUTED_VALUE"""),"Melide")</f>
        <v>Melide</v>
      </c>
      <c r="F544" s="763" t="str">
        <f>IFERROR(__xludf.DUMMYFUNCTION("""COMPUTED_VALUE"""),"Crippa")</f>
        <v>Crippa</v>
      </c>
      <c r="G544" s="763" t="str">
        <f>IFERROR(__xludf.DUMMYFUNCTION("""COMPUTED_VALUE"""),"melincecrippa99@gmail.com")</f>
        <v>melincecrippa99@gmail.com</v>
      </c>
      <c r="H544" s="763">
        <f>IFERROR(__xludf.DUMMYFUNCTION("""COMPUTED_VALUE"""),3.381642215E9)</f>
        <v>3381642215</v>
      </c>
      <c r="I544" s="763" t="str">
        <f>IFERROR(__xludf.DUMMYFUNCTION("""COMPUTED_VALUE"""),"Dervio")</f>
        <v>Dervio</v>
      </c>
      <c r="J544" s="763" t="str">
        <f>IFERROR(__xludf.DUMMYFUNCTION("""COMPUTED_VALUE"""),"Via rubini 7")</f>
        <v>Via rubini 7</v>
      </c>
      <c r="K544" s="763">
        <f>IFERROR(__xludf.DUMMYFUNCTION("""COMPUTED_VALUE"""),23824.0)</f>
        <v>23824</v>
      </c>
      <c r="L544" s="763" t="str">
        <f>IFERROR(__xludf.DUMMYFUNCTION("""COMPUTED_VALUE"""),"Apple Pay")</f>
        <v>Apple Pay</v>
      </c>
      <c r="M544" s="763"/>
      <c r="N544" s="763" t="str">
        <f>IFERROR(__xludf.DUMMYFUNCTION("""COMPUTED_VALUE"""),"66068-1763106465")</f>
        <v>66068-1763106465</v>
      </c>
      <c r="O544" s="763">
        <f>IFERROR(__xludf.DUMMYFUNCTION("""COMPUTED_VALUE"""),0.0)</f>
        <v>0</v>
      </c>
      <c r="P544" s="767">
        <f>IFERROR(__xludf.DUMMYFUNCTION("""COMPUTED_VALUE"""),1.3333333333333333)</f>
        <v>1.333333333</v>
      </c>
      <c r="Q544" s="763" t="str">
        <f>IFERROR(__xludf.DUMMYFUNCTION("""COMPUTED_VALUE"""),"EUR")</f>
        <v>EUR</v>
      </c>
      <c r="R544" s="763">
        <f>IFERROR(__xludf.DUMMYFUNCTION("""COMPUTED_VALUE"""),1025.0)</f>
        <v>1025</v>
      </c>
      <c r="S544" s="763" t="str">
        <f>IFERROR(__xludf.DUMMYFUNCTION("""COMPUTED_VALUE"""),"Workshop Salsa Musicality con Nicolò De Angelis - Workshop Nicolò Salsa Musicality")</f>
        <v>Workshop Salsa Musicality con Nicolò De Angelis - Workshop Nicolò Salsa Musicality</v>
      </c>
      <c r="T544" s="763"/>
      <c r="U544" s="763"/>
      <c r="V544" s="763">
        <f>IFERROR(__xludf.DUMMYFUNCTION("""COMPUTED_VALUE"""),1.0)</f>
        <v>1</v>
      </c>
      <c r="W544" s="763">
        <f>IFERROR(__xludf.DUMMYFUNCTION("""COMPUTED_VALUE"""),32.0)</f>
        <v>32</v>
      </c>
      <c r="X544" s="763">
        <f>IFERROR(__xludf.DUMMYFUNCTION("""COMPUTED_VALUE"""),32.0)</f>
        <v>32</v>
      </c>
      <c r="Y544" s="763"/>
      <c r="Z544" s="768" t="str">
        <f>IFERROR(__xludf.DUMMYFUNCTION("""COMPUTED_VALUE"""),"https://studio-gem.it/wp-admin/post.php?post=66068&amp;action=edit")</f>
        <v>https://studio-gem.it/wp-admin/post.php?post=66068&amp;action=edit</v>
      </c>
      <c r="AA544" s="763"/>
      <c r="AB544" s="763"/>
      <c r="AC544" s="763"/>
      <c r="AD544" s="763"/>
      <c r="AE544" s="763"/>
      <c r="AF544" s="763"/>
      <c r="AG544" s="763"/>
      <c r="AH544" s="763"/>
      <c r="AI544" s="763"/>
      <c r="AJ544" s="763"/>
      <c r="AK544" s="763"/>
      <c r="AL544" s="763"/>
      <c r="AM544" s="763"/>
      <c r="AN544" s="763"/>
      <c r="AO544" s="763"/>
      <c r="AP544" s="763"/>
      <c r="AQ544" s="763"/>
      <c r="AR544" s="763"/>
      <c r="AS544" s="763"/>
      <c r="AT544" s="763"/>
      <c r="AU544" s="763"/>
      <c r="AV544" s="763"/>
      <c r="AW544" s="763"/>
      <c r="AX544" s="763"/>
      <c r="AY544" s="763"/>
      <c r="AZ544" s="763"/>
      <c r="BA544" s="763"/>
      <c r="BB544" s="763"/>
      <c r="BC544" s="763"/>
      <c r="BD544" s="763"/>
      <c r="BE544" s="763"/>
      <c r="BF544" s="763"/>
      <c r="BG544" s="763" t="b">
        <f>IFERROR(__xludf.DUMMYFUNCTION("""COMPUTED_VALUE"""),TRUE)</f>
        <v>1</v>
      </c>
      <c r="BH544" s="763" t="b">
        <f>IFERROR(__xludf.DUMMYFUNCTION("""COMPUTED_VALUE"""),FALSE)</f>
        <v>0</v>
      </c>
      <c r="BI544" s="763" t="b">
        <f>IFERROR(__xludf.DUMMYFUNCTION("""COMPUTED_VALUE"""),TRUE)</f>
        <v>1</v>
      </c>
      <c r="BJ544" s="763" t="b">
        <f>IFERROR(__xludf.DUMMYFUNCTION("""COMPUTED_VALUE"""),TRUE)</f>
        <v>1</v>
      </c>
    </row>
    <row r="545">
      <c r="A545" s="763">
        <f>IFERROR(__xludf.DUMMYFUNCTION("""COMPUTED_VALUE"""),66070.0)</f>
        <v>66070</v>
      </c>
      <c r="B545" s="763">
        <f>IFERROR(__xludf.DUMMYFUNCTION("""COMPUTED_VALUE"""),66070.0)</f>
        <v>66070</v>
      </c>
      <c r="C545" s="763" t="str">
        <f>IFERROR(__xludf.DUMMYFUNCTION("""COMPUTED_VALUE"""),"2025-11-14 08:37:21")</f>
        <v>2025-11-14 08:37:21</v>
      </c>
      <c r="D545" s="763" t="str">
        <f>IFERROR(__xludf.DUMMYFUNCTION("""COMPUTED_VALUE"""),"processing")</f>
        <v>processing</v>
      </c>
      <c r="E545" s="763" t="str">
        <f>IFERROR(__xludf.DUMMYFUNCTION("""COMPUTED_VALUE"""),"Samira")</f>
        <v>Samira</v>
      </c>
      <c r="F545" s="763" t="str">
        <f>IFERROR(__xludf.DUMMYFUNCTION("""COMPUTED_VALUE"""),"Selderi")</f>
        <v>Selderi</v>
      </c>
      <c r="G545" s="763" t="str">
        <f>IFERROR(__xludf.DUMMYFUNCTION("""COMPUTED_VALUE"""),"samiraselde03@gmail.com")</f>
        <v>samiraselde03@gmail.com</v>
      </c>
      <c r="H545" s="763">
        <f>IFERROR(__xludf.DUMMYFUNCTION("""COMPUTED_VALUE"""),3.286420424E9)</f>
        <v>3286420424</v>
      </c>
      <c r="I545" s="763" t="str">
        <f>IFERROR(__xludf.DUMMYFUNCTION("""COMPUTED_VALUE"""),"Milano")</f>
        <v>Milano</v>
      </c>
      <c r="J545" s="763" t="str">
        <f>IFERROR(__xludf.DUMMYFUNCTION("""COMPUTED_VALUE"""),"Viale Monte nero 12")</f>
        <v>Viale Monte nero 12</v>
      </c>
      <c r="K545" s="763">
        <f>IFERROR(__xludf.DUMMYFUNCTION("""COMPUTED_VALUE"""),20135.0)</f>
        <v>20135</v>
      </c>
      <c r="L545" s="763" t="str">
        <f>IFERROR(__xludf.DUMMYFUNCTION("""COMPUTED_VALUE"""),"Carte di pagamento")</f>
        <v>Carte di pagamento</v>
      </c>
      <c r="M545" s="763" t="str">
        <f>IFERROR(__xludf.DUMMYFUNCTION("""COMPUTED_VALUE"""),"santo05natale")</f>
        <v>santo05natale</v>
      </c>
      <c r="N545" s="763" t="str">
        <f>IFERROR(__xludf.DUMMYFUNCTION("""COMPUTED_VALUE"""),"66070-1763109442")</f>
        <v>66070-1763109442</v>
      </c>
      <c r="O545" s="763">
        <f>IFERROR(__xludf.DUMMYFUNCTION("""COMPUTED_VALUE"""),0.0)</f>
        <v>0</v>
      </c>
      <c r="P545" s="767">
        <f>IFERROR(__xludf.DUMMYFUNCTION("""COMPUTED_VALUE"""),2.0833333333333335)</f>
        <v>2.083333333</v>
      </c>
      <c r="Q545" s="763" t="str">
        <f>IFERROR(__xludf.DUMMYFUNCTION("""COMPUTED_VALUE"""),"EUR")</f>
        <v>EUR</v>
      </c>
      <c r="R545" s="763">
        <f>IFERROR(__xludf.DUMMYFUNCTION("""COMPUTED_VALUE"""),1026.0)</f>
        <v>1026</v>
      </c>
      <c r="S545" s="763" t="str">
        <f>IFERROR(__xludf.DUMMYFUNCTION("""COMPUTED_VALUE"""),"Festa di Natale 2025 - Festa di natale 2025 lezioni + pizza + serata 55€")</f>
        <v>Festa di Natale 2025 - Festa di natale 2025 lezioni + pizza + serata 55€</v>
      </c>
      <c r="T545" s="763"/>
      <c r="U545" s="763"/>
      <c r="V545" s="763">
        <f>IFERROR(__xludf.DUMMYFUNCTION("""COMPUTED_VALUE"""),1.0)</f>
        <v>1</v>
      </c>
      <c r="W545" s="763">
        <f>IFERROR(__xludf.DUMMYFUNCTION("""COMPUTED_VALUE"""),50.0)</f>
        <v>50</v>
      </c>
      <c r="X545" s="763">
        <f>IFERROR(__xludf.DUMMYFUNCTION("""COMPUTED_VALUE"""),50.0)</f>
        <v>50</v>
      </c>
      <c r="Y545" s="763"/>
      <c r="Z545" s="768" t="str">
        <f>IFERROR(__xludf.DUMMYFUNCTION("""COMPUTED_VALUE"""),"https://studio-gem.it/wp-admin/post.php?post=66070&amp;action=edit")</f>
        <v>https://studio-gem.it/wp-admin/post.php?post=66070&amp;action=edit</v>
      </c>
      <c r="AA545" s="763"/>
      <c r="AB545" s="763"/>
      <c r="AC545" s="763"/>
      <c r="AD545" s="763"/>
      <c r="AE545" s="763"/>
      <c r="AF545" s="763"/>
      <c r="AG545" s="763"/>
      <c r="AH545" s="763"/>
      <c r="AI545" s="763"/>
      <c r="AJ545" s="763"/>
      <c r="AK545" s="763"/>
      <c r="AL545" s="763"/>
      <c r="AM545" s="763"/>
      <c r="AN545" s="763"/>
      <c r="AO545" s="763"/>
      <c r="AP545" s="763"/>
      <c r="AQ545" s="763"/>
      <c r="AR545" s="763"/>
      <c r="AS545" s="763"/>
      <c r="AT545" s="763"/>
      <c r="AU545" s="763"/>
      <c r="AV545" s="763"/>
      <c r="AW545" s="763"/>
      <c r="AX545" s="763"/>
      <c r="AY545" s="763"/>
      <c r="AZ545" s="763"/>
      <c r="BA545" s="763"/>
      <c r="BB545" s="763"/>
      <c r="BC545" s="763"/>
      <c r="BD545" s="763"/>
      <c r="BE545" s="763"/>
      <c r="BF545" s="763"/>
      <c r="BG545" s="763" t="b">
        <f>IFERROR(__xludf.DUMMYFUNCTION("""COMPUTED_VALUE"""),TRUE)</f>
        <v>1</v>
      </c>
      <c r="BH545" s="763" t="b">
        <f>IFERROR(__xludf.DUMMYFUNCTION("""COMPUTED_VALUE"""),FALSE)</f>
        <v>0</v>
      </c>
      <c r="BI545" s="763" t="b">
        <f>IFERROR(__xludf.DUMMYFUNCTION("""COMPUTED_VALUE"""),TRUE)</f>
        <v>1</v>
      </c>
      <c r="BJ545" s="763" t="b">
        <f>IFERROR(__xludf.DUMMYFUNCTION("""COMPUTED_VALUE"""),TRUE)</f>
        <v>1</v>
      </c>
    </row>
    <row r="546">
      <c r="A546" s="763">
        <f>IFERROR(__xludf.DUMMYFUNCTION("""COMPUTED_VALUE"""),66071.0)</f>
        <v>66071</v>
      </c>
      <c r="B546" s="763">
        <f>IFERROR(__xludf.DUMMYFUNCTION("""COMPUTED_VALUE"""),66071.0)</f>
        <v>66071</v>
      </c>
      <c r="C546" s="763" t="str">
        <f>IFERROR(__xludf.DUMMYFUNCTION("""COMPUTED_VALUE"""),"2025-11-14 08:46:55")</f>
        <v>2025-11-14 08:46:55</v>
      </c>
      <c r="D546" s="763" t="str">
        <f>IFERROR(__xludf.DUMMYFUNCTION("""COMPUTED_VALUE"""),"completed")</f>
        <v>completed</v>
      </c>
      <c r="E546" s="763" t="str">
        <f>IFERROR(__xludf.DUMMYFUNCTION("""COMPUTED_VALUE"""),"GIORGIA EMILIA")</f>
        <v>GIORGIA EMILIA</v>
      </c>
      <c r="F546" s="763" t="str">
        <f>IFERROR(__xludf.DUMMYFUNCTION("""COMPUTED_VALUE"""),"FERRARI")</f>
        <v>FERRARI</v>
      </c>
      <c r="G546" s="763" t="str">
        <f>IFERROR(__xludf.DUMMYFUNCTION("""COMPUTED_VALUE"""),"giorgiaferrari74@gmail.com")</f>
        <v>giorgiaferrari74@gmail.com</v>
      </c>
      <c r="H546" s="763">
        <f>IFERROR(__xludf.DUMMYFUNCTION("""COMPUTED_VALUE"""),3.331792846E9)</f>
        <v>3331792846</v>
      </c>
      <c r="I546" s="763" t="str">
        <f>IFERROR(__xludf.DUMMYFUNCTION("""COMPUTED_VALUE"""),"MILANO")</f>
        <v>MILANO</v>
      </c>
      <c r="J546" s="763" t="str">
        <f>IFERROR(__xludf.DUMMYFUNCTION("""COMPUTED_VALUE"""),"Via Giovanni Spadolini 10A")</f>
        <v>Via Giovanni Spadolini 10A</v>
      </c>
      <c r="K546" s="763">
        <f>IFERROR(__xludf.DUMMYFUNCTION("""COMPUTED_VALUE"""),20141.0)</f>
        <v>20141</v>
      </c>
      <c r="L546" s="763" t="str">
        <f>IFERROR(__xludf.DUMMYFUNCTION("""COMPUTED_VALUE"""),"Google Pay")</f>
        <v>Google Pay</v>
      </c>
      <c r="M546" s="763" t="str">
        <f>IFERROR(__xludf.DUMMYFUNCTION("""COMPUTED_VALUE"""),"santo05natale")</f>
        <v>santo05natale</v>
      </c>
      <c r="N546" s="763" t="str">
        <f>IFERROR(__xludf.DUMMYFUNCTION("""COMPUTED_VALUE"""),"66071-1763110016")</f>
        <v>66071-1763110016</v>
      </c>
      <c r="O546" s="763">
        <f>IFERROR(__xludf.DUMMYFUNCTION("""COMPUTED_VALUE"""),0.0)</f>
        <v>0</v>
      </c>
      <c r="P546" s="767">
        <f>IFERROR(__xludf.DUMMYFUNCTION("""COMPUTED_VALUE"""),2.0833333333333335)</f>
        <v>2.083333333</v>
      </c>
      <c r="Q546" s="763" t="str">
        <f>IFERROR(__xludf.DUMMYFUNCTION("""COMPUTED_VALUE"""),"EUR")</f>
        <v>EUR</v>
      </c>
      <c r="R546" s="763">
        <f>IFERROR(__xludf.DUMMYFUNCTION("""COMPUTED_VALUE"""),1028.0)</f>
        <v>1028</v>
      </c>
      <c r="S546" s="763" t="str">
        <f>IFERROR(__xludf.DUMMYFUNCTION("""COMPUTED_VALUE"""),"Festa di Natale 2025 - Festa di natale 2025 lezioni + pizza + serata 55€")</f>
        <v>Festa di Natale 2025 - Festa di natale 2025 lezioni + pizza + serata 55€</v>
      </c>
      <c r="T546" s="763"/>
      <c r="U546" s="763"/>
      <c r="V546" s="763">
        <f>IFERROR(__xludf.DUMMYFUNCTION("""COMPUTED_VALUE"""),1.0)</f>
        <v>1</v>
      </c>
      <c r="W546" s="763">
        <f>IFERROR(__xludf.DUMMYFUNCTION("""COMPUTED_VALUE"""),50.0)</f>
        <v>50</v>
      </c>
      <c r="X546" s="763">
        <f>IFERROR(__xludf.DUMMYFUNCTION("""COMPUTED_VALUE"""),50.0)</f>
        <v>50</v>
      </c>
      <c r="Y546" s="763"/>
      <c r="Z546" s="768" t="str">
        <f>IFERROR(__xludf.DUMMYFUNCTION("""COMPUTED_VALUE"""),"https://studio-gem.it/wp-admin/post.php?post=66071&amp;action=edit")</f>
        <v>https://studio-gem.it/wp-admin/post.php?post=66071&amp;action=edit</v>
      </c>
      <c r="AA546" s="763"/>
      <c r="AB546" s="763"/>
      <c r="AC546" s="763"/>
      <c r="AD546" s="763"/>
      <c r="AE546" s="763"/>
      <c r="AF546" s="763"/>
      <c r="AG546" s="763"/>
      <c r="AH546" s="763"/>
      <c r="AI546" s="763"/>
      <c r="AJ546" s="763"/>
      <c r="AK546" s="763"/>
      <c r="AL546" s="763"/>
      <c r="AM546" s="763"/>
      <c r="AN546" s="763"/>
      <c r="AO546" s="763"/>
      <c r="AP546" s="763"/>
      <c r="AQ546" s="763"/>
      <c r="AR546" s="763"/>
      <c r="AS546" s="763"/>
      <c r="AT546" s="763"/>
      <c r="AU546" s="763"/>
      <c r="AV546" s="763"/>
      <c r="AW546" s="763"/>
      <c r="AX546" s="763"/>
      <c r="AY546" s="763"/>
      <c r="AZ546" s="763"/>
      <c r="BA546" s="763"/>
      <c r="BB546" s="763"/>
      <c r="BC546" s="763"/>
      <c r="BD546" s="763"/>
      <c r="BE546" s="763"/>
      <c r="BF546" s="763"/>
      <c r="BG546" s="763" t="b">
        <f>IFERROR(__xludf.DUMMYFUNCTION("""COMPUTED_VALUE"""),TRUE)</f>
        <v>1</v>
      </c>
      <c r="BH546" s="763" t="b">
        <f>IFERROR(__xludf.DUMMYFUNCTION("""COMPUTED_VALUE"""),FALSE)</f>
        <v>0</v>
      </c>
      <c r="BI546" s="763" t="b">
        <f>IFERROR(__xludf.DUMMYFUNCTION("""COMPUTED_VALUE"""),TRUE)</f>
        <v>1</v>
      </c>
      <c r="BJ546" s="763" t="b">
        <f>IFERROR(__xludf.DUMMYFUNCTION("""COMPUTED_VALUE"""),TRUE)</f>
        <v>1</v>
      </c>
    </row>
    <row r="547">
      <c r="A547" s="763">
        <f>IFERROR(__xludf.DUMMYFUNCTION("""COMPUTED_VALUE"""),66074.0)</f>
        <v>66074</v>
      </c>
      <c r="B547" s="763">
        <f>IFERROR(__xludf.DUMMYFUNCTION("""COMPUTED_VALUE"""),66074.0)</f>
        <v>66074</v>
      </c>
      <c r="C547" s="763" t="str">
        <f>IFERROR(__xludf.DUMMYFUNCTION("""COMPUTED_VALUE"""),"2025-11-14 09:01:54")</f>
        <v>2025-11-14 09:01:54</v>
      </c>
      <c r="D547" s="763" t="str">
        <f>IFERROR(__xludf.DUMMYFUNCTION("""COMPUTED_VALUE"""),"completed")</f>
        <v>completed</v>
      </c>
      <c r="E547" s="763" t="str">
        <f>IFERROR(__xludf.DUMMYFUNCTION("""COMPUTED_VALUE"""),"Elia")</f>
        <v>Elia</v>
      </c>
      <c r="F547" s="763" t="str">
        <f>IFERROR(__xludf.DUMMYFUNCTION("""COMPUTED_VALUE"""),"Cimò")</f>
        <v>Cimò</v>
      </c>
      <c r="G547" s="763" t="str">
        <f>IFERROR(__xludf.DUMMYFUNCTION("""COMPUTED_VALUE"""),"eliascimo@gmail.com")</f>
        <v>eliascimo@gmail.com</v>
      </c>
      <c r="H547" s="763">
        <f>IFERROR(__xludf.DUMMYFUNCTION("""COMPUTED_VALUE"""),3.601055904E9)</f>
        <v>3601055904</v>
      </c>
      <c r="I547" s="763" t="str">
        <f>IFERROR(__xludf.DUMMYFUNCTION("""COMPUTED_VALUE"""),"Milano")</f>
        <v>Milano</v>
      </c>
      <c r="J547" s="763" t="str">
        <f>IFERROR(__xludf.DUMMYFUNCTION("""COMPUTED_VALUE"""),"Viale ortles")</f>
        <v>Viale ortles</v>
      </c>
      <c r="K547" s="763">
        <f>IFERROR(__xludf.DUMMYFUNCTION("""COMPUTED_VALUE"""),20139.0)</f>
        <v>20139</v>
      </c>
      <c r="L547" s="763" t="str">
        <f>IFERROR(__xludf.DUMMYFUNCTION("""COMPUTED_VALUE"""),"Apple Pay")</f>
        <v>Apple Pay</v>
      </c>
      <c r="M547" s="763"/>
      <c r="N547" s="763" t="str">
        <f>IFERROR(__xludf.DUMMYFUNCTION("""COMPUTED_VALUE"""),"66074-1763111056")</f>
        <v>66074-1763111056</v>
      </c>
      <c r="O547" s="763">
        <f>IFERROR(__xludf.DUMMYFUNCTION("""COMPUTED_VALUE"""),0.0)</f>
        <v>0</v>
      </c>
      <c r="P547" s="767">
        <f>IFERROR(__xludf.DUMMYFUNCTION("""COMPUTED_VALUE"""),1.0416666666666667)</f>
        <v>1.041666667</v>
      </c>
      <c r="Q547" s="763" t="str">
        <f>IFERROR(__xludf.DUMMYFUNCTION("""COMPUTED_VALUE"""),"EUR")</f>
        <v>EUR</v>
      </c>
      <c r="R547" s="763">
        <f>IFERROR(__xludf.DUMMYFUNCTION("""COMPUTED_VALUE"""),1031.0)</f>
        <v>1031</v>
      </c>
      <c r="S547" s="763" t="str">
        <f>IFERROR(__xludf.DUMMYFUNCTION("""COMPUTED_VALUE"""),"Festa di Natale 2025 - Festa di natale 2025 SOLO serata 25€")</f>
        <v>Festa di Natale 2025 - Festa di natale 2025 SOLO serata 25€</v>
      </c>
      <c r="T547" s="763"/>
      <c r="U547" s="763"/>
      <c r="V547" s="763">
        <f>IFERROR(__xludf.DUMMYFUNCTION("""COMPUTED_VALUE"""),1.0)</f>
        <v>1</v>
      </c>
      <c r="W547" s="763">
        <f>IFERROR(__xludf.DUMMYFUNCTION("""COMPUTED_VALUE"""),25.0)</f>
        <v>25</v>
      </c>
      <c r="X547" s="763">
        <f>IFERROR(__xludf.DUMMYFUNCTION("""COMPUTED_VALUE"""),25.0)</f>
        <v>25</v>
      </c>
      <c r="Y547" s="763"/>
      <c r="Z547" s="768" t="str">
        <f>IFERROR(__xludf.DUMMYFUNCTION("""COMPUTED_VALUE"""),"https://studio-gem.it/wp-admin/post.php?post=66074&amp;action=edit")</f>
        <v>https://studio-gem.it/wp-admin/post.php?post=66074&amp;action=edit</v>
      </c>
      <c r="AA547" s="763"/>
      <c r="AB547" s="763"/>
      <c r="AC547" s="763"/>
      <c r="AD547" s="763"/>
      <c r="AE547" s="763"/>
      <c r="AF547" s="763"/>
      <c r="AG547" s="763"/>
      <c r="AH547" s="763"/>
      <c r="AI547" s="763"/>
      <c r="AJ547" s="763"/>
      <c r="AK547" s="763"/>
      <c r="AL547" s="763"/>
      <c r="AM547" s="763"/>
      <c r="AN547" s="763"/>
      <c r="AO547" s="763"/>
      <c r="AP547" s="763"/>
      <c r="AQ547" s="763"/>
      <c r="AR547" s="763"/>
      <c r="AS547" s="763"/>
      <c r="AT547" s="763"/>
      <c r="AU547" s="763"/>
      <c r="AV547" s="763"/>
      <c r="AW547" s="763"/>
      <c r="AX547" s="763"/>
      <c r="AY547" s="763"/>
      <c r="AZ547" s="763"/>
      <c r="BA547" s="763"/>
      <c r="BB547" s="763"/>
      <c r="BC547" s="763"/>
      <c r="BD547" s="763"/>
      <c r="BE547" s="763"/>
      <c r="BF547" s="763"/>
      <c r="BG547" s="763" t="b">
        <f>IFERROR(__xludf.DUMMYFUNCTION("""COMPUTED_VALUE"""),TRUE)</f>
        <v>1</v>
      </c>
      <c r="BH547" s="763" t="b">
        <f>IFERROR(__xludf.DUMMYFUNCTION("""COMPUTED_VALUE"""),FALSE)</f>
        <v>0</v>
      </c>
      <c r="BI547" s="763" t="b">
        <f>IFERROR(__xludf.DUMMYFUNCTION("""COMPUTED_VALUE"""),TRUE)</f>
        <v>1</v>
      </c>
      <c r="BJ547" s="763" t="b">
        <f>IFERROR(__xludf.DUMMYFUNCTION("""COMPUTED_VALUE"""),TRUE)</f>
        <v>1</v>
      </c>
    </row>
    <row r="548">
      <c r="A548" s="763">
        <f>IFERROR(__xludf.DUMMYFUNCTION("""COMPUTED_VALUE"""),66079.0)</f>
        <v>66079</v>
      </c>
      <c r="B548" s="763">
        <f>IFERROR(__xludf.DUMMYFUNCTION("""COMPUTED_VALUE"""),66079.0)</f>
        <v>66079</v>
      </c>
      <c r="C548" s="763" t="str">
        <f>IFERROR(__xludf.DUMMYFUNCTION("""COMPUTED_VALUE"""),"2025-11-14 09:12:16")</f>
        <v>2025-11-14 09:12:16</v>
      </c>
      <c r="D548" s="763" t="str">
        <f>IFERROR(__xludf.DUMMYFUNCTION("""COMPUTED_VALUE"""),"pending")</f>
        <v>pending</v>
      </c>
      <c r="E548" s="763" t="str">
        <f>IFERROR(__xludf.DUMMYFUNCTION("""COMPUTED_VALUE"""),"Raffaele")</f>
        <v>Raffaele</v>
      </c>
      <c r="F548" s="763" t="str">
        <f>IFERROR(__xludf.DUMMYFUNCTION("""COMPUTED_VALUE"""),"Rubino")</f>
        <v>Rubino</v>
      </c>
      <c r="G548" s="763" t="str">
        <f>IFERROR(__xludf.DUMMYFUNCTION("""COMPUTED_VALUE"""),"raffaele.rubino1992@gmail.com")</f>
        <v>raffaele.rubino1992@gmail.com</v>
      </c>
      <c r="H548" s="763">
        <f>IFERROR(__xludf.DUMMYFUNCTION("""COMPUTED_VALUE"""),3.498242478E9)</f>
        <v>3498242478</v>
      </c>
      <c r="I548" s="763" t="str">
        <f>IFERROR(__xludf.DUMMYFUNCTION("""COMPUTED_VALUE"""),"Sesto San Giovanni")</f>
        <v>Sesto San Giovanni</v>
      </c>
      <c r="J548" s="763" t="str">
        <f>IFERROR(__xludf.DUMMYFUNCTION("""COMPUTED_VALUE"""),"Via Baracca 17")</f>
        <v>Via Baracca 17</v>
      </c>
      <c r="K548" s="763">
        <f>IFERROR(__xludf.DUMMYFUNCTION("""COMPUTED_VALUE"""),20099.0)</f>
        <v>20099</v>
      </c>
      <c r="L548" s="763" t="str">
        <f>IFERROR(__xludf.DUMMYFUNCTION("""COMPUTED_VALUE"""),"Carte di pagamento")</f>
        <v>Carte di pagamento</v>
      </c>
      <c r="M548" s="763" t="str">
        <f>IFERROR(__xludf.DUMMYFUNCTION("""COMPUTED_VALUE"""),"santo05natale")</f>
        <v>santo05natale</v>
      </c>
      <c r="N548" s="763"/>
      <c r="O548" s="763">
        <f>IFERROR(__xludf.DUMMYFUNCTION("""COMPUTED_VALUE"""),0.0)</f>
        <v>0</v>
      </c>
      <c r="P548" s="767">
        <f>IFERROR(__xludf.DUMMYFUNCTION("""COMPUTED_VALUE"""),2.0833333333333335)</f>
        <v>2.083333333</v>
      </c>
      <c r="Q548" s="763" t="str">
        <f>IFERROR(__xludf.DUMMYFUNCTION("""COMPUTED_VALUE"""),"EUR")</f>
        <v>EUR</v>
      </c>
      <c r="R548" s="763">
        <f>IFERROR(__xludf.DUMMYFUNCTION("""COMPUTED_VALUE"""),1032.0)</f>
        <v>1032</v>
      </c>
      <c r="S548" s="763" t="str">
        <f>IFERROR(__xludf.DUMMYFUNCTION("""COMPUTED_VALUE"""),"Festa di Natale 2025 - Festa di natale 2025 lezioni + pizza + serata 55€")</f>
        <v>Festa di Natale 2025 - Festa di natale 2025 lezioni + pizza + serata 55€</v>
      </c>
      <c r="T548" s="763"/>
      <c r="U548" s="763"/>
      <c r="V548" s="763">
        <f>IFERROR(__xludf.DUMMYFUNCTION("""COMPUTED_VALUE"""),1.0)</f>
        <v>1</v>
      </c>
      <c r="W548" s="763">
        <f>IFERROR(__xludf.DUMMYFUNCTION("""COMPUTED_VALUE"""),50.0)</f>
        <v>50</v>
      </c>
      <c r="X548" s="763">
        <f>IFERROR(__xludf.DUMMYFUNCTION("""COMPUTED_VALUE"""),50.0)</f>
        <v>50</v>
      </c>
      <c r="Y548" s="763"/>
      <c r="Z548" s="768" t="str">
        <f>IFERROR(__xludf.DUMMYFUNCTION("""COMPUTED_VALUE"""),"https://studio-gem.it/wp-admin/post.php?post=66079&amp;action=edit")</f>
        <v>https://studio-gem.it/wp-admin/post.php?post=66079&amp;action=edit</v>
      </c>
      <c r="AA548" s="763"/>
      <c r="AB548" s="763"/>
      <c r="AC548" s="763"/>
      <c r="AD548" s="763"/>
      <c r="AE548" s="763"/>
      <c r="AF548" s="763"/>
      <c r="AG548" s="763"/>
      <c r="AH548" s="763"/>
      <c r="AI548" s="763"/>
      <c r="AJ548" s="763"/>
      <c r="AK548" s="763"/>
      <c r="AL548" s="763"/>
      <c r="AM548" s="763"/>
      <c r="AN548" s="763"/>
      <c r="AO548" s="763"/>
      <c r="AP548" s="763"/>
      <c r="AQ548" s="763"/>
      <c r="AR548" s="763"/>
      <c r="AS548" s="763"/>
      <c r="AT548" s="763"/>
      <c r="AU548" s="763"/>
      <c r="AV548" s="763"/>
      <c r="AW548" s="763"/>
      <c r="AX548" s="763"/>
      <c r="AY548" s="763"/>
      <c r="AZ548" s="763"/>
      <c r="BA548" s="763"/>
      <c r="BB548" s="763"/>
      <c r="BC548" s="763"/>
      <c r="BD548" s="763"/>
      <c r="BE548" s="763"/>
      <c r="BF548" s="763"/>
      <c r="BG548" s="763" t="b">
        <f>IFERROR(__xludf.DUMMYFUNCTION("""COMPUTED_VALUE"""),TRUE)</f>
        <v>1</v>
      </c>
      <c r="BH548" s="763" t="b">
        <f>IFERROR(__xludf.DUMMYFUNCTION("""COMPUTED_VALUE"""),FALSE)</f>
        <v>0</v>
      </c>
      <c r="BI548" s="763" t="b">
        <f>IFERROR(__xludf.DUMMYFUNCTION("""COMPUTED_VALUE"""),TRUE)</f>
        <v>1</v>
      </c>
      <c r="BJ548" s="763" t="b">
        <f>IFERROR(__xludf.DUMMYFUNCTION("""COMPUTED_VALUE"""),TRUE)</f>
        <v>1</v>
      </c>
    </row>
    <row r="549">
      <c r="A549" s="763">
        <f>IFERROR(__xludf.DUMMYFUNCTION("""COMPUTED_VALUE"""),66081.0)</f>
        <v>66081</v>
      </c>
      <c r="B549" s="763">
        <f>IFERROR(__xludf.DUMMYFUNCTION("""COMPUTED_VALUE"""),66081.0)</f>
        <v>66081</v>
      </c>
      <c r="C549" s="763" t="str">
        <f>IFERROR(__xludf.DUMMYFUNCTION("""COMPUTED_VALUE"""),"2025-11-14 09:43:02")</f>
        <v>2025-11-14 09:43:02</v>
      </c>
      <c r="D549" s="763" t="str">
        <f>IFERROR(__xludf.DUMMYFUNCTION("""COMPUTED_VALUE"""),"completed")</f>
        <v>completed</v>
      </c>
      <c r="E549" s="763" t="str">
        <f>IFERROR(__xludf.DUMMYFUNCTION("""COMPUTED_VALUE"""),"Maria Patrizia")</f>
        <v>Maria Patrizia</v>
      </c>
      <c r="F549" s="763" t="str">
        <f>IFERROR(__xludf.DUMMYFUNCTION("""COMPUTED_VALUE"""),"Tumminia")</f>
        <v>Tumminia</v>
      </c>
      <c r="G549" s="763" t="str">
        <f>IFERROR(__xludf.DUMMYFUNCTION("""COMPUTED_VALUE"""),"tuminiapatrizia63@gmail.com")</f>
        <v>tuminiapatrizia63@gmail.com</v>
      </c>
      <c r="H549" s="763">
        <f>IFERROR(__xludf.DUMMYFUNCTION("""COMPUTED_VALUE"""),3.457732801E9)</f>
        <v>3457732801</v>
      </c>
      <c r="I549" s="763" t="str">
        <f>IFERROR(__xludf.DUMMYFUNCTION("""COMPUTED_VALUE"""),"Milano")</f>
        <v>Milano</v>
      </c>
      <c r="J549" s="763" t="str">
        <f>IFERROR(__xludf.DUMMYFUNCTION("""COMPUTED_VALUE"""),"Via Liutprando 11")</f>
        <v>Via Liutprando 11</v>
      </c>
      <c r="K549" s="763">
        <f>IFERROR(__xludf.DUMMYFUNCTION("""COMPUTED_VALUE"""),20141.0)</f>
        <v>20141</v>
      </c>
      <c r="L549" s="763" t="str">
        <f>IFERROR(__xludf.DUMMYFUNCTION("""COMPUTED_VALUE"""),"Carte di pagamento")</f>
        <v>Carte di pagamento</v>
      </c>
      <c r="M549" s="763" t="str">
        <f>IFERROR(__xludf.DUMMYFUNCTION("""COMPUTED_VALUE"""),"santo05natale")</f>
        <v>santo05natale</v>
      </c>
      <c r="N549" s="763" t="str">
        <f>IFERROR(__xludf.DUMMYFUNCTION("""COMPUTED_VALUE"""),"66081-1763113384")</f>
        <v>66081-1763113384</v>
      </c>
      <c r="O549" s="763">
        <f>IFERROR(__xludf.DUMMYFUNCTION("""COMPUTED_VALUE"""),0.0)</f>
        <v>0</v>
      </c>
      <c r="P549" s="767">
        <f>IFERROR(__xludf.DUMMYFUNCTION("""COMPUTED_VALUE"""),2.0833333333333335)</f>
        <v>2.083333333</v>
      </c>
      <c r="Q549" s="763" t="str">
        <f>IFERROR(__xludf.DUMMYFUNCTION("""COMPUTED_VALUE"""),"EUR")</f>
        <v>EUR</v>
      </c>
      <c r="R549" s="763">
        <f>IFERROR(__xludf.DUMMYFUNCTION("""COMPUTED_VALUE"""),1034.0)</f>
        <v>1034</v>
      </c>
      <c r="S549" s="763" t="str">
        <f>IFERROR(__xludf.DUMMYFUNCTION("""COMPUTED_VALUE"""),"Festa di Natale 2025 - Festa di natale 2025 lezioni + pizza + serata 55€")</f>
        <v>Festa di Natale 2025 - Festa di natale 2025 lezioni + pizza + serata 55€</v>
      </c>
      <c r="T549" s="763"/>
      <c r="U549" s="763"/>
      <c r="V549" s="763">
        <f>IFERROR(__xludf.DUMMYFUNCTION("""COMPUTED_VALUE"""),1.0)</f>
        <v>1</v>
      </c>
      <c r="W549" s="763">
        <f>IFERROR(__xludf.DUMMYFUNCTION("""COMPUTED_VALUE"""),50.0)</f>
        <v>50</v>
      </c>
      <c r="X549" s="763">
        <f>IFERROR(__xludf.DUMMYFUNCTION("""COMPUTED_VALUE"""),50.0)</f>
        <v>50</v>
      </c>
      <c r="Y549" s="763"/>
      <c r="Z549" s="768" t="str">
        <f>IFERROR(__xludf.DUMMYFUNCTION("""COMPUTED_VALUE"""),"https://studio-gem.it/wp-admin/post.php?post=66081&amp;action=edit")</f>
        <v>https://studio-gem.it/wp-admin/post.php?post=66081&amp;action=edit</v>
      </c>
      <c r="AA549" s="763"/>
      <c r="AB549" s="763"/>
      <c r="AC549" s="763"/>
      <c r="AD549" s="763"/>
      <c r="AE549" s="763"/>
      <c r="AF549" s="763"/>
      <c r="AG549" s="763"/>
      <c r="AH549" s="763"/>
      <c r="AI549" s="763"/>
      <c r="AJ549" s="763"/>
      <c r="AK549" s="763"/>
      <c r="AL549" s="763"/>
      <c r="AM549" s="763"/>
      <c r="AN549" s="763"/>
      <c r="AO549" s="763"/>
      <c r="AP549" s="763"/>
      <c r="AQ549" s="763"/>
      <c r="AR549" s="763"/>
      <c r="AS549" s="763"/>
      <c r="AT549" s="763"/>
      <c r="AU549" s="763"/>
      <c r="AV549" s="763"/>
      <c r="AW549" s="763"/>
      <c r="AX549" s="763"/>
      <c r="AY549" s="763"/>
      <c r="AZ549" s="763"/>
      <c r="BA549" s="763"/>
      <c r="BB549" s="763"/>
      <c r="BC549" s="763"/>
      <c r="BD549" s="763"/>
      <c r="BE549" s="763"/>
      <c r="BF549" s="763"/>
      <c r="BG549" s="763" t="b">
        <f>IFERROR(__xludf.DUMMYFUNCTION("""COMPUTED_VALUE"""),TRUE)</f>
        <v>1</v>
      </c>
      <c r="BH549" s="763" t="b">
        <f>IFERROR(__xludf.DUMMYFUNCTION("""COMPUTED_VALUE"""),FALSE)</f>
        <v>0</v>
      </c>
      <c r="BI549" s="763" t="b">
        <f>IFERROR(__xludf.DUMMYFUNCTION("""COMPUTED_VALUE"""),TRUE)</f>
        <v>1</v>
      </c>
      <c r="BJ549" s="763" t="b">
        <f>IFERROR(__xludf.DUMMYFUNCTION("""COMPUTED_VALUE"""),TRUE)</f>
        <v>1</v>
      </c>
    </row>
    <row r="550">
      <c r="A550" s="763">
        <f>IFERROR(__xludf.DUMMYFUNCTION("""COMPUTED_VALUE"""),66083.0)</f>
        <v>66083</v>
      </c>
      <c r="B550" s="763">
        <f>IFERROR(__xludf.DUMMYFUNCTION("""COMPUTED_VALUE"""),66083.0)</f>
        <v>66083</v>
      </c>
      <c r="C550" s="763" t="str">
        <f>IFERROR(__xludf.DUMMYFUNCTION("""COMPUTED_VALUE"""),"2025-11-14 09:53:29")</f>
        <v>2025-11-14 09:53:29</v>
      </c>
      <c r="D550" s="763" t="str">
        <f>IFERROR(__xludf.DUMMYFUNCTION("""COMPUTED_VALUE"""),"pending")</f>
        <v>pending</v>
      </c>
      <c r="E550" s="763" t="str">
        <f>IFERROR(__xludf.DUMMYFUNCTION("""COMPUTED_VALUE"""),"Clarissa")</f>
        <v>Clarissa</v>
      </c>
      <c r="F550" s="763" t="str">
        <f>IFERROR(__xludf.DUMMYFUNCTION("""COMPUTED_VALUE"""),"Tortorici")</f>
        <v>Tortorici</v>
      </c>
      <c r="G550" s="763" t="str">
        <f>IFERROR(__xludf.DUMMYFUNCTION("""COMPUTED_VALUE"""),"cly.tortorici@gmail.com")</f>
        <v>cly.tortorici@gmail.com</v>
      </c>
      <c r="H550" s="763">
        <f>IFERROR(__xludf.DUMMYFUNCTION("""COMPUTED_VALUE"""),3.757931087E9)</f>
        <v>3757931087</v>
      </c>
      <c r="I550" s="763" t="str">
        <f>IFERROR(__xludf.DUMMYFUNCTION("""COMPUTED_VALUE"""),"Bizzarone")</f>
        <v>Bizzarone</v>
      </c>
      <c r="J550" s="763" t="str">
        <f>IFERROR(__xludf.DUMMYFUNCTION("""COMPUTED_VALUE"""),"Via Papa Giovanni XXIII 1/A")</f>
        <v>Via Papa Giovanni XXIII 1/A</v>
      </c>
      <c r="K550" s="763">
        <f>IFERROR(__xludf.DUMMYFUNCTION("""COMPUTED_VALUE"""),22020.0)</f>
        <v>22020</v>
      </c>
      <c r="L550" s="763" t="str">
        <f>IFERROR(__xludf.DUMMYFUNCTION("""COMPUTED_VALUE"""),"Carte di pagamento")</f>
        <v>Carte di pagamento</v>
      </c>
      <c r="M550" s="763"/>
      <c r="N550" s="763"/>
      <c r="O550" s="763">
        <f>IFERROR(__xludf.DUMMYFUNCTION("""COMPUTED_VALUE"""),0.0)</f>
        <v>0</v>
      </c>
      <c r="P550" s="767">
        <f>IFERROR(__xludf.DUMMYFUNCTION("""COMPUTED_VALUE"""),1.5416666666666667)</f>
        <v>1.541666667</v>
      </c>
      <c r="Q550" s="763" t="str">
        <f>IFERROR(__xludf.DUMMYFUNCTION("""COMPUTED_VALUE"""),"EUR")</f>
        <v>EUR</v>
      </c>
      <c r="R550" s="763">
        <f>IFERROR(__xludf.DUMMYFUNCTION("""COMPUTED_VALUE"""),1036.0)</f>
        <v>1036</v>
      </c>
      <c r="S550" s="763" t="str">
        <f>IFERROR(__xludf.DUMMYFUNCTION("""COMPUTED_VALUE"""),"Workshop Heels con Deborah Esposito - Workshop Heels con Deborah Esposito")</f>
        <v>Workshop Heels con Deborah Esposito - Workshop Heels con Deborah Esposito</v>
      </c>
      <c r="T550" s="763"/>
      <c r="U550" s="763"/>
      <c r="V550" s="763">
        <f>IFERROR(__xludf.DUMMYFUNCTION("""COMPUTED_VALUE"""),1.0)</f>
        <v>1</v>
      </c>
      <c r="W550" s="763">
        <f>IFERROR(__xludf.DUMMYFUNCTION("""COMPUTED_VALUE"""),37.0)</f>
        <v>37</v>
      </c>
      <c r="X550" s="763">
        <f>IFERROR(__xludf.DUMMYFUNCTION("""COMPUTED_VALUE"""),37.0)</f>
        <v>37</v>
      </c>
      <c r="Y550" s="763"/>
      <c r="Z550" s="768" t="str">
        <f>IFERROR(__xludf.DUMMYFUNCTION("""COMPUTED_VALUE"""),"https://studio-gem.it/wp-admin/post.php?post=66083&amp;action=edit")</f>
        <v>https://studio-gem.it/wp-admin/post.php?post=66083&amp;action=edit</v>
      </c>
      <c r="AA550" s="763"/>
      <c r="AB550" s="763"/>
      <c r="AC550" s="763"/>
      <c r="AD550" s="763"/>
      <c r="AE550" s="763"/>
      <c r="AF550" s="763"/>
      <c r="AG550" s="763"/>
      <c r="AH550" s="763"/>
      <c r="AI550" s="763"/>
      <c r="AJ550" s="763"/>
      <c r="AK550" s="763"/>
      <c r="AL550" s="763"/>
      <c r="AM550" s="763"/>
      <c r="AN550" s="763"/>
      <c r="AO550" s="763"/>
      <c r="AP550" s="763"/>
      <c r="AQ550" s="763"/>
      <c r="AR550" s="763"/>
      <c r="AS550" s="763"/>
      <c r="AT550" s="763"/>
      <c r="AU550" s="763"/>
      <c r="AV550" s="763"/>
      <c r="AW550" s="763"/>
      <c r="AX550" s="763"/>
      <c r="AY550" s="763"/>
      <c r="AZ550" s="763"/>
      <c r="BA550" s="763"/>
      <c r="BB550" s="763"/>
      <c r="BC550" s="763"/>
      <c r="BD550" s="763"/>
      <c r="BE550" s="763"/>
      <c r="BF550" s="763"/>
      <c r="BG550" s="763" t="b">
        <f>IFERROR(__xludf.DUMMYFUNCTION("""COMPUTED_VALUE"""),FALSE)</f>
        <v>0</v>
      </c>
      <c r="BH550" s="763" t="b">
        <f>IFERROR(__xludf.DUMMYFUNCTION("""COMPUTED_VALUE"""),FALSE)</f>
        <v>0</v>
      </c>
      <c r="BI550" s="763" t="b">
        <f>IFERROR(__xludf.DUMMYFUNCTION("""COMPUTED_VALUE"""),FALSE)</f>
        <v>0</v>
      </c>
      <c r="BJ550" s="763" t="b">
        <f>IFERROR(__xludf.DUMMYFUNCTION("""COMPUTED_VALUE"""),FALSE)</f>
        <v>0</v>
      </c>
    </row>
    <row r="551">
      <c r="A551" s="763">
        <f>IFERROR(__xludf.DUMMYFUNCTION("""COMPUTED_VALUE"""),66085.0)</f>
        <v>66085</v>
      </c>
      <c r="B551" s="763">
        <f>IFERROR(__xludf.DUMMYFUNCTION("""COMPUTED_VALUE"""),66085.0)</f>
        <v>66085</v>
      </c>
      <c r="C551" s="763" t="str">
        <f>IFERROR(__xludf.DUMMYFUNCTION("""COMPUTED_VALUE"""),"2025-11-14 13:06:30")</f>
        <v>2025-11-14 13:06:30</v>
      </c>
      <c r="D551" s="763" t="str">
        <f>IFERROR(__xludf.DUMMYFUNCTION("""COMPUTED_VALUE"""),"completed")</f>
        <v>completed</v>
      </c>
      <c r="E551" s="763" t="str">
        <f>IFERROR(__xludf.DUMMYFUNCTION("""COMPUTED_VALUE"""),"Michela")</f>
        <v>Michela</v>
      </c>
      <c r="F551" s="763" t="str">
        <f>IFERROR(__xludf.DUMMYFUNCTION("""COMPUTED_VALUE"""),"Mignini")</f>
        <v>Mignini</v>
      </c>
      <c r="G551" s="763" t="str">
        <f>IFERROR(__xludf.DUMMYFUNCTION("""COMPUTED_VALUE"""),"migninimichela94@gmail.com")</f>
        <v>migninimichela94@gmail.com</v>
      </c>
      <c r="H551" s="763">
        <f>IFERROR(__xludf.DUMMYFUNCTION("""COMPUTED_VALUE"""),3.477397578E9)</f>
        <v>3477397578</v>
      </c>
      <c r="I551" s="763" t="str">
        <f>IFERROR(__xludf.DUMMYFUNCTION("""COMPUTED_VALUE"""),"Milano")</f>
        <v>Milano</v>
      </c>
      <c r="J551" s="763" t="str">
        <f>IFERROR(__xludf.DUMMYFUNCTION("""COMPUTED_VALUE"""),"Via Raimondo Montecuccoli, 15")</f>
        <v>Via Raimondo Montecuccoli, 15</v>
      </c>
      <c r="K551" s="763">
        <f>IFERROR(__xludf.DUMMYFUNCTION("""COMPUTED_VALUE"""),20147.0)</f>
        <v>20147</v>
      </c>
      <c r="L551" s="763" t="str">
        <f>IFERROR(__xludf.DUMMYFUNCTION("""COMPUTED_VALUE"""),"Apple Pay")</f>
        <v>Apple Pay</v>
      </c>
      <c r="M551" s="763"/>
      <c r="N551" s="763" t="str">
        <f>IFERROR(__xludf.DUMMYFUNCTION("""COMPUTED_VALUE"""),"66085-1763125653")</f>
        <v>66085-1763125653</v>
      </c>
      <c r="O551" s="763">
        <f>IFERROR(__xludf.DUMMYFUNCTION("""COMPUTED_VALUE"""),0.0)</f>
        <v>0</v>
      </c>
      <c r="P551" s="767">
        <f>IFERROR(__xludf.DUMMYFUNCTION("""COMPUTED_VALUE"""),1.3333333333333333)</f>
        <v>1.333333333</v>
      </c>
      <c r="Q551" s="763" t="str">
        <f>IFERROR(__xludf.DUMMYFUNCTION("""COMPUTED_VALUE"""),"EUR")</f>
        <v>EUR</v>
      </c>
      <c r="R551" s="763">
        <f>IFERROR(__xludf.DUMMYFUNCTION("""COMPUTED_VALUE"""),1038.0)</f>
        <v>1038</v>
      </c>
      <c r="S551" s="763" t="str">
        <f>IFERROR(__xludf.DUMMYFUNCTION("""COMPUTED_VALUE"""),"Workshop Salsa Musicality con Nicolò De Angelis - Workshop Nicolò Salsa Musicality")</f>
        <v>Workshop Salsa Musicality con Nicolò De Angelis - Workshop Nicolò Salsa Musicality</v>
      </c>
      <c r="T551" s="763"/>
      <c r="U551" s="763"/>
      <c r="V551" s="763">
        <f>IFERROR(__xludf.DUMMYFUNCTION("""COMPUTED_VALUE"""),1.0)</f>
        <v>1</v>
      </c>
      <c r="W551" s="763">
        <f>IFERROR(__xludf.DUMMYFUNCTION("""COMPUTED_VALUE"""),32.0)</f>
        <v>32</v>
      </c>
      <c r="X551" s="763">
        <f>IFERROR(__xludf.DUMMYFUNCTION("""COMPUTED_VALUE"""),32.0)</f>
        <v>32</v>
      </c>
      <c r="Y551" s="763"/>
      <c r="Z551" s="768" t="str">
        <f>IFERROR(__xludf.DUMMYFUNCTION("""COMPUTED_VALUE"""),"https://studio-gem.it/wp-admin/post.php?post=66085&amp;action=edit")</f>
        <v>https://studio-gem.it/wp-admin/post.php?post=66085&amp;action=edit</v>
      </c>
      <c r="AA551" s="763"/>
      <c r="AB551" s="763"/>
      <c r="AC551" s="763"/>
      <c r="AD551" s="763"/>
      <c r="AE551" s="763"/>
      <c r="AF551" s="763"/>
      <c r="AG551" s="763"/>
      <c r="AH551" s="763"/>
      <c r="AI551" s="763"/>
      <c r="AJ551" s="763"/>
      <c r="AK551" s="763"/>
      <c r="AL551" s="763"/>
      <c r="AM551" s="763"/>
      <c r="AN551" s="763"/>
      <c r="AO551" s="763"/>
      <c r="AP551" s="763"/>
      <c r="AQ551" s="763"/>
      <c r="AR551" s="763"/>
      <c r="AS551" s="763"/>
      <c r="AT551" s="763"/>
      <c r="AU551" s="763"/>
      <c r="AV551" s="763"/>
      <c r="AW551" s="763"/>
      <c r="AX551" s="763"/>
      <c r="AY551" s="763"/>
      <c r="AZ551" s="763"/>
      <c r="BA551" s="763"/>
      <c r="BB551" s="763"/>
      <c r="BC551" s="763"/>
      <c r="BD551" s="763"/>
      <c r="BE551" s="763"/>
      <c r="BF551" s="763"/>
      <c r="BG551" s="763" t="b">
        <f>IFERROR(__xludf.DUMMYFUNCTION("""COMPUTED_VALUE"""),TRUE)</f>
        <v>1</v>
      </c>
      <c r="BH551" s="763" t="b">
        <f>IFERROR(__xludf.DUMMYFUNCTION("""COMPUTED_VALUE"""),FALSE)</f>
        <v>0</v>
      </c>
      <c r="BI551" s="763" t="b">
        <f>IFERROR(__xludf.DUMMYFUNCTION("""COMPUTED_VALUE"""),TRUE)</f>
        <v>1</v>
      </c>
      <c r="BJ551" s="763" t="b">
        <f>IFERROR(__xludf.DUMMYFUNCTION("""COMPUTED_VALUE"""),TRUE)</f>
        <v>1</v>
      </c>
    </row>
    <row r="552">
      <c r="A552" s="763">
        <f>IFERROR(__xludf.DUMMYFUNCTION("""COMPUTED_VALUE"""),66089.0)</f>
        <v>66089</v>
      </c>
      <c r="B552" s="763">
        <f>IFERROR(__xludf.DUMMYFUNCTION("""COMPUTED_VALUE"""),66089.0)</f>
        <v>66089</v>
      </c>
      <c r="C552" s="763" t="str">
        <f>IFERROR(__xludf.DUMMYFUNCTION("""COMPUTED_VALUE"""),"2025-11-14 18:16:15")</f>
        <v>2025-11-14 18:16:15</v>
      </c>
      <c r="D552" s="763" t="str">
        <f>IFERROR(__xludf.DUMMYFUNCTION("""COMPUTED_VALUE"""),"completed")</f>
        <v>completed</v>
      </c>
      <c r="E552" s="763" t="str">
        <f>IFERROR(__xludf.DUMMYFUNCTION("""COMPUTED_VALUE"""),"Federico")</f>
        <v>Federico</v>
      </c>
      <c r="F552" s="763" t="str">
        <f>IFERROR(__xludf.DUMMYFUNCTION("""COMPUTED_VALUE"""),"Melani")</f>
        <v>Melani</v>
      </c>
      <c r="G552" s="763" t="str">
        <f>IFERROR(__xludf.DUMMYFUNCTION("""COMPUTED_VALUE"""),"ky.federico@yahoo.it")</f>
        <v>ky.federico@yahoo.it</v>
      </c>
      <c r="H552" s="763">
        <f>IFERROR(__xludf.DUMMYFUNCTION("""COMPUTED_VALUE"""),3.339070011E9)</f>
        <v>3339070011</v>
      </c>
      <c r="I552" s="763" t="str">
        <f>IFERROR(__xludf.DUMMYFUNCTION("""COMPUTED_VALUE"""),"BRUSAPORTO")</f>
        <v>BRUSAPORTO</v>
      </c>
      <c r="J552" s="763" t="str">
        <f>IFERROR(__xludf.DUMMYFUNCTION("""COMPUTED_VALUE"""),"Via Serio 3")</f>
        <v>Via Serio 3</v>
      </c>
      <c r="K552" s="763">
        <f>IFERROR(__xludf.DUMMYFUNCTION("""COMPUTED_VALUE"""),24060.0)</f>
        <v>24060</v>
      </c>
      <c r="L552" s="763" t="str">
        <f>IFERROR(__xludf.DUMMYFUNCTION("""COMPUTED_VALUE"""),"Carte di pagamento")</f>
        <v>Carte di pagamento</v>
      </c>
      <c r="M552" s="763" t="str">
        <f>IFERROR(__xludf.DUMMYFUNCTION("""COMPUTED_VALUE"""),"santo05natale")</f>
        <v>santo05natale</v>
      </c>
      <c r="N552" s="763" t="str">
        <f>IFERROR(__xludf.DUMMYFUNCTION("""COMPUTED_VALUE"""),"66089-1763144176")</f>
        <v>66089-1763144176</v>
      </c>
      <c r="O552" s="763">
        <f>IFERROR(__xludf.DUMMYFUNCTION("""COMPUTED_VALUE"""),0.0)</f>
        <v>0</v>
      </c>
      <c r="P552" s="767">
        <f>IFERROR(__xludf.DUMMYFUNCTION("""COMPUTED_VALUE"""),2.0833333333333335)</f>
        <v>2.083333333</v>
      </c>
      <c r="Q552" s="763" t="str">
        <f>IFERROR(__xludf.DUMMYFUNCTION("""COMPUTED_VALUE"""),"EUR")</f>
        <v>EUR</v>
      </c>
      <c r="R552" s="763">
        <f>IFERROR(__xludf.DUMMYFUNCTION("""COMPUTED_VALUE"""),1039.0)</f>
        <v>1039</v>
      </c>
      <c r="S552" s="763" t="str">
        <f>IFERROR(__xludf.DUMMYFUNCTION("""COMPUTED_VALUE"""),"Festa di Natale 2025 - Festa di natale 2025 lezioni + pizza + serata 55€")</f>
        <v>Festa di Natale 2025 - Festa di natale 2025 lezioni + pizza + serata 55€</v>
      </c>
      <c r="T552" s="763"/>
      <c r="U552" s="763"/>
      <c r="V552" s="763">
        <f>IFERROR(__xludf.DUMMYFUNCTION("""COMPUTED_VALUE"""),1.0)</f>
        <v>1</v>
      </c>
      <c r="W552" s="763">
        <f>IFERROR(__xludf.DUMMYFUNCTION("""COMPUTED_VALUE"""),50.0)</f>
        <v>50</v>
      </c>
      <c r="X552" s="763">
        <f>IFERROR(__xludf.DUMMYFUNCTION("""COMPUTED_VALUE"""),50.0)</f>
        <v>50</v>
      </c>
      <c r="Y552" s="763"/>
      <c r="Z552" s="768" t="str">
        <f>IFERROR(__xludf.DUMMYFUNCTION("""COMPUTED_VALUE"""),"https://studio-gem.it/wp-admin/post.php?post=66089&amp;action=edit")</f>
        <v>https://studio-gem.it/wp-admin/post.php?post=66089&amp;action=edit</v>
      </c>
      <c r="AA552" s="763"/>
      <c r="AB552" s="763"/>
      <c r="AC552" s="763"/>
      <c r="AD552" s="763"/>
      <c r="AE552" s="763"/>
      <c r="AF552" s="763"/>
      <c r="AG552" s="763"/>
      <c r="AH552" s="763"/>
      <c r="AI552" s="763"/>
      <c r="AJ552" s="763"/>
      <c r="AK552" s="763"/>
      <c r="AL552" s="763"/>
      <c r="AM552" s="763"/>
      <c r="AN552" s="763"/>
      <c r="AO552" s="763"/>
      <c r="AP552" s="763"/>
      <c r="AQ552" s="763"/>
      <c r="AR552" s="763"/>
      <c r="AS552" s="763"/>
      <c r="AT552" s="763"/>
      <c r="AU552" s="763"/>
      <c r="AV552" s="763"/>
      <c r="AW552" s="763"/>
      <c r="AX552" s="763"/>
      <c r="AY552" s="763"/>
      <c r="AZ552" s="763"/>
      <c r="BA552" s="763"/>
      <c r="BB552" s="763"/>
      <c r="BC552" s="763"/>
      <c r="BD552" s="763"/>
      <c r="BE552" s="763"/>
      <c r="BF552" s="763"/>
      <c r="BG552" s="763" t="b">
        <f>IFERROR(__xludf.DUMMYFUNCTION("""COMPUTED_VALUE"""),TRUE)</f>
        <v>1</v>
      </c>
      <c r="BH552" s="763" t="b">
        <f>IFERROR(__xludf.DUMMYFUNCTION("""COMPUTED_VALUE"""),FALSE)</f>
        <v>0</v>
      </c>
      <c r="BI552" s="763" t="b">
        <f>IFERROR(__xludf.DUMMYFUNCTION("""COMPUTED_VALUE"""),TRUE)</f>
        <v>1</v>
      </c>
      <c r="BJ552" s="763" t="b">
        <f>IFERROR(__xludf.DUMMYFUNCTION("""COMPUTED_VALUE"""),TRUE)</f>
        <v>1</v>
      </c>
    </row>
    <row r="553">
      <c r="A553" s="763">
        <f>IFERROR(__xludf.DUMMYFUNCTION("""COMPUTED_VALUE"""),66091.0)</f>
        <v>66091</v>
      </c>
      <c r="B553" s="763">
        <f>IFERROR(__xludf.DUMMYFUNCTION("""COMPUTED_VALUE"""),66091.0)</f>
        <v>66091</v>
      </c>
      <c r="C553" s="763" t="str">
        <f>IFERROR(__xludf.DUMMYFUNCTION("""COMPUTED_VALUE"""),"2025-11-14 20:27:01")</f>
        <v>2025-11-14 20:27:01</v>
      </c>
      <c r="D553" s="763" t="str">
        <f>IFERROR(__xludf.DUMMYFUNCTION("""COMPUTED_VALUE"""),"completed")</f>
        <v>completed</v>
      </c>
      <c r="E553" s="763" t="str">
        <f>IFERROR(__xludf.DUMMYFUNCTION("""COMPUTED_VALUE"""),"Arianna")</f>
        <v>Arianna</v>
      </c>
      <c r="F553" s="763" t="str">
        <f>IFERROR(__xludf.DUMMYFUNCTION("""COMPUTED_VALUE"""),"Cittarini")</f>
        <v>Cittarini</v>
      </c>
      <c r="G553" s="763" t="str">
        <f>IFERROR(__xludf.DUMMYFUNCTION("""COMPUTED_VALUE"""),"a.cittarini@hotmail.it")</f>
        <v>a.cittarini@hotmail.it</v>
      </c>
      <c r="H553" s="763">
        <f>IFERROR(__xludf.DUMMYFUNCTION("""COMPUTED_VALUE"""),3.49161811E9)</f>
        <v>3491618110</v>
      </c>
      <c r="I553" s="763" t="str">
        <f>IFERROR(__xludf.DUMMYFUNCTION("""COMPUTED_VALUE"""),"Sondrio")</f>
        <v>Sondrio</v>
      </c>
      <c r="J553" s="763" t="str">
        <f>IFERROR(__xludf.DUMMYFUNCTION("""COMPUTED_VALUE"""),"Viale dello stadio 24a")</f>
        <v>Viale dello stadio 24a</v>
      </c>
      <c r="K553" s="763">
        <f>IFERROR(__xludf.DUMMYFUNCTION("""COMPUTED_VALUE"""),23100.0)</f>
        <v>23100</v>
      </c>
      <c r="L553" s="763" t="str">
        <f>IFERROR(__xludf.DUMMYFUNCTION("""COMPUTED_VALUE"""),"Carte di pagamento")</f>
        <v>Carte di pagamento</v>
      </c>
      <c r="M553" s="763"/>
      <c r="N553" s="763" t="str">
        <f>IFERROR(__xludf.DUMMYFUNCTION("""COMPUTED_VALUE"""),"66091-1763152023")</f>
        <v>66091-1763152023</v>
      </c>
      <c r="O553" s="763">
        <f>IFERROR(__xludf.DUMMYFUNCTION("""COMPUTED_VALUE"""),0.0)</f>
        <v>0</v>
      </c>
      <c r="P553" s="767">
        <f>IFERROR(__xludf.DUMMYFUNCTION("""COMPUTED_VALUE"""),2.6666666666666665)</f>
        <v>2.666666667</v>
      </c>
      <c r="Q553" s="763" t="str">
        <f>IFERROR(__xludf.DUMMYFUNCTION("""COMPUTED_VALUE"""),"EUR")</f>
        <v>EUR</v>
      </c>
      <c r="R553" s="763">
        <f>IFERROR(__xludf.DUMMYFUNCTION("""COMPUTED_VALUE"""),1041.0)</f>
        <v>1041</v>
      </c>
      <c r="S553" s="763" t="str">
        <f>IFERROR(__xludf.DUMMYFUNCTION("""COMPUTED_VALUE"""),"Workshop Salsa Musicality con Nicolò De Angelis - Workshop Nicolò Salsa Musicality")</f>
        <v>Workshop Salsa Musicality con Nicolò De Angelis - Workshop Nicolò Salsa Musicality</v>
      </c>
      <c r="T553" s="763"/>
      <c r="U553" s="763"/>
      <c r="V553" s="763">
        <f>IFERROR(__xludf.DUMMYFUNCTION("""COMPUTED_VALUE"""),2.0)</f>
        <v>2</v>
      </c>
      <c r="W553" s="763">
        <f>IFERROR(__xludf.DUMMYFUNCTION("""COMPUTED_VALUE"""),32.0)</f>
        <v>32</v>
      </c>
      <c r="X553" s="763">
        <f>IFERROR(__xludf.DUMMYFUNCTION("""COMPUTED_VALUE"""),64.0)</f>
        <v>64</v>
      </c>
      <c r="Y553" s="763"/>
      <c r="Z553" s="768" t="str">
        <f>IFERROR(__xludf.DUMMYFUNCTION("""COMPUTED_VALUE"""),"https://studio-gem.it/wp-admin/post.php?post=66091&amp;action=edit")</f>
        <v>https://studio-gem.it/wp-admin/post.php?post=66091&amp;action=edit</v>
      </c>
      <c r="AA553" s="763"/>
      <c r="AB553" s="763"/>
      <c r="AC553" s="763"/>
      <c r="AD553" s="763"/>
      <c r="AE553" s="763"/>
      <c r="AF553" s="763"/>
      <c r="AG553" s="763"/>
      <c r="AH553" s="763"/>
      <c r="AI553" s="763"/>
      <c r="AJ553" s="763"/>
      <c r="AK553" s="763"/>
      <c r="AL553" s="763"/>
      <c r="AM553" s="763"/>
      <c r="AN553" s="763"/>
      <c r="AO553" s="763"/>
      <c r="AP553" s="763"/>
      <c r="AQ553" s="763"/>
      <c r="AR553" s="763"/>
      <c r="AS553" s="763"/>
      <c r="AT553" s="763"/>
      <c r="AU553" s="763"/>
      <c r="AV553" s="763"/>
      <c r="AW553" s="763"/>
      <c r="AX553" s="763"/>
      <c r="AY553" s="763"/>
      <c r="AZ553" s="763"/>
      <c r="BA553" s="763"/>
      <c r="BB553" s="763"/>
      <c r="BC553" s="763"/>
      <c r="BD553" s="763"/>
      <c r="BE553" s="763"/>
      <c r="BF553" s="763"/>
      <c r="BG553" s="763" t="b">
        <f>IFERROR(__xludf.DUMMYFUNCTION("""COMPUTED_VALUE"""),TRUE)</f>
        <v>1</v>
      </c>
      <c r="BH553" s="763" t="b">
        <f>IFERROR(__xludf.DUMMYFUNCTION("""COMPUTED_VALUE"""),FALSE)</f>
        <v>0</v>
      </c>
      <c r="BI553" s="763" t="b">
        <f>IFERROR(__xludf.DUMMYFUNCTION("""COMPUTED_VALUE"""),TRUE)</f>
        <v>1</v>
      </c>
      <c r="BJ553" s="763" t="b">
        <f>IFERROR(__xludf.DUMMYFUNCTION("""COMPUTED_VALUE"""),TRUE)</f>
        <v>1</v>
      </c>
    </row>
    <row r="554">
      <c r="A554" s="763">
        <f>IFERROR(__xludf.DUMMYFUNCTION("""COMPUTED_VALUE"""),66093.0)</f>
        <v>66093</v>
      </c>
      <c r="B554" s="763">
        <f>IFERROR(__xludf.DUMMYFUNCTION("""COMPUTED_VALUE"""),66093.0)</f>
        <v>66093</v>
      </c>
      <c r="C554" s="763" t="str">
        <f>IFERROR(__xludf.DUMMYFUNCTION("""COMPUTED_VALUE"""),"2025-11-14 20:42:43")</f>
        <v>2025-11-14 20:42:43</v>
      </c>
      <c r="D554" s="763" t="str">
        <f>IFERROR(__xludf.DUMMYFUNCTION("""COMPUTED_VALUE"""),"completed")</f>
        <v>completed</v>
      </c>
      <c r="E554" s="763" t="str">
        <f>IFERROR(__xludf.DUMMYFUNCTION("""COMPUTED_VALUE"""),"ROBERTO")</f>
        <v>ROBERTO</v>
      </c>
      <c r="F554" s="763" t="str">
        <f>IFERROR(__xludf.DUMMYFUNCTION("""COMPUTED_VALUE"""),"SANGINETO")</f>
        <v>SANGINETO</v>
      </c>
      <c r="G554" s="763" t="str">
        <f>IFERROR(__xludf.DUMMYFUNCTION("""COMPUTED_VALUE"""),"robert.sangineto@gmail.com")</f>
        <v>robert.sangineto@gmail.com</v>
      </c>
      <c r="H554" s="763">
        <f>IFERROR(__xludf.DUMMYFUNCTION("""COMPUTED_VALUE"""),3.917517001E9)</f>
        <v>3917517001</v>
      </c>
      <c r="I554" s="763" t="str">
        <f>IFERROR(__xludf.DUMMYFUNCTION("""COMPUTED_VALUE"""),"Gallarate")</f>
        <v>Gallarate</v>
      </c>
      <c r="J554" s="763" t="str">
        <f>IFERROR(__xludf.DUMMYFUNCTION("""COMPUTED_VALUE"""),"Via Monterosso 6a")</f>
        <v>Via Monterosso 6a</v>
      </c>
      <c r="K554" s="763">
        <f>IFERROR(__xludf.DUMMYFUNCTION("""COMPUTED_VALUE"""),21013.0)</f>
        <v>21013</v>
      </c>
      <c r="L554" s="763" t="str">
        <f>IFERROR(__xludf.DUMMYFUNCTION("""COMPUTED_VALUE"""),"Apple Pay")</f>
        <v>Apple Pay</v>
      </c>
      <c r="M554" s="763" t="str">
        <f>IFERROR(__xludf.DUMMYFUNCTION("""COMPUTED_VALUE"""),"joel05natale")</f>
        <v>joel05natale</v>
      </c>
      <c r="N554" s="763" t="str">
        <f>IFERROR(__xludf.DUMMYFUNCTION("""COMPUTED_VALUE"""),"66093-1763152965")</f>
        <v>66093-1763152965</v>
      </c>
      <c r="O554" s="763">
        <f>IFERROR(__xludf.DUMMYFUNCTION("""COMPUTED_VALUE"""),0.0)</f>
        <v>0</v>
      </c>
      <c r="P554" s="767">
        <f>IFERROR(__xludf.DUMMYFUNCTION("""COMPUTED_VALUE"""),2.0833333333333335)</f>
        <v>2.083333333</v>
      </c>
      <c r="Q554" s="763" t="str">
        <f>IFERROR(__xludf.DUMMYFUNCTION("""COMPUTED_VALUE"""),"EUR")</f>
        <v>EUR</v>
      </c>
      <c r="R554" s="763">
        <f>IFERROR(__xludf.DUMMYFUNCTION("""COMPUTED_VALUE"""),1042.0)</f>
        <v>1042</v>
      </c>
      <c r="S554" s="763" t="str">
        <f>IFERROR(__xludf.DUMMYFUNCTION("""COMPUTED_VALUE"""),"Festa di Natale 2025 - Festa di natale 2025 lezioni + pizza + serata 55€")</f>
        <v>Festa di Natale 2025 - Festa di natale 2025 lezioni + pizza + serata 55€</v>
      </c>
      <c r="T554" s="763"/>
      <c r="U554" s="763"/>
      <c r="V554" s="763">
        <f>IFERROR(__xludf.DUMMYFUNCTION("""COMPUTED_VALUE"""),1.0)</f>
        <v>1</v>
      </c>
      <c r="W554" s="763">
        <f>IFERROR(__xludf.DUMMYFUNCTION("""COMPUTED_VALUE"""),50.0)</f>
        <v>50</v>
      </c>
      <c r="X554" s="763">
        <f>IFERROR(__xludf.DUMMYFUNCTION("""COMPUTED_VALUE"""),50.0)</f>
        <v>50</v>
      </c>
      <c r="Y554" s="763"/>
      <c r="Z554" s="768" t="str">
        <f>IFERROR(__xludf.DUMMYFUNCTION("""COMPUTED_VALUE"""),"https://studio-gem.it/wp-admin/post.php?post=66093&amp;action=edit")</f>
        <v>https://studio-gem.it/wp-admin/post.php?post=66093&amp;action=edit</v>
      </c>
      <c r="AA554" s="763"/>
      <c r="AB554" s="763"/>
      <c r="AC554" s="763"/>
      <c r="AD554" s="763"/>
      <c r="AE554" s="763"/>
      <c r="AF554" s="763"/>
      <c r="AG554" s="763"/>
      <c r="AH554" s="763"/>
      <c r="AI554" s="763"/>
      <c r="AJ554" s="763"/>
      <c r="AK554" s="763"/>
      <c r="AL554" s="763"/>
      <c r="AM554" s="763"/>
      <c r="AN554" s="763"/>
      <c r="AO554" s="763"/>
      <c r="AP554" s="763"/>
      <c r="AQ554" s="763"/>
      <c r="AR554" s="763"/>
      <c r="AS554" s="763"/>
      <c r="AT554" s="763"/>
      <c r="AU554" s="763"/>
      <c r="AV554" s="763"/>
      <c r="AW554" s="763"/>
      <c r="AX554" s="763"/>
      <c r="AY554" s="763"/>
      <c r="AZ554" s="763"/>
      <c r="BA554" s="763"/>
      <c r="BB554" s="763"/>
      <c r="BC554" s="763"/>
      <c r="BD554" s="763"/>
      <c r="BE554" s="763"/>
      <c r="BF554" s="763"/>
      <c r="BG554" s="763" t="b">
        <f>IFERROR(__xludf.DUMMYFUNCTION("""COMPUTED_VALUE"""),TRUE)</f>
        <v>1</v>
      </c>
      <c r="BH554" s="763" t="b">
        <f>IFERROR(__xludf.DUMMYFUNCTION("""COMPUTED_VALUE"""),FALSE)</f>
        <v>0</v>
      </c>
      <c r="BI554" s="763" t="b">
        <f>IFERROR(__xludf.DUMMYFUNCTION("""COMPUTED_VALUE"""),TRUE)</f>
        <v>1</v>
      </c>
      <c r="BJ554" s="763" t="b">
        <f>IFERROR(__xludf.DUMMYFUNCTION("""COMPUTED_VALUE"""),TRUE)</f>
        <v>1</v>
      </c>
    </row>
    <row r="555">
      <c r="A555" s="763">
        <f>IFERROR(__xludf.DUMMYFUNCTION("""COMPUTED_VALUE"""),66095.0)</f>
        <v>66095</v>
      </c>
      <c r="B555" s="763">
        <f>IFERROR(__xludf.DUMMYFUNCTION("""COMPUTED_VALUE"""),66095.0)</f>
        <v>66095</v>
      </c>
      <c r="C555" s="763" t="str">
        <f>IFERROR(__xludf.DUMMYFUNCTION("""COMPUTED_VALUE"""),"2025-11-14 20:48:21")</f>
        <v>2025-11-14 20:48:21</v>
      </c>
      <c r="D555" s="763" t="str">
        <f>IFERROR(__xludf.DUMMYFUNCTION("""COMPUTED_VALUE"""),"completed")</f>
        <v>completed</v>
      </c>
      <c r="E555" s="763" t="str">
        <f>IFERROR(__xludf.DUMMYFUNCTION("""COMPUTED_VALUE"""),"Giulia")</f>
        <v>Giulia</v>
      </c>
      <c r="F555" s="763" t="str">
        <f>IFERROR(__xludf.DUMMYFUNCTION("""COMPUTED_VALUE"""),"Giambelli")</f>
        <v>Giambelli</v>
      </c>
      <c r="G555" s="763" t="str">
        <f>IFERROR(__xludf.DUMMYFUNCTION("""COMPUTED_VALUE"""),"giuliagiambelli2002@gmail.com")</f>
        <v>giuliagiambelli2002@gmail.com</v>
      </c>
      <c r="H555" s="763">
        <f>IFERROR(__xludf.DUMMYFUNCTION("""COMPUTED_VALUE"""),3.425713388E9)</f>
        <v>3425713388</v>
      </c>
      <c r="I555" s="763" t="str">
        <f>IFERROR(__xludf.DUMMYFUNCTION("""COMPUTED_VALUE"""),"Caponago")</f>
        <v>Caponago</v>
      </c>
      <c r="J555" s="763" t="str">
        <f>IFERROR(__xludf.DUMMYFUNCTION("""COMPUTED_VALUE"""),"Via Silvio Pellico 10/18")</f>
        <v>Via Silvio Pellico 10/18</v>
      </c>
      <c r="K555" s="763">
        <f>IFERROR(__xludf.DUMMYFUNCTION("""COMPUTED_VALUE"""),20867.0)</f>
        <v>20867</v>
      </c>
      <c r="L555" s="763" t="str">
        <f>IFERROR(__xludf.DUMMYFUNCTION("""COMPUTED_VALUE"""),"Apple Pay")</f>
        <v>Apple Pay</v>
      </c>
      <c r="M555" s="763"/>
      <c r="N555" s="763" t="str">
        <f>IFERROR(__xludf.DUMMYFUNCTION("""COMPUTED_VALUE"""),"66095-1763153303")</f>
        <v>66095-1763153303</v>
      </c>
      <c r="O555" s="763">
        <f>IFERROR(__xludf.DUMMYFUNCTION("""COMPUTED_VALUE"""),0.0)</f>
        <v>0</v>
      </c>
      <c r="P555" s="767">
        <f>IFERROR(__xludf.DUMMYFUNCTION("""COMPUTED_VALUE"""),1.5416666666666667)</f>
        <v>1.541666667</v>
      </c>
      <c r="Q555" s="763" t="str">
        <f>IFERROR(__xludf.DUMMYFUNCTION("""COMPUTED_VALUE"""),"EUR")</f>
        <v>EUR</v>
      </c>
      <c r="R555" s="763">
        <f>IFERROR(__xludf.DUMMYFUNCTION("""COMPUTED_VALUE"""),1044.0)</f>
        <v>1044</v>
      </c>
      <c r="S555" s="763" t="str">
        <f>IFERROR(__xludf.DUMMYFUNCTION("""COMPUTED_VALUE"""),"Workshop Heels con Deborah Esposito - Workshop Heels con Deborah Esposito")</f>
        <v>Workshop Heels con Deborah Esposito - Workshop Heels con Deborah Esposito</v>
      </c>
      <c r="T555" s="763"/>
      <c r="U555" s="763"/>
      <c r="V555" s="763">
        <f>IFERROR(__xludf.DUMMYFUNCTION("""COMPUTED_VALUE"""),1.0)</f>
        <v>1</v>
      </c>
      <c r="W555" s="763">
        <f>IFERROR(__xludf.DUMMYFUNCTION("""COMPUTED_VALUE"""),37.0)</f>
        <v>37</v>
      </c>
      <c r="X555" s="763">
        <f>IFERROR(__xludf.DUMMYFUNCTION("""COMPUTED_VALUE"""),37.0)</f>
        <v>37</v>
      </c>
      <c r="Y555" s="763"/>
      <c r="Z555" s="768" t="str">
        <f>IFERROR(__xludf.DUMMYFUNCTION("""COMPUTED_VALUE"""),"https://studio-gem.it/wp-admin/post.php?post=66095&amp;action=edit")</f>
        <v>https://studio-gem.it/wp-admin/post.php?post=66095&amp;action=edit</v>
      </c>
      <c r="AA555" s="763"/>
      <c r="AB555" s="763"/>
      <c r="AC555" s="763"/>
      <c r="AD555" s="763"/>
      <c r="AE555" s="763"/>
      <c r="AF555" s="763"/>
      <c r="AG555" s="763"/>
      <c r="AH555" s="763"/>
      <c r="AI555" s="763"/>
      <c r="AJ555" s="763"/>
      <c r="AK555" s="763"/>
      <c r="AL555" s="763"/>
      <c r="AM555" s="763"/>
      <c r="AN555" s="763"/>
      <c r="AO555" s="763"/>
      <c r="AP555" s="763"/>
      <c r="AQ555" s="763"/>
      <c r="AR555" s="763"/>
      <c r="AS555" s="763"/>
      <c r="AT555" s="763"/>
      <c r="AU555" s="763"/>
      <c r="AV555" s="763"/>
      <c r="AW555" s="763"/>
      <c r="AX555" s="763"/>
      <c r="AY555" s="763"/>
      <c r="AZ555" s="763"/>
      <c r="BA555" s="763"/>
      <c r="BB555" s="763"/>
      <c r="BC555" s="763"/>
      <c r="BD555" s="763"/>
      <c r="BE555" s="763"/>
      <c r="BF555" s="763"/>
      <c r="BG555" s="763" t="b">
        <f>IFERROR(__xludf.DUMMYFUNCTION("""COMPUTED_VALUE"""),TRUE)</f>
        <v>1</v>
      </c>
      <c r="BH555" s="763" t="b">
        <f>IFERROR(__xludf.DUMMYFUNCTION("""COMPUTED_VALUE"""),FALSE)</f>
        <v>0</v>
      </c>
      <c r="BI555" s="763" t="b">
        <f>IFERROR(__xludf.DUMMYFUNCTION("""COMPUTED_VALUE"""),TRUE)</f>
        <v>1</v>
      </c>
      <c r="BJ555" s="763" t="b">
        <f>IFERROR(__xludf.DUMMYFUNCTION("""COMPUTED_VALUE"""),TRUE)</f>
        <v>1</v>
      </c>
    </row>
    <row r="556">
      <c r="A556" s="763">
        <f>IFERROR(__xludf.DUMMYFUNCTION("""COMPUTED_VALUE"""),66097.0)</f>
        <v>66097</v>
      </c>
      <c r="B556" s="763">
        <f>IFERROR(__xludf.DUMMYFUNCTION("""COMPUTED_VALUE"""),66097.0)</f>
        <v>66097</v>
      </c>
      <c r="C556" s="763" t="str">
        <f>IFERROR(__xludf.DUMMYFUNCTION("""COMPUTED_VALUE"""),"2025-11-14 20:52:28")</f>
        <v>2025-11-14 20:52:28</v>
      </c>
      <c r="D556" s="763" t="str">
        <f>IFERROR(__xludf.DUMMYFUNCTION("""COMPUTED_VALUE"""),"pending")</f>
        <v>pending</v>
      </c>
      <c r="E556" s="763" t="str">
        <f>IFERROR(__xludf.DUMMYFUNCTION("""COMPUTED_VALUE"""),"Domenico")</f>
        <v>Domenico</v>
      </c>
      <c r="F556" s="763" t="str">
        <f>IFERROR(__xludf.DUMMYFUNCTION("""COMPUTED_VALUE"""),"Lellis")</f>
        <v>Lellis</v>
      </c>
      <c r="G556" s="763" t="str">
        <f>IFERROR(__xludf.DUMMYFUNCTION("""COMPUTED_VALUE"""),"mimmo_uk@yahoo.com")</f>
        <v>mimmo_uk@yahoo.com</v>
      </c>
      <c r="H556" s="763">
        <f>IFERROR(__xludf.DUMMYFUNCTION("""COMPUTED_VALUE"""),3.476451912E9)</f>
        <v>3476451912</v>
      </c>
      <c r="I556" s="763" t="str">
        <f>IFERROR(__xludf.DUMMYFUNCTION("""COMPUTED_VALUE"""),"Milano")</f>
        <v>Milano</v>
      </c>
      <c r="J556" s="763" t="str">
        <f>IFERROR(__xludf.DUMMYFUNCTION("""COMPUTED_VALUE"""),"Via Anelli 2")</f>
        <v>Via Anelli 2</v>
      </c>
      <c r="K556" s="763">
        <f>IFERROR(__xludf.DUMMYFUNCTION("""COMPUTED_VALUE"""),20122.0)</f>
        <v>20122</v>
      </c>
      <c r="L556" s="763" t="str">
        <f>IFERROR(__xludf.DUMMYFUNCTION("""COMPUTED_VALUE"""),"Carte di pagamento")</f>
        <v>Carte di pagamento</v>
      </c>
      <c r="M556" s="763"/>
      <c r="N556" s="763"/>
      <c r="O556" s="763">
        <f>IFERROR(__xludf.DUMMYFUNCTION("""COMPUTED_VALUE"""),0.0)</f>
        <v>0</v>
      </c>
      <c r="P556" s="767">
        <f>IFERROR(__xludf.DUMMYFUNCTION("""COMPUTED_VALUE"""),1.0416666666666667)</f>
        <v>1.041666667</v>
      </c>
      <c r="Q556" s="763" t="str">
        <f>IFERROR(__xludf.DUMMYFUNCTION("""COMPUTED_VALUE"""),"EUR")</f>
        <v>EUR</v>
      </c>
      <c r="R556" s="763">
        <f>IFERROR(__xludf.DUMMYFUNCTION("""COMPUTED_VALUE"""),1045.0)</f>
        <v>1045</v>
      </c>
      <c r="S556" s="763" t="str">
        <f>IFERROR(__xludf.DUMMYFUNCTION("""COMPUTED_VALUE"""),"Festa di Natale 2025 - Festa di natale 2025 SOLO serata 25€")</f>
        <v>Festa di Natale 2025 - Festa di natale 2025 SOLO serata 25€</v>
      </c>
      <c r="T556" s="763"/>
      <c r="U556" s="763"/>
      <c r="V556" s="763">
        <f>IFERROR(__xludf.DUMMYFUNCTION("""COMPUTED_VALUE"""),1.0)</f>
        <v>1</v>
      </c>
      <c r="W556" s="763">
        <f>IFERROR(__xludf.DUMMYFUNCTION("""COMPUTED_VALUE"""),25.0)</f>
        <v>25</v>
      </c>
      <c r="X556" s="763">
        <f>IFERROR(__xludf.DUMMYFUNCTION("""COMPUTED_VALUE"""),25.0)</f>
        <v>25</v>
      </c>
      <c r="Y556" s="763"/>
      <c r="Z556" s="768" t="str">
        <f>IFERROR(__xludf.DUMMYFUNCTION("""COMPUTED_VALUE"""),"https://studio-gem.it/wp-admin/post.php?post=66097&amp;action=edit")</f>
        <v>https://studio-gem.it/wp-admin/post.php?post=66097&amp;action=edit</v>
      </c>
      <c r="AA556" s="763"/>
      <c r="AB556" s="763"/>
      <c r="AC556" s="763"/>
      <c r="AD556" s="763"/>
      <c r="AE556" s="763"/>
      <c r="AF556" s="763"/>
      <c r="AG556" s="763"/>
      <c r="AH556" s="763"/>
      <c r="AI556" s="763"/>
      <c r="AJ556" s="763"/>
      <c r="AK556" s="763"/>
      <c r="AL556" s="763"/>
      <c r="AM556" s="763"/>
      <c r="AN556" s="763"/>
      <c r="AO556" s="763"/>
      <c r="AP556" s="763"/>
      <c r="AQ556" s="763"/>
      <c r="AR556" s="763"/>
      <c r="AS556" s="763"/>
      <c r="AT556" s="763"/>
      <c r="AU556" s="763"/>
      <c r="AV556" s="763"/>
      <c r="AW556" s="763"/>
      <c r="AX556" s="763"/>
      <c r="AY556" s="763"/>
      <c r="AZ556" s="763"/>
      <c r="BA556" s="763"/>
      <c r="BB556" s="763"/>
      <c r="BC556" s="763"/>
      <c r="BD556" s="763"/>
      <c r="BE556" s="763"/>
      <c r="BF556" s="763"/>
      <c r="BG556" s="763" t="b">
        <f>IFERROR(__xludf.DUMMYFUNCTION("""COMPUTED_VALUE"""),FALSE)</f>
        <v>0</v>
      </c>
      <c r="BH556" s="763" t="b">
        <f>IFERROR(__xludf.DUMMYFUNCTION("""COMPUTED_VALUE"""),FALSE)</f>
        <v>0</v>
      </c>
      <c r="BI556" s="763" t="b">
        <f>IFERROR(__xludf.DUMMYFUNCTION("""COMPUTED_VALUE"""),FALSE)</f>
        <v>0</v>
      </c>
      <c r="BJ556" s="763" t="b">
        <f>IFERROR(__xludf.DUMMYFUNCTION("""COMPUTED_VALUE"""),FALSE)</f>
        <v>0</v>
      </c>
    </row>
    <row r="557">
      <c r="A557" s="763">
        <f>IFERROR(__xludf.DUMMYFUNCTION("""COMPUTED_VALUE"""),66098.0)</f>
        <v>66098</v>
      </c>
      <c r="B557" s="763">
        <f>IFERROR(__xludf.DUMMYFUNCTION("""COMPUTED_VALUE"""),66098.0)</f>
        <v>66098</v>
      </c>
      <c r="C557" s="763" t="str">
        <f>IFERROR(__xludf.DUMMYFUNCTION("""COMPUTED_VALUE"""),"2025-11-14 21:33:32")</f>
        <v>2025-11-14 21:33:32</v>
      </c>
      <c r="D557" s="763" t="str">
        <f>IFERROR(__xludf.DUMMYFUNCTION("""COMPUTED_VALUE"""),"processing")</f>
        <v>processing</v>
      </c>
      <c r="E557" s="763" t="str">
        <f>IFERROR(__xludf.DUMMYFUNCTION("""COMPUTED_VALUE"""),"Simone")</f>
        <v>Simone</v>
      </c>
      <c r="F557" s="763" t="str">
        <f>IFERROR(__xludf.DUMMYFUNCTION("""COMPUTED_VALUE"""),"Piangerelli")</f>
        <v>Piangerelli</v>
      </c>
      <c r="G557" s="763" t="str">
        <f>IFERROR(__xludf.DUMMYFUNCTION("""COMPUTED_VALUE"""),"simonepiangerelli@libero.it")</f>
        <v>simonepiangerelli@libero.it</v>
      </c>
      <c r="H557" s="763">
        <f>IFERROR(__xludf.DUMMYFUNCTION("""COMPUTED_VALUE"""),3.518042662E9)</f>
        <v>3518042662</v>
      </c>
      <c r="I557" s="763" t="str">
        <f>IFERROR(__xludf.DUMMYFUNCTION("""COMPUTED_VALUE"""),"Milano")</f>
        <v>Milano</v>
      </c>
      <c r="J557" s="763" t="str">
        <f>IFERROR(__xludf.DUMMYFUNCTION("""COMPUTED_VALUE"""),"Viale Bligny 54")</f>
        <v>Viale Bligny 54</v>
      </c>
      <c r="K557" s="763">
        <f>IFERROR(__xludf.DUMMYFUNCTION("""COMPUTED_VALUE"""),20136.0)</f>
        <v>20136</v>
      </c>
      <c r="L557" s="763" t="str">
        <f>IFERROR(__xludf.DUMMYFUNCTION("""COMPUTED_VALUE"""),"Google Pay")</f>
        <v>Google Pay</v>
      </c>
      <c r="M557" s="763"/>
      <c r="N557" s="763" t="str">
        <f>IFERROR(__xludf.DUMMYFUNCTION("""COMPUTED_VALUE"""),"66098-1763156013")</f>
        <v>66098-1763156013</v>
      </c>
      <c r="O557" s="763">
        <f>IFERROR(__xludf.DUMMYFUNCTION("""COMPUTED_VALUE"""),0.0)</f>
        <v>0</v>
      </c>
      <c r="P557" s="767">
        <f>IFERROR(__xludf.DUMMYFUNCTION("""COMPUTED_VALUE"""),1.3333333333333333)</f>
        <v>1.333333333</v>
      </c>
      <c r="Q557" s="763" t="str">
        <f>IFERROR(__xludf.DUMMYFUNCTION("""COMPUTED_VALUE"""),"EUR")</f>
        <v>EUR</v>
      </c>
      <c r="R557" s="763">
        <f>IFERROR(__xludf.DUMMYFUNCTION("""COMPUTED_VALUE"""),1046.0)</f>
        <v>1046</v>
      </c>
      <c r="S557" s="763" t="str">
        <f>IFERROR(__xludf.DUMMYFUNCTION("""COMPUTED_VALUE"""),"Workshop Salsa Musicality con Nicolò De Angelis - Workshop Nicolò Salsa Musicality")</f>
        <v>Workshop Salsa Musicality con Nicolò De Angelis - Workshop Nicolò Salsa Musicality</v>
      </c>
      <c r="T557" s="763"/>
      <c r="U557" s="763"/>
      <c r="V557" s="763">
        <f>IFERROR(__xludf.DUMMYFUNCTION("""COMPUTED_VALUE"""),1.0)</f>
        <v>1</v>
      </c>
      <c r="W557" s="763">
        <f>IFERROR(__xludf.DUMMYFUNCTION("""COMPUTED_VALUE"""),32.0)</f>
        <v>32</v>
      </c>
      <c r="X557" s="763">
        <f>IFERROR(__xludf.DUMMYFUNCTION("""COMPUTED_VALUE"""),32.0)</f>
        <v>32</v>
      </c>
      <c r="Y557" s="763"/>
      <c r="Z557" s="768" t="str">
        <f>IFERROR(__xludf.DUMMYFUNCTION("""COMPUTED_VALUE"""),"https://studio-gem.it/wp-admin/post.php?post=66098&amp;action=edit")</f>
        <v>https://studio-gem.it/wp-admin/post.php?post=66098&amp;action=edit</v>
      </c>
      <c r="AA557" s="763"/>
      <c r="AB557" s="763"/>
      <c r="AC557" s="763"/>
      <c r="AD557" s="763"/>
      <c r="AE557" s="763"/>
      <c r="AF557" s="763"/>
      <c r="AG557" s="763"/>
      <c r="AH557" s="763"/>
      <c r="AI557" s="763"/>
      <c r="AJ557" s="763"/>
      <c r="AK557" s="763"/>
      <c r="AL557" s="763"/>
      <c r="AM557" s="763"/>
      <c r="AN557" s="763"/>
      <c r="AO557" s="763"/>
      <c r="AP557" s="763"/>
      <c r="AQ557" s="763"/>
      <c r="AR557" s="763"/>
      <c r="AS557" s="763"/>
      <c r="AT557" s="763"/>
      <c r="AU557" s="763"/>
      <c r="AV557" s="763"/>
      <c r="AW557" s="763"/>
      <c r="AX557" s="763"/>
      <c r="AY557" s="763"/>
      <c r="AZ557" s="763"/>
      <c r="BA557" s="763"/>
      <c r="BB557" s="763"/>
      <c r="BC557" s="763"/>
      <c r="BD557" s="763"/>
      <c r="BE557" s="763"/>
      <c r="BF557" s="763"/>
      <c r="BG557" s="763" t="b">
        <f>IFERROR(__xludf.DUMMYFUNCTION("""COMPUTED_VALUE"""),TRUE)</f>
        <v>1</v>
      </c>
      <c r="BH557" s="763" t="b">
        <f>IFERROR(__xludf.DUMMYFUNCTION("""COMPUTED_VALUE"""),FALSE)</f>
        <v>0</v>
      </c>
      <c r="BI557" s="763" t="b">
        <f>IFERROR(__xludf.DUMMYFUNCTION("""COMPUTED_VALUE"""),TRUE)</f>
        <v>1</v>
      </c>
      <c r="BJ557" s="763" t="b">
        <f>IFERROR(__xludf.DUMMYFUNCTION("""COMPUTED_VALUE"""),TRUE)</f>
        <v>1</v>
      </c>
    </row>
    <row r="558">
      <c r="A558" s="763">
        <f>IFERROR(__xludf.DUMMYFUNCTION("""COMPUTED_VALUE"""),66099.0)</f>
        <v>66099</v>
      </c>
      <c r="B558" s="763">
        <f>IFERROR(__xludf.DUMMYFUNCTION("""COMPUTED_VALUE"""),66099.0)</f>
        <v>66099</v>
      </c>
      <c r="C558" s="763" t="str">
        <f>IFERROR(__xludf.DUMMYFUNCTION("""COMPUTED_VALUE"""),"2025-11-15 07:33:25")</f>
        <v>2025-11-15 07:33:25</v>
      </c>
      <c r="D558" s="763" t="str">
        <f>IFERROR(__xludf.DUMMYFUNCTION("""COMPUTED_VALUE"""),"failed")</f>
        <v>failed</v>
      </c>
      <c r="E558" s="763" t="str">
        <f>IFERROR(__xludf.DUMMYFUNCTION("""COMPUTED_VALUE"""),"SYRIA")</f>
        <v>SYRIA</v>
      </c>
      <c r="F558" s="763" t="str">
        <f>IFERROR(__xludf.DUMMYFUNCTION("""COMPUTED_VALUE"""),"BIANCHERA")</f>
        <v>BIANCHERA</v>
      </c>
      <c r="G558" s="763" t="str">
        <f>IFERROR(__xludf.DUMMYFUNCTION("""COMPUTED_VALUE"""),"alessianadalini@libero.it")</f>
        <v>alessianadalini@libero.it</v>
      </c>
      <c r="H558" s="763">
        <f>IFERROR(__xludf.DUMMYFUNCTION("""COMPUTED_VALUE"""),3.287525828E9)</f>
        <v>3287525828</v>
      </c>
      <c r="I558" s="763" t="str">
        <f>IFERROR(__xludf.DUMMYFUNCTION("""COMPUTED_VALUE"""),"SAN GIORGIO BIGARELLO")</f>
        <v>SAN GIORGIO BIGARELLO</v>
      </c>
      <c r="J558" s="763" t="str">
        <f>IFERROR(__xludf.DUMMYFUNCTION("""COMPUTED_VALUE"""),"VIA FOSSAMANA N.8/D")</f>
        <v>VIA FOSSAMANA N.8/D</v>
      </c>
      <c r="K558" s="763">
        <f>IFERROR(__xludf.DUMMYFUNCTION("""COMPUTED_VALUE"""),46051.0)</f>
        <v>46051</v>
      </c>
      <c r="L558" s="763" t="str">
        <f>IFERROR(__xludf.DUMMYFUNCTION("""COMPUTED_VALUE"""),"Carte di pagamento")</f>
        <v>Carte di pagamento</v>
      </c>
      <c r="M558" s="763"/>
      <c r="N558" s="763"/>
      <c r="O558" s="763">
        <f>IFERROR(__xludf.DUMMYFUNCTION("""COMPUTED_VALUE"""),0.0)</f>
        <v>0</v>
      </c>
      <c r="P558" s="767">
        <f>IFERROR(__xludf.DUMMYFUNCTION("""COMPUTED_VALUE"""),1.5416666666666667)</f>
        <v>1.541666667</v>
      </c>
      <c r="Q558" s="763" t="str">
        <f>IFERROR(__xludf.DUMMYFUNCTION("""COMPUTED_VALUE"""),"EUR")</f>
        <v>EUR</v>
      </c>
      <c r="R558" s="763">
        <f>IFERROR(__xludf.DUMMYFUNCTION("""COMPUTED_VALUE"""),1048.0)</f>
        <v>1048</v>
      </c>
      <c r="S558" s="763" t="str">
        <f>IFERROR(__xludf.DUMMYFUNCTION("""COMPUTED_VALUE"""),"Workshop Heels con Deborah Esposito - Workshop Heels con Deborah Esposito")</f>
        <v>Workshop Heels con Deborah Esposito - Workshop Heels con Deborah Esposito</v>
      </c>
      <c r="T558" s="763"/>
      <c r="U558" s="763"/>
      <c r="V558" s="763">
        <f>IFERROR(__xludf.DUMMYFUNCTION("""COMPUTED_VALUE"""),1.0)</f>
        <v>1</v>
      </c>
      <c r="W558" s="763">
        <f>IFERROR(__xludf.DUMMYFUNCTION("""COMPUTED_VALUE"""),37.0)</f>
        <v>37</v>
      </c>
      <c r="X558" s="763">
        <f>IFERROR(__xludf.DUMMYFUNCTION("""COMPUTED_VALUE"""),37.0)</f>
        <v>37</v>
      </c>
      <c r="Y558" s="763"/>
      <c r="Z558" s="768" t="str">
        <f>IFERROR(__xludf.DUMMYFUNCTION("""COMPUTED_VALUE"""),"https://studio-gem.it/wp-admin/post.php?post=66099&amp;action=edit")</f>
        <v>https://studio-gem.it/wp-admin/post.php?post=66099&amp;action=edit</v>
      </c>
      <c r="AA558" s="763"/>
      <c r="AB558" s="763"/>
      <c r="AC558" s="763"/>
      <c r="AD558" s="763"/>
      <c r="AE558" s="763"/>
      <c r="AF558" s="763"/>
      <c r="AG558" s="763"/>
      <c r="AH558" s="763"/>
      <c r="AI558" s="763"/>
      <c r="AJ558" s="763"/>
      <c r="AK558" s="763"/>
      <c r="AL558" s="763"/>
      <c r="AM558" s="763"/>
      <c r="AN558" s="763"/>
      <c r="AO558" s="763"/>
      <c r="AP558" s="763"/>
      <c r="AQ558" s="763"/>
      <c r="AR558" s="763"/>
      <c r="AS558" s="763"/>
      <c r="AT558" s="763"/>
      <c r="AU558" s="763"/>
      <c r="AV558" s="763"/>
      <c r="AW558" s="763"/>
      <c r="AX558" s="763"/>
      <c r="AY558" s="763"/>
      <c r="AZ558" s="763"/>
      <c r="BA558" s="763"/>
      <c r="BB558" s="763"/>
      <c r="BC558" s="763"/>
      <c r="BD558" s="763"/>
      <c r="BE558" s="763"/>
      <c r="BF558" s="763"/>
      <c r="BG558" s="763" t="b">
        <f>IFERROR(__xludf.DUMMYFUNCTION("""COMPUTED_VALUE"""),FALSE)</f>
        <v>0</v>
      </c>
      <c r="BH558" s="763" t="b">
        <f>IFERROR(__xludf.DUMMYFUNCTION("""COMPUTED_VALUE"""),FALSE)</f>
        <v>0</v>
      </c>
      <c r="BI558" s="763" t="b">
        <f>IFERROR(__xludf.DUMMYFUNCTION("""COMPUTED_VALUE"""),FALSE)</f>
        <v>0</v>
      </c>
      <c r="BJ558" s="763" t="b">
        <f>IFERROR(__xludf.DUMMYFUNCTION("""COMPUTED_VALUE"""),FALSE)</f>
        <v>0</v>
      </c>
    </row>
    <row r="559">
      <c r="A559" s="763">
        <f>IFERROR(__xludf.DUMMYFUNCTION("""COMPUTED_VALUE"""),66100.0)</f>
        <v>66100</v>
      </c>
      <c r="B559" s="763">
        <f>IFERROR(__xludf.DUMMYFUNCTION("""COMPUTED_VALUE"""),66100.0)</f>
        <v>66100</v>
      </c>
      <c r="C559" s="763" t="str">
        <f>IFERROR(__xludf.DUMMYFUNCTION("""COMPUTED_VALUE"""),"2025-11-15 07:53:02")</f>
        <v>2025-11-15 07:53:02</v>
      </c>
      <c r="D559" s="763" t="str">
        <f>IFERROR(__xludf.DUMMYFUNCTION("""COMPUTED_VALUE"""),"pending")</f>
        <v>pending</v>
      </c>
      <c r="E559" s="763" t="str">
        <f>IFERROR(__xludf.DUMMYFUNCTION("""COMPUTED_VALUE"""),"SYRIA")</f>
        <v>SYRIA</v>
      </c>
      <c r="F559" s="763" t="str">
        <f>IFERROR(__xludf.DUMMYFUNCTION("""COMPUTED_VALUE"""),"BIANCHERA")</f>
        <v>BIANCHERA</v>
      </c>
      <c r="G559" s="763" t="str">
        <f>IFERROR(__xludf.DUMMYFUNCTION("""COMPUTED_VALUE"""),"alessianadalini@libero.it")</f>
        <v>alessianadalini@libero.it</v>
      </c>
      <c r="H559" s="763">
        <f>IFERROR(__xludf.DUMMYFUNCTION("""COMPUTED_VALUE"""),3.287525828E9)</f>
        <v>3287525828</v>
      </c>
      <c r="I559" s="763" t="str">
        <f>IFERROR(__xludf.DUMMYFUNCTION("""COMPUTED_VALUE"""),"SAN GIORGIO BIGARELLO")</f>
        <v>SAN GIORGIO BIGARELLO</v>
      </c>
      <c r="J559" s="763" t="str">
        <f>IFERROR(__xludf.DUMMYFUNCTION("""COMPUTED_VALUE"""),"VIA FOSSAMANA N.8/D")</f>
        <v>VIA FOSSAMANA N.8/D</v>
      </c>
      <c r="K559" s="763">
        <f>IFERROR(__xludf.DUMMYFUNCTION("""COMPUTED_VALUE"""),46051.0)</f>
        <v>46051</v>
      </c>
      <c r="L559" s="763" t="str">
        <f>IFERROR(__xludf.DUMMYFUNCTION("""COMPUTED_VALUE"""),"Carte di pagamento")</f>
        <v>Carte di pagamento</v>
      </c>
      <c r="M559" s="763"/>
      <c r="N559" s="763"/>
      <c r="O559" s="763">
        <f>IFERROR(__xludf.DUMMYFUNCTION("""COMPUTED_VALUE"""),0.0)</f>
        <v>0</v>
      </c>
      <c r="P559" s="767">
        <f>IFERROR(__xludf.DUMMYFUNCTION("""COMPUTED_VALUE"""),4.625)</f>
        <v>4.625</v>
      </c>
      <c r="Q559" s="763" t="str">
        <f>IFERROR(__xludf.DUMMYFUNCTION("""COMPUTED_VALUE"""),"EUR")</f>
        <v>EUR</v>
      </c>
      <c r="R559" s="763">
        <f>IFERROR(__xludf.DUMMYFUNCTION("""COMPUTED_VALUE"""),1049.0)</f>
        <v>1049</v>
      </c>
      <c r="S559" s="763" t="str">
        <f>IFERROR(__xludf.DUMMYFUNCTION("""COMPUTED_VALUE"""),"Workshop Heels con Deborah Esposito - Workshop Heels con Deborah Esposito")</f>
        <v>Workshop Heels con Deborah Esposito - Workshop Heels con Deborah Esposito</v>
      </c>
      <c r="T559" s="763"/>
      <c r="U559" s="763"/>
      <c r="V559" s="763">
        <f>IFERROR(__xludf.DUMMYFUNCTION("""COMPUTED_VALUE"""),3.0)</f>
        <v>3</v>
      </c>
      <c r="W559" s="763">
        <f>IFERROR(__xludf.DUMMYFUNCTION("""COMPUTED_VALUE"""),37.0)</f>
        <v>37</v>
      </c>
      <c r="X559" s="763">
        <f>IFERROR(__xludf.DUMMYFUNCTION("""COMPUTED_VALUE"""),111.0)</f>
        <v>111</v>
      </c>
      <c r="Y559" s="763"/>
      <c r="Z559" s="768" t="str">
        <f>IFERROR(__xludf.DUMMYFUNCTION("""COMPUTED_VALUE"""),"https://studio-gem.it/wp-admin/post.php?post=66100&amp;action=edit")</f>
        <v>https://studio-gem.it/wp-admin/post.php?post=66100&amp;action=edit</v>
      </c>
      <c r="AA559" s="763"/>
      <c r="AB559" s="763"/>
      <c r="AC559" s="763"/>
      <c r="AD559" s="763"/>
      <c r="AE559" s="763"/>
      <c r="AF559" s="763"/>
      <c r="AG559" s="763"/>
      <c r="AH559" s="763"/>
      <c r="AI559" s="763"/>
      <c r="AJ559" s="763"/>
      <c r="AK559" s="763"/>
      <c r="AL559" s="763"/>
      <c r="AM559" s="763"/>
      <c r="AN559" s="763"/>
      <c r="AO559" s="763"/>
      <c r="AP559" s="763"/>
      <c r="AQ559" s="763"/>
      <c r="AR559" s="763"/>
      <c r="AS559" s="763"/>
      <c r="AT559" s="763"/>
      <c r="AU559" s="763"/>
      <c r="AV559" s="763"/>
      <c r="AW559" s="763"/>
      <c r="AX559" s="763"/>
      <c r="AY559" s="763"/>
      <c r="AZ559" s="763"/>
      <c r="BA559" s="763"/>
      <c r="BB559" s="763"/>
      <c r="BC559" s="763"/>
      <c r="BD559" s="763"/>
      <c r="BE559" s="763"/>
      <c r="BF559" s="763"/>
      <c r="BG559" s="763" t="b">
        <f>IFERROR(__xludf.DUMMYFUNCTION("""COMPUTED_VALUE"""),FALSE)</f>
        <v>0</v>
      </c>
      <c r="BH559" s="763" t="b">
        <f>IFERROR(__xludf.DUMMYFUNCTION("""COMPUTED_VALUE"""),FALSE)</f>
        <v>0</v>
      </c>
      <c r="BI559" s="763" t="b">
        <f>IFERROR(__xludf.DUMMYFUNCTION("""COMPUTED_VALUE"""),FALSE)</f>
        <v>0</v>
      </c>
      <c r="BJ559" s="763" t="b">
        <f>IFERROR(__xludf.DUMMYFUNCTION("""COMPUTED_VALUE"""),FALSE)</f>
        <v>0</v>
      </c>
    </row>
    <row r="560">
      <c r="A560" s="763">
        <f>IFERROR(__xludf.DUMMYFUNCTION("""COMPUTED_VALUE"""),66101.0)</f>
        <v>66101</v>
      </c>
      <c r="B560" s="763">
        <f>IFERROR(__xludf.DUMMYFUNCTION("""COMPUTED_VALUE"""),66101.0)</f>
        <v>66101</v>
      </c>
      <c r="C560" s="763" t="str">
        <f>IFERROR(__xludf.DUMMYFUNCTION("""COMPUTED_VALUE"""),"2025-11-15 08:00:00")</f>
        <v>2025-11-15 08:00:00</v>
      </c>
      <c r="D560" s="763" t="str">
        <f>IFERROR(__xludf.DUMMYFUNCTION("""COMPUTED_VALUE"""),"failed")</f>
        <v>failed</v>
      </c>
      <c r="E560" s="763" t="str">
        <f>IFERROR(__xludf.DUMMYFUNCTION("""COMPUTED_VALUE"""),"Syria")</f>
        <v>Syria</v>
      </c>
      <c r="F560" s="763" t="str">
        <f>IFERROR(__xludf.DUMMYFUNCTION("""COMPUTED_VALUE"""),"Bianchera")</f>
        <v>Bianchera</v>
      </c>
      <c r="G560" s="763" t="str">
        <f>IFERROR(__xludf.DUMMYFUNCTION("""COMPUTED_VALUE"""),"alessianadalini@libero.it")</f>
        <v>alessianadalini@libero.it</v>
      </c>
      <c r="H560" s="763">
        <f>IFERROR(__xludf.DUMMYFUNCTION("""COMPUTED_VALUE"""),3.287525828E9)</f>
        <v>3287525828</v>
      </c>
      <c r="I560" s="763" t="str">
        <f>IFERROR(__xludf.DUMMYFUNCTION("""COMPUTED_VALUE"""),"San Giorgio Bigarello")</f>
        <v>San Giorgio Bigarello</v>
      </c>
      <c r="J560" s="763" t="str">
        <f>IFERROR(__xludf.DUMMYFUNCTION("""COMPUTED_VALUE"""),"VIA FOSSAMANA N. 8/D")</f>
        <v>VIA FOSSAMANA N. 8/D</v>
      </c>
      <c r="K560" s="763">
        <f>IFERROR(__xludf.DUMMYFUNCTION("""COMPUTED_VALUE"""),46051.0)</f>
        <v>46051</v>
      </c>
      <c r="L560" s="763" t="str">
        <f>IFERROR(__xludf.DUMMYFUNCTION("""COMPUTED_VALUE"""),"Carte di pagamento")</f>
        <v>Carte di pagamento</v>
      </c>
      <c r="M560" s="763"/>
      <c r="N560" s="763"/>
      <c r="O560" s="763">
        <f>IFERROR(__xludf.DUMMYFUNCTION("""COMPUTED_VALUE"""),0.0)</f>
        <v>0</v>
      </c>
      <c r="P560" s="767">
        <f>IFERROR(__xludf.DUMMYFUNCTION("""COMPUTED_VALUE"""),1.5416666666666667)</f>
        <v>1.541666667</v>
      </c>
      <c r="Q560" s="763" t="str">
        <f>IFERROR(__xludf.DUMMYFUNCTION("""COMPUTED_VALUE"""),"EUR")</f>
        <v>EUR</v>
      </c>
      <c r="R560" s="763">
        <f>IFERROR(__xludf.DUMMYFUNCTION("""COMPUTED_VALUE"""),1050.0)</f>
        <v>1050</v>
      </c>
      <c r="S560" s="763" t="str">
        <f>IFERROR(__xludf.DUMMYFUNCTION("""COMPUTED_VALUE"""),"Workshop Heels con Deborah Esposito - Workshop Heels con Deborah Esposito")</f>
        <v>Workshop Heels con Deborah Esposito - Workshop Heels con Deborah Esposito</v>
      </c>
      <c r="T560" s="763"/>
      <c r="U560" s="763"/>
      <c r="V560" s="763">
        <f>IFERROR(__xludf.DUMMYFUNCTION("""COMPUTED_VALUE"""),1.0)</f>
        <v>1</v>
      </c>
      <c r="W560" s="763">
        <f>IFERROR(__xludf.DUMMYFUNCTION("""COMPUTED_VALUE"""),37.0)</f>
        <v>37</v>
      </c>
      <c r="X560" s="763">
        <f>IFERROR(__xludf.DUMMYFUNCTION("""COMPUTED_VALUE"""),37.0)</f>
        <v>37</v>
      </c>
      <c r="Y560" s="763"/>
      <c r="Z560" s="768" t="str">
        <f>IFERROR(__xludf.DUMMYFUNCTION("""COMPUTED_VALUE"""),"https://studio-gem.it/wp-admin/post.php?post=66101&amp;action=edit")</f>
        <v>https://studio-gem.it/wp-admin/post.php?post=66101&amp;action=edit</v>
      </c>
      <c r="AA560" s="763"/>
      <c r="AB560" s="763"/>
      <c r="AC560" s="763"/>
      <c r="AD560" s="763"/>
      <c r="AE560" s="763"/>
      <c r="AF560" s="763"/>
      <c r="AG560" s="763"/>
      <c r="AH560" s="763"/>
      <c r="AI560" s="763"/>
      <c r="AJ560" s="763"/>
      <c r="AK560" s="763"/>
      <c r="AL560" s="763"/>
      <c r="AM560" s="763"/>
      <c r="AN560" s="763"/>
      <c r="AO560" s="763"/>
      <c r="AP560" s="763"/>
      <c r="AQ560" s="763"/>
      <c r="AR560" s="763"/>
      <c r="AS560" s="763"/>
      <c r="AT560" s="763"/>
      <c r="AU560" s="763"/>
      <c r="AV560" s="763"/>
      <c r="AW560" s="763"/>
      <c r="AX560" s="763"/>
      <c r="AY560" s="763"/>
      <c r="AZ560" s="763"/>
      <c r="BA560" s="763"/>
      <c r="BB560" s="763"/>
      <c r="BC560" s="763"/>
      <c r="BD560" s="763"/>
      <c r="BE560" s="763"/>
      <c r="BF560" s="763"/>
      <c r="BG560" s="763" t="b">
        <f>IFERROR(__xludf.DUMMYFUNCTION("""COMPUTED_VALUE"""),FALSE)</f>
        <v>0</v>
      </c>
      <c r="BH560" s="763" t="b">
        <f>IFERROR(__xludf.DUMMYFUNCTION("""COMPUTED_VALUE"""),FALSE)</f>
        <v>0</v>
      </c>
      <c r="BI560" s="763" t="b">
        <f>IFERROR(__xludf.DUMMYFUNCTION("""COMPUTED_VALUE"""),FALSE)</f>
        <v>0</v>
      </c>
      <c r="BJ560" s="763" t="b">
        <f>IFERROR(__xludf.DUMMYFUNCTION("""COMPUTED_VALUE"""),FALSE)</f>
        <v>0</v>
      </c>
    </row>
    <row r="561">
      <c r="A561" s="763">
        <f>IFERROR(__xludf.DUMMYFUNCTION("""COMPUTED_VALUE"""),66102.0)</f>
        <v>66102</v>
      </c>
      <c r="B561" s="763">
        <f>IFERROR(__xludf.DUMMYFUNCTION("""COMPUTED_VALUE"""),66102.0)</f>
        <v>66102</v>
      </c>
      <c r="C561" s="763" t="str">
        <f>IFERROR(__xludf.DUMMYFUNCTION("""COMPUTED_VALUE"""),"2025-11-15 08:43:34")</f>
        <v>2025-11-15 08:43:34</v>
      </c>
      <c r="D561" s="763" t="str">
        <f>IFERROR(__xludf.DUMMYFUNCTION("""COMPUTED_VALUE"""),"pending")</f>
        <v>pending</v>
      </c>
      <c r="E561" s="763" t="str">
        <f>IFERROR(__xludf.DUMMYFUNCTION("""COMPUTED_VALUE"""),"Daniela")</f>
        <v>Daniela</v>
      </c>
      <c r="F561" s="763" t="str">
        <f>IFERROR(__xludf.DUMMYFUNCTION("""COMPUTED_VALUE"""),"Carriero")</f>
        <v>Carriero</v>
      </c>
      <c r="G561" s="763" t="str">
        <f>IFERROR(__xludf.DUMMYFUNCTION("""COMPUTED_VALUE"""),"danielacarriero@yahoo.it")</f>
        <v>danielacarriero@yahoo.it</v>
      </c>
      <c r="H561" s="763">
        <f>IFERROR(__xludf.DUMMYFUNCTION("""COMPUTED_VALUE"""),3.346013249E9)</f>
        <v>3346013249</v>
      </c>
      <c r="I561" s="763" t="str">
        <f>IFERROR(__xludf.DUMMYFUNCTION("""COMPUTED_VALUE"""),"Milano")</f>
        <v>Milano</v>
      </c>
      <c r="J561" s="763" t="str">
        <f>IFERROR(__xludf.DUMMYFUNCTION("""COMPUTED_VALUE"""),"Corso Lodi 47")</f>
        <v>Corso Lodi 47</v>
      </c>
      <c r="K561" s="763">
        <f>IFERROR(__xludf.DUMMYFUNCTION("""COMPUTED_VALUE"""),20139.0)</f>
        <v>20139</v>
      </c>
      <c r="L561" s="763" t="str">
        <f>IFERROR(__xludf.DUMMYFUNCTION("""COMPUTED_VALUE"""),"Carte di pagamento")</f>
        <v>Carte di pagamento</v>
      </c>
      <c r="M561" s="763"/>
      <c r="N561" s="763"/>
      <c r="O561" s="763">
        <f>IFERROR(__xludf.DUMMYFUNCTION("""COMPUTED_VALUE"""),0.0)</f>
        <v>0</v>
      </c>
      <c r="P561" s="767">
        <f>IFERROR(__xludf.DUMMYFUNCTION("""COMPUTED_VALUE"""),2.2916666666666665)</f>
        <v>2.291666667</v>
      </c>
      <c r="Q561" s="763" t="str">
        <f>IFERROR(__xludf.DUMMYFUNCTION("""COMPUTED_VALUE"""),"EUR")</f>
        <v>EUR</v>
      </c>
      <c r="R561" s="763">
        <f>IFERROR(__xludf.DUMMYFUNCTION("""COMPUTED_VALUE"""),1051.0)</f>
        <v>1051</v>
      </c>
      <c r="S561" s="763" t="str">
        <f>IFERROR(__xludf.DUMMYFUNCTION("""COMPUTED_VALUE"""),"Festa di Natale 2025 - Festa di natale 2025 lezioni + pizza + serata 55€")</f>
        <v>Festa di Natale 2025 - Festa di natale 2025 lezioni + pizza + serata 55€</v>
      </c>
      <c r="T561" s="763"/>
      <c r="U561" s="763"/>
      <c r="V561" s="763">
        <f>IFERROR(__xludf.DUMMYFUNCTION("""COMPUTED_VALUE"""),1.0)</f>
        <v>1</v>
      </c>
      <c r="W561" s="763">
        <f>IFERROR(__xludf.DUMMYFUNCTION("""COMPUTED_VALUE"""),55.0)</f>
        <v>55</v>
      </c>
      <c r="X561" s="763">
        <f>IFERROR(__xludf.DUMMYFUNCTION("""COMPUTED_VALUE"""),55.0)</f>
        <v>55</v>
      </c>
      <c r="Y561" s="763"/>
      <c r="Z561" s="768" t="str">
        <f>IFERROR(__xludf.DUMMYFUNCTION("""COMPUTED_VALUE"""),"https://studio-gem.it/wp-admin/post.php?post=66102&amp;action=edit")</f>
        <v>https://studio-gem.it/wp-admin/post.php?post=66102&amp;action=edit</v>
      </c>
      <c r="AA561" s="763"/>
      <c r="AB561" s="763"/>
      <c r="AC561" s="763"/>
      <c r="AD561" s="763"/>
      <c r="AE561" s="763"/>
      <c r="AF561" s="763"/>
      <c r="AG561" s="763"/>
      <c r="AH561" s="763"/>
      <c r="AI561" s="763"/>
      <c r="AJ561" s="763"/>
      <c r="AK561" s="763"/>
      <c r="AL561" s="763"/>
      <c r="AM561" s="763"/>
      <c r="AN561" s="763"/>
      <c r="AO561" s="763"/>
      <c r="AP561" s="763"/>
      <c r="AQ561" s="763"/>
      <c r="AR561" s="763"/>
      <c r="AS561" s="763"/>
      <c r="AT561" s="763"/>
      <c r="AU561" s="763"/>
      <c r="AV561" s="763"/>
      <c r="AW561" s="763"/>
      <c r="AX561" s="763"/>
      <c r="AY561" s="763"/>
      <c r="AZ561" s="763"/>
      <c r="BA561" s="763"/>
      <c r="BB561" s="763"/>
      <c r="BC561" s="763"/>
      <c r="BD561" s="763"/>
      <c r="BE561" s="763"/>
      <c r="BF561" s="763"/>
      <c r="BG561" s="763" t="b">
        <f>IFERROR(__xludf.DUMMYFUNCTION("""COMPUTED_VALUE"""),FALSE)</f>
        <v>0</v>
      </c>
      <c r="BH561" s="763" t="b">
        <f>IFERROR(__xludf.DUMMYFUNCTION("""COMPUTED_VALUE"""),FALSE)</f>
        <v>0</v>
      </c>
      <c r="BI561" s="763" t="b">
        <f>IFERROR(__xludf.DUMMYFUNCTION("""COMPUTED_VALUE"""),FALSE)</f>
        <v>0</v>
      </c>
      <c r="BJ561" s="763" t="b">
        <f>IFERROR(__xludf.DUMMYFUNCTION("""COMPUTED_VALUE"""),FALSE)</f>
        <v>0</v>
      </c>
    </row>
    <row r="562">
      <c r="A562" s="763">
        <f>IFERROR(__xludf.DUMMYFUNCTION("""COMPUTED_VALUE"""),66103.0)</f>
        <v>66103</v>
      </c>
      <c r="B562" s="763">
        <f>IFERROR(__xludf.DUMMYFUNCTION("""COMPUTED_VALUE"""),66103.0)</f>
        <v>66103</v>
      </c>
      <c r="C562" s="763" t="str">
        <f>IFERROR(__xludf.DUMMYFUNCTION("""COMPUTED_VALUE"""),"2025-11-15 09:46:36")</f>
        <v>2025-11-15 09:46:36</v>
      </c>
      <c r="D562" s="763" t="str">
        <f>IFERROR(__xludf.DUMMYFUNCTION("""COMPUTED_VALUE"""),"failed")</f>
        <v>failed</v>
      </c>
      <c r="E562" s="763" t="str">
        <f>IFERROR(__xludf.DUMMYFUNCTION("""COMPUTED_VALUE"""),"Syria")</f>
        <v>Syria</v>
      </c>
      <c r="F562" s="763" t="str">
        <f>IFERROR(__xludf.DUMMYFUNCTION("""COMPUTED_VALUE"""),"Bianchera")</f>
        <v>Bianchera</v>
      </c>
      <c r="G562" s="763" t="str">
        <f>IFERROR(__xludf.DUMMYFUNCTION("""COMPUTED_VALUE"""),"alessianadalini@libero.it")</f>
        <v>alessianadalini@libero.it</v>
      </c>
      <c r="H562" s="763">
        <f>IFERROR(__xludf.DUMMYFUNCTION("""COMPUTED_VALUE"""),3.287525828E9)</f>
        <v>3287525828</v>
      </c>
      <c r="I562" s="763" t="str">
        <f>IFERROR(__xludf.DUMMYFUNCTION("""COMPUTED_VALUE"""),"San Giorgio Bigarello")</f>
        <v>San Giorgio Bigarello</v>
      </c>
      <c r="J562" s="763" t="str">
        <f>IFERROR(__xludf.DUMMYFUNCTION("""COMPUTED_VALUE"""),"Via Fossamana 8/d")</f>
        <v>Via Fossamana 8/d</v>
      </c>
      <c r="K562" s="763">
        <f>IFERROR(__xludf.DUMMYFUNCTION("""COMPUTED_VALUE"""),46051.0)</f>
        <v>46051</v>
      </c>
      <c r="L562" s="763" t="str">
        <f>IFERROR(__xludf.DUMMYFUNCTION("""COMPUTED_VALUE"""),"Carte di pagamento")</f>
        <v>Carte di pagamento</v>
      </c>
      <c r="M562" s="763"/>
      <c r="N562" s="763"/>
      <c r="O562" s="763">
        <f>IFERROR(__xludf.DUMMYFUNCTION("""COMPUTED_VALUE"""),0.0)</f>
        <v>0</v>
      </c>
      <c r="P562" s="767">
        <f>IFERROR(__xludf.DUMMYFUNCTION("""COMPUTED_VALUE"""),1.5416666666666667)</f>
        <v>1.541666667</v>
      </c>
      <c r="Q562" s="763" t="str">
        <f>IFERROR(__xludf.DUMMYFUNCTION("""COMPUTED_VALUE"""),"EUR")</f>
        <v>EUR</v>
      </c>
      <c r="R562" s="763">
        <f>IFERROR(__xludf.DUMMYFUNCTION("""COMPUTED_VALUE"""),1052.0)</f>
        <v>1052</v>
      </c>
      <c r="S562" s="763" t="str">
        <f>IFERROR(__xludf.DUMMYFUNCTION("""COMPUTED_VALUE"""),"Workshop Heels con Deborah Esposito - Workshop Heels con Deborah Esposito")</f>
        <v>Workshop Heels con Deborah Esposito - Workshop Heels con Deborah Esposito</v>
      </c>
      <c r="T562" s="763"/>
      <c r="U562" s="763"/>
      <c r="V562" s="763">
        <f>IFERROR(__xludf.DUMMYFUNCTION("""COMPUTED_VALUE"""),1.0)</f>
        <v>1</v>
      </c>
      <c r="W562" s="763">
        <f>IFERROR(__xludf.DUMMYFUNCTION("""COMPUTED_VALUE"""),37.0)</f>
        <v>37</v>
      </c>
      <c r="X562" s="763">
        <f>IFERROR(__xludf.DUMMYFUNCTION("""COMPUTED_VALUE"""),37.0)</f>
        <v>37</v>
      </c>
      <c r="Y562" s="763"/>
      <c r="Z562" s="768" t="str">
        <f>IFERROR(__xludf.DUMMYFUNCTION("""COMPUTED_VALUE"""),"https://studio-gem.it/wp-admin/post.php?post=66103&amp;action=edit")</f>
        <v>https://studio-gem.it/wp-admin/post.php?post=66103&amp;action=edit</v>
      </c>
      <c r="AA562" s="763"/>
      <c r="AB562" s="763"/>
      <c r="AC562" s="763"/>
      <c r="AD562" s="763"/>
      <c r="AE562" s="763"/>
      <c r="AF562" s="763"/>
      <c r="AG562" s="763"/>
      <c r="AH562" s="763"/>
      <c r="AI562" s="763"/>
      <c r="AJ562" s="763"/>
      <c r="AK562" s="763"/>
      <c r="AL562" s="763"/>
      <c r="AM562" s="763"/>
      <c r="AN562" s="763"/>
      <c r="AO562" s="763"/>
      <c r="AP562" s="763"/>
      <c r="AQ562" s="763"/>
      <c r="AR562" s="763"/>
      <c r="AS562" s="763"/>
      <c r="AT562" s="763"/>
      <c r="AU562" s="763"/>
      <c r="AV562" s="763"/>
      <c r="AW562" s="763"/>
      <c r="AX562" s="763"/>
      <c r="AY562" s="763"/>
      <c r="AZ562" s="763"/>
      <c r="BA562" s="763"/>
      <c r="BB562" s="763"/>
      <c r="BC562" s="763"/>
      <c r="BD562" s="763"/>
      <c r="BE562" s="763"/>
      <c r="BF562" s="763"/>
      <c r="BG562" s="763" t="b">
        <f>IFERROR(__xludf.DUMMYFUNCTION("""COMPUTED_VALUE"""),FALSE)</f>
        <v>0</v>
      </c>
      <c r="BH562" s="763" t="b">
        <f>IFERROR(__xludf.DUMMYFUNCTION("""COMPUTED_VALUE"""),FALSE)</f>
        <v>0</v>
      </c>
      <c r="BI562" s="763" t="b">
        <f>IFERROR(__xludf.DUMMYFUNCTION("""COMPUTED_VALUE"""),FALSE)</f>
        <v>0</v>
      </c>
      <c r="BJ562" s="763" t="b">
        <f>IFERROR(__xludf.DUMMYFUNCTION("""COMPUTED_VALUE"""),FALSE)</f>
        <v>0</v>
      </c>
    </row>
    <row r="563">
      <c r="A563" s="763">
        <f>IFERROR(__xludf.DUMMYFUNCTION("""COMPUTED_VALUE"""),66104.0)</f>
        <v>66104</v>
      </c>
      <c r="B563" s="763">
        <f>IFERROR(__xludf.DUMMYFUNCTION("""COMPUTED_VALUE"""),66104.0)</f>
        <v>66104</v>
      </c>
      <c r="C563" s="763" t="str">
        <f>IFERROR(__xludf.DUMMYFUNCTION("""COMPUTED_VALUE"""),"2025-11-15 09:53:11")</f>
        <v>2025-11-15 09:53:11</v>
      </c>
      <c r="D563" s="763" t="str">
        <f>IFERROR(__xludf.DUMMYFUNCTION("""COMPUTED_VALUE"""),"pending")</f>
        <v>pending</v>
      </c>
      <c r="E563" s="763" t="str">
        <f>IFERROR(__xludf.DUMMYFUNCTION("""COMPUTED_VALUE"""),"Isabela")</f>
        <v>Isabela</v>
      </c>
      <c r="F563" s="763" t="str">
        <f>IFERROR(__xludf.DUMMYFUNCTION("""COMPUTED_VALUE"""),"Brasileiro")</f>
        <v>Brasileiro</v>
      </c>
      <c r="G563" s="763" t="str">
        <f>IFERROR(__xludf.DUMMYFUNCTION("""COMPUTED_VALUE"""),"mirkoisabela@gamil.com")</f>
        <v>mirkoisabela@gamil.com</v>
      </c>
      <c r="H563" s="763">
        <f>IFERROR(__xludf.DUMMYFUNCTION("""COMPUTED_VALUE"""),3.286575647E9)</f>
        <v>3286575647</v>
      </c>
      <c r="I563" s="763" t="str">
        <f>IFERROR(__xludf.DUMMYFUNCTION("""COMPUTED_VALUE"""),"Milano")</f>
        <v>Milano</v>
      </c>
      <c r="J563" s="763" t="str">
        <f>IFERROR(__xludf.DUMMYFUNCTION("""COMPUTED_VALUE"""),"Settembrini")</f>
        <v>Settembrini</v>
      </c>
      <c r="K563" s="763">
        <f>IFERROR(__xludf.DUMMYFUNCTION("""COMPUTED_VALUE"""),20124.0)</f>
        <v>20124</v>
      </c>
      <c r="L563" s="763" t="str">
        <f>IFERROR(__xludf.DUMMYFUNCTION("""COMPUTED_VALUE"""),"Apple Pay")</f>
        <v>Apple Pay</v>
      </c>
      <c r="M563" s="763"/>
      <c r="N563" s="763"/>
      <c r="O563" s="763">
        <f>IFERROR(__xludf.DUMMYFUNCTION("""COMPUTED_VALUE"""),0.0)</f>
        <v>0</v>
      </c>
      <c r="P563" s="767">
        <f>IFERROR(__xludf.DUMMYFUNCTION("""COMPUTED_VALUE"""),1.5416666666666667)</f>
        <v>1.541666667</v>
      </c>
      <c r="Q563" s="763" t="str">
        <f>IFERROR(__xludf.DUMMYFUNCTION("""COMPUTED_VALUE"""),"EUR")</f>
        <v>EUR</v>
      </c>
      <c r="R563" s="763">
        <f>IFERROR(__xludf.DUMMYFUNCTION("""COMPUTED_VALUE"""),1053.0)</f>
        <v>1053</v>
      </c>
      <c r="S563" s="763" t="str">
        <f>IFERROR(__xludf.DUMMYFUNCTION("""COMPUTED_VALUE"""),"Workshop Heels con Deborah Esposito - Workshop Heels con Deborah Esposito")</f>
        <v>Workshop Heels con Deborah Esposito - Workshop Heels con Deborah Esposito</v>
      </c>
      <c r="T563" s="763"/>
      <c r="U563" s="763"/>
      <c r="V563" s="763">
        <f>IFERROR(__xludf.DUMMYFUNCTION("""COMPUTED_VALUE"""),1.0)</f>
        <v>1</v>
      </c>
      <c r="W563" s="763">
        <f>IFERROR(__xludf.DUMMYFUNCTION("""COMPUTED_VALUE"""),37.0)</f>
        <v>37</v>
      </c>
      <c r="X563" s="763">
        <f>IFERROR(__xludf.DUMMYFUNCTION("""COMPUTED_VALUE"""),37.0)</f>
        <v>37</v>
      </c>
      <c r="Y563" s="763"/>
      <c r="Z563" s="768" t="str">
        <f>IFERROR(__xludf.DUMMYFUNCTION("""COMPUTED_VALUE"""),"https://studio-gem.it/wp-admin/post.php?post=66104&amp;action=edit")</f>
        <v>https://studio-gem.it/wp-admin/post.php?post=66104&amp;action=edit</v>
      </c>
      <c r="AA563" s="763"/>
      <c r="AB563" s="763"/>
      <c r="AC563" s="763"/>
      <c r="AD563" s="763"/>
      <c r="AE563" s="763"/>
      <c r="AF563" s="763"/>
      <c r="AG563" s="763"/>
      <c r="AH563" s="763"/>
      <c r="AI563" s="763"/>
      <c r="AJ563" s="763"/>
      <c r="AK563" s="763"/>
      <c r="AL563" s="763"/>
      <c r="AM563" s="763"/>
      <c r="AN563" s="763"/>
      <c r="AO563" s="763"/>
      <c r="AP563" s="763"/>
      <c r="AQ563" s="763"/>
      <c r="AR563" s="763"/>
      <c r="AS563" s="763"/>
      <c r="AT563" s="763"/>
      <c r="AU563" s="763"/>
      <c r="AV563" s="763"/>
      <c r="AW563" s="763"/>
      <c r="AX563" s="763"/>
      <c r="AY563" s="763"/>
      <c r="AZ563" s="763"/>
      <c r="BA563" s="763"/>
      <c r="BB563" s="763"/>
      <c r="BC563" s="763"/>
      <c r="BD563" s="763"/>
      <c r="BE563" s="763"/>
      <c r="BF563" s="763"/>
      <c r="BG563" s="763" t="b">
        <f>IFERROR(__xludf.DUMMYFUNCTION("""COMPUTED_VALUE"""),FALSE)</f>
        <v>0</v>
      </c>
      <c r="BH563" s="763" t="b">
        <f>IFERROR(__xludf.DUMMYFUNCTION("""COMPUTED_VALUE"""),FALSE)</f>
        <v>0</v>
      </c>
      <c r="BI563" s="763" t="b">
        <f>IFERROR(__xludf.DUMMYFUNCTION("""COMPUTED_VALUE"""),FALSE)</f>
        <v>0</v>
      </c>
      <c r="BJ563" s="763" t="b">
        <f>IFERROR(__xludf.DUMMYFUNCTION("""COMPUTED_VALUE"""),FALSE)</f>
        <v>0</v>
      </c>
    </row>
    <row r="564">
      <c r="A564" s="763">
        <f>IFERROR(__xludf.DUMMYFUNCTION("""COMPUTED_VALUE"""),66105.0)</f>
        <v>66105</v>
      </c>
      <c r="B564" s="763">
        <f>IFERROR(__xludf.DUMMYFUNCTION("""COMPUTED_VALUE"""),66105.0)</f>
        <v>66105</v>
      </c>
      <c r="C564" s="763" t="str">
        <f>IFERROR(__xludf.DUMMYFUNCTION("""COMPUTED_VALUE"""),"2025-11-15 09:53:17")</f>
        <v>2025-11-15 09:53:17</v>
      </c>
      <c r="D564" s="763" t="str">
        <f>IFERROR(__xludf.DUMMYFUNCTION("""COMPUTED_VALUE"""),"failed")</f>
        <v>failed</v>
      </c>
      <c r="E564" s="763" t="str">
        <f>IFERROR(__xludf.DUMMYFUNCTION("""COMPUTED_VALUE"""),"Syria")</f>
        <v>Syria</v>
      </c>
      <c r="F564" s="763" t="str">
        <f>IFERROR(__xludf.DUMMYFUNCTION("""COMPUTED_VALUE"""),"Bianchera")</f>
        <v>Bianchera</v>
      </c>
      <c r="G564" s="763" t="str">
        <f>IFERROR(__xludf.DUMMYFUNCTION("""COMPUTED_VALUE"""),"alessianadalini@libero.it")</f>
        <v>alessianadalini@libero.it</v>
      </c>
      <c r="H564" s="763">
        <f>IFERROR(__xludf.DUMMYFUNCTION("""COMPUTED_VALUE"""),3.287525828E9)</f>
        <v>3287525828</v>
      </c>
      <c r="I564" s="763" t="str">
        <f>IFERROR(__xludf.DUMMYFUNCTION("""COMPUTED_VALUE"""),"San Giorgio Bigarello")</f>
        <v>San Giorgio Bigarello</v>
      </c>
      <c r="J564" s="763" t="str">
        <f>IFERROR(__xludf.DUMMYFUNCTION("""COMPUTED_VALUE"""),"Via Fossamana 8/d")</f>
        <v>Via Fossamana 8/d</v>
      </c>
      <c r="K564" s="763">
        <f>IFERROR(__xludf.DUMMYFUNCTION("""COMPUTED_VALUE"""),46051.0)</f>
        <v>46051</v>
      </c>
      <c r="L564" s="763" t="str">
        <f>IFERROR(__xludf.DUMMYFUNCTION("""COMPUTED_VALUE"""),"Carte di pagamento")</f>
        <v>Carte di pagamento</v>
      </c>
      <c r="M564" s="763" t="str">
        <f>IFERROR(__xludf.DUMMYFUNCTION("""COMPUTED_VALUE"""),"nura02ws")</f>
        <v>nura02ws</v>
      </c>
      <c r="N564" s="763"/>
      <c r="O564" s="763">
        <f>IFERROR(__xludf.DUMMYFUNCTION("""COMPUTED_VALUE"""),0.0)</f>
        <v>0</v>
      </c>
      <c r="P564" s="767">
        <f>IFERROR(__xludf.DUMMYFUNCTION("""COMPUTED_VALUE"""),1.4583333333333333)</f>
        <v>1.458333333</v>
      </c>
      <c r="Q564" s="763" t="str">
        <f>IFERROR(__xludf.DUMMYFUNCTION("""COMPUTED_VALUE"""),"EUR")</f>
        <v>EUR</v>
      </c>
      <c r="R564" s="763">
        <f>IFERROR(__xludf.DUMMYFUNCTION("""COMPUTED_VALUE"""),1054.0)</f>
        <v>1054</v>
      </c>
      <c r="S564" s="763" t="str">
        <f>IFERROR(__xludf.DUMMYFUNCTION("""COMPUTED_VALUE"""),"Workshop Heels con Deborah Esposito - Workshop Heels con Deborah Esposito")</f>
        <v>Workshop Heels con Deborah Esposito - Workshop Heels con Deborah Esposito</v>
      </c>
      <c r="T564" s="763"/>
      <c r="U564" s="763"/>
      <c r="V564" s="763">
        <f>IFERROR(__xludf.DUMMYFUNCTION("""COMPUTED_VALUE"""),1.0)</f>
        <v>1</v>
      </c>
      <c r="W564" s="763">
        <f>IFERROR(__xludf.DUMMYFUNCTION("""COMPUTED_VALUE"""),35.0)</f>
        <v>35</v>
      </c>
      <c r="X564" s="763">
        <f>IFERROR(__xludf.DUMMYFUNCTION("""COMPUTED_VALUE"""),35.0)</f>
        <v>35</v>
      </c>
      <c r="Y564" s="763"/>
      <c r="Z564" s="768" t="str">
        <f>IFERROR(__xludf.DUMMYFUNCTION("""COMPUTED_VALUE"""),"https://studio-gem.it/wp-admin/post.php?post=66105&amp;action=edit")</f>
        <v>https://studio-gem.it/wp-admin/post.php?post=66105&amp;action=edit</v>
      </c>
      <c r="AA564" s="763"/>
      <c r="AB564" s="763"/>
      <c r="AC564" s="763"/>
      <c r="AD564" s="763"/>
      <c r="AE564" s="763"/>
      <c r="AF564" s="763"/>
      <c r="AG564" s="763"/>
      <c r="AH564" s="763"/>
      <c r="AI564" s="763"/>
      <c r="AJ564" s="763"/>
      <c r="AK564" s="763"/>
      <c r="AL564" s="763"/>
      <c r="AM564" s="763"/>
      <c r="AN564" s="763"/>
      <c r="AO564" s="763"/>
      <c r="AP564" s="763"/>
      <c r="AQ564" s="763"/>
      <c r="AR564" s="763"/>
      <c r="AS564" s="763"/>
      <c r="AT564" s="763"/>
      <c r="AU564" s="763"/>
      <c r="AV564" s="763"/>
      <c r="AW564" s="763"/>
      <c r="AX564" s="763"/>
      <c r="AY564" s="763"/>
      <c r="AZ564" s="763"/>
      <c r="BA564" s="763"/>
      <c r="BB564" s="763"/>
      <c r="BC564" s="763"/>
      <c r="BD564" s="763"/>
      <c r="BE564" s="763"/>
      <c r="BF564" s="763"/>
      <c r="BG564" s="763" t="b">
        <f>IFERROR(__xludf.DUMMYFUNCTION("""COMPUTED_VALUE"""),FALSE)</f>
        <v>0</v>
      </c>
      <c r="BH564" s="763" t="b">
        <f>IFERROR(__xludf.DUMMYFUNCTION("""COMPUTED_VALUE"""),FALSE)</f>
        <v>0</v>
      </c>
      <c r="BI564" s="763" t="b">
        <f>IFERROR(__xludf.DUMMYFUNCTION("""COMPUTED_VALUE"""),FALSE)</f>
        <v>0</v>
      </c>
      <c r="BJ564" s="763" t="b">
        <f>IFERROR(__xludf.DUMMYFUNCTION("""COMPUTED_VALUE"""),FALSE)</f>
        <v>0</v>
      </c>
    </row>
    <row r="565">
      <c r="A565" s="763">
        <f>IFERROR(__xludf.DUMMYFUNCTION("""COMPUTED_VALUE"""),66106.0)</f>
        <v>66106</v>
      </c>
      <c r="B565" s="763">
        <f>IFERROR(__xludf.DUMMYFUNCTION("""COMPUTED_VALUE"""),66106.0)</f>
        <v>66106</v>
      </c>
      <c r="C565" s="763" t="str">
        <f>IFERROR(__xludf.DUMMYFUNCTION("""COMPUTED_VALUE"""),"2025-11-15 09:54:45")</f>
        <v>2025-11-15 09:54:45</v>
      </c>
      <c r="D565" s="763" t="str">
        <f>IFERROR(__xludf.DUMMYFUNCTION("""COMPUTED_VALUE"""),"processing")</f>
        <v>processing</v>
      </c>
      <c r="E565" s="763" t="str">
        <f>IFERROR(__xludf.DUMMYFUNCTION("""COMPUTED_VALUE"""),"Isabela")</f>
        <v>Isabela</v>
      </c>
      <c r="F565" s="763" t="str">
        <f>IFERROR(__xludf.DUMMYFUNCTION("""COMPUTED_VALUE"""),"Brasileiro")</f>
        <v>Brasileiro</v>
      </c>
      <c r="G565" s="763" t="str">
        <f>IFERROR(__xludf.DUMMYFUNCTION("""COMPUTED_VALUE"""),"mirkoisabela@gamil.com")</f>
        <v>mirkoisabela@gamil.com</v>
      </c>
      <c r="H565" s="763">
        <f>IFERROR(__xludf.DUMMYFUNCTION("""COMPUTED_VALUE"""),3.286575647E9)</f>
        <v>3286575647</v>
      </c>
      <c r="I565" s="763" t="str">
        <f>IFERROR(__xludf.DUMMYFUNCTION("""COMPUTED_VALUE"""),"Milano")</f>
        <v>Milano</v>
      </c>
      <c r="J565" s="763" t="str">
        <f>IFERROR(__xludf.DUMMYFUNCTION("""COMPUTED_VALUE"""),"Settembrini")</f>
        <v>Settembrini</v>
      </c>
      <c r="K565" s="763">
        <f>IFERROR(__xludf.DUMMYFUNCTION("""COMPUTED_VALUE"""),20124.0)</f>
        <v>20124</v>
      </c>
      <c r="L565" s="763" t="str">
        <f>IFERROR(__xludf.DUMMYFUNCTION("""COMPUTED_VALUE"""),"Carte di pagamento")</f>
        <v>Carte di pagamento</v>
      </c>
      <c r="M565" s="763" t="str">
        <f>IFERROR(__xludf.DUMMYFUNCTION("""COMPUTED_VALUE"""),"nura02ws")</f>
        <v>nura02ws</v>
      </c>
      <c r="N565" s="763" t="str">
        <f>IFERROR(__xludf.DUMMYFUNCTION("""COMPUTED_VALUE"""),"66106-1763200487")</f>
        <v>66106-1763200487</v>
      </c>
      <c r="O565" s="763">
        <f>IFERROR(__xludf.DUMMYFUNCTION("""COMPUTED_VALUE"""),0.0)</f>
        <v>0</v>
      </c>
      <c r="P565" s="767">
        <f>IFERROR(__xludf.DUMMYFUNCTION("""COMPUTED_VALUE"""),1.4583333333333333)</f>
        <v>1.458333333</v>
      </c>
      <c r="Q565" s="763" t="str">
        <f>IFERROR(__xludf.DUMMYFUNCTION("""COMPUTED_VALUE"""),"EUR")</f>
        <v>EUR</v>
      </c>
      <c r="R565" s="763">
        <f>IFERROR(__xludf.DUMMYFUNCTION("""COMPUTED_VALUE"""),1056.0)</f>
        <v>1056</v>
      </c>
      <c r="S565" s="763" t="str">
        <f>IFERROR(__xludf.DUMMYFUNCTION("""COMPUTED_VALUE"""),"Workshop Heels con Deborah Esposito - Workshop Heels con Deborah Esposito")</f>
        <v>Workshop Heels con Deborah Esposito - Workshop Heels con Deborah Esposito</v>
      </c>
      <c r="T565" s="763"/>
      <c r="U565" s="763"/>
      <c r="V565" s="763">
        <f>IFERROR(__xludf.DUMMYFUNCTION("""COMPUTED_VALUE"""),1.0)</f>
        <v>1</v>
      </c>
      <c r="W565" s="763">
        <f>IFERROR(__xludf.DUMMYFUNCTION("""COMPUTED_VALUE"""),35.0)</f>
        <v>35</v>
      </c>
      <c r="X565" s="763">
        <f>IFERROR(__xludf.DUMMYFUNCTION("""COMPUTED_VALUE"""),35.0)</f>
        <v>35</v>
      </c>
      <c r="Y565" s="763"/>
      <c r="Z565" s="768" t="str">
        <f>IFERROR(__xludf.DUMMYFUNCTION("""COMPUTED_VALUE"""),"https://studio-gem.it/wp-admin/post.php?post=66106&amp;action=edit")</f>
        <v>https://studio-gem.it/wp-admin/post.php?post=66106&amp;action=edit</v>
      </c>
      <c r="AA565" s="763"/>
      <c r="AB565" s="763"/>
      <c r="AC565" s="763"/>
      <c r="AD565" s="763"/>
      <c r="AE565" s="763"/>
      <c r="AF565" s="763"/>
      <c r="AG565" s="763"/>
      <c r="AH565" s="763"/>
      <c r="AI565" s="763"/>
      <c r="AJ565" s="763"/>
      <c r="AK565" s="763"/>
      <c r="AL565" s="763"/>
      <c r="AM565" s="763"/>
      <c r="AN565" s="763"/>
      <c r="AO565" s="763"/>
      <c r="AP565" s="763"/>
      <c r="AQ565" s="763"/>
      <c r="AR565" s="763"/>
      <c r="AS565" s="763"/>
      <c r="AT565" s="763"/>
      <c r="AU565" s="763"/>
      <c r="AV565" s="763"/>
      <c r="AW565" s="763"/>
      <c r="AX565" s="763"/>
      <c r="AY565" s="763"/>
      <c r="AZ565" s="763"/>
      <c r="BA565" s="763"/>
      <c r="BB565" s="763"/>
      <c r="BC565" s="763"/>
      <c r="BD565" s="763"/>
      <c r="BE565" s="763"/>
      <c r="BF565" s="763"/>
      <c r="BG565" s="763" t="b">
        <f>IFERROR(__xludf.DUMMYFUNCTION("""COMPUTED_VALUE"""),TRUE)</f>
        <v>1</v>
      </c>
      <c r="BH565" s="763" t="b">
        <f>IFERROR(__xludf.DUMMYFUNCTION("""COMPUTED_VALUE"""),FALSE)</f>
        <v>0</v>
      </c>
      <c r="BI565" s="763" t="b">
        <f>IFERROR(__xludf.DUMMYFUNCTION("""COMPUTED_VALUE"""),TRUE)</f>
        <v>1</v>
      </c>
      <c r="BJ565" s="763" t="b">
        <f>IFERROR(__xludf.DUMMYFUNCTION("""COMPUTED_VALUE"""),TRUE)</f>
        <v>1</v>
      </c>
    </row>
    <row r="566">
      <c r="A566" s="763">
        <f>IFERROR(__xludf.DUMMYFUNCTION("""COMPUTED_VALUE"""),66108.0)</f>
        <v>66108</v>
      </c>
      <c r="B566" s="763">
        <f>IFERROR(__xludf.DUMMYFUNCTION("""COMPUTED_VALUE"""),66108.0)</f>
        <v>66108</v>
      </c>
      <c r="C566" s="763" t="str">
        <f>IFERROR(__xludf.DUMMYFUNCTION("""COMPUTED_VALUE"""),"2025-11-15 12:35:45")</f>
        <v>2025-11-15 12:35:45</v>
      </c>
      <c r="D566" s="763" t="str">
        <f>IFERROR(__xludf.DUMMYFUNCTION("""COMPUTED_VALUE"""),"completed")</f>
        <v>completed</v>
      </c>
      <c r="E566" s="763" t="str">
        <f>IFERROR(__xludf.DUMMYFUNCTION("""COMPUTED_VALUE"""),"Anna")</f>
        <v>Anna</v>
      </c>
      <c r="F566" s="763" t="str">
        <f>IFERROR(__xludf.DUMMYFUNCTION("""COMPUTED_VALUE"""),"Soria")</f>
        <v>Soria</v>
      </c>
      <c r="G566" s="763" t="str">
        <f>IFERROR(__xludf.DUMMYFUNCTION("""COMPUTED_VALUE"""),"annafeliciavs@gmail.com")</f>
        <v>annafeliciavs@gmail.com</v>
      </c>
      <c r="H566" s="763">
        <f>IFERROR(__xludf.DUMMYFUNCTION("""COMPUTED_VALUE"""),9.178530786E9)</f>
        <v>9178530786</v>
      </c>
      <c r="I566" s="763" t="str">
        <f>IFERROR(__xludf.DUMMYFUNCTION("""COMPUTED_VALUE"""),"Milano")</f>
        <v>Milano</v>
      </c>
      <c r="J566" s="763" t="str">
        <f>IFERROR(__xludf.DUMMYFUNCTION("""COMPUTED_VALUE"""),"Corso di Porta Nuova 10")</f>
        <v>Corso di Porta Nuova 10</v>
      </c>
      <c r="K566" s="763">
        <f>IFERROR(__xludf.DUMMYFUNCTION("""COMPUTED_VALUE"""),20121.0)</f>
        <v>20121</v>
      </c>
      <c r="L566" s="763" t="str">
        <f>IFERROR(__xludf.DUMMYFUNCTION("""COMPUTED_VALUE"""),"Google Pay")</f>
        <v>Google Pay</v>
      </c>
      <c r="M566" s="763" t="str">
        <f>IFERROR(__xludf.DUMMYFUNCTION("""COMPUTED_VALUE"""),"nura02ws")</f>
        <v>nura02ws</v>
      </c>
      <c r="N566" s="763" t="str">
        <f>IFERROR(__xludf.DUMMYFUNCTION("""COMPUTED_VALUE"""),"66108-1763210147")</f>
        <v>66108-1763210147</v>
      </c>
      <c r="O566" s="763">
        <f>IFERROR(__xludf.DUMMYFUNCTION("""COMPUTED_VALUE"""),0.0)</f>
        <v>0</v>
      </c>
      <c r="P566" s="767">
        <f>IFERROR(__xludf.DUMMYFUNCTION("""COMPUTED_VALUE"""),1.25)</f>
        <v>1.25</v>
      </c>
      <c r="Q566" s="763" t="str">
        <f>IFERROR(__xludf.DUMMYFUNCTION("""COMPUTED_VALUE"""),"EUR")</f>
        <v>EUR</v>
      </c>
      <c r="R566" s="763">
        <f>IFERROR(__xludf.DUMMYFUNCTION("""COMPUTED_VALUE"""),1058.0)</f>
        <v>1058</v>
      </c>
      <c r="S566" s="763" t="str">
        <f>IFERROR(__xludf.DUMMYFUNCTION("""COMPUTED_VALUE"""),"Workshop Salsa Musicality con Nicolò De Angelis - Workshop Nicolò Salsa Musicality")</f>
        <v>Workshop Salsa Musicality con Nicolò De Angelis - Workshop Nicolò Salsa Musicality</v>
      </c>
      <c r="T566" s="763"/>
      <c r="U566" s="763"/>
      <c r="V566" s="763">
        <f>IFERROR(__xludf.DUMMYFUNCTION("""COMPUTED_VALUE"""),1.0)</f>
        <v>1</v>
      </c>
      <c r="W566" s="763">
        <f>IFERROR(__xludf.DUMMYFUNCTION("""COMPUTED_VALUE"""),30.0)</f>
        <v>30</v>
      </c>
      <c r="X566" s="763">
        <f>IFERROR(__xludf.DUMMYFUNCTION("""COMPUTED_VALUE"""),30.0)</f>
        <v>30</v>
      </c>
      <c r="Y566" s="763"/>
      <c r="Z566" s="768" t="str">
        <f>IFERROR(__xludf.DUMMYFUNCTION("""COMPUTED_VALUE"""),"https://studio-gem.it/wp-admin/post.php?post=66108&amp;action=edit")</f>
        <v>https://studio-gem.it/wp-admin/post.php?post=66108&amp;action=edit</v>
      </c>
      <c r="AA566" s="763"/>
      <c r="AB566" s="763"/>
      <c r="AC566" s="763"/>
      <c r="AD566" s="763"/>
      <c r="AE566" s="763"/>
      <c r="AF566" s="763"/>
      <c r="AG566" s="763"/>
      <c r="AH566" s="763"/>
      <c r="AI566" s="763"/>
      <c r="AJ566" s="763"/>
      <c r="AK566" s="763"/>
      <c r="AL566" s="763"/>
      <c r="AM566" s="763"/>
      <c r="AN566" s="763"/>
      <c r="AO566" s="763"/>
      <c r="AP566" s="763"/>
      <c r="AQ566" s="763"/>
      <c r="AR566" s="763"/>
      <c r="AS566" s="763"/>
      <c r="AT566" s="763"/>
      <c r="AU566" s="763"/>
      <c r="AV566" s="763"/>
      <c r="AW566" s="763"/>
      <c r="AX566" s="763"/>
      <c r="AY566" s="763"/>
      <c r="AZ566" s="763"/>
      <c r="BA566" s="763"/>
      <c r="BB566" s="763"/>
      <c r="BC566" s="763"/>
      <c r="BD566" s="763"/>
      <c r="BE566" s="763"/>
      <c r="BF566" s="763"/>
      <c r="BG566" s="763" t="b">
        <f>IFERROR(__xludf.DUMMYFUNCTION("""COMPUTED_VALUE"""),TRUE)</f>
        <v>1</v>
      </c>
      <c r="BH566" s="763" t="b">
        <f>IFERROR(__xludf.DUMMYFUNCTION("""COMPUTED_VALUE"""),FALSE)</f>
        <v>0</v>
      </c>
      <c r="BI566" s="763" t="b">
        <f>IFERROR(__xludf.DUMMYFUNCTION("""COMPUTED_VALUE"""),TRUE)</f>
        <v>1</v>
      </c>
      <c r="BJ566" s="763" t="b">
        <f>IFERROR(__xludf.DUMMYFUNCTION("""COMPUTED_VALUE"""),TRUE)</f>
        <v>1</v>
      </c>
    </row>
    <row r="567">
      <c r="A567" s="763">
        <f>IFERROR(__xludf.DUMMYFUNCTION("""COMPUTED_VALUE"""),66110.0)</f>
        <v>66110</v>
      </c>
      <c r="B567" s="763">
        <f>IFERROR(__xludf.DUMMYFUNCTION("""COMPUTED_VALUE"""),66110.0)</f>
        <v>66110</v>
      </c>
      <c r="C567" s="763" t="str">
        <f>IFERROR(__xludf.DUMMYFUNCTION("""COMPUTED_VALUE"""),"2025-11-15 13:04:04")</f>
        <v>2025-11-15 13:04:04</v>
      </c>
      <c r="D567" s="763" t="str">
        <f>IFERROR(__xludf.DUMMYFUNCTION("""COMPUTED_VALUE"""),"completed")</f>
        <v>completed</v>
      </c>
      <c r="E567" s="763" t="str">
        <f>IFERROR(__xludf.DUMMYFUNCTION("""COMPUTED_VALUE"""),"Davide")</f>
        <v>Davide</v>
      </c>
      <c r="F567" s="763" t="str">
        <f>IFERROR(__xludf.DUMMYFUNCTION("""COMPUTED_VALUE"""),"Mascaro")</f>
        <v>Mascaro</v>
      </c>
      <c r="G567" s="763" t="str">
        <f>IFERROR(__xludf.DUMMYFUNCTION("""COMPUTED_VALUE"""),"davidemascaro@gmail.com")</f>
        <v>davidemascaro@gmail.com</v>
      </c>
      <c r="H567" s="763">
        <f>IFERROR(__xludf.DUMMYFUNCTION("""COMPUTED_VALUE"""),3.388117614E9)</f>
        <v>3388117614</v>
      </c>
      <c r="I567" s="763" t="str">
        <f>IFERROR(__xludf.DUMMYFUNCTION("""COMPUTED_VALUE"""),"Milano")</f>
        <v>Milano</v>
      </c>
      <c r="J567" s="763" t="str">
        <f>IFERROR(__xludf.DUMMYFUNCTION("""COMPUTED_VALUE"""),"via Lorenzo Bartolini, 47")</f>
        <v>via Lorenzo Bartolini, 47</v>
      </c>
      <c r="K567" s="763">
        <f>IFERROR(__xludf.DUMMYFUNCTION("""COMPUTED_VALUE"""),20155.0)</f>
        <v>20155</v>
      </c>
      <c r="L567" s="763" t="str">
        <f>IFERROR(__xludf.DUMMYFUNCTION("""COMPUTED_VALUE"""),"Apple Pay")</f>
        <v>Apple Pay</v>
      </c>
      <c r="M567" s="763"/>
      <c r="N567" s="763" t="str">
        <f>IFERROR(__xludf.DUMMYFUNCTION("""COMPUTED_VALUE"""),"66110-1763211845")</f>
        <v>66110-1763211845</v>
      </c>
      <c r="O567" s="763">
        <f>IFERROR(__xludf.DUMMYFUNCTION("""COMPUTED_VALUE"""),0.0)</f>
        <v>0</v>
      </c>
      <c r="P567" s="767">
        <f>IFERROR(__xludf.DUMMYFUNCTION("""COMPUTED_VALUE"""),1.3333333333333333)</f>
        <v>1.333333333</v>
      </c>
      <c r="Q567" s="763" t="str">
        <f>IFERROR(__xludf.DUMMYFUNCTION("""COMPUTED_VALUE"""),"EUR")</f>
        <v>EUR</v>
      </c>
      <c r="R567" s="763">
        <f>IFERROR(__xludf.DUMMYFUNCTION("""COMPUTED_VALUE"""),1060.0)</f>
        <v>1060</v>
      </c>
      <c r="S567" s="763" t="str">
        <f>IFERROR(__xludf.DUMMYFUNCTION("""COMPUTED_VALUE"""),"Workshop Salsa Musicality con Nicolò De Angelis - Workshop Nicolò Salsa Musicality")</f>
        <v>Workshop Salsa Musicality con Nicolò De Angelis - Workshop Nicolò Salsa Musicality</v>
      </c>
      <c r="T567" s="763"/>
      <c r="U567" s="763"/>
      <c r="V567" s="763">
        <f>IFERROR(__xludf.DUMMYFUNCTION("""COMPUTED_VALUE"""),1.0)</f>
        <v>1</v>
      </c>
      <c r="W567" s="763">
        <f>IFERROR(__xludf.DUMMYFUNCTION("""COMPUTED_VALUE"""),32.0)</f>
        <v>32</v>
      </c>
      <c r="X567" s="763">
        <f>IFERROR(__xludf.DUMMYFUNCTION("""COMPUTED_VALUE"""),32.0)</f>
        <v>32</v>
      </c>
      <c r="Y567" s="763"/>
      <c r="Z567" s="768" t="str">
        <f>IFERROR(__xludf.DUMMYFUNCTION("""COMPUTED_VALUE"""),"https://studio-gem.it/wp-admin/post.php?post=66110&amp;action=edit")</f>
        <v>https://studio-gem.it/wp-admin/post.php?post=66110&amp;action=edit</v>
      </c>
      <c r="AA567" s="763"/>
      <c r="AB567" s="763"/>
      <c r="AC567" s="763"/>
      <c r="AD567" s="763"/>
      <c r="AE567" s="763"/>
      <c r="AF567" s="763"/>
      <c r="AG567" s="763"/>
      <c r="AH567" s="763"/>
      <c r="AI567" s="763"/>
      <c r="AJ567" s="763"/>
      <c r="AK567" s="763"/>
      <c r="AL567" s="763"/>
      <c r="AM567" s="763"/>
      <c r="AN567" s="763"/>
      <c r="AO567" s="763"/>
      <c r="AP567" s="763"/>
      <c r="AQ567" s="763"/>
      <c r="AR567" s="763"/>
      <c r="AS567" s="763"/>
      <c r="AT567" s="763"/>
      <c r="AU567" s="763"/>
      <c r="AV567" s="763"/>
      <c r="AW567" s="763"/>
      <c r="AX567" s="763"/>
      <c r="AY567" s="763"/>
      <c r="AZ567" s="763"/>
      <c r="BA567" s="763"/>
      <c r="BB567" s="763"/>
      <c r="BC567" s="763"/>
      <c r="BD567" s="763"/>
      <c r="BE567" s="763"/>
      <c r="BF567" s="763"/>
      <c r="BG567" s="763" t="b">
        <f>IFERROR(__xludf.DUMMYFUNCTION("""COMPUTED_VALUE"""),TRUE)</f>
        <v>1</v>
      </c>
      <c r="BH567" s="763" t="b">
        <f>IFERROR(__xludf.DUMMYFUNCTION("""COMPUTED_VALUE"""),FALSE)</f>
        <v>0</v>
      </c>
      <c r="BI567" s="763" t="b">
        <f>IFERROR(__xludf.DUMMYFUNCTION("""COMPUTED_VALUE"""),TRUE)</f>
        <v>1</v>
      </c>
      <c r="BJ567" s="763" t="b">
        <f>IFERROR(__xludf.DUMMYFUNCTION("""COMPUTED_VALUE"""),TRUE)</f>
        <v>1</v>
      </c>
    </row>
    <row r="568">
      <c r="A568" s="763">
        <f>IFERROR(__xludf.DUMMYFUNCTION("""COMPUTED_VALUE"""),66112.0)</f>
        <v>66112</v>
      </c>
      <c r="B568" s="763">
        <f>IFERROR(__xludf.DUMMYFUNCTION("""COMPUTED_VALUE"""),66112.0)</f>
        <v>66112</v>
      </c>
      <c r="C568" s="763" t="str">
        <f>IFERROR(__xludf.DUMMYFUNCTION("""COMPUTED_VALUE"""),"2025-11-15 15:40:29")</f>
        <v>2025-11-15 15:40:29</v>
      </c>
      <c r="D568" s="763" t="str">
        <f>IFERROR(__xludf.DUMMYFUNCTION("""COMPUTED_VALUE"""),"completed")</f>
        <v>completed</v>
      </c>
      <c r="E568" s="763" t="str">
        <f>IFERROR(__xludf.DUMMYFUNCTION("""COMPUTED_VALUE"""),"Agata")</f>
        <v>Agata</v>
      </c>
      <c r="F568" s="763" t="str">
        <f>IFERROR(__xludf.DUMMYFUNCTION("""COMPUTED_VALUE"""),"Solito")</f>
        <v>Solito</v>
      </c>
      <c r="G568" s="763" t="str">
        <f>IFERROR(__xludf.DUMMYFUNCTION("""COMPUTED_VALUE"""),"agata.solito@outlook.it")</f>
        <v>agata.solito@outlook.it</v>
      </c>
      <c r="H568" s="763">
        <f>IFERROR(__xludf.DUMMYFUNCTION("""COMPUTED_VALUE"""),3.333439142E9)</f>
        <v>3333439142</v>
      </c>
      <c r="I568" s="763" t="str">
        <f>IFERROR(__xludf.DUMMYFUNCTION("""COMPUTED_VALUE"""),"Assago")</f>
        <v>Assago</v>
      </c>
      <c r="J568" s="763" t="str">
        <f>IFERROR(__xludf.DUMMYFUNCTION("""COMPUTED_VALUE"""),"Via dei Tigli 6")</f>
        <v>Via dei Tigli 6</v>
      </c>
      <c r="K568" s="763">
        <f>IFERROR(__xludf.DUMMYFUNCTION("""COMPUTED_VALUE"""),20057.0)</f>
        <v>20057</v>
      </c>
      <c r="L568" s="763" t="str">
        <f>IFERROR(__xludf.DUMMYFUNCTION("""COMPUTED_VALUE"""),"Carte di pagamento")</f>
        <v>Carte di pagamento</v>
      </c>
      <c r="M568" s="763" t="str">
        <f>IFERROR(__xludf.DUMMYFUNCTION("""COMPUTED_VALUE"""),"santo05natale")</f>
        <v>santo05natale</v>
      </c>
      <c r="N568" s="763" t="str">
        <f>IFERROR(__xludf.DUMMYFUNCTION("""COMPUTED_VALUE"""),"66112-1763221231")</f>
        <v>66112-1763221231</v>
      </c>
      <c r="O568" s="763">
        <f>IFERROR(__xludf.DUMMYFUNCTION("""COMPUTED_VALUE"""),0.0)</f>
        <v>0</v>
      </c>
      <c r="P568" s="767">
        <f>IFERROR(__xludf.DUMMYFUNCTION("""COMPUTED_VALUE"""),2.0833333333333335)</f>
        <v>2.083333333</v>
      </c>
      <c r="Q568" s="763" t="str">
        <f>IFERROR(__xludf.DUMMYFUNCTION("""COMPUTED_VALUE"""),"EUR")</f>
        <v>EUR</v>
      </c>
      <c r="R568" s="763">
        <f>IFERROR(__xludf.DUMMYFUNCTION("""COMPUTED_VALUE"""),1061.0)</f>
        <v>1061</v>
      </c>
      <c r="S568" s="763" t="str">
        <f>IFERROR(__xludf.DUMMYFUNCTION("""COMPUTED_VALUE"""),"Festa di Natale 2025 - Festa di natale 2025 lezioni + pizza + serata 55€")</f>
        <v>Festa di Natale 2025 - Festa di natale 2025 lezioni + pizza + serata 55€</v>
      </c>
      <c r="T568" s="763"/>
      <c r="U568" s="763"/>
      <c r="V568" s="763">
        <f>IFERROR(__xludf.DUMMYFUNCTION("""COMPUTED_VALUE"""),1.0)</f>
        <v>1</v>
      </c>
      <c r="W568" s="763">
        <f>IFERROR(__xludf.DUMMYFUNCTION("""COMPUTED_VALUE"""),50.0)</f>
        <v>50</v>
      </c>
      <c r="X568" s="763">
        <f>IFERROR(__xludf.DUMMYFUNCTION("""COMPUTED_VALUE"""),50.0)</f>
        <v>50</v>
      </c>
      <c r="Y568" s="763"/>
      <c r="Z568" s="768" t="str">
        <f>IFERROR(__xludf.DUMMYFUNCTION("""COMPUTED_VALUE"""),"https://studio-gem.it/wp-admin/post.php?post=66112&amp;action=edit")</f>
        <v>https://studio-gem.it/wp-admin/post.php?post=66112&amp;action=edit</v>
      </c>
      <c r="AA568" s="763"/>
      <c r="AB568" s="763"/>
      <c r="AC568" s="763"/>
      <c r="AD568" s="763"/>
      <c r="AE568" s="763"/>
      <c r="AF568" s="763"/>
      <c r="AG568" s="763"/>
      <c r="AH568" s="763"/>
      <c r="AI568" s="763"/>
      <c r="AJ568" s="763"/>
      <c r="AK568" s="763"/>
      <c r="AL568" s="763"/>
      <c r="AM568" s="763"/>
      <c r="AN568" s="763"/>
      <c r="AO568" s="763"/>
      <c r="AP568" s="763"/>
      <c r="AQ568" s="763"/>
      <c r="AR568" s="763"/>
      <c r="AS568" s="763"/>
      <c r="AT568" s="763"/>
      <c r="AU568" s="763"/>
      <c r="AV568" s="763"/>
      <c r="AW568" s="763"/>
      <c r="AX568" s="763"/>
      <c r="AY568" s="763"/>
      <c r="AZ568" s="763"/>
      <c r="BA568" s="763"/>
      <c r="BB568" s="763"/>
      <c r="BC568" s="763"/>
      <c r="BD568" s="763"/>
      <c r="BE568" s="763"/>
      <c r="BF568" s="763"/>
      <c r="BG568" s="763" t="b">
        <f>IFERROR(__xludf.DUMMYFUNCTION("""COMPUTED_VALUE"""),TRUE)</f>
        <v>1</v>
      </c>
      <c r="BH568" s="763" t="b">
        <f>IFERROR(__xludf.DUMMYFUNCTION("""COMPUTED_VALUE"""),FALSE)</f>
        <v>0</v>
      </c>
      <c r="BI568" s="763" t="b">
        <f>IFERROR(__xludf.DUMMYFUNCTION("""COMPUTED_VALUE"""),TRUE)</f>
        <v>1</v>
      </c>
      <c r="BJ568" s="763" t="b">
        <f>IFERROR(__xludf.DUMMYFUNCTION("""COMPUTED_VALUE"""),TRUE)</f>
        <v>1</v>
      </c>
    </row>
    <row r="569">
      <c r="A569" s="763">
        <f>IFERROR(__xludf.DUMMYFUNCTION("""COMPUTED_VALUE"""),66114.0)</f>
        <v>66114</v>
      </c>
      <c r="B569" s="763">
        <f>IFERROR(__xludf.DUMMYFUNCTION("""COMPUTED_VALUE"""),66114.0)</f>
        <v>66114</v>
      </c>
      <c r="C569" s="763" t="str">
        <f>IFERROR(__xludf.DUMMYFUNCTION("""COMPUTED_VALUE"""),"2025-11-15 17:54:28")</f>
        <v>2025-11-15 17:54:28</v>
      </c>
      <c r="D569" s="763" t="str">
        <f>IFERROR(__xludf.DUMMYFUNCTION("""COMPUTED_VALUE"""),"completed")</f>
        <v>completed</v>
      </c>
      <c r="E569" s="763" t="str">
        <f>IFERROR(__xludf.DUMMYFUNCTION("""COMPUTED_VALUE"""),"Noris")</f>
        <v>Noris</v>
      </c>
      <c r="F569" s="763" t="str">
        <f>IFERROR(__xludf.DUMMYFUNCTION("""COMPUTED_VALUE"""),"Damiani")</f>
        <v>Damiani</v>
      </c>
      <c r="G569" s="763" t="str">
        <f>IFERROR(__xludf.DUMMYFUNCTION("""COMPUTED_VALUE"""),"kisslyjoy@gmail.com")</f>
        <v>kisslyjoy@gmail.com</v>
      </c>
      <c r="H569" s="763">
        <f>IFERROR(__xludf.DUMMYFUNCTION("""COMPUTED_VALUE"""),3.756680897E9)</f>
        <v>3756680897</v>
      </c>
      <c r="I569" s="763" t="str">
        <f>IFERROR(__xludf.DUMMYFUNCTION("""COMPUTED_VALUE"""),"Milano")</f>
        <v>Milano</v>
      </c>
      <c r="J569" s="763" t="str">
        <f>IFERROR(__xludf.DUMMYFUNCTION("""COMPUTED_VALUE"""),"Forze Armate 50")</f>
        <v>Forze Armate 50</v>
      </c>
      <c r="K569" s="763">
        <f>IFERROR(__xludf.DUMMYFUNCTION("""COMPUTED_VALUE"""),20147.0)</f>
        <v>20147</v>
      </c>
      <c r="L569" s="763" t="str">
        <f>IFERROR(__xludf.DUMMYFUNCTION("""COMPUTED_VALUE"""),"Apple Pay")</f>
        <v>Apple Pay</v>
      </c>
      <c r="M569" s="763"/>
      <c r="N569" s="763" t="str">
        <f>IFERROR(__xludf.DUMMYFUNCTION("""COMPUTED_VALUE"""),"66114-1763229269")</f>
        <v>66114-1763229269</v>
      </c>
      <c r="O569" s="763">
        <f>IFERROR(__xludf.DUMMYFUNCTION("""COMPUTED_VALUE"""),0.0)</f>
        <v>0</v>
      </c>
      <c r="P569" s="767">
        <f>IFERROR(__xludf.DUMMYFUNCTION("""COMPUTED_VALUE"""),1.5416666666666667)</f>
        <v>1.541666667</v>
      </c>
      <c r="Q569" s="763" t="str">
        <f>IFERROR(__xludf.DUMMYFUNCTION("""COMPUTED_VALUE"""),"EUR")</f>
        <v>EUR</v>
      </c>
      <c r="R569" s="763">
        <f>IFERROR(__xludf.DUMMYFUNCTION("""COMPUTED_VALUE"""),1063.0)</f>
        <v>1063</v>
      </c>
      <c r="S569" s="763" t="str">
        <f>IFERROR(__xludf.DUMMYFUNCTION("""COMPUTED_VALUE"""),"Workshop Heels con Deborah Esposito - Workshop Heels con Deborah Esposito")</f>
        <v>Workshop Heels con Deborah Esposito - Workshop Heels con Deborah Esposito</v>
      </c>
      <c r="T569" s="763"/>
      <c r="U569" s="763"/>
      <c r="V569" s="763">
        <f>IFERROR(__xludf.DUMMYFUNCTION("""COMPUTED_VALUE"""),1.0)</f>
        <v>1</v>
      </c>
      <c r="W569" s="763">
        <f>IFERROR(__xludf.DUMMYFUNCTION("""COMPUTED_VALUE"""),37.0)</f>
        <v>37</v>
      </c>
      <c r="X569" s="763">
        <f>IFERROR(__xludf.DUMMYFUNCTION("""COMPUTED_VALUE"""),37.0)</f>
        <v>37</v>
      </c>
      <c r="Y569" s="763"/>
      <c r="Z569" s="768" t="str">
        <f>IFERROR(__xludf.DUMMYFUNCTION("""COMPUTED_VALUE"""),"https://studio-gem.it/wp-admin/post.php?post=66114&amp;action=edit")</f>
        <v>https://studio-gem.it/wp-admin/post.php?post=66114&amp;action=edit</v>
      </c>
      <c r="AA569" s="763"/>
      <c r="AB569" s="763"/>
      <c r="AC569" s="763"/>
      <c r="AD569" s="763"/>
      <c r="AE569" s="763"/>
      <c r="AF569" s="763"/>
      <c r="AG569" s="763"/>
      <c r="AH569" s="763"/>
      <c r="AI569" s="763"/>
      <c r="AJ569" s="763"/>
      <c r="AK569" s="763"/>
      <c r="AL569" s="763"/>
      <c r="AM569" s="763"/>
      <c r="AN569" s="763"/>
      <c r="AO569" s="763"/>
      <c r="AP569" s="763"/>
      <c r="AQ569" s="763"/>
      <c r="AR569" s="763"/>
      <c r="AS569" s="763"/>
      <c r="AT569" s="763"/>
      <c r="AU569" s="763"/>
      <c r="AV569" s="763"/>
      <c r="AW569" s="763"/>
      <c r="AX569" s="763"/>
      <c r="AY569" s="763"/>
      <c r="AZ569" s="763"/>
      <c r="BA569" s="763"/>
      <c r="BB569" s="763"/>
      <c r="BC569" s="763"/>
      <c r="BD569" s="763"/>
      <c r="BE569" s="763"/>
      <c r="BF569" s="763"/>
      <c r="BG569" s="763" t="b">
        <f>IFERROR(__xludf.DUMMYFUNCTION("""COMPUTED_VALUE"""),TRUE)</f>
        <v>1</v>
      </c>
      <c r="BH569" s="763" t="b">
        <f>IFERROR(__xludf.DUMMYFUNCTION("""COMPUTED_VALUE"""),FALSE)</f>
        <v>0</v>
      </c>
      <c r="BI569" s="763" t="b">
        <f>IFERROR(__xludf.DUMMYFUNCTION("""COMPUTED_VALUE"""),TRUE)</f>
        <v>1</v>
      </c>
      <c r="BJ569" s="763" t="b">
        <f>IFERROR(__xludf.DUMMYFUNCTION("""COMPUTED_VALUE"""),TRUE)</f>
        <v>1</v>
      </c>
    </row>
    <row r="570">
      <c r="A570" s="763">
        <f>IFERROR(__xludf.DUMMYFUNCTION("""COMPUTED_VALUE"""),66116.0)</f>
        <v>66116</v>
      </c>
      <c r="B570" s="763">
        <f>IFERROR(__xludf.DUMMYFUNCTION("""COMPUTED_VALUE"""),66116.0)</f>
        <v>66116</v>
      </c>
      <c r="C570" s="763" t="str">
        <f>IFERROR(__xludf.DUMMYFUNCTION("""COMPUTED_VALUE"""),"2025-11-15 18:20:55")</f>
        <v>2025-11-15 18:20:55</v>
      </c>
      <c r="D570" s="763" t="str">
        <f>IFERROR(__xludf.DUMMYFUNCTION("""COMPUTED_VALUE"""),"processing")</f>
        <v>processing</v>
      </c>
      <c r="E570" s="763" t="str">
        <f>IFERROR(__xludf.DUMMYFUNCTION("""COMPUTED_VALUE"""),"Martina")</f>
        <v>Martina</v>
      </c>
      <c r="F570" s="763" t="str">
        <f>IFERROR(__xludf.DUMMYFUNCTION("""COMPUTED_VALUE"""),"Rosi")</f>
        <v>Rosi</v>
      </c>
      <c r="G570" s="763" t="str">
        <f>IFERROR(__xludf.DUMMYFUNCTION("""COMPUTED_VALUE"""),"rosi.martina.91@gmail.com")</f>
        <v>rosi.martina.91@gmail.com</v>
      </c>
      <c r="H570" s="763">
        <f>IFERROR(__xludf.DUMMYFUNCTION("""COMPUTED_VALUE"""),3.401516452E9)</f>
        <v>3401516452</v>
      </c>
      <c r="I570" s="763" t="str">
        <f>IFERROR(__xludf.DUMMYFUNCTION("""COMPUTED_VALUE"""),"Milano")</f>
        <v>Milano</v>
      </c>
      <c r="J570" s="763" t="str">
        <f>IFERROR(__xludf.DUMMYFUNCTION("""COMPUTED_VALUE"""),"Via Mariotto Albertinelli 2")</f>
        <v>Via Mariotto Albertinelli 2</v>
      </c>
      <c r="K570" s="763">
        <f>IFERROR(__xludf.DUMMYFUNCTION("""COMPUTED_VALUE"""),20148.0)</f>
        <v>20148</v>
      </c>
      <c r="L570" s="763" t="str">
        <f>IFERROR(__xludf.DUMMYFUNCTION("""COMPUTED_VALUE"""),"Carte di pagamento")</f>
        <v>Carte di pagamento</v>
      </c>
      <c r="M570" s="763" t="str">
        <f>IFERROR(__xludf.DUMMYFUNCTION("""COMPUTED_VALUE"""),"estefany02ws")</f>
        <v>estefany02ws</v>
      </c>
      <c r="N570" s="763" t="str">
        <f>IFERROR(__xludf.DUMMYFUNCTION("""COMPUTED_VALUE"""),"66116-1763230856")</f>
        <v>66116-1763230856</v>
      </c>
      <c r="O570" s="763">
        <f>IFERROR(__xludf.DUMMYFUNCTION("""COMPUTED_VALUE"""),0.0)</f>
        <v>0</v>
      </c>
      <c r="P570" s="767">
        <f>IFERROR(__xludf.DUMMYFUNCTION("""COMPUTED_VALUE"""),1.4583333333333333)</f>
        <v>1.458333333</v>
      </c>
      <c r="Q570" s="763" t="str">
        <f>IFERROR(__xludf.DUMMYFUNCTION("""COMPUTED_VALUE"""),"EUR")</f>
        <v>EUR</v>
      </c>
      <c r="R570" s="763">
        <f>IFERROR(__xludf.DUMMYFUNCTION("""COMPUTED_VALUE"""),1064.0)</f>
        <v>1064</v>
      </c>
      <c r="S570" s="763" t="str">
        <f>IFERROR(__xludf.DUMMYFUNCTION("""COMPUTED_VALUE"""),"Workshop Heels con Deborah Esposito - Workshop Heels con Deborah Esposito")</f>
        <v>Workshop Heels con Deborah Esposito - Workshop Heels con Deborah Esposito</v>
      </c>
      <c r="T570" s="763"/>
      <c r="U570" s="763"/>
      <c r="V570" s="763">
        <f>IFERROR(__xludf.DUMMYFUNCTION("""COMPUTED_VALUE"""),1.0)</f>
        <v>1</v>
      </c>
      <c r="W570" s="763">
        <f>IFERROR(__xludf.DUMMYFUNCTION("""COMPUTED_VALUE"""),35.0)</f>
        <v>35</v>
      </c>
      <c r="X570" s="763">
        <f>IFERROR(__xludf.DUMMYFUNCTION("""COMPUTED_VALUE"""),35.0)</f>
        <v>35</v>
      </c>
      <c r="Y570" s="763"/>
      <c r="Z570" s="768" t="str">
        <f>IFERROR(__xludf.DUMMYFUNCTION("""COMPUTED_VALUE"""),"https://studio-gem.it/wp-admin/post.php?post=66116&amp;action=edit")</f>
        <v>https://studio-gem.it/wp-admin/post.php?post=66116&amp;action=edit</v>
      </c>
      <c r="AA570" s="763"/>
      <c r="AB570" s="763"/>
      <c r="AC570" s="763"/>
      <c r="AD570" s="763"/>
      <c r="AE570" s="763"/>
      <c r="AF570" s="763"/>
      <c r="AG570" s="763"/>
      <c r="AH570" s="763"/>
      <c r="AI570" s="763"/>
      <c r="AJ570" s="763"/>
      <c r="AK570" s="763"/>
      <c r="AL570" s="763"/>
      <c r="AM570" s="763"/>
      <c r="AN570" s="763"/>
      <c r="AO570" s="763"/>
      <c r="AP570" s="763"/>
      <c r="AQ570" s="763"/>
      <c r="AR570" s="763"/>
      <c r="AS570" s="763"/>
      <c r="AT570" s="763"/>
      <c r="AU570" s="763"/>
      <c r="AV570" s="763"/>
      <c r="AW570" s="763"/>
      <c r="AX570" s="763"/>
      <c r="AY570" s="763"/>
      <c r="AZ570" s="763"/>
      <c r="BA570" s="763"/>
      <c r="BB570" s="763"/>
      <c r="BC570" s="763"/>
      <c r="BD570" s="763"/>
      <c r="BE570" s="763"/>
      <c r="BF570" s="763"/>
      <c r="BG570" s="763" t="b">
        <f>IFERROR(__xludf.DUMMYFUNCTION("""COMPUTED_VALUE"""),TRUE)</f>
        <v>1</v>
      </c>
      <c r="BH570" s="763" t="b">
        <f>IFERROR(__xludf.DUMMYFUNCTION("""COMPUTED_VALUE"""),FALSE)</f>
        <v>0</v>
      </c>
      <c r="BI570" s="763" t="b">
        <f>IFERROR(__xludf.DUMMYFUNCTION("""COMPUTED_VALUE"""),TRUE)</f>
        <v>1</v>
      </c>
      <c r="BJ570" s="763" t="b">
        <f>IFERROR(__xludf.DUMMYFUNCTION("""COMPUTED_VALUE"""),TRUE)</f>
        <v>1</v>
      </c>
    </row>
    <row r="571">
      <c r="A571" s="763">
        <f>IFERROR(__xludf.DUMMYFUNCTION("""COMPUTED_VALUE"""),66117.0)</f>
        <v>66117</v>
      </c>
      <c r="B571" s="763">
        <f>IFERROR(__xludf.DUMMYFUNCTION("""COMPUTED_VALUE"""),66117.0)</f>
        <v>66117</v>
      </c>
      <c r="C571" s="763" t="str">
        <f>IFERROR(__xludf.DUMMYFUNCTION("""COMPUTED_VALUE"""),"2025-11-15 18:41:47")</f>
        <v>2025-11-15 18:41:47</v>
      </c>
      <c r="D571" s="763" t="str">
        <f>IFERROR(__xludf.DUMMYFUNCTION("""COMPUTED_VALUE"""),"failed")</f>
        <v>failed</v>
      </c>
      <c r="E571" s="763" t="str">
        <f>IFERROR(__xludf.DUMMYFUNCTION("""COMPUTED_VALUE"""),"Ilaria")</f>
        <v>Ilaria</v>
      </c>
      <c r="F571" s="763" t="str">
        <f>IFERROR(__xludf.DUMMYFUNCTION("""COMPUTED_VALUE"""),"Uras")</f>
        <v>Uras</v>
      </c>
      <c r="G571" s="763" t="str">
        <f>IFERROR(__xludf.DUMMYFUNCTION("""COMPUTED_VALUE"""),"ilariauras00@gmail.com")</f>
        <v>ilariauras00@gmail.com</v>
      </c>
      <c r="H571" s="763">
        <f>IFERROR(__xludf.DUMMYFUNCTION("""COMPUTED_VALUE"""),3.421950001E9)</f>
        <v>3421950001</v>
      </c>
      <c r="I571" s="763" t="str">
        <f>IFERROR(__xludf.DUMMYFUNCTION("""COMPUTED_VALUE"""),"Milano")</f>
        <v>Milano</v>
      </c>
      <c r="J571" s="763" t="str">
        <f>IFERROR(__xludf.DUMMYFUNCTION("""COMPUTED_VALUE"""),"Corso Italia 36")</f>
        <v>Corso Italia 36</v>
      </c>
      <c r="K571" s="763">
        <f>IFERROR(__xludf.DUMMYFUNCTION("""COMPUTED_VALUE"""),20122.0)</f>
        <v>20122</v>
      </c>
      <c r="L571" s="763" t="str">
        <f>IFERROR(__xludf.DUMMYFUNCTION("""COMPUTED_VALUE"""),"Google Pay")</f>
        <v>Google Pay</v>
      </c>
      <c r="M571" s="763" t="str">
        <f>IFERROR(__xludf.DUMMYFUNCTION("""COMPUTED_VALUE"""),"santo05natale")</f>
        <v>santo05natale</v>
      </c>
      <c r="N571" s="763"/>
      <c r="O571" s="763">
        <f>IFERROR(__xludf.DUMMYFUNCTION("""COMPUTED_VALUE"""),0.0)</f>
        <v>0</v>
      </c>
      <c r="P571" s="767">
        <f>IFERROR(__xludf.DUMMYFUNCTION("""COMPUTED_VALUE"""),2.0833333333333335)</f>
        <v>2.083333333</v>
      </c>
      <c r="Q571" s="763" t="str">
        <f>IFERROR(__xludf.DUMMYFUNCTION("""COMPUTED_VALUE"""),"EUR")</f>
        <v>EUR</v>
      </c>
      <c r="R571" s="763">
        <f>IFERROR(__xludf.DUMMYFUNCTION("""COMPUTED_VALUE"""),1066.0)</f>
        <v>1066</v>
      </c>
      <c r="S571" s="763" t="str">
        <f>IFERROR(__xludf.DUMMYFUNCTION("""COMPUTED_VALUE"""),"Festa di Natale 2025 - Festa di natale 2025 lezioni + pizza + serata 55€")</f>
        <v>Festa di Natale 2025 - Festa di natale 2025 lezioni + pizza + serata 55€</v>
      </c>
      <c r="T571" s="763"/>
      <c r="U571" s="763"/>
      <c r="V571" s="763">
        <f>IFERROR(__xludf.DUMMYFUNCTION("""COMPUTED_VALUE"""),1.0)</f>
        <v>1</v>
      </c>
      <c r="W571" s="763">
        <f>IFERROR(__xludf.DUMMYFUNCTION("""COMPUTED_VALUE"""),50.0)</f>
        <v>50</v>
      </c>
      <c r="X571" s="763">
        <f>IFERROR(__xludf.DUMMYFUNCTION("""COMPUTED_VALUE"""),50.0)</f>
        <v>50</v>
      </c>
      <c r="Y571" s="763"/>
      <c r="Z571" s="768" t="str">
        <f>IFERROR(__xludf.DUMMYFUNCTION("""COMPUTED_VALUE"""),"https://studio-gem.it/wp-admin/post.php?post=66117&amp;action=edit")</f>
        <v>https://studio-gem.it/wp-admin/post.php?post=66117&amp;action=edit</v>
      </c>
      <c r="AA571" s="763"/>
      <c r="AB571" s="763"/>
      <c r="AC571" s="763"/>
      <c r="AD571" s="763"/>
      <c r="AE571" s="763"/>
      <c r="AF571" s="763"/>
      <c r="AG571" s="763"/>
      <c r="AH571" s="763"/>
      <c r="AI571" s="763"/>
      <c r="AJ571" s="763"/>
      <c r="AK571" s="763"/>
      <c r="AL571" s="763"/>
      <c r="AM571" s="763"/>
      <c r="AN571" s="763"/>
      <c r="AO571" s="763"/>
      <c r="AP571" s="763"/>
      <c r="AQ571" s="763"/>
      <c r="AR571" s="763"/>
      <c r="AS571" s="763"/>
      <c r="AT571" s="763"/>
      <c r="AU571" s="763"/>
      <c r="AV571" s="763"/>
      <c r="AW571" s="763"/>
      <c r="AX571" s="763"/>
      <c r="AY571" s="763"/>
      <c r="AZ571" s="763"/>
      <c r="BA571" s="763"/>
      <c r="BB571" s="763"/>
      <c r="BC571" s="763"/>
      <c r="BD571" s="763"/>
      <c r="BE571" s="763"/>
      <c r="BF571" s="763"/>
      <c r="BG571" s="763" t="b">
        <f>IFERROR(__xludf.DUMMYFUNCTION("""COMPUTED_VALUE"""),FALSE)</f>
        <v>0</v>
      </c>
      <c r="BH571" s="763" t="b">
        <f>IFERROR(__xludf.DUMMYFUNCTION("""COMPUTED_VALUE"""),FALSE)</f>
        <v>0</v>
      </c>
      <c r="BI571" s="763" t="b">
        <f>IFERROR(__xludf.DUMMYFUNCTION("""COMPUTED_VALUE"""),FALSE)</f>
        <v>0</v>
      </c>
      <c r="BJ571" s="763" t="b">
        <f>IFERROR(__xludf.DUMMYFUNCTION("""COMPUTED_VALUE"""),FALSE)</f>
        <v>0</v>
      </c>
    </row>
    <row r="572">
      <c r="A572" s="763">
        <f>IFERROR(__xludf.DUMMYFUNCTION("""COMPUTED_VALUE"""),66118.0)</f>
        <v>66118</v>
      </c>
      <c r="B572" s="763">
        <f>IFERROR(__xludf.DUMMYFUNCTION("""COMPUTED_VALUE"""),66118.0)</f>
        <v>66118</v>
      </c>
      <c r="C572" s="763" t="str">
        <f>IFERROR(__xludf.DUMMYFUNCTION("""COMPUTED_VALUE"""),"2025-11-15 18:45:14")</f>
        <v>2025-11-15 18:45:14</v>
      </c>
      <c r="D572" s="763" t="str">
        <f>IFERROR(__xludf.DUMMYFUNCTION("""COMPUTED_VALUE"""),"pending")</f>
        <v>pending</v>
      </c>
      <c r="E572" s="763" t="str">
        <f>IFERROR(__xludf.DUMMYFUNCTION("""COMPUTED_VALUE"""),"Ilaria")</f>
        <v>Ilaria</v>
      </c>
      <c r="F572" s="763" t="str">
        <f>IFERROR(__xludf.DUMMYFUNCTION("""COMPUTED_VALUE"""),"Uras")</f>
        <v>Uras</v>
      </c>
      <c r="G572" s="763" t="str">
        <f>IFERROR(__xludf.DUMMYFUNCTION("""COMPUTED_VALUE"""),"ilariauras00@gmail.com")</f>
        <v>ilariauras00@gmail.com</v>
      </c>
      <c r="H572" s="763">
        <f>IFERROR(__xludf.DUMMYFUNCTION("""COMPUTED_VALUE"""),3.421950001E9)</f>
        <v>3421950001</v>
      </c>
      <c r="I572" s="763" t="str">
        <f>IFERROR(__xludf.DUMMYFUNCTION("""COMPUTED_VALUE"""),"Milano")</f>
        <v>Milano</v>
      </c>
      <c r="J572" s="763" t="str">
        <f>IFERROR(__xludf.DUMMYFUNCTION("""COMPUTED_VALUE"""),"Corso Italia, 36")</f>
        <v>Corso Italia, 36</v>
      </c>
      <c r="K572" s="763">
        <f>IFERROR(__xludf.DUMMYFUNCTION("""COMPUTED_VALUE"""),20122.0)</f>
        <v>20122</v>
      </c>
      <c r="L572" s="763" t="str">
        <f>IFERROR(__xludf.DUMMYFUNCTION("""COMPUTED_VALUE"""),"Carte di pagamento")</f>
        <v>Carte di pagamento</v>
      </c>
      <c r="M572" s="763"/>
      <c r="N572" s="763"/>
      <c r="O572" s="763">
        <f>IFERROR(__xludf.DUMMYFUNCTION("""COMPUTED_VALUE"""),0.0)</f>
        <v>0</v>
      </c>
      <c r="P572" s="767">
        <f>IFERROR(__xludf.DUMMYFUNCTION("""COMPUTED_VALUE"""),2.2916666666666665)</f>
        <v>2.291666667</v>
      </c>
      <c r="Q572" s="763" t="str">
        <f>IFERROR(__xludf.DUMMYFUNCTION("""COMPUTED_VALUE"""),"EUR")</f>
        <v>EUR</v>
      </c>
      <c r="R572" s="763">
        <f>IFERROR(__xludf.DUMMYFUNCTION("""COMPUTED_VALUE"""),1068.0)</f>
        <v>1068</v>
      </c>
      <c r="S572" s="763" t="str">
        <f>IFERROR(__xludf.DUMMYFUNCTION("""COMPUTED_VALUE"""),"Festa di Natale 2025 - Festa di natale 2025 lezioni + pizza + serata 55€")</f>
        <v>Festa di Natale 2025 - Festa di natale 2025 lezioni + pizza + serata 55€</v>
      </c>
      <c r="T572" s="763"/>
      <c r="U572" s="763"/>
      <c r="V572" s="763">
        <f>IFERROR(__xludf.DUMMYFUNCTION("""COMPUTED_VALUE"""),1.0)</f>
        <v>1</v>
      </c>
      <c r="W572" s="763">
        <f>IFERROR(__xludf.DUMMYFUNCTION("""COMPUTED_VALUE"""),55.0)</f>
        <v>55</v>
      </c>
      <c r="X572" s="763">
        <f>IFERROR(__xludf.DUMMYFUNCTION("""COMPUTED_VALUE"""),55.0)</f>
        <v>55</v>
      </c>
      <c r="Y572" s="763"/>
      <c r="Z572" s="768" t="str">
        <f>IFERROR(__xludf.DUMMYFUNCTION("""COMPUTED_VALUE"""),"https://studio-gem.it/wp-admin/post.php?post=66118&amp;action=edit")</f>
        <v>https://studio-gem.it/wp-admin/post.php?post=66118&amp;action=edit</v>
      </c>
      <c r="AA572" s="763"/>
      <c r="AB572" s="763"/>
      <c r="AC572" s="763"/>
      <c r="AD572" s="763"/>
      <c r="AE572" s="763"/>
      <c r="AF572" s="763"/>
      <c r="AG572" s="763"/>
      <c r="AH572" s="763"/>
      <c r="AI572" s="763"/>
      <c r="AJ572" s="763"/>
      <c r="AK572" s="763"/>
      <c r="AL572" s="763"/>
      <c r="AM572" s="763"/>
      <c r="AN572" s="763"/>
      <c r="AO572" s="763"/>
      <c r="AP572" s="763"/>
      <c r="AQ572" s="763"/>
      <c r="AR572" s="763"/>
      <c r="AS572" s="763"/>
      <c r="AT572" s="763"/>
      <c r="AU572" s="763"/>
      <c r="AV572" s="763"/>
      <c r="AW572" s="763"/>
      <c r="AX572" s="763"/>
      <c r="AY572" s="763"/>
      <c r="AZ572" s="763"/>
      <c r="BA572" s="763"/>
      <c r="BB572" s="763"/>
      <c r="BC572" s="763"/>
      <c r="BD572" s="763"/>
      <c r="BE572" s="763"/>
      <c r="BF572" s="763"/>
      <c r="BG572" s="763" t="b">
        <f>IFERROR(__xludf.DUMMYFUNCTION("""COMPUTED_VALUE"""),FALSE)</f>
        <v>0</v>
      </c>
      <c r="BH572" s="763" t="b">
        <f>IFERROR(__xludf.DUMMYFUNCTION("""COMPUTED_VALUE"""),FALSE)</f>
        <v>0</v>
      </c>
      <c r="BI572" s="763" t="b">
        <f>IFERROR(__xludf.DUMMYFUNCTION("""COMPUTED_VALUE"""),FALSE)</f>
        <v>0</v>
      </c>
      <c r="BJ572" s="763" t="b">
        <f>IFERROR(__xludf.DUMMYFUNCTION("""COMPUTED_VALUE"""),FALSE)</f>
        <v>0</v>
      </c>
    </row>
    <row r="573">
      <c r="A573" s="763">
        <f>IFERROR(__xludf.DUMMYFUNCTION("""COMPUTED_VALUE"""),66119.0)</f>
        <v>66119</v>
      </c>
      <c r="B573" s="763">
        <f>IFERROR(__xludf.DUMMYFUNCTION("""COMPUTED_VALUE"""),66119.0)</f>
        <v>66119</v>
      </c>
      <c r="C573" s="763" t="str">
        <f>IFERROR(__xludf.DUMMYFUNCTION("""COMPUTED_VALUE"""),"2025-11-15 18:49:30")</f>
        <v>2025-11-15 18:49:30</v>
      </c>
      <c r="D573" s="763" t="str">
        <f>IFERROR(__xludf.DUMMYFUNCTION("""COMPUTED_VALUE"""),"pending")</f>
        <v>pending</v>
      </c>
      <c r="E573" s="763" t="str">
        <f>IFERROR(__xludf.DUMMYFUNCTION("""COMPUTED_VALUE"""),"Ilaria")</f>
        <v>Ilaria</v>
      </c>
      <c r="F573" s="763" t="str">
        <f>IFERROR(__xludf.DUMMYFUNCTION("""COMPUTED_VALUE"""),"Uras")</f>
        <v>Uras</v>
      </c>
      <c r="G573" s="763" t="str">
        <f>IFERROR(__xludf.DUMMYFUNCTION("""COMPUTED_VALUE"""),"ilariauras00@gmail.com")</f>
        <v>ilariauras00@gmail.com</v>
      </c>
      <c r="H573" s="763">
        <f>IFERROR(__xludf.DUMMYFUNCTION("""COMPUTED_VALUE"""),3.421950001E9)</f>
        <v>3421950001</v>
      </c>
      <c r="I573" s="763" t="str">
        <f>IFERROR(__xludf.DUMMYFUNCTION("""COMPUTED_VALUE"""),"Milano")</f>
        <v>Milano</v>
      </c>
      <c r="J573" s="763" t="str">
        <f>IFERROR(__xludf.DUMMYFUNCTION("""COMPUTED_VALUE"""),"Corso Italia, 36")</f>
        <v>Corso Italia, 36</v>
      </c>
      <c r="K573" s="763">
        <f>IFERROR(__xludf.DUMMYFUNCTION("""COMPUTED_VALUE"""),20122.0)</f>
        <v>20122</v>
      </c>
      <c r="L573" s="763" t="str">
        <f>IFERROR(__xludf.DUMMYFUNCTION("""COMPUTED_VALUE"""),"Carte di pagamento")</f>
        <v>Carte di pagamento</v>
      </c>
      <c r="M573" s="763" t="str">
        <f>IFERROR(__xludf.DUMMYFUNCTION("""COMPUTED_VALUE"""),"santo05natale")</f>
        <v>santo05natale</v>
      </c>
      <c r="N573" s="763"/>
      <c r="O573" s="763">
        <f>IFERROR(__xludf.DUMMYFUNCTION("""COMPUTED_VALUE"""),0.0)</f>
        <v>0</v>
      </c>
      <c r="P573" s="767">
        <f>IFERROR(__xludf.DUMMYFUNCTION("""COMPUTED_VALUE"""),4.375)</f>
        <v>4.375</v>
      </c>
      <c r="Q573" s="763" t="str">
        <f>IFERROR(__xludf.DUMMYFUNCTION("""COMPUTED_VALUE"""),"EUR")</f>
        <v>EUR</v>
      </c>
      <c r="R573" s="763">
        <f>IFERROR(__xludf.DUMMYFUNCTION("""COMPUTED_VALUE"""),1069.0)</f>
        <v>1069</v>
      </c>
      <c r="S573" s="763" t="str">
        <f>IFERROR(__xludf.DUMMYFUNCTION("""COMPUTED_VALUE"""),"Festa di Natale 2025 - Festa di natale 2025 lezioni + pizza + serata 55€")</f>
        <v>Festa di Natale 2025 - Festa di natale 2025 lezioni + pizza + serata 55€</v>
      </c>
      <c r="T573" s="763"/>
      <c r="U573" s="763"/>
      <c r="V573" s="763">
        <f>IFERROR(__xludf.DUMMYFUNCTION("""COMPUTED_VALUE"""),2.0)</f>
        <v>2</v>
      </c>
      <c r="W573" s="763">
        <f>IFERROR(__xludf.DUMMYFUNCTION("""COMPUTED_VALUE"""),52.5)</f>
        <v>52.5</v>
      </c>
      <c r="X573" s="763">
        <f>IFERROR(__xludf.DUMMYFUNCTION("""COMPUTED_VALUE"""),105.0)</f>
        <v>105</v>
      </c>
      <c r="Y573" s="763"/>
      <c r="Z573" s="768" t="str">
        <f>IFERROR(__xludf.DUMMYFUNCTION("""COMPUTED_VALUE"""),"https://studio-gem.it/wp-admin/post.php?post=66119&amp;action=edit")</f>
        <v>https://studio-gem.it/wp-admin/post.php?post=66119&amp;action=edit</v>
      </c>
      <c r="AA573" s="763"/>
      <c r="AB573" s="763"/>
      <c r="AC573" s="763"/>
      <c r="AD573" s="763"/>
      <c r="AE573" s="763"/>
      <c r="AF573" s="763"/>
      <c r="AG573" s="763"/>
      <c r="AH573" s="763"/>
      <c r="AI573" s="763"/>
      <c r="AJ573" s="763"/>
      <c r="AK573" s="763"/>
      <c r="AL573" s="763"/>
      <c r="AM573" s="763"/>
      <c r="AN573" s="763"/>
      <c r="AO573" s="763"/>
      <c r="AP573" s="763"/>
      <c r="AQ573" s="763"/>
      <c r="AR573" s="763"/>
      <c r="AS573" s="763"/>
      <c r="AT573" s="763"/>
      <c r="AU573" s="763"/>
      <c r="AV573" s="763"/>
      <c r="AW573" s="763"/>
      <c r="AX573" s="763"/>
      <c r="AY573" s="763"/>
      <c r="AZ573" s="763"/>
      <c r="BA573" s="763"/>
      <c r="BB573" s="763"/>
      <c r="BC573" s="763"/>
      <c r="BD573" s="763"/>
      <c r="BE573" s="763"/>
      <c r="BF573" s="763"/>
      <c r="BG573" s="763" t="b">
        <f>IFERROR(__xludf.DUMMYFUNCTION("""COMPUTED_VALUE"""),FALSE)</f>
        <v>0</v>
      </c>
      <c r="BH573" s="763" t="b">
        <f>IFERROR(__xludf.DUMMYFUNCTION("""COMPUTED_VALUE"""),FALSE)</f>
        <v>0</v>
      </c>
      <c r="BI573" s="763" t="b">
        <f>IFERROR(__xludf.DUMMYFUNCTION("""COMPUTED_VALUE"""),FALSE)</f>
        <v>0</v>
      </c>
      <c r="BJ573" s="763" t="b">
        <f>IFERROR(__xludf.DUMMYFUNCTION("""COMPUTED_VALUE"""),FALSE)</f>
        <v>0</v>
      </c>
    </row>
    <row r="574">
      <c r="A574" s="763">
        <f>IFERROR(__xludf.DUMMYFUNCTION("""COMPUTED_VALUE"""),66120.0)</f>
        <v>66120</v>
      </c>
      <c r="B574" s="763">
        <f>IFERROR(__xludf.DUMMYFUNCTION("""COMPUTED_VALUE"""),66120.0)</f>
        <v>66120</v>
      </c>
      <c r="C574" s="763" t="str">
        <f>IFERROR(__xludf.DUMMYFUNCTION("""COMPUTED_VALUE"""),"2025-11-15 18:51:29")</f>
        <v>2025-11-15 18:51:29</v>
      </c>
      <c r="D574" s="763" t="str">
        <f>IFERROR(__xludf.DUMMYFUNCTION("""COMPUTED_VALUE"""),"processing")</f>
        <v>processing</v>
      </c>
      <c r="E574" s="763" t="str">
        <f>IFERROR(__xludf.DUMMYFUNCTION("""COMPUTED_VALUE"""),"Ilaria")</f>
        <v>Ilaria</v>
      </c>
      <c r="F574" s="763" t="str">
        <f>IFERROR(__xludf.DUMMYFUNCTION("""COMPUTED_VALUE"""),"Uras")</f>
        <v>Uras</v>
      </c>
      <c r="G574" s="763" t="str">
        <f>IFERROR(__xludf.DUMMYFUNCTION("""COMPUTED_VALUE"""),"ilariauras00@gmail.com")</f>
        <v>ilariauras00@gmail.com</v>
      </c>
      <c r="H574" s="763">
        <f>IFERROR(__xludf.DUMMYFUNCTION("""COMPUTED_VALUE"""),3.421950001E9)</f>
        <v>3421950001</v>
      </c>
      <c r="I574" s="763" t="str">
        <f>IFERROR(__xludf.DUMMYFUNCTION("""COMPUTED_VALUE"""),"Milano")</f>
        <v>Milano</v>
      </c>
      <c r="J574" s="763" t="str">
        <f>IFERROR(__xludf.DUMMYFUNCTION("""COMPUTED_VALUE"""),"Corso Italia, 36")</f>
        <v>Corso Italia, 36</v>
      </c>
      <c r="K574" s="763">
        <f>IFERROR(__xludf.DUMMYFUNCTION("""COMPUTED_VALUE"""),20122.0)</f>
        <v>20122</v>
      </c>
      <c r="L574" s="763" t="str">
        <f>IFERROR(__xludf.DUMMYFUNCTION("""COMPUTED_VALUE"""),"Carte di pagamento")</f>
        <v>Carte di pagamento</v>
      </c>
      <c r="M574" s="763" t="str">
        <f>IFERROR(__xludf.DUMMYFUNCTION("""COMPUTED_VALUE"""),"santo05natale")</f>
        <v>santo05natale</v>
      </c>
      <c r="N574" s="763" t="str">
        <f>IFERROR(__xludf.DUMMYFUNCTION("""COMPUTED_VALUE"""),"66120-1763232691")</f>
        <v>66120-1763232691</v>
      </c>
      <c r="O574" s="763">
        <f>IFERROR(__xludf.DUMMYFUNCTION("""COMPUTED_VALUE"""),0.0)</f>
        <v>0</v>
      </c>
      <c r="P574" s="767">
        <f>IFERROR(__xludf.DUMMYFUNCTION("""COMPUTED_VALUE"""),2.0833333333333335)</f>
        <v>2.083333333</v>
      </c>
      <c r="Q574" s="763" t="str">
        <f>IFERROR(__xludf.DUMMYFUNCTION("""COMPUTED_VALUE"""),"EUR")</f>
        <v>EUR</v>
      </c>
      <c r="R574" s="763">
        <f>IFERROR(__xludf.DUMMYFUNCTION("""COMPUTED_VALUE"""),1071.0)</f>
        <v>1071</v>
      </c>
      <c r="S574" s="763" t="str">
        <f>IFERROR(__xludf.DUMMYFUNCTION("""COMPUTED_VALUE"""),"Festa di Natale 2025 - Festa di natale 2025 lezioni + pizza + serata 55€")</f>
        <v>Festa di Natale 2025 - Festa di natale 2025 lezioni + pizza + serata 55€</v>
      </c>
      <c r="T574" s="763"/>
      <c r="U574" s="763"/>
      <c r="V574" s="763">
        <f>IFERROR(__xludf.DUMMYFUNCTION("""COMPUTED_VALUE"""),1.0)</f>
        <v>1</v>
      </c>
      <c r="W574" s="763">
        <f>IFERROR(__xludf.DUMMYFUNCTION("""COMPUTED_VALUE"""),50.0)</f>
        <v>50</v>
      </c>
      <c r="X574" s="763">
        <f>IFERROR(__xludf.DUMMYFUNCTION("""COMPUTED_VALUE"""),50.0)</f>
        <v>50</v>
      </c>
      <c r="Y574" s="763"/>
      <c r="Z574" s="768" t="str">
        <f>IFERROR(__xludf.DUMMYFUNCTION("""COMPUTED_VALUE"""),"https://studio-gem.it/wp-admin/post.php?post=66120&amp;action=edit")</f>
        <v>https://studio-gem.it/wp-admin/post.php?post=66120&amp;action=edit</v>
      </c>
      <c r="AA574" s="763"/>
      <c r="AB574" s="763"/>
      <c r="AC574" s="763"/>
      <c r="AD574" s="763"/>
      <c r="AE574" s="763"/>
      <c r="AF574" s="763"/>
      <c r="AG574" s="763"/>
      <c r="AH574" s="763"/>
      <c r="AI574" s="763"/>
      <c r="AJ574" s="763"/>
      <c r="AK574" s="763"/>
      <c r="AL574" s="763"/>
      <c r="AM574" s="763"/>
      <c r="AN574" s="763"/>
      <c r="AO574" s="763"/>
      <c r="AP574" s="763"/>
      <c r="AQ574" s="763"/>
      <c r="AR574" s="763"/>
      <c r="AS574" s="763"/>
      <c r="AT574" s="763"/>
      <c r="AU574" s="763"/>
      <c r="AV574" s="763"/>
      <c r="AW574" s="763"/>
      <c r="AX574" s="763"/>
      <c r="AY574" s="763"/>
      <c r="AZ574" s="763"/>
      <c r="BA574" s="763"/>
      <c r="BB574" s="763"/>
      <c r="BC574" s="763"/>
      <c r="BD574" s="763"/>
      <c r="BE574" s="763"/>
      <c r="BF574" s="763"/>
      <c r="BG574" s="763" t="b">
        <f>IFERROR(__xludf.DUMMYFUNCTION("""COMPUTED_VALUE"""),TRUE)</f>
        <v>1</v>
      </c>
      <c r="BH574" s="763" t="b">
        <f>IFERROR(__xludf.DUMMYFUNCTION("""COMPUTED_VALUE"""),FALSE)</f>
        <v>0</v>
      </c>
      <c r="BI574" s="763" t="b">
        <f>IFERROR(__xludf.DUMMYFUNCTION("""COMPUTED_VALUE"""),TRUE)</f>
        <v>1</v>
      </c>
      <c r="BJ574" s="763" t="b">
        <f>IFERROR(__xludf.DUMMYFUNCTION("""COMPUTED_VALUE"""),TRUE)</f>
        <v>1</v>
      </c>
    </row>
    <row r="575">
      <c r="A575" s="763">
        <f>IFERROR(__xludf.DUMMYFUNCTION("""COMPUTED_VALUE"""),66121.0)</f>
        <v>66121</v>
      </c>
      <c r="B575" s="763">
        <f>IFERROR(__xludf.DUMMYFUNCTION("""COMPUTED_VALUE"""),66121.0)</f>
        <v>66121</v>
      </c>
      <c r="C575" s="763" t="str">
        <f>IFERROR(__xludf.DUMMYFUNCTION("""COMPUTED_VALUE"""),"2025-11-15 19:49:19")</f>
        <v>2025-11-15 19:49:19</v>
      </c>
      <c r="D575" s="763" t="str">
        <f>IFERROR(__xludf.DUMMYFUNCTION("""COMPUTED_VALUE"""),"completed")</f>
        <v>completed</v>
      </c>
      <c r="E575" s="763" t="str">
        <f>IFERROR(__xludf.DUMMYFUNCTION("""COMPUTED_VALUE"""),"Lucrezia")</f>
        <v>Lucrezia</v>
      </c>
      <c r="F575" s="763" t="str">
        <f>IFERROR(__xludf.DUMMYFUNCTION("""COMPUTED_VALUE"""),"Aria")</f>
        <v>Aria</v>
      </c>
      <c r="G575" s="763" t="str">
        <f>IFERROR(__xludf.DUMMYFUNCTION("""COMPUTED_VALUE"""),"sisteminetworkmarket@gmail.com")</f>
        <v>sisteminetworkmarket@gmail.com</v>
      </c>
      <c r="H575" s="763">
        <f>IFERROR(__xludf.DUMMYFUNCTION("""COMPUTED_VALUE"""),3.298179512E9)</f>
        <v>3298179512</v>
      </c>
      <c r="I575" s="763" t="str">
        <f>IFERROR(__xludf.DUMMYFUNCTION("""COMPUTED_VALUE"""),"Milano")</f>
        <v>Milano</v>
      </c>
      <c r="J575" s="763" t="str">
        <f>IFERROR(__xludf.DUMMYFUNCTION("""COMPUTED_VALUE"""),"Via Buonarroti 2")</f>
        <v>Via Buonarroti 2</v>
      </c>
      <c r="K575" s="763">
        <f>IFERROR(__xludf.DUMMYFUNCTION("""COMPUTED_VALUE"""),20145.0)</f>
        <v>20145</v>
      </c>
      <c r="L575" s="763" t="str">
        <f>IFERROR(__xludf.DUMMYFUNCTION("""COMPUTED_VALUE"""),"Carte di pagamento")</f>
        <v>Carte di pagamento</v>
      </c>
      <c r="M575" s="763"/>
      <c r="N575" s="763" t="str">
        <f>IFERROR(__xludf.DUMMYFUNCTION("""COMPUTED_VALUE"""),"66121-1763236161")</f>
        <v>66121-1763236161</v>
      </c>
      <c r="O575" s="763">
        <f>IFERROR(__xludf.DUMMYFUNCTION("""COMPUTED_VALUE"""),0.0)</f>
        <v>0</v>
      </c>
      <c r="P575" s="767">
        <f>IFERROR(__xludf.DUMMYFUNCTION("""COMPUTED_VALUE"""),1.3333333333333333)</f>
        <v>1.333333333</v>
      </c>
      <c r="Q575" s="763" t="str">
        <f>IFERROR(__xludf.DUMMYFUNCTION("""COMPUTED_VALUE"""),"EUR")</f>
        <v>EUR</v>
      </c>
      <c r="R575" s="763">
        <f>IFERROR(__xludf.DUMMYFUNCTION("""COMPUTED_VALUE"""),1073.0)</f>
        <v>1073</v>
      </c>
      <c r="S575" s="763" t="str">
        <f>IFERROR(__xludf.DUMMYFUNCTION("""COMPUTED_VALUE"""),"Workshop Salsa Musicality con Nicolò De Angelis - Workshop Nicolò Salsa Musicality")</f>
        <v>Workshop Salsa Musicality con Nicolò De Angelis - Workshop Nicolò Salsa Musicality</v>
      </c>
      <c r="T575" s="763"/>
      <c r="U575" s="763"/>
      <c r="V575" s="763">
        <f>IFERROR(__xludf.DUMMYFUNCTION("""COMPUTED_VALUE"""),1.0)</f>
        <v>1</v>
      </c>
      <c r="W575" s="763">
        <f>IFERROR(__xludf.DUMMYFUNCTION("""COMPUTED_VALUE"""),32.0)</f>
        <v>32</v>
      </c>
      <c r="X575" s="763">
        <f>IFERROR(__xludf.DUMMYFUNCTION("""COMPUTED_VALUE"""),32.0)</f>
        <v>32</v>
      </c>
      <c r="Y575" s="763"/>
      <c r="Z575" s="768" t="str">
        <f>IFERROR(__xludf.DUMMYFUNCTION("""COMPUTED_VALUE"""),"https://studio-gem.it/wp-admin/post.php?post=66121&amp;action=edit")</f>
        <v>https://studio-gem.it/wp-admin/post.php?post=66121&amp;action=edit</v>
      </c>
      <c r="AA575" s="763"/>
      <c r="AB575" s="763"/>
      <c r="AC575" s="763"/>
      <c r="AD575" s="763"/>
      <c r="AE575" s="763"/>
      <c r="AF575" s="763"/>
      <c r="AG575" s="763"/>
      <c r="AH575" s="763"/>
      <c r="AI575" s="763"/>
      <c r="AJ575" s="763"/>
      <c r="AK575" s="763"/>
      <c r="AL575" s="763"/>
      <c r="AM575" s="763"/>
      <c r="AN575" s="763"/>
      <c r="AO575" s="763"/>
      <c r="AP575" s="763"/>
      <c r="AQ575" s="763"/>
      <c r="AR575" s="763"/>
      <c r="AS575" s="763"/>
      <c r="AT575" s="763"/>
      <c r="AU575" s="763"/>
      <c r="AV575" s="763"/>
      <c r="AW575" s="763"/>
      <c r="AX575" s="763"/>
      <c r="AY575" s="763"/>
      <c r="AZ575" s="763"/>
      <c r="BA575" s="763"/>
      <c r="BB575" s="763"/>
      <c r="BC575" s="763"/>
      <c r="BD575" s="763"/>
      <c r="BE575" s="763"/>
      <c r="BF575" s="763"/>
      <c r="BG575" s="763" t="b">
        <f>IFERROR(__xludf.DUMMYFUNCTION("""COMPUTED_VALUE"""),TRUE)</f>
        <v>1</v>
      </c>
      <c r="BH575" s="763" t="b">
        <f>IFERROR(__xludf.DUMMYFUNCTION("""COMPUTED_VALUE"""),FALSE)</f>
        <v>0</v>
      </c>
      <c r="BI575" s="763" t="b">
        <f>IFERROR(__xludf.DUMMYFUNCTION("""COMPUTED_VALUE"""),TRUE)</f>
        <v>1</v>
      </c>
      <c r="BJ575" s="763" t="b">
        <f>IFERROR(__xludf.DUMMYFUNCTION("""COMPUTED_VALUE"""),TRUE)</f>
        <v>1</v>
      </c>
    </row>
    <row r="576">
      <c r="A576" s="763">
        <f>IFERROR(__xludf.DUMMYFUNCTION("""COMPUTED_VALUE"""),66124.0)</f>
        <v>66124</v>
      </c>
      <c r="B576" s="763">
        <f>IFERROR(__xludf.DUMMYFUNCTION("""COMPUTED_VALUE"""),66124.0)</f>
        <v>66124</v>
      </c>
      <c r="C576" s="763" t="str">
        <f>IFERROR(__xludf.DUMMYFUNCTION("""COMPUTED_VALUE"""),"2025-11-16 08:32:15")</f>
        <v>2025-11-16 08:32:15</v>
      </c>
      <c r="D576" s="763" t="str">
        <f>IFERROR(__xludf.DUMMYFUNCTION("""COMPUTED_VALUE"""),"completed")</f>
        <v>completed</v>
      </c>
      <c r="E576" s="763" t="str">
        <f>IFERROR(__xludf.DUMMYFUNCTION("""COMPUTED_VALUE"""),"Chiara")</f>
        <v>Chiara</v>
      </c>
      <c r="F576" s="763" t="str">
        <f>IFERROR(__xludf.DUMMYFUNCTION("""COMPUTED_VALUE"""),"De Nubbio")</f>
        <v>De Nubbio</v>
      </c>
      <c r="G576" s="763" t="str">
        <f>IFERROR(__xludf.DUMMYFUNCTION("""COMPUTED_VALUE"""),"chiara.denubbio@gmail.com")</f>
        <v>chiara.denubbio@gmail.com</v>
      </c>
      <c r="H576" s="763">
        <f>IFERROR(__xludf.DUMMYFUNCTION("""COMPUTED_VALUE"""),3.316718928E9)</f>
        <v>3316718928</v>
      </c>
      <c r="I576" s="763" t="str">
        <f>IFERROR(__xludf.DUMMYFUNCTION("""COMPUTED_VALUE"""),"Milano")</f>
        <v>Milano</v>
      </c>
      <c r="J576" s="763" t="str">
        <f>IFERROR(__xludf.DUMMYFUNCTION("""COMPUTED_VALUE"""),"Corso Porta Romana 54")</f>
        <v>Corso Porta Romana 54</v>
      </c>
      <c r="K576" s="763">
        <f>IFERROR(__xludf.DUMMYFUNCTION("""COMPUTED_VALUE"""),20122.0)</f>
        <v>20122</v>
      </c>
      <c r="L576" s="763"/>
      <c r="M576" s="763"/>
      <c r="N576" s="763"/>
      <c r="O576" s="763">
        <f>IFERROR(__xludf.DUMMYFUNCTION("""COMPUTED_VALUE"""),0.0)</f>
        <v>0</v>
      </c>
      <c r="P576" s="767">
        <f>IFERROR(__xludf.DUMMYFUNCTION("""COMPUTED_VALUE"""),0.0)</f>
        <v>0</v>
      </c>
      <c r="Q576" s="763" t="str">
        <f>IFERROR(__xludf.DUMMYFUNCTION("""COMPUTED_VALUE"""),"EUR")</f>
        <v>EUR</v>
      </c>
      <c r="R576" s="763">
        <f>IFERROR(__xludf.DUMMYFUNCTION("""COMPUTED_VALUE"""),1074.0)</f>
        <v>1074</v>
      </c>
      <c r="S576" s="763" t="str">
        <f>IFERROR(__xludf.DUMMYFUNCTION("""COMPUTED_VALUE"""),"Domeniche in movimento - Gratuito per open fitness e open mattino 1 lezione dalle 11 alle 11.50")</f>
        <v>Domeniche in movimento - Gratuito per open fitness e open mattino 1 lezione dalle 11 alle 11.50</v>
      </c>
      <c r="T576" s="763"/>
      <c r="U576" s="763"/>
      <c r="V576" s="763">
        <f>IFERROR(__xludf.DUMMYFUNCTION("""COMPUTED_VALUE"""),1.0)</f>
        <v>1</v>
      </c>
      <c r="W576" s="763">
        <f>IFERROR(__xludf.DUMMYFUNCTION("""COMPUTED_VALUE"""),0.0)</f>
        <v>0</v>
      </c>
      <c r="X576" s="763">
        <f>IFERROR(__xludf.DUMMYFUNCTION("""COMPUTED_VALUE"""),0.0)</f>
        <v>0</v>
      </c>
      <c r="Y576" s="763"/>
      <c r="Z576" s="768" t="str">
        <f>IFERROR(__xludf.DUMMYFUNCTION("""COMPUTED_VALUE"""),"https://studio-gem.it/wp-admin/post.php?post=66124&amp;action=edit")</f>
        <v>https://studio-gem.it/wp-admin/post.php?post=66124&amp;action=edit</v>
      </c>
      <c r="AA576" s="763"/>
      <c r="AB576" s="763"/>
      <c r="AC576" s="763"/>
      <c r="AD576" s="763"/>
      <c r="AE576" s="763"/>
      <c r="AF576" s="763"/>
      <c r="AG576" s="763"/>
      <c r="AH576" s="763"/>
      <c r="AI576" s="763"/>
      <c r="AJ576" s="763"/>
      <c r="AK576" s="763"/>
      <c r="AL576" s="763"/>
      <c r="AM576" s="763"/>
      <c r="AN576" s="763"/>
      <c r="AO576" s="763"/>
      <c r="AP576" s="763"/>
      <c r="AQ576" s="763"/>
      <c r="AR576" s="763"/>
      <c r="AS576" s="763"/>
      <c r="AT576" s="763"/>
      <c r="AU576" s="763"/>
      <c r="AV576" s="763"/>
      <c r="AW576" s="763"/>
      <c r="AX576" s="763"/>
      <c r="AY576" s="763"/>
      <c r="AZ576" s="763"/>
      <c r="BA576" s="763"/>
      <c r="BB576" s="763"/>
      <c r="BC576" s="763"/>
      <c r="BD576" s="763"/>
      <c r="BE576" s="763"/>
      <c r="BF576" s="763"/>
      <c r="BG576" s="763" t="b">
        <f>IFERROR(__xludf.DUMMYFUNCTION("""COMPUTED_VALUE"""),TRUE)</f>
        <v>1</v>
      </c>
      <c r="BH576" s="763" t="b">
        <f>IFERROR(__xludf.DUMMYFUNCTION("""COMPUTED_VALUE"""),FALSE)</f>
        <v>0</v>
      </c>
      <c r="BI576" s="763" t="b">
        <f>IFERROR(__xludf.DUMMYFUNCTION("""COMPUTED_VALUE"""),TRUE)</f>
        <v>1</v>
      </c>
      <c r="BJ576" s="763" t="b">
        <f>IFERROR(__xludf.DUMMYFUNCTION("""COMPUTED_VALUE"""),FALSE)</f>
        <v>0</v>
      </c>
    </row>
    <row r="577">
      <c r="A577" s="763">
        <f>IFERROR(__xludf.DUMMYFUNCTION("""COMPUTED_VALUE"""),66126.0)</f>
        <v>66126</v>
      </c>
      <c r="B577" s="763">
        <f>IFERROR(__xludf.DUMMYFUNCTION("""COMPUTED_VALUE"""),66126.0)</f>
        <v>66126</v>
      </c>
      <c r="C577" s="763" t="str">
        <f>IFERROR(__xludf.DUMMYFUNCTION("""COMPUTED_VALUE"""),"2025-11-16 09:44:38")</f>
        <v>2025-11-16 09:44:38</v>
      </c>
      <c r="D577" s="763" t="str">
        <f>IFERROR(__xludf.DUMMYFUNCTION("""COMPUTED_VALUE"""),"completed")</f>
        <v>completed</v>
      </c>
      <c r="E577" s="763" t="str">
        <f>IFERROR(__xludf.DUMMYFUNCTION("""COMPUTED_VALUE"""),"Juliane")</f>
        <v>Juliane</v>
      </c>
      <c r="F577" s="763" t="str">
        <f>IFERROR(__xludf.DUMMYFUNCTION("""COMPUTED_VALUE"""),"Barros")</f>
        <v>Barros</v>
      </c>
      <c r="G577" s="763" t="str">
        <f>IFERROR(__xludf.DUMMYFUNCTION("""COMPUTED_VALUE"""),"julianeschneider@hotmail.com")</f>
        <v>julianeschneider@hotmail.com</v>
      </c>
      <c r="H577" s="763" t="str">
        <f>IFERROR(__xludf.DUMMYFUNCTION("""COMPUTED_VALUE"""),"+39344471978")</f>
        <v>+39344471978</v>
      </c>
      <c r="I577" s="763" t="str">
        <f>IFERROR(__xludf.DUMMYFUNCTION("""COMPUTED_VALUE"""),"Milano")</f>
        <v>Milano</v>
      </c>
      <c r="J577" s="763" t="str">
        <f>IFERROR(__xludf.DUMMYFUNCTION("""COMPUTED_VALUE"""),"+393444471978")</f>
        <v>+393444471978</v>
      </c>
      <c r="K577" s="763">
        <f>IFERROR(__xludf.DUMMYFUNCTION("""COMPUTED_VALUE"""),20144.0)</f>
        <v>20144</v>
      </c>
      <c r="L577" s="763" t="str">
        <f>IFERROR(__xludf.DUMMYFUNCTION("""COMPUTED_VALUE"""),"Apple Pay")</f>
        <v>Apple Pay</v>
      </c>
      <c r="M577" s="763"/>
      <c r="N577" s="763" t="str">
        <f>IFERROR(__xludf.DUMMYFUNCTION("""COMPUTED_VALUE"""),"66126-1763286279")</f>
        <v>66126-1763286279</v>
      </c>
      <c r="O577" s="763">
        <f>IFERROR(__xludf.DUMMYFUNCTION("""COMPUTED_VALUE"""),0.0)</f>
        <v>0</v>
      </c>
      <c r="P577" s="767">
        <f>IFERROR(__xludf.DUMMYFUNCTION("""COMPUTED_VALUE"""),1.5416666666666667)</f>
        <v>1.541666667</v>
      </c>
      <c r="Q577" s="763" t="str">
        <f>IFERROR(__xludf.DUMMYFUNCTION("""COMPUTED_VALUE"""),"EUR")</f>
        <v>EUR</v>
      </c>
      <c r="R577" s="763">
        <f>IFERROR(__xludf.DUMMYFUNCTION("""COMPUTED_VALUE"""),1075.0)</f>
        <v>1075</v>
      </c>
      <c r="S577" s="763" t="str">
        <f>IFERROR(__xludf.DUMMYFUNCTION("""COMPUTED_VALUE"""),"Workshop Heels con Deborah Esposito - Workshop Heels con Deborah Esposito")</f>
        <v>Workshop Heels con Deborah Esposito - Workshop Heels con Deborah Esposito</v>
      </c>
      <c r="T577" s="763"/>
      <c r="U577" s="763"/>
      <c r="V577" s="763">
        <f>IFERROR(__xludf.DUMMYFUNCTION("""COMPUTED_VALUE"""),1.0)</f>
        <v>1</v>
      </c>
      <c r="W577" s="763">
        <f>IFERROR(__xludf.DUMMYFUNCTION("""COMPUTED_VALUE"""),37.0)</f>
        <v>37</v>
      </c>
      <c r="X577" s="763">
        <f>IFERROR(__xludf.DUMMYFUNCTION("""COMPUTED_VALUE"""),37.0)</f>
        <v>37</v>
      </c>
      <c r="Y577" s="763"/>
      <c r="Z577" s="768" t="str">
        <f>IFERROR(__xludf.DUMMYFUNCTION("""COMPUTED_VALUE"""),"https://studio-gem.it/wp-admin/post.php?post=66126&amp;action=edit")</f>
        <v>https://studio-gem.it/wp-admin/post.php?post=66126&amp;action=edit</v>
      </c>
      <c r="AA577" s="763"/>
      <c r="AB577" s="763"/>
      <c r="AC577" s="763"/>
      <c r="AD577" s="763"/>
      <c r="AE577" s="763"/>
      <c r="AF577" s="763"/>
      <c r="AG577" s="763"/>
      <c r="AH577" s="763"/>
      <c r="AI577" s="763"/>
      <c r="AJ577" s="763"/>
      <c r="AK577" s="763"/>
      <c r="AL577" s="763"/>
      <c r="AM577" s="763"/>
      <c r="AN577" s="763"/>
      <c r="AO577" s="763"/>
      <c r="AP577" s="763"/>
      <c r="AQ577" s="763"/>
      <c r="AR577" s="763"/>
      <c r="AS577" s="763"/>
      <c r="AT577" s="763"/>
      <c r="AU577" s="763"/>
      <c r="AV577" s="763"/>
      <c r="AW577" s="763"/>
      <c r="AX577" s="763"/>
      <c r="AY577" s="763"/>
      <c r="AZ577" s="763"/>
      <c r="BA577" s="763"/>
      <c r="BB577" s="763"/>
      <c r="BC577" s="763"/>
      <c r="BD577" s="763"/>
      <c r="BE577" s="763"/>
      <c r="BF577" s="763"/>
      <c r="BG577" s="763" t="b">
        <f>IFERROR(__xludf.DUMMYFUNCTION("""COMPUTED_VALUE"""),TRUE)</f>
        <v>1</v>
      </c>
      <c r="BH577" s="763" t="b">
        <f>IFERROR(__xludf.DUMMYFUNCTION("""COMPUTED_VALUE"""),FALSE)</f>
        <v>0</v>
      </c>
      <c r="BI577" s="763" t="b">
        <f>IFERROR(__xludf.DUMMYFUNCTION("""COMPUTED_VALUE"""),TRUE)</f>
        <v>1</v>
      </c>
      <c r="BJ577" s="763" t="b">
        <f>IFERROR(__xludf.DUMMYFUNCTION("""COMPUTED_VALUE"""),TRUE)</f>
        <v>1</v>
      </c>
    </row>
    <row r="578">
      <c r="A578" s="763">
        <f>IFERROR(__xludf.DUMMYFUNCTION("""COMPUTED_VALUE"""),66128.0)</f>
        <v>66128</v>
      </c>
      <c r="B578" s="763">
        <f>IFERROR(__xludf.DUMMYFUNCTION("""COMPUTED_VALUE"""),66128.0)</f>
        <v>66128</v>
      </c>
      <c r="C578" s="763" t="str">
        <f>IFERROR(__xludf.DUMMYFUNCTION("""COMPUTED_VALUE"""),"2025-11-16 13:24:49")</f>
        <v>2025-11-16 13:24:49</v>
      </c>
      <c r="D578" s="763" t="str">
        <f>IFERROR(__xludf.DUMMYFUNCTION("""COMPUTED_VALUE"""),"completed")</f>
        <v>completed</v>
      </c>
      <c r="E578" s="763" t="str">
        <f>IFERROR(__xludf.DUMMYFUNCTION("""COMPUTED_VALUE"""),"Laura")</f>
        <v>Laura</v>
      </c>
      <c r="F578" s="763" t="str">
        <f>IFERROR(__xludf.DUMMYFUNCTION("""COMPUTED_VALUE"""),"Gaudioso")</f>
        <v>Gaudioso</v>
      </c>
      <c r="G578" s="763" t="str">
        <f>IFERROR(__xludf.DUMMYFUNCTION("""COMPUTED_VALUE"""),"laura.gaudioso96@gmail.com")</f>
        <v>laura.gaudioso96@gmail.com</v>
      </c>
      <c r="H578" s="763">
        <f>IFERROR(__xludf.DUMMYFUNCTION("""COMPUTED_VALUE"""),3.331167649E9)</f>
        <v>3331167649</v>
      </c>
      <c r="I578" s="763" t="str">
        <f>IFERROR(__xludf.DUMMYFUNCTION("""COMPUTED_VALUE"""),"Albignasego")</f>
        <v>Albignasego</v>
      </c>
      <c r="J578" s="763" t="str">
        <f>IFERROR(__xludf.DUMMYFUNCTION("""COMPUTED_VALUE"""),"Via Vecellio 34")</f>
        <v>Via Vecellio 34</v>
      </c>
      <c r="K578" s="763">
        <f>IFERROR(__xludf.DUMMYFUNCTION("""COMPUTED_VALUE"""),35020.0)</f>
        <v>35020</v>
      </c>
      <c r="L578" s="763" t="str">
        <f>IFERROR(__xludf.DUMMYFUNCTION("""COMPUTED_VALUE"""),"Apple Pay")</f>
        <v>Apple Pay</v>
      </c>
      <c r="M578" s="763"/>
      <c r="N578" s="763" t="str">
        <f>IFERROR(__xludf.DUMMYFUNCTION("""COMPUTED_VALUE"""),"66128-1763299490")</f>
        <v>66128-1763299490</v>
      </c>
      <c r="O578" s="763">
        <f>IFERROR(__xludf.DUMMYFUNCTION("""COMPUTED_VALUE"""),0.0)</f>
        <v>0</v>
      </c>
      <c r="P578" s="767">
        <f>IFERROR(__xludf.DUMMYFUNCTION("""COMPUTED_VALUE"""),2.2916666666666665)</f>
        <v>2.291666667</v>
      </c>
      <c r="Q578" s="763" t="str">
        <f>IFERROR(__xludf.DUMMYFUNCTION("""COMPUTED_VALUE"""),"EUR")</f>
        <v>EUR</v>
      </c>
      <c r="R578" s="763">
        <f>IFERROR(__xludf.DUMMYFUNCTION("""COMPUTED_VALUE"""),1076.0)</f>
        <v>1076</v>
      </c>
      <c r="S578" s="763" t="str">
        <f>IFERROR(__xludf.DUMMYFUNCTION("""COMPUTED_VALUE"""),"Festa di Natale 2025 - Festa di natale 2025 lezioni + pizza + serata 55€")</f>
        <v>Festa di Natale 2025 - Festa di natale 2025 lezioni + pizza + serata 55€</v>
      </c>
      <c r="T578" s="763"/>
      <c r="U578" s="763"/>
      <c r="V578" s="763">
        <f>IFERROR(__xludf.DUMMYFUNCTION("""COMPUTED_VALUE"""),1.0)</f>
        <v>1</v>
      </c>
      <c r="W578" s="763">
        <f>IFERROR(__xludf.DUMMYFUNCTION("""COMPUTED_VALUE"""),55.0)</f>
        <v>55</v>
      </c>
      <c r="X578" s="763">
        <f>IFERROR(__xludf.DUMMYFUNCTION("""COMPUTED_VALUE"""),55.0)</f>
        <v>55</v>
      </c>
      <c r="Y578" s="763"/>
      <c r="Z578" s="768" t="str">
        <f>IFERROR(__xludf.DUMMYFUNCTION("""COMPUTED_VALUE"""),"https://studio-gem.it/wp-admin/post.php?post=66128&amp;action=edit")</f>
        <v>https://studio-gem.it/wp-admin/post.php?post=66128&amp;action=edit</v>
      </c>
      <c r="AA578" s="763"/>
      <c r="AB578" s="763"/>
      <c r="AC578" s="763"/>
      <c r="AD578" s="763"/>
      <c r="AE578" s="763"/>
      <c r="AF578" s="763"/>
      <c r="AG578" s="763"/>
      <c r="AH578" s="763"/>
      <c r="AI578" s="763"/>
      <c r="AJ578" s="763"/>
      <c r="AK578" s="763"/>
      <c r="AL578" s="763"/>
      <c r="AM578" s="763"/>
      <c r="AN578" s="763"/>
      <c r="AO578" s="763"/>
      <c r="AP578" s="763"/>
      <c r="AQ578" s="763"/>
      <c r="AR578" s="763"/>
      <c r="AS578" s="763"/>
      <c r="AT578" s="763"/>
      <c r="AU578" s="763"/>
      <c r="AV578" s="763"/>
      <c r="AW578" s="763"/>
      <c r="AX578" s="763"/>
      <c r="AY578" s="763"/>
      <c r="AZ578" s="763"/>
      <c r="BA578" s="763"/>
      <c r="BB578" s="763"/>
      <c r="BC578" s="763"/>
      <c r="BD578" s="763"/>
      <c r="BE578" s="763"/>
      <c r="BF578" s="763"/>
      <c r="BG578" s="763" t="b">
        <f>IFERROR(__xludf.DUMMYFUNCTION("""COMPUTED_VALUE"""),TRUE)</f>
        <v>1</v>
      </c>
      <c r="BH578" s="763" t="b">
        <f>IFERROR(__xludf.DUMMYFUNCTION("""COMPUTED_VALUE"""),FALSE)</f>
        <v>0</v>
      </c>
      <c r="BI578" s="763" t="b">
        <f>IFERROR(__xludf.DUMMYFUNCTION("""COMPUTED_VALUE"""),TRUE)</f>
        <v>1</v>
      </c>
      <c r="BJ578" s="763" t="b">
        <f>IFERROR(__xludf.DUMMYFUNCTION("""COMPUTED_VALUE"""),TRUE)</f>
        <v>1</v>
      </c>
    </row>
    <row r="579">
      <c r="A579" s="763">
        <f>IFERROR(__xludf.DUMMYFUNCTION("""COMPUTED_VALUE"""),66141.0)</f>
        <v>66141</v>
      </c>
      <c r="B579" s="763">
        <f>IFERROR(__xludf.DUMMYFUNCTION("""COMPUTED_VALUE"""),66141.0)</f>
        <v>66141</v>
      </c>
      <c r="C579" s="763" t="str">
        <f>IFERROR(__xludf.DUMMYFUNCTION("""COMPUTED_VALUE"""),"2025-11-16 19:01:08")</f>
        <v>2025-11-16 19:01:08</v>
      </c>
      <c r="D579" s="763" t="str">
        <f>IFERROR(__xludf.DUMMYFUNCTION("""COMPUTED_VALUE"""),"completed")</f>
        <v>completed</v>
      </c>
      <c r="E579" s="763" t="str">
        <f>IFERROR(__xludf.DUMMYFUNCTION("""COMPUTED_VALUE"""),"Cristina")</f>
        <v>Cristina</v>
      </c>
      <c r="F579" s="763" t="str">
        <f>IFERROR(__xludf.DUMMYFUNCTION("""COMPUTED_VALUE"""),"Bazzaro")</f>
        <v>Bazzaro</v>
      </c>
      <c r="G579" s="763" t="str">
        <f>IFERROR(__xludf.DUMMYFUNCTION("""COMPUTED_VALUE"""),"cribazar@yahoo.com")</f>
        <v>cribazar@yahoo.com</v>
      </c>
      <c r="H579" s="763">
        <f>IFERROR(__xludf.DUMMYFUNCTION("""COMPUTED_VALUE"""),3.346236628E9)</f>
        <v>3346236628</v>
      </c>
      <c r="I579" s="763" t="str">
        <f>IFERROR(__xludf.DUMMYFUNCTION("""COMPUTED_VALUE"""),"Milano")</f>
        <v>Milano</v>
      </c>
      <c r="J579" s="763" t="str">
        <f>IFERROR(__xludf.DUMMYFUNCTION("""COMPUTED_VALUE"""),"Piazza del Rosario 1")</f>
        <v>Piazza del Rosario 1</v>
      </c>
      <c r="K579" s="763">
        <f>IFERROR(__xludf.DUMMYFUNCTION("""COMPUTED_VALUE"""),20144.0)</f>
        <v>20144</v>
      </c>
      <c r="L579" s="763"/>
      <c r="M579" s="763"/>
      <c r="N579" s="763"/>
      <c r="O579" s="763">
        <f>IFERROR(__xludf.DUMMYFUNCTION("""COMPUTED_VALUE"""),0.0)</f>
        <v>0</v>
      </c>
      <c r="P579" s="767">
        <f>IFERROR(__xludf.DUMMYFUNCTION("""COMPUTED_VALUE"""),0.0)</f>
        <v>0</v>
      </c>
      <c r="Q579" s="763" t="str">
        <f>IFERROR(__xludf.DUMMYFUNCTION("""COMPUTED_VALUE"""),"EUR")</f>
        <v>EUR</v>
      </c>
      <c r="R579" s="763">
        <f>IFERROR(__xludf.DUMMYFUNCTION("""COMPUTED_VALUE"""),1077.0)</f>
        <v>1077</v>
      </c>
      <c r="S579" s="763" t="str">
        <f>IFERROR(__xludf.DUMMYFUNCTION("""COMPUTED_VALUE"""),"Domeniche in movimento - Gratuito per open fitness e open mattino 2 lezioni dalle 10 alle 11.50")</f>
        <v>Domeniche in movimento - Gratuito per open fitness e open mattino 2 lezioni dalle 10 alle 11.50</v>
      </c>
      <c r="T579" s="763"/>
      <c r="U579" s="763"/>
      <c r="V579" s="763">
        <f>IFERROR(__xludf.DUMMYFUNCTION("""COMPUTED_VALUE"""),1.0)</f>
        <v>1</v>
      </c>
      <c r="W579" s="763">
        <f>IFERROR(__xludf.DUMMYFUNCTION("""COMPUTED_VALUE"""),0.0)</f>
        <v>0</v>
      </c>
      <c r="X579" s="763">
        <f>IFERROR(__xludf.DUMMYFUNCTION("""COMPUTED_VALUE"""),0.0)</f>
        <v>0</v>
      </c>
      <c r="Y579" s="763"/>
      <c r="Z579" s="768" t="str">
        <f>IFERROR(__xludf.DUMMYFUNCTION("""COMPUTED_VALUE"""),"https://studio-gem.it/wp-admin/post.php?post=66141&amp;action=edit")</f>
        <v>https://studio-gem.it/wp-admin/post.php?post=66141&amp;action=edit</v>
      </c>
      <c r="AA579" s="763"/>
      <c r="AB579" s="763"/>
      <c r="AC579" s="763"/>
      <c r="AD579" s="763"/>
      <c r="AE579" s="763"/>
      <c r="AF579" s="763"/>
      <c r="AG579" s="763"/>
      <c r="AH579" s="763"/>
      <c r="AI579" s="763"/>
      <c r="AJ579" s="763"/>
      <c r="AK579" s="763"/>
      <c r="AL579" s="763"/>
      <c r="AM579" s="763"/>
      <c r="AN579" s="763"/>
      <c r="AO579" s="763"/>
      <c r="AP579" s="763"/>
      <c r="AQ579" s="763"/>
      <c r="AR579" s="763"/>
      <c r="AS579" s="763"/>
      <c r="AT579" s="763"/>
      <c r="AU579" s="763"/>
      <c r="AV579" s="763"/>
      <c r="AW579" s="763"/>
      <c r="AX579" s="763"/>
      <c r="AY579" s="763"/>
      <c r="AZ579" s="763"/>
      <c r="BA579" s="763"/>
      <c r="BB579" s="763"/>
      <c r="BC579" s="763"/>
      <c r="BD579" s="763"/>
      <c r="BE579" s="763"/>
      <c r="BF579" s="763"/>
      <c r="BG579" s="763" t="b">
        <f>IFERROR(__xludf.DUMMYFUNCTION("""COMPUTED_VALUE"""),TRUE)</f>
        <v>1</v>
      </c>
      <c r="BH579" s="763" t="b">
        <f>IFERROR(__xludf.DUMMYFUNCTION("""COMPUTED_VALUE"""),FALSE)</f>
        <v>0</v>
      </c>
      <c r="BI579" s="763" t="b">
        <f>IFERROR(__xludf.DUMMYFUNCTION("""COMPUTED_VALUE"""),TRUE)</f>
        <v>1</v>
      </c>
      <c r="BJ579" s="763" t="b">
        <f>IFERROR(__xludf.DUMMYFUNCTION("""COMPUTED_VALUE"""),FALSE)</f>
        <v>0</v>
      </c>
    </row>
    <row r="580">
      <c r="A580" s="763">
        <f>IFERROR(__xludf.DUMMYFUNCTION("""COMPUTED_VALUE"""),66143.0)</f>
        <v>66143</v>
      </c>
      <c r="B580" s="763">
        <f>IFERROR(__xludf.DUMMYFUNCTION("""COMPUTED_VALUE"""),66143.0)</f>
        <v>66143</v>
      </c>
      <c r="C580" s="763" t="str">
        <f>IFERROR(__xludf.DUMMYFUNCTION("""COMPUTED_VALUE"""),"2025-11-16 19:05:12")</f>
        <v>2025-11-16 19:05:12</v>
      </c>
      <c r="D580" s="763" t="str">
        <f>IFERROR(__xludf.DUMMYFUNCTION("""COMPUTED_VALUE"""),"completed")</f>
        <v>completed</v>
      </c>
      <c r="E580" s="763" t="str">
        <f>IFERROR(__xludf.DUMMYFUNCTION("""COMPUTED_VALUE"""),"Massimiliano")</f>
        <v>Massimiliano</v>
      </c>
      <c r="F580" s="763" t="str">
        <f>IFERROR(__xludf.DUMMYFUNCTION("""COMPUTED_VALUE"""),"Santamaria")</f>
        <v>Santamaria</v>
      </c>
      <c r="G580" s="763" t="str">
        <f>IFERROR(__xludf.DUMMYFUNCTION("""COMPUTED_VALUE"""),"massimiliano.santamaria@outlook.it")</f>
        <v>massimiliano.santamaria@outlook.it</v>
      </c>
      <c r="H580" s="763">
        <f>IFERROR(__xludf.DUMMYFUNCTION("""COMPUTED_VALUE"""),3.477135947E9)</f>
        <v>3477135947</v>
      </c>
      <c r="I580" s="763" t="str">
        <f>IFERROR(__xludf.DUMMYFUNCTION("""COMPUTED_VALUE"""),"Milano")</f>
        <v>Milano</v>
      </c>
      <c r="J580" s="763" t="str">
        <f>IFERROR(__xludf.DUMMYFUNCTION("""COMPUTED_VALUE"""),"Via Valsesia 24")</f>
        <v>Via Valsesia 24</v>
      </c>
      <c r="K580" s="763">
        <f>IFERROR(__xludf.DUMMYFUNCTION("""COMPUTED_VALUE"""),20152.0)</f>
        <v>20152</v>
      </c>
      <c r="L580" s="763" t="str">
        <f>IFERROR(__xludf.DUMMYFUNCTION("""COMPUTED_VALUE"""),"Google Pay")</f>
        <v>Google Pay</v>
      </c>
      <c r="M580" s="763" t="str">
        <f>IFERROR(__xludf.DUMMYFUNCTION("""COMPUTED_VALUE"""),"nura05natale")</f>
        <v>nura05natale</v>
      </c>
      <c r="N580" s="763" t="str">
        <f>IFERROR(__xludf.DUMMYFUNCTION("""COMPUTED_VALUE"""),"66143-1763319913")</f>
        <v>66143-1763319913</v>
      </c>
      <c r="O580" s="763">
        <f>IFERROR(__xludf.DUMMYFUNCTION("""COMPUTED_VALUE"""),0.0)</f>
        <v>0</v>
      </c>
      <c r="P580" s="767">
        <f>IFERROR(__xludf.DUMMYFUNCTION("""COMPUTED_VALUE"""),2.0833333333333335)</f>
        <v>2.083333333</v>
      </c>
      <c r="Q580" s="763" t="str">
        <f>IFERROR(__xludf.DUMMYFUNCTION("""COMPUTED_VALUE"""),"EUR")</f>
        <v>EUR</v>
      </c>
      <c r="R580" s="763">
        <f>IFERROR(__xludf.DUMMYFUNCTION("""COMPUTED_VALUE"""),1078.0)</f>
        <v>1078</v>
      </c>
      <c r="S580" s="763" t="str">
        <f>IFERROR(__xludf.DUMMYFUNCTION("""COMPUTED_VALUE"""),"Festa di Natale 2025 - Festa di natale 2025 lezioni + pizza + serata 55€")</f>
        <v>Festa di Natale 2025 - Festa di natale 2025 lezioni + pizza + serata 55€</v>
      </c>
      <c r="T580" s="763"/>
      <c r="U580" s="763"/>
      <c r="V580" s="763">
        <f>IFERROR(__xludf.DUMMYFUNCTION("""COMPUTED_VALUE"""),1.0)</f>
        <v>1</v>
      </c>
      <c r="W580" s="763">
        <f>IFERROR(__xludf.DUMMYFUNCTION("""COMPUTED_VALUE"""),50.0)</f>
        <v>50</v>
      </c>
      <c r="X580" s="763">
        <f>IFERROR(__xludf.DUMMYFUNCTION("""COMPUTED_VALUE"""),50.0)</f>
        <v>50</v>
      </c>
      <c r="Y580" s="763"/>
      <c r="Z580" s="768" t="str">
        <f>IFERROR(__xludf.DUMMYFUNCTION("""COMPUTED_VALUE"""),"https://studio-gem.it/wp-admin/post.php?post=66143&amp;action=edit")</f>
        <v>https://studio-gem.it/wp-admin/post.php?post=66143&amp;action=edit</v>
      </c>
      <c r="AA580" s="763"/>
      <c r="AB580" s="763"/>
      <c r="AC580" s="763"/>
      <c r="AD580" s="763"/>
      <c r="AE580" s="763"/>
      <c r="AF580" s="763"/>
      <c r="AG580" s="763"/>
      <c r="AH580" s="763"/>
      <c r="AI580" s="763"/>
      <c r="AJ580" s="763"/>
      <c r="AK580" s="763"/>
      <c r="AL580" s="763"/>
      <c r="AM580" s="763"/>
      <c r="AN580" s="763"/>
      <c r="AO580" s="763"/>
      <c r="AP580" s="763"/>
      <c r="AQ580" s="763"/>
      <c r="AR580" s="763"/>
      <c r="AS580" s="763"/>
      <c r="AT580" s="763"/>
      <c r="AU580" s="763"/>
      <c r="AV580" s="763"/>
      <c r="AW580" s="763"/>
      <c r="AX580" s="763"/>
      <c r="AY580" s="763"/>
      <c r="AZ580" s="763"/>
      <c r="BA580" s="763"/>
      <c r="BB580" s="763"/>
      <c r="BC580" s="763"/>
      <c r="BD580" s="763"/>
      <c r="BE580" s="763"/>
      <c r="BF580" s="763"/>
      <c r="BG580" s="763" t="b">
        <f>IFERROR(__xludf.DUMMYFUNCTION("""COMPUTED_VALUE"""),TRUE)</f>
        <v>1</v>
      </c>
      <c r="BH580" s="763" t="b">
        <f>IFERROR(__xludf.DUMMYFUNCTION("""COMPUTED_VALUE"""),FALSE)</f>
        <v>0</v>
      </c>
      <c r="BI580" s="763" t="b">
        <f>IFERROR(__xludf.DUMMYFUNCTION("""COMPUTED_VALUE"""),TRUE)</f>
        <v>1</v>
      </c>
      <c r="BJ580" s="763" t="b">
        <f>IFERROR(__xludf.DUMMYFUNCTION("""COMPUTED_VALUE"""),TRUE)</f>
        <v>1</v>
      </c>
    </row>
    <row r="581">
      <c r="A581" s="763">
        <f>IFERROR(__xludf.DUMMYFUNCTION("""COMPUTED_VALUE"""),66145.0)</f>
        <v>66145</v>
      </c>
      <c r="B581" s="763">
        <f>IFERROR(__xludf.DUMMYFUNCTION("""COMPUTED_VALUE"""),66145.0)</f>
        <v>66145</v>
      </c>
      <c r="C581" s="763" t="str">
        <f>IFERROR(__xludf.DUMMYFUNCTION("""COMPUTED_VALUE"""),"2025-11-17 06:45:31")</f>
        <v>2025-11-17 06:45:31</v>
      </c>
      <c r="D581" s="763" t="str">
        <f>IFERROR(__xludf.DUMMYFUNCTION("""COMPUTED_VALUE"""),"pending")</f>
        <v>pending</v>
      </c>
      <c r="E581" s="763" t="str">
        <f>IFERROR(__xludf.DUMMYFUNCTION("""COMPUTED_VALUE"""),"Loredana")</f>
        <v>Loredana</v>
      </c>
      <c r="F581" s="763" t="str">
        <f>IFERROR(__xludf.DUMMYFUNCTION("""COMPUTED_VALUE"""),"Sutera")</f>
        <v>Sutera</v>
      </c>
      <c r="G581" s="763" t="str">
        <f>IFERROR(__xludf.DUMMYFUNCTION("""COMPUTED_VALUE"""),"loredanasutera79@gmail.com")</f>
        <v>loredanasutera79@gmail.com</v>
      </c>
      <c r="H581" s="763">
        <f>IFERROR(__xludf.DUMMYFUNCTION("""COMPUTED_VALUE"""),3.299261349E9)</f>
        <v>3299261349</v>
      </c>
      <c r="I581" s="763" t="str">
        <f>IFERROR(__xludf.DUMMYFUNCTION("""COMPUTED_VALUE"""),"Milano")</f>
        <v>Milano</v>
      </c>
      <c r="J581" s="763" t="str">
        <f>IFERROR(__xludf.DUMMYFUNCTION("""COMPUTED_VALUE"""),"Via ponti della priula 2")</f>
        <v>Via ponti della priula 2</v>
      </c>
      <c r="K581" s="763">
        <f>IFERROR(__xludf.DUMMYFUNCTION("""COMPUTED_VALUE"""),20100.0)</f>
        <v>20100</v>
      </c>
      <c r="L581" s="763" t="str">
        <f>IFERROR(__xludf.DUMMYFUNCTION("""COMPUTED_VALUE"""),"Carte di pagamento")</f>
        <v>Carte di pagamento</v>
      </c>
      <c r="M581" s="763" t="str">
        <f>IFERROR(__xludf.DUMMYFUNCTION("""COMPUTED_VALUE"""),"alexandra05natale")</f>
        <v>alexandra05natale</v>
      </c>
      <c r="N581" s="763"/>
      <c r="O581" s="763">
        <f>IFERROR(__xludf.DUMMYFUNCTION("""COMPUTED_VALUE"""),0.0)</f>
        <v>0</v>
      </c>
      <c r="P581" s="767">
        <f>IFERROR(__xludf.DUMMYFUNCTION("""COMPUTED_VALUE"""),0.8333333333333334)</f>
        <v>0.8333333333</v>
      </c>
      <c r="Q581" s="763" t="str">
        <f>IFERROR(__xludf.DUMMYFUNCTION("""COMPUTED_VALUE"""),"EUR")</f>
        <v>EUR</v>
      </c>
      <c r="R581" s="763">
        <f>IFERROR(__xludf.DUMMYFUNCTION("""COMPUTED_VALUE"""),1080.0)</f>
        <v>1080</v>
      </c>
      <c r="S581" s="763" t="str">
        <f>IFERROR(__xludf.DUMMYFUNCTION("""COMPUTED_VALUE"""),"Festa di Natale 2025 - Festa di natale 2025 SOLO serata 25€")</f>
        <v>Festa di Natale 2025 - Festa di natale 2025 SOLO serata 25€</v>
      </c>
      <c r="T581" s="763"/>
      <c r="U581" s="763"/>
      <c r="V581" s="763">
        <f>IFERROR(__xludf.DUMMYFUNCTION("""COMPUTED_VALUE"""),1.0)</f>
        <v>1</v>
      </c>
      <c r="W581" s="763">
        <f>IFERROR(__xludf.DUMMYFUNCTION("""COMPUTED_VALUE"""),20.0)</f>
        <v>20</v>
      </c>
      <c r="X581" s="763">
        <f>IFERROR(__xludf.DUMMYFUNCTION("""COMPUTED_VALUE"""),20.0)</f>
        <v>20</v>
      </c>
      <c r="Y581" s="763"/>
      <c r="Z581" s="768" t="str">
        <f>IFERROR(__xludf.DUMMYFUNCTION("""COMPUTED_VALUE"""),"https://studio-gem.it/wp-admin/post.php?post=66145&amp;action=edit")</f>
        <v>https://studio-gem.it/wp-admin/post.php?post=66145&amp;action=edit</v>
      </c>
      <c r="AA581" s="763"/>
      <c r="AB581" s="763"/>
      <c r="AC581" s="763"/>
      <c r="AD581" s="763"/>
      <c r="AE581" s="763"/>
      <c r="AF581" s="763"/>
      <c r="AG581" s="763"/>
      <c r="AH581" s="763"/>
      <c r="AI581" s="763"/>
      <c r="AJ581" s="763"/>
      <c r="AK581" s="763"/>
      <c r="AL581" s="763"/>
      <c r="AM581" s="763"/>
      <c r="AN581" s="763"/>
      <c r="AO581" s="763"/>
      <c r="AP581" s="763"/>
      <c r="AQ581" s="763"/>
      <c r="AR581" s="763"/>
      <c r="AS581" s="763"/>
      <c r="AT581" s="763"/>
      <c r="AU581" s="763"/>
      <c r="AV581" s="763"/>
      <c r="AW581" s="763"/>
      <c r="AX581" s="763"/>
      <c r="AY581" s="763"/>
      <c r="AZ581" s="763"/>
      <c r="BA581" s="763"/>
      <c r="BB581" s="763"/>
      <c r="BC581" s="763"/>
      <c r="BD581" s="763"/>
      <c r="BE581" s="763"/>
      <c r="BF581" s="763"/>
      <c r="BG581" s="763" t="b">
        <f>IFERROR(__xludf.DUMMYFUNCTION("""COMPUTED_VALUE"""),FALSE)</f>
        <v>0</v>
      </c>
      <c r="BH581" s="763" t="b">
        <f>IFERROR(__xludf.DUMMYFUNCTION("""COMPUTED_VALUE"""),FALSE)</f>
        <v>0</v>
      </c>
      <c r="BI581" s="763" t="b">
        <f>IFERROR(__xludf.DUMMYFUNCTION("""COMPUTED_VALUE"""),FALSE)</f>
        <v>0</v>
      </c>
      <c r="BJ581" s="763" t="b">
        <f>IFERROR(__xludf.DUMMYFUNCTION("""COMPUTED_VALUE"""),FALSE)</f>
        <v>0</v>
      </c>
    </row>
    <row r="582">
      <c r="A582" s="763">
        <f>IFERROR(__xludf.DUMMYFUNCTION("""COMPUTED_VALUE"""),66156.0)</f>
        <v>66156</v>
      </c>
      <c r="B582" s="763">
        <f>IFERROR(__xludf.DUMMYFUNCTION("""COMPUTED_VALUE"""),66156.0)</f>
        <v>66156</v>
      </c>
      <c r="C582" s="763" t="str">
        <f>IFERROR(__xludf.DUMMYFUNCTION("""COMPUTED_VALUE"""),"2025-11-17 10:23:30")</f>
        <v>2025-11-17 10:23:30</v>
      </c>
      <c r="D582" s="763" t="str">
        <f>IFERROR(__xludf.DUMMYFUNCTION("""COMPUTED_VALUE"""),"completed")</f>
        <v>completed</v>
      </c>
      <c r="E582" s="763" t="str">
        <f>IFERROR(__xludf.DUMMYFUNCTION("""COMPUTED_VALUE"""),"Paolo")</f>
        <v>Paolo</v>
      </c>
      <c r="F582" s="763" t="str">
        <f>IFERROR(__xludf.DUMMYFUNCTION("""COMPUTED_VALUE"""),"Vecchiolla")</f>
        <v>Vecchiolla</v>
      </c>
      <c r="G582" s="763" t="str">
        <f>IFERROR(__xludf.DUMMYFUNCTION("""COMPUTED_VALUE"""),"biccari94@gmail.com")</f>
        <v>biccari94@gmail.com</v>
      </c>
      <c r="H582" s="763">
        <f>IFERROR(__xludf.DUMMYFUNCTION("""COMPUTED_VALUE"""),3.401866792E9)</f>
        <v>3401866792</v>
      </c>
      <c r="I582" s="763" t="str">
        <f>IFERROR(__xludf.DUMMYFUNCTION("""COMPUTED_VALUE"""),"Milano")</f>
        <v>Milano</v>
      </c>
      <c r="J582" s="763" t="str">
        <f>IFERROR(__xludf.DUMMYFUNCTION("""COMPUTED_VALUE"""),"Via ripamonti 18")</f>
        <v>Via ripamonti 18</v>
      </c>
      <c r="K582" s="763">
        <f>IFERROR(__xludf.DUMMYFUNCTION("""COMPUTED_VALUE"""),20136.0)</f>
        <v>20136</v>
      </c>
      <c r="L582" s="763" t="str">
        <f>IFERROR(__xludf.DUMMYFUNCTION("""COMPUTED_VALUE"""),"Carte di pagamento")</f>
        <v>Carte di pagamento</v>
      </c>
      <c r="M582" s="763" t="str">
        <f>IFERROR(__xludf.DUMMYFUNCTION("""COMPUTED_VALUE"""),"santo05natale")</f>
        <v>santo05natale</v>
      </c>
      <c r="N582" s="763" t="str">
        <f>IFERROR(__xludf.DUMMYFUNCTION("""COMPUTED_VALUE"""),"66156-1763375011")</f>
        <v>66156-1763375011</v>
      </c>
      <c r="O582" s="763">
        <f>IFERROR(__xludf.DUMMYFUNCTION("""COMPUTED_VALUE"""),0.0)</f>
        <v>0</v>
      </c>
      <c r="P582" s="767">
        <f>IFERROR(__xludf.DUMMYFUNCTION("""COMPUTED_VALUE"""),2.0833333333333335)</f>
        <v>2.083333333</v>
      </c>
      <c r="Q582" s="763" t="str">
        <f>IFERROR(__xludf.DUMMYFUNCTION("""COMPUTED_VALUE"""),"EUR")</f>
        <v>EUR</v>
      </c>
      <c r="R582" s="763">
        <f>IFERROR(__xludf.DUMMYFUNCTION("""COMPUTED_VALUE"""),1082.0)</f>
        <v>1082</v>
      </c>
      <c r="S582" s="763" t="str">
        <f>IFERROR(__xludf.DUMMYFUNCTION("""COMPUTED_VALUE"""),"Festa di Natale 2025 - Festa di natale 2025 lezioni + pizza + serata 55€")</f>
        <v>Festa di Natale 2025 - Festa di natale 2025 lezioni + pizza + serata 55€</v>
      </c>
      <c r="T582" s="763"/>
      <c r="U582" s="763"/>
      <c r="V582" s="763">
        <f>IFERROR(__xludf.DUMMYFUNCTION("""COMPUTED_VALUE"""),1.0)</f>
        <v>1</v>
      </c>
      <c r="W582" s="763">
        <f>IFERROR(__xludf.DUMMYFUNCTION("""COMPUTED_VALUE"""),50.0)</f>
        <v>50</v>
      </c>
      <c r="X582" s="763">
        <f>IFERROR(__xludf.DUMMYFUNCTION("""COMPUTED_VALUE"""),50.0)</f>
        <v>50</v>
      </c>
      <c r="Y582" s="763"/>
      <c r="Z582" s="768" t="str">
        <f>IFERROR(__xludf.DUMMYFUNCTION("""COMPUTED_VALUE"""),"https://studio-gem.it/wp-admin/post.php?post=66156&amp;action=edit")</f>
        <v>https://studio-gem.it/wp-admin/post.php?post=66156&amp;action=edit</v>
      </c>
      <c r="AA582" s="763"/>
      <c r="AB582" s="763"/>
      <c r="AC582" s="763"/>
      <c r="AD582" s="763"/>
      <c r="AE582" s="763"/>
      <c r="AF582" s="763"/>
      <c r="AG582" s="763"/>
      <c r="AH582" s="763"/>
      <c r="AI582" s="763"/>
      <c r="AJ582" s="763"/>
      <c r="AK582" s="763"/>
      <c r="AL582" s="763"/>
      <c r="AM582" s="763"/>
      <c r="AN582" s="763"/>
      <c r="AO582" s="763"/>
      <c r="AP582" s="763"/>
      <c r="AQ582" s="763"/>
      <c r="AR582" s="763"/>
      <c r="AS582" s="763"/>
      <c r="AT582" s="763"/>
      <c r="AU582" s="763"/>
      <c r="AV582" s="763"/>
      <c r="AW582" s="763"/>
      <c r="AX582" s="763"/>
      <c r="AY582" s="763"/>
      <c r="AZ582" s="763"/>
      <c r="BA582" s="763"/>
      <c r="BB582" s="763"/>
      <c r="BC582" s="763"/>
      <c r="BD582" s="763"/>
      <c r="BE582" s="763"/>
      <c r="BF582" s="763"/>
      <c r="BG582" s="763" t="b">
        <f>IFERROR(__xludf.DUMMYFUNCTION("""COMPUTED_VALUE"""),TRUE)</f>
        <v>1</v>
      </c>
      <c r="BH582" s="763" t="b">
        <f>IFERROR(__xludf.DUMMYFUNCTION("""COMPUTED_VALUE"""),FALSE)</f>
        <v>0</v>
      </c>
      <c r="BI582" s="763" t="b">
        <f>IFERROR(__xludf.DUMMYFUNCTION("""COMPUTED_VALUE"""),TRUE)</f>
        <v>1</v>
      </c>
      <c r="BJ582" s="763" t="b">
        <f>IFERROR(__xludf.DUMMYFUNCTION("""COMPUTED_VALUE"""),TRUE)</f>
        <v>1</v>
      </c>
    </row>
    <row r="583">
      <c r="A583" s="763">
        <f>IFERROR(__xludf.DUMMYFUNCTION("""COMPUTED_VALUE"""),66159.0)</f>
        <v>66159</v>
      </c>
      <c r="B583" s="763">
        <f>IFERROR(__xludf.DUMMYFUNCTION("""COMPUTED_VALUE"""),66159.0)</f>
        <v>66159</v>
      </c>
      <c r="C583" s="763" t="str">
        <f>IFERROR(__xludf.DUMMYFUNCTION("""COMPUTED_VALUE"""),"2025-11-17 19:51:54")</f>
        <v>2025-11-17 19:51:54</v>
      </c>
      <c r="D583" s="763" t="str">
        <f>IFERROR(__xludf.DUMMYFUNCTION("""COMPUTED_VALUE"""),"completed")</f>
        <v>completed</v>
      </c>
      <c r="E583" s="763" t="str">
        <f>IFERROR(__xludf.DUMMYFUNCTION("""COMPUTED_VALUE"""),"Gaia")</f>
        <v>Gaia</v>
      </c>
      <c r="F583" s="763" t="str">
        <f>IFERROR(__xludf.DUMMYFUNCTION("""COMPUTED_VALUE"""),"Cappuccino")</f>
        <v>Cappuccino</v>
      </c>
      <c r="G583" s="763" t="str">
        <f>IFERROR(__xludf.DUMMYFUNCTION("""COMPUTED_VALUE"""),"gaia.cappuccino@hotmail.it")</f>
        <v>gaia.cappuccino@hotmail.it</v>
      </c>
      <c r="H583" s="763">
        <f>IFERROR(__xludf.DUMMYFUNCTION("""COMPUTED_VALUE"""),3.496239749E9)</f>
        <v>3496239749</v>
      </c>
      <c r="I583" s="763" t="str">
        <f>IFERROR(__xludf.DUMMYFUNCTION("""COMPUTED_VALUE"""),"Milano")</f>
        <v>Milano</v>
      </c>
      <c r="J583" s="763" t="str">
        <f>IFERROR(__xludf.DUMMYFUNCTION("""COMPUTED_VALUE"""),"Via Crema, 2")</f>
        <v>Via Crema, 2</v>
      </c>
      <c r="K583" s="763">
        <f>IFERROR(__xludf.DUMMYFUNCTION("""COMPUTED_VALUE"""),20135.0)</f>
        <v>20135</v>
      </c>
      <c r="L583" s="763"/>
      <c r="M583" s="763"/>
      <c r="N583" s="763"/>
      <c r="O583" s="763">
        <f>IFERROR(__xludf.DUMMYFUNCTION("""COMPUTED_VALUE"""),0.0)</f>
        <v>0</v>
      </c>
      <c r="P583" s="767">
        <f>IFERROR(__xludf.DUMMYFUNCTION("""COMPUTED_VALUE"""),0.0)</f>
        <v>0</v>
      </c>
      <c r="Q583" s="763" t="str">
        <f>IFERROR(__xludf.DUMMYFUNCTION("""COMPUTED_VALUE"""),"EUR")</f>
        <v>EUR</v>
      </c>
      <c r="R583" s="763">
        <f>IFERROR(__xludf.DUMMYFUNCTION("""COMPUTED_VALUE"""),1084.0)</f>
        <v>1084</v>
      </c>
      <c r="S583" s="763" t="str">
        <f>IFERROR(__xludf.DUMMYFUNCTION("""COMPUTED_VALUE"""),"Domeniche in movimento - Gratuito per open fitness e open mattino 1 lezione dalle 11 alle 11.50")</f>
        <v>Domeniche in movimento - Gratuito per open fitness e open mattino 1 lezione dalle 11 alle 11.50</v>
      </c>
      <c r="T583" s="763"/>
      <c r="U583" s="763"/>
      <c r="V583" s="763">
        <f>IFERROR(__xludf.DUMMYFUNCTION("""COMPUTED_VALUE"""),1.0)</f>
        <v>1</v>
      </c>
      <c r="W583" s="763">
        <f>IFERROR(__xludf.DUMMYFUNCTION("""COMPUTED_VALUE"""),0.0)</f>
        <v>0</v>
      </c>
      <c r="X583" s="763">
        <f>IFERROR(__xludf.DUMMYFUNCTION("""COMPUTED_VALUE"""),0.0)</f>
        <v>0</v>
      </c>
      <c r="Y583" s="763"/>
      <c r="Z583" s="768" t="str">
        <f>IFERROR(__xludf.DUMMYFUNCTION("""COMPUTED_VALUE"""),"https://studio-gem.it/wp-admin/post.php?post=66159&amp;action=edit")</f>
        <v>https://studio-gem.it/wp-admin/post.php?post=66159&amp;action=edit</v>
      </c>
      <c r="AA583" s="763"/>
      <c r="AB583" s="763"/>
      <c r="AC583" s="763"/>
      <c r="AD583" s="763"/>
      <c r="AE583" s="763"/>
      <c r="AF583" s="763"/>
      <c r="AG583" s="763"/>
      <c r="AH583" s="763"/>
      <c r="AI583" s="763"/>
      <c r="AJ583" s="763"/>
      <c r="AK583" s="763"/>
      <c r="AL583" s="763"/>
      <c r="AM583" s="763"/>
      <c r="AN583" s="763"/>
      <c r="AO583" s="763"/>
      <c r="AP583" s="763"/>
      <c r="AQ583" s="763"/>
      <c r="AR583" s="763"/>
      <c r="AS583" s="763"/>
      <c r="AT583" s="763"/>
      <c r="AU583" s="763"/>
      <c r="AV583" s="763"/>
      <c r="AW583" s="763"/>
      <c r="AX583" s="763"/>
      <c r="AY583" s="763"/>
      <c r="AZ583" s="763"/>
      <c r="BA583" s="763"/>
      <c r="BB583" s="763"/>
      <c r="BC583" s="763"/>
      <c r="BD583" s="763"/>
      <c r="BE583" s="763"/>
      <c r="BF583" s="763"/>
      <c r="BG583" s="763" t="b">
        <f>IFERROR(__xludf.DUMMYFUNCTION("""COMPUTED_VALUE"""),FALSE)</f>
        <v>0</v>
      </c>
      <c r="BH583" s="763" t="b">
        <f>IFERROR(__xludf.DUMMYFUNCTION("""COMPUTED_VALUE"""),FALSE)</f>
        <v>0</v>
      </c>
      <c r="BI583" s="763" t="b">
        <f>IFERROR(__xludf.DUMMYFUNCTION("""COMPUTED_VALUE"""),TRUE)</f>
        <v>1</v>
      </c>
      <c r="BJ583" s="763" t="b">
        <f>IFERROR(__xludf.DUMMYFUNCTION("""COMPUTED_VALUE"""),FALSE)</f>
        <v>0</v>
      </c>
    </row>
    <row r="584">
      <c r="A584" s="763">
        <f>IFERROR(__xludf.DUMMYFUNCTION("""COMPUTED_VALUE"""),66161.0)</f>
        <v>66161</v>
      </c>
      <c r="B584" s="763">
        <f>IFERROR(__xludf.DUMMYFUNCTION("""COMPUTED_VALUE"""),66161.0)</f>
        <v>66161</v>
      </c>
      <c r="C584" s="763" t="str">
        <f>IFERROR(__xludf.DUMMYFUNCTION("""COMPUTED_VALUE"""),"2025-11-17 21:02:42")</f>
        <v>2025-11-17 21:02:42</v>
      </c>
      <c r="D584" s="763" t="str">
        <f>IFERROR(__xludf.DUMMYFUNCTION("""COMPUTED_VALUE"""),"completed")</f>
        <v>completed</v>
      </c>
      <c r="E584" s="763" t="str">
        <f>IFERROR(__xludf.DUMMYFUNCTION("""COMPUTED_VALUE"""),"Max")</f>
        <v>Max</v>
      </c>
      <c r="F584" s="763" t="str">
        <f>IFERROR(__xludf.DUMMYFUNCTION("""COMPUTED_VALUE"""),"Da Vià")</f>
        <v>Da Vià</v>
      </c>
      <c r="G584" s="763" t="str">
        <f>IFERROR(__xludf.DUMMYFUNCTION("""COMPUTED_VALUE"""),"mdavia@gmsil.vom")</f>
        <v>mdavia@gmsil.vom</v>
      </c>
      <c r="H584" s="763">
        <f>IFERROR(__xludf.DUMMYFUNCTION("""COMPUTED_VALUE"""),3.473123328E9)</f>
        <v>3473123328</v>
      </c>
      <c r="I584" s="763" t="str">
        <f>IFERROR(__xludf.DUMMYFUNCTION("""COMPUTED_VALUE"""),"Milano")</f>
        <v>Milano</v>
      </c>
      <c r="J584" s="763" t="str">
        <f>IFERROR(__xludf.DUMMYFUNCTION("""COMPUTED_VALUE"""),"Via Friuli 24")</f>
        <v>Via Friuli 24</v>
      </c>
      <c r="K584" s="763">
        <f>IFERROR(__xludf.DUMMYFUNCTION("""COMPUTED_VALUE"""),20135.0)</f>
        <v>20135</v>
      </c>
      <c r="L584" s="763" t="str">
        <f>IFERROR(__xludf.DUMMYFUNCTION("""COMPUTED_VALUE"""),"Carte di pagamento")</f>
        <v>Carte di pagamento</v>
      </c>
      <c r="M584" s="763"/>
      <c r="N584" s="763" t="str">
        <f>IFERROR(__xludf.DUMMYFUNCTION("""COMPUTED_VALUE"""),"66161-1763413363")</f>
        <v>66161-1763413363</v>
      </c>
      <c r="O584" s="763">
        <f>IFERROR(__xludf.DUMMYFUNCTION("""COMPUTED_VALUE"""),0.0)</f>
        <v>0</v>
      </c>
      <c r="P584" s="767">
        <f>IFERROR(__xludf.DUMMYFUNCTION("""COMPUTED_VALUE"""),2.2916666666666665)</f>
        <v>2.291666667</v>
      </c>
      <c r="Q584" s="763" t="str">
        <f>IFERROR(__xludf.DUMMYFUNCTION("""COMPUTED_VALUE"""),"EUR")</f>
        <v>EUR</v>
      </c>
      <c r="R584" s="763">
        <f>IFERROR(__xludf.DUMMYFUNCTION("""COMPUTED_VALUE"""),1085.0)</f>
        <v>1085</v>
      </c>
      <c r="S584" s="763" t="str">
        <f>IFERROR(__xludf.DUMMYFUNCTION("""COMPUTED_VALUE"""),"Festa di Natale 2025 - Festa di natale 2025 lezioni + pizza + serata 55€")</f>
        <v>Festa di Natale 2025 - Festa di natale 2025 lezioni + pizza + serata 55€</v>
      </c>
      <c r="T584" s="763"/>
      <c r="U584" s="763"/>
      <c r="V584" s="763">
        <f>IFERROR(__xludf.DUMMYFUNCTION("""COMPUTED_VALUE"""),1.0)</f>
        <v>1</v>
      </c>
      <c r="W584" s="763">
        <f>IFERROR(__xludf.DUMMYFUNCTION("""COMPUTED_VALUE"""),55.0)</f>
        <v>55</v>
      </c>
      <c r="X584" s="763">
        <f>IFERROR(__xludf.DUMMYFUNCTION("""COMPUTED_VALUE"""),55.0)</f>
        <v>55</v>
      </c>
      <c r="Y584" s="763"/>
      <c r="Z584" s="768" t="str">
        <f>IFERROR(__xludf.DUMMYFUNCTION("""COMPUTED_VALUE"""),"https://studio-gem.it/wp-admin/post.php?post=66161&amp;action=edit")</f>
        <v>https://studio-gem.it/wp-admin/post.php?post=66161&amp;action=edit</v>
      </c>
      <c r="AA584" s="763"/>
      <c r="AB584" s="763"/>
      <c r="AC584" s="763"/>
      <c r="AD584" s="763"/>
      <c r="AE584" s="763"/>
      <c r="AF584" s="763"/>
      <c r="AG584" s="763"/>
      <c r="AH584" s="763"/>
      <c r="AI584" s="763"/>
      <c r="AJ584" s="763"/>
      <c r="AK584" s="763"/>
      <c r="AL584" s="763"/>
      <c r="AM584" s="763"/>
      <c r="AN584" s="763"/>
      <c r="AO584" s="763"/>
      <c r="AP584" s="763"/>
      <c r="AQ584" s="763"/>
      <c r="AR584" s="763"/>
      <c r="AS584" s="763"/>
      <c r="AT584" s="763"/>
      <c r="AU584" s="763"/>
      <c r="AV584" s="763"/>
      <c r="AW584" s="763"/>
      <c r="AX584" s="763"/>
      <c r="AY584" s="763"/>
      <c r="AZ584" s="763"/>
      <c r="BA584" s="763"/>
      <c r="BB584" s="763"/>
      <c r="BC584" s="763"/>
      <c r="BD584" s="763"/>
      <c r="BE584" s="763"/>
      <c r="BF584" s="763"/>
      <c r="BG584" s="763" t="b">
        <f>IFERROR(__xludf.DUMMYFUNCTION("""COMPUTED_VALUE"""),TRUE)</f>
        <v>1</v>
      </c>
      <c r="BH584" s="763" t="b">
        <f>IFERROR(__xludf.DUMMYFUNCTION("""COMPUTED_VALUE"""),FALSE)</f>
        <v>0</v>
      </c>
      <c r="BI584" s="763" t="b">
        <f>IFERROR(__xludf.DUMMYFUNCTION("""COMPUTED_VALUE"""),TRUE)</f>
        <v>1</v>
      </c>
      <c r="BJ584" s="763" t="b">
        <f>IFERROR(__xludf.DUMMYFUNCTION("""COMPUTED_VALUE"""),TRUE)</f>
        <v>1</v>
      </c>
    </row>
    <row r="585">
      <c r="A585" s="763">
        <f>IFERROR(__xludf.DUMMYFUNCTION("""COMPUTED_VALUE"""),66163.0)</f>
        <v>66163</v>
      </c>
      <c r="B585" s="763">
        <f>IFERROR(__xludf.DUMMYFUNCTION("""COMPUTED_VALUE"""),66163.0)</f>
        <v>66163</v>
      </c>
      <c r="C585" s="763" t="str">
        <f>IFERROR(__xludf.DUMMYFUNCTION("""COMPUTED_VALUE"""),"2025-11-18 10:14:14")</f>
        <v>2025-11-18 10:14:14</v>
      </c>
      <c r="D585" s="763" t="str">
        <f>IFERROR(__xludf.DUMMYFUNCTION("""COMPUTED_VALUE"""),"processing")</f>
        <v>processing</v>
      </c>
      <c r="E585" s="763" t="str">
        <f>IFERROR(__xludf.DUMMYFUNCTION("""COMPUTED_VALUE"""),"Elisa")</f>
        <v>Elisa</v>
      </c>
      <c r="F585" s="763" t="str">
        <f>IFERROR(__xludf.DUMMYFUNCTION("""COMPUTED_VALUE"""),"Nuzzo")</f>
        <v>Nuzzo</v>
      </c>
      <c r="G585" s="763" t="str">
        <f>IFERROR(__xludf.DUMMYFUNCTION("""COMPUTED_VALUE"""),"elisa.nuzzo@icloud.com")</f>
        <v>elisa.nuzzo@icloud.com</v>
      </c>
      <c r="H585" s="763">
        <f>IFERROR(__xludf.DUMMYFUNCTION("""COMPUTED_VALUE"""),3.482447756E9)</f>
        <v>3482447756</v>
      </c>
      <c r="I585" s="763" t="str">
        <f>IFERROR(__xludf.DUMMYFUNCTION("""COMPUTED_VALUE"""),"Milano")</f>
        <v>Milano</v>
      </c>
      <c r="J585" s="763" t="str">
        <f>IFERROR(__xludf.DUMMYFUNCTION("""COMPUTED_VALUE"""),"Via Vincenzo Vela 14")</f>
        <v>Via Vincenzo Vela 14</v>
      </c>
      <c r="K585" s="763">
        <f>IFERROR(__xludf.DUMMYFUNCTION("""COMPUTED_VALUE"""),20133.0)</f>
        <v>20133</v>
      </c>
      <c r="L585" s="763" t="str">
        <f>IFERROR(__xludf.DUMMYFUNCTION("""COMPUTED_VALUE"""),"Carte di pagamento")</f>
        <v>Carte di pagamento</v>
      </c>
      <c r="M585" s="763" t="str">
        <f>IFERROR(__xludf.DUMMYFUNCTION("""COMPUTED_VALUE"""),"santo05natale")</f>
        <v>santo05natale</v>
      </c>
      <c r="N585" s="763" t="str">
        <f>IFERROR(__xludf.DUMMYFUNCTION("""COMPUTED_VALUE"""),"66163-1763460855")</f>
        <v>66163-1763460855</v>
      </c>
      <c r="O585" s="763">
        <f>IFERROR(__xludf.DUMMYFUNCTION("""COMPUTED_VALUE"""),0.0)</f>
        <v>0</v>
      </c>
      <c r="P585" s="767">
        <f>IFERROR(__xludf.DUMMYFUNCTION("""COMPUTED_VALUE"""),2.0833333333333335)</f>
        <v>2.083333333</v>
      </c>
      <c r="Q585" s="763" t="str">
        <f>IFERROR(__xludf.DUMMYFUNCTION("""COMPUTED_VALUE"""),"EUR")</f>
        <v>EUR</v>
      </c>
      <c r="R585" s="763">
        <f>IFERROR(__xludf.DUMMYFUNCTION("""COMPUTED_VALUE"""),1086.0)</f>
        <v>1086</v>
      </c>
      <c r="S585" s="763" t="str">
        <f>IFERROR(__xludf.DUMMYFUNCTION("""COMPUTED_VALUE"""),"Festa di Natale 2025 - Festa di natale 2025 lezioni + pizza + serata 55€")</f>
        <v>Festa di Natale 2025 - Festa di natale 2025 lezioni + pizza + serata 55€</v>
      </c>
      <c r="T585" s="763"/>
      <c r="U585" s="763"/>
      <c r="V585" s="763">
        <f>IFERROR(__xludf.DUMMYFUNCTION("""COMPUTED_VALUE"""),1.0)</f>
        <v>1</v>
      </c>
      <c r="W585" s="763">
        <f>IFERROR(__xludf.DUMMYFUNCTION("""COMPUTED_VALUE"""),50.0)</f>
        <v>50</v>
      </c>
      <c r="X585" s="763">
        <f>IFERROR(__xludf.DUMMYFUNCTION("""COMPUTED_VALUE"""),50.0)</f>
        <v>50</v>
      </c>
      <c r="Y585" s="763"/>
      <c r="Z585" s="768" t="str">
        <f>IFERROR(__xludf.DUMMYFUNCTION("""COMPUTED_VALUE"""),"https://studio-gem.it/wp-admin/post.php?post=66163&amp;action=edit")</f>
        <v>https://studio-gem.it/wp-admin/post.php?post=66163&amp;action=edit</v>
      </c>
      <c r="AA585" s="763"/>
      <c r="AB585" s="763"/>
      <c r="AC585" s="763"/>
      <c r="AD585" s="763"/>
      <c r="AE585" s="763"/>
      <c r="AF585" s="763"/>
      <c r="AG585" s="763"/>
      <c r="AH585" s="763"/>
      <c r="AI585" s="763"/>
      <c r="AJ585" s="763"/>
      <c r="AK585" s="763"/>
      <c r="AL585" s="763"/>
      <c r="AM585" s="763"/>
      <c r="AN585" s="763"/>
      <c r="AO585" s="763"/>
      <c r="AP585" s="763"/>
      <c r="AQ585" s="763"/>
      <c r="AR585" s="763"/>
      <c r="AS585" s="763"/>
      <c r="AT585" s="763"/>
      <c r="AU585" s="763"/>
      <c r="AV585" s="763"/>
      <c r="AW585" s="763"/>
      <c r="AX585" s="763"/>
      <c r="AY585" s="763"/>
      <c r="AZ585" s="763"/>
      <c r="BA585" s="763"/>
      <c r="BB585" s="763"/>
      <c r="BC585" s="763"/>
      <c r="BD585" s="763"/>
      <c r="BE585" s="763"/>
      <c r="BF585" s="763"/>
      <c r="BG585" s="763" t="b">
        <f>IFERROR(__xludf.DUMMYFUNCTION("""COMPUTED_VALUE"""),TRUE)</f>
        <v>1</v>
      </c>
      <c r="BH585" s="763" t="b">
        <f>IFERROR(__xludf.DUMMYFUNCTION("""COMPUTED_VALUE"""),FALSE)</f>
        <v>0</v>
      </c>
      <c r="BI585" s="763" t="b">
        <f>IFERROR(__xludf.DUMMYFUNCTION("""COMPUTED_VALUE"""),TRUE)</f>
        <v>1</v>
      </c>
      <c r="BJ585" s="763" t="b">
        <f>IFERROR(__xludf.DUMMYFUNCTION("""COMPUTED_VALUE"""),TRUE)</f>
        <v>1</v>
      </c>
    </row>
    <row r="586">
      <c r="A586" s="763">
        <f>IFERROR(__xludf.DUMMYFUNCTION("""COMPUTED_VALUE"""),66164.0)</f>
        <v>66164</v>
      </c>
      <c r="B586" s="763">
        <f>IFERROR(__xludf.DUMMYFUNCTION("""COMPUTED_VALUE"""),66164.0)</f>
        <v>66164</v>
      </c>
      <c r="C586" s="763" t="str">
        <f>IFERROR(__xludf.DUMMYFUNCTION("""COMPUTED_VALUE"""),"2025-11-18 12:23:39")</f>
        <v>2025-11-18 12:23:39</v>
      </c>
      <c r="D586" s="763" t="str">
        <f>IFERROR(__xludf.DUMMYFUNCTION("""COMPUTED_VALUE"""),"completed")</f>
        <v>completed</v>
      </c>
      <c r="E586" s="763" t="str">
        <f>IFERROR(__xludf.DUMMYFUNCTION("""COMPUTED_VALUE"""),"Giuseppe")</f>
        <v>Giuseppe</v>
      </c>
      <c r="F586" s="763" t="str">
        <f>IFERROR(__xludf.DUMMYFUNCTION("""COMPUTED_VALUE"""),"Panerai")</f>
        <v>Panerai</v>
      </c>
      <c r="G586" s="763" t="str">
        <f>IFERROR(__xludf.DUMMYFUNCTION("""COMPUTED_VALUE"""),"giuseppepastore1979@gmail.com")</f>
        <v>giuseppepastore1979@gmail.com</v>
      </c>
      <c r="H586" s="763">
        <f>IFERROR(__xludf.DUMMYFUNCTION("""COMPUTED_VALUE"""),3.478645711E9)</f>
        <v>3478645711</v>
      </c>
      <c r="I586" s="763" t="str">
        <f>IFERROR(__xludf.DUMMYFUNCTION("""COMPUTED_VALUE"""),"Milano")</f>
        <v>Milano</v>
      </c>
      <c r="J586" s="763" t="str">
        <f>IFERROR(__xludf.DUMMYFUNCTION("""COMPUTED_VALUE"""),"Via Rimini 25")</f>
        <v>Via Rimini 25</v>
      </c>
      <c r="K586" s="763">
        <f>IFERROR(__xludf.DUMMYFUNCTION("""COMPUTED_VALUE"""),20142.0)</f>
        <v>20142</v>
      </c>
      <c r="L586" s="763" t="str">
        <f>IFERROR(__xludf.DUMMYFUNCTION("""COMPUTED_VALUE"""),"Google Pay")</f>
        <v>Google Pay</v>
      </c>
      <c r="M586" s="763"/>
      <c r="N586" s="763" t="str">
        <f>IFERROR(__xludf.DUMMYFUNCTION("""COMPUTED_VALUE"""),"66164-1763468621")</f>
        <v>66164-1763468621</v>
      </c>
      <c r="O586" s="763">
        <f>IFERROR(__xludf.DUMMYFUNCTION("""COMPUTED_VALUE"""),0.0)</f>
        <v>0</v>
      </c>
      <c r="P586" s="767">
        <f>IFERROR(__xludf.DUMMYFUNCTION("""COMPUTED_VALUE"""),1.0416666666666667)</f>
        <v>1.041666667</v>
      </c>
      <c r="Q586" s="763" t="str">
        <f>IFERROR(__xludf.DUMMYFUNCTION("""COMPUTED_VALUE"""),"EUR")</f>
        <v>EUR</v>
      </c>
      <c r="R586" s="763">
        <f>IFERROR(__xludf.DUMMYFUNCTION("""COMPUTED_VALUE"""),1088.0)</f>
        <v>1088</v>
      </c>
      <c r="S586" s="763" t="str">
        <f>IFERROR(__xludf.DUMMYFUNCTION("""COMPUTED_VALUE"""),"Festa di Natale 2025 - Festa di natale 2025 SOLO serata 25€")</f>
        <v>Festa di Natale 2025 - Festa di natale 2025 SOLO serata 25€</v>
      </c>
      <c r="T586" s="763"/>
      <c r="U586" s="763"/>
      <c r="V586" s="763">
        <f>IFERROR(__xludf.DUMMYFUNCTION("""COMPUTED_VALUE"""),1.0)</f>
        <v>1</v>
      </c>
      <c r="W586" s="763">
        <f>IFERROR(__xludf.DUMMYFUNCTION("""COMPUTED_VALUE"""),25.0)</f>
        <v>25</v>
      </c>
      <c r="X586" s="763">
        <f>IFERROR(__xludf.DUMMYFUNCTION("""COMPUTED_VALUE"""),25.0)</f>
        <v>25</v>
      </c>
      <c r="Y586" s="763"/>
      <c r="Z586" s="768" t="str">
        <f>IFERROR(__xludf.DUMMYFUNCTION("""COMPUTED_VALUE"""),"https://studio-gem.it/wp-admin/post.php?post=66164&amp;action=edit")</f>
        <v>https://studio-gem.it/wp-admin/post.php?post=66164&amp;action=edit</v>
      </c>
      <c r="AA586" s="763"/>
      <c r="AB586" s="763"/>
      <c r="AC586" s="763"/>
      <c r="AD586" s="763"/>
      <c r="AE586" s="763"/>
      <c r="AF586" s="763"/>
      <c r="AG586" s="763"/>
      <c r="AH586" s="763"/>
      <c r="AI586" s="763"/>
      <c r="AJ586" s="763"/>
      <c r="AK586" s="763"/>
      <c r="AL586" s="763"/>
      <c r="AM586" s="763"/>
      <c r="AN586" s="763"/>
      <c r="AO586" s="763"/>
      <c r="AP586" s="763"/>
      <c r="AQ586" s="763"/>
      <c r="AR586" s="763"/>
      <c r="AS586" s="763"/>
      <c r="AT586" s="763"/>
      <c r="AU586" s="763"/>
      <c r="AV586" s="763"/>
      <c r="AW586" s="763"/>
      <c r="AX586" s="763"/>
      <c r="AY586" s="763"/>
      <c r="AZ586" s="763"/>
      <c r="BA586" s="763"/>
      <c r="BB586" s="763"/>
      <c r="BC586" s="763"/>
      <c r="BD586" s="763"/>
      <c r="BE586" s="763"/>
      <c r="BF586" s="763"/>
      <c r="BG586" s="763" t="b">
        <f>IFERROR(__xludf.DUMMYFUNCTION("""COMPUTED_VALUE"""),TRUE)</f>
        <v>1</v>
      </c>
      <c r="BH586" s="763" t="b">
        <f>IFERROR(__xludf.DUMMYFUNCTION("""COMPUTED_VALUE"""),FALSE)</f>
        <v>0</v>
      </c>
      <c r="BI586" s="763" t="b">
        <f>IFERROR(__xludf.DUMMYFUNCTION("""COMPUTED_VALUE"""),TRUE)</f>
        <v>1</v>
      </c>
      <c r="BJ586" s="763" t="b">
        <f>IFERROR(__xludf.DUMMYFUNCTION("""COMPUTED_VALUE"""),TRUE)</f>
        <v>1</v>
      </c>
    </row>
    <row r="587">
      <c r="A587" s="763">
        <f>IFERROR(__xludf.DUMMYFUNCTION("""COMPUTED_VALUE"""),66166.0)</f>
        <v>66166</v>
      </c>
      <c r="B587" s="763">
        <f>IFERROR(__xludf.DUMMYFUNCTION("""COMPUTED_VALUE"""),66166.0)</f>
        <v>66166</v>
      </c>
      <c r="C587" s="763" t="str">
        <f>IFERROR(__xludf.DUMMYFUNCTION("""COMPUTED_VALUE"""),"2025-11-18 12:46:26")</f>
        <v>2025-11-18 12:46:26</v>
      </c>
      <c r="D587" s="763" t="str">
        <f>IFERROR(__xludf.DUMMYFUNCTION("""COMPUTED_VALUE"""),"completed")</f>
        <v>completed</v>
      </c>
      <c r="E587" s="763" t="str">
        <f>IFERROR(__xludf.DUMMYFUNCTION("""COMPUTED_VALUE"""),"Massimo")</f>
        <v>Massimo</v>
      </c>
      <c r="F587" s="763" t="str">
        <f>IFERROR(__xludf.DUMMYFUNCTION("""COMPUTED_VALUE"""),"Andreoni")</f>
        <v>Andreoni</v>
      </c>
      <c r="G587" s="763" t="str">
        <f>IFERROR(__xludf.DUMMYFUNCTION("""COMPUTED_VALUE"""),"ma.and@tiscali.it")</f>
        <v>ma.and@tiscali.it</v>
      </c>
      <c r="H587" s="763">
        <f>IFERROR(__xludf.DUMMYFUNCTION("""COMPUTED_VALUE"""),3.486441328E9)</f>
        <v>3486441328</v>
      </c>
      <c r="I587" s="763" t="str">
        <f>IFERROR(__xludf.DUMMYFUNCTION("""COMPUTED_VALUE"""),"MILANO")</f>
        <v>MILANO</v>
      </c>
      <c r="J587" s="763" t="str">
        <f>IFERROR(__xludf.DUMMYFUNCTION("""COMPUTED_VALUE"""),"Dei Martinitt 3")</f>
        <v>Dei Martinitt 3</v>
      </c>
      <c r="K587" s="763">
        <f>IFERROR(__xludf.DUMMYFUNCTION("""COMPUTED_VALUE"""),20146.0)</f>
        <v>20146</v>
      </c>
      <c r="L587" s="763" t="str">
        <f>IFERROR(__xludf.DUMMYFUNCTION("""COMPUTED_VALUE"""),"Carte di pagamento")</f>
        <v>Carte di pagamento</v>
      </c>
      <c r="M587" s="763" t="str">
        <f>IFERROR(__xludf.DUMMYFUNCTION("""COMPUTED_VALUE"""),"santo05natale")</f>
        <v>santo05natale</v>
      </c>
      <c r="N587" s="763" t="str">
        <f>IFERROR(__xludf.DUMMYFUNCTION("""COMPUTED_VALUE"""),"66166-1763469987")</f>
        <v>66166-1763469987</v>
      </c>
      <c r="O587" s="763">
        <f>IFERROR(__xludf.DUMMYFUNCTION("""COMPUTED_VALUE"""),0.0)</f>
        <v>0</v>
      </c>
      <c r="P587" s="767">
        <f>IFERROR(__xludf.DUMMYFUNCTION("""COMPUTED_VALUE"""),2.0833333333333335)</f>
        <v>2.083333333</v>
      </c>
      <c r="Q587" s="763" t="str">
        <f>IFERROR(__xludf.DUMMYFUNCTION("""COMPUTED_VALUE"""),"EUR")</f>
        <v>EUR</v>
      </c>
      <c r="R587" s="763">
        <f>IFERROR(__xludf.DUMMYFUNCTION("""COMPUTED_VALUE"""),1089.0)</f>
        <v>1089</v>
      </c>
      <c r="S587" s="763" t="str">
        <f>IFERROR(__xludf.DUMMYFUNCTION("""COMPUTED_VALUE"""),"Festa di Natale 2025 - Festa di natale 2025 lezioni + pizza + serata 55€")</f>
        <v>Festa di Natale 2025 - Festa di natale 2025 lezioni + pizza + serata 55€</v>
      </c>
      <c r="T587" s="763"/>
      <c r="U587" s="763"/>
      <c r="V587" s="763">
        <f>IFERROR(__xludf.DUMMYFUNCTION("""COMPUTED_VALUE"""),1.0)</f>
        <v>1</v>
      </c>
      <c r="W587" s="763">
        <f>IFERROR(__xludf.DUMMYFUNCTION("""COMPUTED_VALUE"""),50.0)</f>
        <v>50</v>
      </c>
      <c r="X587" s="763">
        <f>IFERROR(__xludf.DUMMYFUNCTION("""COMPUTED_VALUE"""),50.0)</f>
        <v>50</v>
      </c>
      <c r="Y587" s="763"/>
      <c r="Z587" s="768" t="str">
        <f>IFERROR(__xludf.DUMMYFUNCTION("""COMPUTED_VALUE"""),"https://studio-gem.it/wp-admin/post.php?post=66166&amp;action=edit")</f>
        <v>https://studio-gem.it/wp-admin/post.php?post=66166&amp;action=edit</v>
      </c>
      <c r="AA587" s="763"/>
      <c r="AB587" s="763"/>
      <c r="AC587" s="763"/>
      <c r="AD587" s="763"/>
      <c r="AE587" s="763"/>
      <c r="AF587" s="763"/>
      <c r="AG587" s="763"/>
      <c r="AH587" s="763"/>
      <c r="AI587" s="763"/>
      <c r="AJ587" s="763"/>
      <c r="AK587" s="763"/>
      <c r="AL587" s="763"/>
      <c r="AM587" s="763"/>
      <c r="AN587" s="763"/>
      <c r="AO587" s="763"/>
      <c r="AP587" s="763"/>
      <c r="AQ587" s="763"/>
      <c r="AR587" s="763"/>
      <c r="AS587" s="763"/>
      <c r="AT587" s="763"/>
      <c r="AU587" s="763"/>
      <c r="AV587" s="763"/>
      <c r="AW587" s="763"/>
      <c r="AX587" s="763"/>
      <c r="AY587" s="763"/>
      <c r="AZ587" s="763"/>
      <c r="BA587" s="763"/>
      <c r="BB587" s="763"/>
      <c r="BC587" s="763"/>
      <c r="BD587" s="763"/>
      <c r="BE587" s="763"/>
      <c r="BF587" s="763"/>
      <c r="BG587" s="763" t="b">
        <f>IFERROR(__xludf.DUMMYFUNCTION("""COMPUTED_VALUE"""),TRUE)</f>
        <v>1</v>
      </c>
      <c r="BH587" s="763" t="b">
        <f>IFERROR(__xludf.DUMMYFUNCTION("""COMPUTED_VALUE"""),FALSE)</f>
        <v>0</v>
      </c>
      <c r="BI587" s="763" t="b">
        <f>IFERROR(__xludf.DUMMYFUNCTION("""COMPUTED_VALUE"""),TRUE)</f>
        <v>1</v>
      </c>
      <c r="BJ587" s="763" t="b">
        <f>IFERROR(__xludf.DUMMYFUNCTION("""COMPUTED_VALUE"""),TRUE)</f>
        <v>1</v>
      </c>
    </row>
    <row r="588">
      <c r="A588" s="763">
        <f>IFERROR(__xludf.DUMMYFUNCTION("""COMPUTED_VALUE"""),66167.0)</f>
        <v>66167</v>
      </c>
      <c r="B588" s="763">
        <f>IFERROR(__xludf.DUMMYFUNCTION("""COMPUTED_VALUE"""),66167.0)</f>
        <v>66167</v>
      </c>
      <c r="C588" s="763" t="str">
        <f>IFERROR(__xludf.DUMMYFUNCTION("""COMPUTED_VALUE"""),"2025-11-18 12:46:33")</f>
        <v>2025-11-18 12:46:33</v>
      </c>
      <c r="D588" s="763" t="str">
        <f>IFERROR(__xludf.DUMMYFUNCTION("""COMPUTED_VALUE"""),"completed")</f>
        <v>completed</v>
      </c>
      <c r="E588" s="763" t="str">
        <f>IFERROR(__xludf.DUMMYFUNCTION("""COMPUTED_VALUE"""),"Bianca")</f>
        <v>Bianca</v>
      </c>
      <c r="F588" s="763" t="str">
        <f>IFERROR(__xludf.DUMMYFUNCTION("""COMPUTED_VALUE"""),"Del genio")</f>
        <v>Del genio</v>
      </c>
      <c r="G588" s="763" t="str">
        <f>IFERROR(__xludf.DUMMYFUNCTION("""COMPUTED_VALUE"""),"bdelgenio@gmail.com")</f>
        <v>bdelgenio@gmail.com</v>
      </c>
      <c r="H588" s="763">
        <f>IFERROR(__xludf.DUMMYFUNCTION("""COMPUTED_VALUE"""),3.35745485E9)</f>
        <v>3357454850</v>
      </c>
      <c r="I588" s="763" t="str">
        <f>IFERROR(__xludf.DUMMYFUNCTION("""COMPUTED_VALUE"""),"Milano")</f>
        <v>Milano</v>
      </c>
      <c r="J588" s="763" t="str">
        <f>IFERROR(__xludf.DUMMYFUNCTION("""COMPUTED_VALUE"""),"Rontgen 20")</f>
        <v>Rontgen 20</v>
      </c>
      <c r="K588" s="763">
        <f>IFERROR(__xludf.DUMMYFUNCTION("""COMPUTED_VALUE"""),20136.0)</f>
        <v>20136</v>
      </c>
      <c r="L588" s="763" t="str">
        <f>IFERROR(__xludf.DUMMYFUNCTION("""COMPUTED_VALUE"""),"Satispay")</f>
        <v>Satispay</v>
      </c>
      <c r="M588" s="763" t="str">
        <f>IFERROR(__xludf.DUMMYFUNCTION("""COMPUTED_VALUE"""),"santo05natale")</f>
        <v>santo05natale</v>
      </c>
      <c r="N588" s="763" t="str">
        <f>IFERROR(__xludf.DUMMYFUNCTION("""COMPUTED_VALUE"""),"019a9700-a88b-76cd-b54e-49b14150bdcb")</f>
        <v>019a9700-a88b-76cd-b54e-49b14150bdcb</v>
      </c>
      <c r="O588" s="763">
        <f>IFERROR(__xludf.DUMMYFUNCTION("""COMPUTED_VALUE"""),0.0)</f>
        <v>0</v>
      </c>
      <c r="P588" s="767">
        <f>IFERROR(__xludf.DUMMYFUNCTION("""COMPUTED_VALUE"""),2.0833333333333335)</f>
        <v>2.083333333</v>
      </c>
      <c r="Q588" s="763" t="str">
        <f>IFERROR(__xludf.DUMMYFUNCTION("""COMPUTED_VALUE"""),"EUR")</f>
        <v>EUR</v>
      </c>
      <c r="R588" s="763">
        <f>IFERROR(__xludf.DUMMYFUNCTION("""COMPUTED_VALUE"""),1091.0)</f>
        <v>1091</v>
      </c>
      <c r="S588" s="763" t="str">
        <f>IFERROR(__xludf.DUMMYFUNCTION("""COMPUTED_VALUE"""),"Festa di Natale 2025 - Festa di natale 2025 lezioni + pizza + serata 55€")</f>
        <v>Festa di Natale 2025 - Festa di natale 2025 lezioni + pizza + serata 55€</v>
      </c>
      <c r="T588" s="763"/>
      <c r="U588" s="763"/>
      <c r="V588" s="763">
        <f>IFERROR(__xludf.DUMMYFUNCTION("""COMPUTED_VALUE"""),1.0)</f>
        <v>1</v>
      </c>
      <c r="W588" s="763">
        <f>IFERROR(__xludf.DUMMYFUNCTION("""COMPUTED_VALUE"""),50.0)</f>
        <v>50</v>
      </c>
      <c r="X588" s="763">
        <f>IFERROR(__xludf.DUMMYFUNCTION("""COMPUTED_VALUE"""),50.0)</f>
        <v>50</v>
      </c>
      <c r="Y588" s="763"/>
      <c r="Z588" s="768" t="str">
        <f>IFERROR(__xludf.DUMMYFUNCTION("""COMPUTED_VALUE"""),"https://studio-gem.it/wp-admin/post.php?post=66167&amp;action=edit")</f>
        <v>https://studio-gem.it/wp-admin/post.php?post=66167&amp;action=edit</v>
      </c>
      <c r="AA588" s="763"/>
      <c r="AB588" s="763"/>
      <c r="AC588" s="763"/>
      <c r="AD588" s="763"/>
      <c r="AE588" s="763"/>
      <c r="AF588" s="763"/>
      <c r="AG588" s="763"/>
      <c r="AH588" s="763"/>
      <c r="AI588" s="763"/>
      <c r="AJ588" s="763"/>
      <c r="AK588" s="763"/>
      <c r="AL588" s="763"/>
      <c r="AM588" s="763"/>
      <c r="AN588" s="763"/>
      <c r="AO588" s="763"/>
      <c r="AP588" s="763"/>
      <c r="AQ588" s="763"/>
      <c r="AR588" s="763"/>
      <c r="AS588" s="763"/>
      <c r="AT588" s="763"/>
      <c r="AU588" s="763"/>
      <c r="AV588" s="763"/>
      <c r="AW588" s="763"/>
      <c r="AX588" s="763"/>
      <c r="AY588" s="763"/>
      <c r="AZ588" s="763"/>
      <c r="BA588" s="763"/>
      <c r="BB588" s="763"/>
      <c r="BC588" s="763"/>
      <c r="BD588" s="763"/>
      <c r="BE588" s="763"/>
      <c r="BF588" s="763"/>
      <c r="BG588" s="763" t="b">
        <f>IFERROR(__xludf.DUMMYFUNCTION("""COMPUTED_VALUE"""),TRUE)</f>
        <v>1</v>
      </c>
      <c r="BH588" s="763" t="b">
        <f>IFERROR(__xludf.DUMMYFUNCTION("""COMPUTED_VALUE"""),FALSE)</f>
        <v>0</v>
      </c>
      <c r="BI588" s="763" t="b">
        <f>IFERROR(__xludf.DUMMYFUNCTION("""COMPUTED_VALUE"""),TRUE)</f>
        <v>1</v>
      </c>
      <c r="BJ588" s="763" t="b">
        <f>IFERROR(__xludf.DUMMYFUNCTION("""COMPUTED_VALUE"""),TRUE)</f>
        <v>1</v>
      </c>
    </row>
    <row r="589">
      <c r="A589" s="763">
        <f>IFERROR(__xludf.DUMMYFUNCTION("""COMPUTED_VALUE"""),66170.0)</f>
        <v>66170</v>
      </c>
      <c r="B589" s="763">
        <f>IFERROR(__xludf.DUMMYFUNCTION("""COMPUTED_VALUE"""),66170.0)</f>
        <v>66170</v>
      </c>
      <c r="C589" s="763" t="str">
        <f>IFERROR(__xludf.DUMMYFUNCTION("""COMPUTED_VALUE"""),"2025-11-18 12:51:02")</f>
        <v>2025-11-18 12:51:02</v>
      </c>
      <c r="D589" s="763" t="str">
        <f>IFERROR(__xludf.DUMMYFUNCTION("""COMPUTED_VALUE"""),"cancelled")</f>
        <v>cancelled</v>
      </c>
      <c r="E589" s="763" t="str">
        <f>IFERROR(__xludf.DUMMYFUNCTION("""COMPUTED_VALUE"""),"Hilde")</f>
        <v>Hilde</v>
      </c>
      <c r="F589" s="763" t="str">
        <f>IFERROR(__xludf.DUMMYFUNCTION("""COMPUTED_VALUE"""),"Sorrentino")</f>
        <v>Sorrentino</v>
      </c>
      <c r="G589" s="763" t="str">
        <f>IFERROR(__xludf.DUMMYFUNCTION("""COMPUTED_VALUE"""),"hildesorrentino@gmail.com")</f>
        <v>hildesorrentino@gmail.com</v>
      </c>
      <c r="H589" s="763">
        <f>IFERROR(__xludf.DUMMYFUNCTION("""COMPUTED_VALUE"""),3.342893005E9)</f>
        <v>3342893005</v>
      </c>
      <c r="I589" s="763" t="str">
        <f>IFERROR(__xludf.DUMMYFUNCTION("""COMPUTED_VALUE"""),"Milano")</f>
        <v>Milano</v>
      </c>
      <c r="J589" s="763" t="str">
        <f>IFERROR(__xludf.DUMMYFUNCTION("""COMPUTED_VALUE"""),"Via sacconi 6")</f>
        <v>Via sacconi 6</v>
      </c>
      <c r="K589" s="763">
        <f>IFERROR(__xludf.DUMMYFUNCTION("""COMPUTED_VALUE"""),20139.0)</f>
        <v>20139</v>
      </c>
      <c r="L589" s="763" t="str">
        <f>IFERROR(__xludf.DUMMYFUNCTION("""COMPUTED_VALUE"""),"Satispay")</f>
        <v>Satispay</v>
      </c>
      <c r="M589" s="763"/>
      <c r="N589" s="763" t="str">
        <f>IFERROR(__xludf.DUMMYFUNCTION("""COMPUTED_VALUE"""),"019a9704-c386-78d4-a4ec-dfe1c22457ef")</f>
        <v>019a9704-c386-78d4-a4ec-dfe1c22457ef</v>
      </c>
      <c r="O589" s="763">
        <f>IFERROR(__xludf.DUMMYFUNCTION("""COMPUTED_VALUE"""),0.0)</f>
        <v>0</v>
      </c>
      <c r="P589" s="767">
        <f>IFERROR(__xludf.DUMMYFUNCTION("""COMPUTED_VALUE"""),1.0416666666666667)</f>
        <v>1.041666667</v>
      </c>
      <c r="Q589" s="763" t="str">
        <f>IFERROR(__xludf.DUMMYFUNCTION("""COMPUTED_VALUE"""),"EUR")</f>
        <v>EUR</v>
      </c>
      <c r="R589" s="763">
        <f>IFERROR(__xludf.DUMMYFUNCTION("""COMPUTED_VALUE"""),1093.0)</f>
        <v>1093</v>
      </c>
      <c r="S589" s="763" t="str">
        <f>IFERROR(__xludf.DUMMYFUNCTION("""COMPUTED_VALUE"""),"Festa di Natale 2025 - Festa di natale 2025 SOLO serata 25€")</f>
        <v>Festa di Natale 2025 - Festa di natale 2025 SOLO serata 25€</v>
      </c>
      <c r="T589" s="763"/>
      <c r="U589" s="763"/>
      <c r="V589" s="763">
        <f>IFERROR(__xludf.DUMMYFUNCTION("""COMPUTED_VALUE"""),1.0)</f>
        <v>1</v>
      </c>
      <c r="W589" s="763">
        <f>IFERROR(__xludf.DUMMYFUNCTION("""COMPUTED_VALUE"""),25.0)</f>
        <v>25</v>
      </c>
      <c r="X589" s="763">
        <f>IFERROR(__xludf.DUMMYFUNCTION("""COMPUTED_VALUE"""),25.0)</f>
        <v>25</v>
      </c>
      <c r="Y589" s="763"/>
      <c r="Z589" s="768" t="str">
        <f>IFERROR(__xludf.DUMMYFUNCTION("""COMPUTED_VALUE"""),"https://studio-gem.it/wp-admin/post.php?post=66170&amp;action=edit")</f>
        <v>https://studio-gem.it/wp-admin/post.php?post=66170&amp;action=edit</v>
      </c>
      <c r="AA589" s="763"/>
      <c r="AB589" s="763"/>
      <c r="AC589" s="763"/>
      <c r="AD589" s="763"/>
      <c r="AE589" s="763"/>
      <c r="AF589" s="763"/>
      <c r="AG589" s="763"/>
      <c r="AH589" s="763"/>
      <c r="AI589" s="763"/>
      <c r="AJ589" s="763"/>
      <c r="AK589" s="763"/>
      <c r="AL589" s="763"/>
      <c r="AM589" s="763"/>
      <c r="AN589" s="763"/>
      <c r="AO589" s="763"/>
      <c r="AP589" s="763"/>
      <c r="AQ589" s="763"/>
      <c r="AR589" s="763"/>
      <c r="AS589" s="763"/>
      <c r="AT589" s="763"/>
      <c r="AU589" s="763"/>
      <c r="AV589" s="763"/>
      <c r="AW589" s="763"/>
      <c r="AX589" s="763"/>
      <c r="AY589" s="763"/>
      <c r="AZ589" s="763"/>
      <c r="BA589" s="763"/>
      <c r="BB589" s="763"/>
      <c r="BC589" s="763"/>
      <c r="BD589" s="763"/>
      <c r="BE589" s="763"/>
      <c r="BF589" s="763"/>
      <c r="BG589" s="763" t="b">
        <f>IFERROR(__xludf.DUMMYFUNCTION("""COMPUTED_VALUE"""),FALSE)</f>
        <v>0</v>
      </c>
      <c r="BH589" s="763" t="b">
        <f>IFERROR(__xludf.DUMMYFUNCTION("""COMPUTED_VALUE"""),FALSE)</f>
        <v>0</v>
      </c>
      <c r="BI589" s="763" t="b">
        <f>IFERROR(__xludf.DUMMYFUNCTION("""COMPUTED_VALUE"""),FALSE)</f>
        <v>0</v>
      </c>
      <c r="BJ589" s="763" t="b">
        <f>IFERROR(__xludf.DUMMYFUNCTION("""COMPUTED_VALUE"""),FALSE)</f>
        <v>0</v>
      </c>
    </row>
    <row r="590">
      <c r="A590" s="763">
        <f>IFERROR(__xludf.DUMMYFUNCTION("""COMPUTED_VALUE"""),66171.0)</f>
        <v>66171</v>
      </c>
      <c r="B590" s="763">
        <f>IFERROR(__xludf.DUMMYFUNCTION("""COMPUTED_VALUE"""),66171.0)</f>
        <v>66171</v>
      </c>
      <c r="C590" s="763" t="str">
        <f>IFERROR(__xludf.DUMMYFUNCTION("""COMPUTED_VALUE"""),"2025-11-18 12:52:04")</f>
        <v>2025-11-18 12:52:04</v>
      </c>
      <c r="D590" s="763" t="str">
        <f>IFERROR(__xludf.DUMMYFUNCTION("""COMPUTED_VALUE"""),"completed")</f>
        <v>completed</v>
      </c>
      <c r="E590" s="763" t="str">
        <f>IFERROR(__xludf.DUMMYFUNCTION("""COMPUTED_VALUE"""),"Hilde")</f>
        <v>Hilde</v>
      </c>
      <c r="F590" s="763" t="str">
        <f>IFERROR(__xludf.DUMMYFUNCTION("""COMPUTED_VALUE"""),"Sorrentino")</f>
        <v>Sorrentino</v>
      </c>
      <c r="G590" s="763" t="str">
        <f>IFERROR(__xludf.DUMMYFUNCTION("""COMPUTED_VALUE"""),"hildesorrentino@gmail.com")</f>
        <v>hildesorrentino@gmail.com</v>
      </c>
      <c r="H590" s="763">
        <f>IFERROR(__xludf.DUMMYFUNCTION("""COMPUTED_VALUE"""),3.342893005E9)</f>
        <v>3342893005</v>
      </c>
      <c r="I590" s="763" t="str">
        <f>IFERROR(__xludf.DUMMYFUNCTION("""COMPUTED_VALUE"""),"Milano")</f>
        <v>Milano</v>
      </c>
      <c r="J590" s="763" t="str">
        <f>IFERROR(__xludf.DUMMYFUNCTION("""COMPUTED_VALUE"""),"Via sacconi 6")</f>
        <v>Via sacconi 6</v>
      </c>
      <c r="K590" s="763">
        <f>IFERROR(__xludf.DUMMYFUNCTION("""COMPUTED_VALUE"""),20139.0)</f>
        <v>20139</v>
      </c>
      <c r="L590" s="763" t="str">
        <f>IFERROR(__xludf.DUMMYFUNCTION("""COMPUTED_VALUE"""),"Satispay")</f>
        <v>Satispay</v>
      </c>
      <c r="M590" s="763" t="str">
        <f>IFERROR(__xludf.DUMMYFUNCTION("""COMPUTED_VALUE"""),"santo05natale")</f>
        <v>santo05natale</v>
      </c>
      <c r="N590" s="763" t="str">
        <f>IFERROR(__xludf.DUMMYFUNCTION("""COMPUTED_VALUE"""),"019a9705-b444-753d-8268-45a2deba93cd")</f>
        <v>019a9705-b444-753d-8268-45a2deba93cd</v>
      </c>
      <c r="O590" s="763">
        <f>IFERROR(__xludf.DUMMYFUNCTION("""COMPUTED_VALUE"""),0.0)</f>
        <v>0</v>
      </c>
      <c r="P590" s="767">
        <f>IFERROR(__xludf.DUMMYFUNCTION("""COMPUTED_VALUE"""),0.8333333333333334)</f>
        <v>0.8333333333</v>
      </c>
      <c r="Q590" s="763" t="str">
        <f>IFERROR(__xludf.DUMMYFUNCTION("""COMPUTED_VALUE"""),"EUR")</f>
        <v>EUR</v>
      </c>
      <c r="R590" s="763">
        <f>IFERROR(__xludf.DUMMYFUNCTION("""COMPUTED_VALUE"""),1094.0)</f>
        <v>1094</v>
      </c>
      <c r="S590" s="763" t="str">
        <f>IFERROR(__xludf.DUMMYFUNCTION("""COMPUTED_VALUE"""),"Festa di Natale 2025 - Festa di natale 2025 SOLO serata 25€")</f>
        <v>Festa di Natale 2025 - Festa di natale 2025 SOLO serata 25€</v>
      </c>
      <c r="T590" s="763"/>
      <c r="U590" s="763"/>
      <c r="V590" s="763">
        <f>IFERROR(__xludf.DUMMYFUNCTION("""COMPUTED_VALUE"""),1.0)</f>
        <v>1</v>
      </c>
      <c r="W590" s="763">
        <f>IFERROR(__xludf.DUMMYFUNCTION("""COMPUTED_VALUE"""),20.0)</f>
        <v>20</v>
      </c>
      <c r="X590" s="763">
        <f>IFERROR(__xludf.DUMMYFUNCTION("""COMPUTED_VALUE"""),20.0)</f>
        <v>20</v>
      </c>
      <c r="Y590" s="763"/>
      <c r="Z590" s="768" t="str">
        <f>IFERROR(__xludf.DUMMYFUNCTION("""COMPUTED_VALUE"""),"https://studio-gem.it/wp-admin/post.php?post=66171&amp;action=edit")</f>
        <v>https://studio-gem.it/wp-admin/post.php?post=66171&amp;action=edit</v>
      </c>
      <c r="AA590" s="763"/>
      <c r="AB590" s="763"/>
      <c r="AC590" s="763"/>
      <c r="AD590" s="763"/>
      <c r="AE590" s="763"/>
      <c r="AF590" s="763"/>
      <c r="AG590" s="763"/>
      <c r="AH590" s="763"/>
      <c r="AI590" s="763"/>
      <c r="AJ590" s="763"/>
      <c r="AK590" s="763"/>
      <c r="AL590" s="763"/>
      <c r="AM590" s="763"/>
      <c r="AN590" s="763"/>
      <c r="AO590" s="763"/>
      <c r="AP590" s="763"/>
      <c r="AQ590" s="763"/>
      <c r="AR590" s="763"/>
      <c r="AS590" s="763"/>
      <c r="AT590" s="763"/>
      <c r="AU590" s="763"/>
      <c r="AV590" s="763"/>
      <c r="AW590" s="763"/>
      <c r="AX590" s="763"/>
      <c r="AY590" s="763"/>
      <c r="AZ590" s="763"/>
      <c r="BA590" s="763"/>
      <c r="BB590" s="763"/>
      <c r="BC590" s="763"/>
      <c r="BD590" s="763"/>
      <c r="BE590" s="763"/>
      <c r="BF590" s="763"/>
      <c r="BG590" s="763" t="b">
        <f>IFERROR(__xludf.DUMMYFUNCTION("""COMPUTED_VALUE"""),TRUE)</f>
        <v>1</v>
      </c>
      <c r="BH590" s="763" t="b">
        <f>IFERROR(__xludf.DUMMYFUNCTION("""COMPUTED_VALUE"""),FALSE)</f>
        <v>0</v>
      </c>
      <c r="BI590" s="763" t="b">
        <f>IFERROR(__xludf.DUMMYFUNCTION("""COMPUTED_VALUE"""),TRUE)</f>
        <v>1</v>
      </c>
      <c r="BJ590" s="763" t="b">
        <f>IFERROR(__xludf.DUMMYFUNCTION("""COMPUTED_VALUE"""),TRUE)</f>
        <v>1</v>
      </c>
    </row>
    <row r="591">
      <c r="A591" s="763">
        <f>IFERROR(__xludf.DUMMYFUNCTION("""COMPUTED_VALUE"""),66173.0)</f>
        <v>66173</v>
      </c>
      <c r="B591" s="763">
        <f>IFERROR(__xludf.DUMMYFUNCTION("""COMPUTED_VALUE"""),66173.0)</f>
        <v>66173</v>
      </c>
      <c r="C591" s="763" t="str">
        <f>IFERROR(__xludf.DUMMYFUNCTION("""COMPUTED_VALUE"""),"2025-11-18 12:55:45")</f>
        <v>2025-11-18 12:55:45</v>
      </c>
      <c r="D591" s="763" t="str">
        <f>IFERROR(__xludf.DUMMYFUNCTION("""COMPUTED_VALUE"""),"completed")</f>
        <v>completed</v>
      </c>
      <c r="E591" s="763" t="str">
        <f>IFERROR(__xludf.DUMMYFUNCTION("""COMPUTED_VALUE"""),"Hilde")</f>
        <v>Hilde</v>
      </c>
      <c r="F591" s="763" t="str">
        <f>IFERROR(__xludf.DUMMYFUNCTION("""COMPUTED_VALUE"""),"Sorrentino")</f>
        <v>Sorrentino</v>
      </c>
      <c r="G591" s="763" t="str">
        <f>IFERROR(__xludf.DUMMYFUNCTION("""COMPUTED_VALUE"""),"hildesorrentino@gmail.com")</f>
        <v>hildesorrentino@gmail.com</v>
      </c>
      <c r="H591" s="763">
        <f>IFERROR(__xludf.DUMMYFUNCTION("""COMPUTED_VALUE"""),3.342893005E9)</f>
        <v>3342893005</v>
      </c>
      <c r="I591" s="763" t="str">
        <f>IFERROR(__xludf.DUMMYFUNCTION("""COMPUTED_VALUE"""),"Milano")</f>
        <v>Milano</v>
      </c>
      <c r="J591" s="763" t="str">
        <f>IFERROR(__xludf.DUMMYFUNCTION("""COMPUTED_VALUE"""),"Via sacconi 6")</f>
        <v>Via sacconi 6</v>
      </c>
      <c r="K591" s="763">
        <f>IFERROR(__xludf.DUMMYFUNCTION("""COMPUTED_VALUE"""),20139.0)</f>
        <v>20139</v>
      </c>
      <c r="L591" s="763" t="str">
        <f>IFERROR(__xludf.DUMMYFUNCTION("""COMPUTED_VALUE"""),"Apple Pay")</f>
        <v>Apple Pay</v>
      </c>
      <c r="M591" s="763" t="str">
        <f>IFERROR(__xludf.DUMMYFUNCTION("""COMPUTED_VALUE"""),"santo05natale")</f>
        <v>santo05natale</v>
      </c>
      <c r="N591" s="763" t="str">
        <f>IFERROR(__xludf.DUMMYFUNCTION("""COMPUTED_VALUE"""),"66173-1763470548")</f>
        <v>66173-1763470548</v>
      </c>
      <c r="O591" s="763">
        <f>IFERROR(__xludf.DUMMYFUNCTION("""COMPUTED_VALUE"""),0.0)</f>
        <v>0</v>
      </c>
      <c r="P591" s="767">
        <f>IFERROR(__xludf.DUMMYFUNCTION("""COMPUTED_VALUE"""),0.8333333333333334)</f>
        <v>0.8333333333</v>
      </c>
      <c r="Q591" s="763" t="str">
        <f>IFERROR(__xludf.DUMMYFUNCTION("""COMPUTED_VALUE"""),"EUR")</f>
        <v>EUR</v>
      </c>
      <c r="R591" s="763">
        <f>IFERROR(__xludf.DUMMYFUNCTION("""COMPUTED_VALUE"""),1096.0)</f>
        <v>1096</v>
      </c>
      <c r="S591" s="763" t="str">
        <f>IFERROR(__xludf.DUMMYFUNCTION("""COMPUTED_VALUE"""),"Festa di Natale 2025 - Festa di natale 2025 SOLO serata 25€")</f>
        <v>Festa di Natale 2025 - Festa di natale 2025 SOLO serata 25€</v>
      </c>
      <c r="T591" s="763"/>
      <c r="U591" s="763"/>
      <c r="V591" s="763">
        <f>IFERROR(__xludf.DUMMYFUNCTION("""COMPUTED_VALUE"""),1.0)</f>
        <v>1</v>
      </c>
      <c r="W591" s="763">
        <f>IFERROR(__xludf.DUMMYFUNCTION("""COMPUTED_VALUE"""),20.0)</f>
        <v>20</v>
      </c>
      <c r="X591" s="763">
        <f>IFERROR(__xludf.DUMMYFUNCTION("""COMPUTED_VALUE"""),20.0)</f>
        <v>20</v>
      </c>
      <c r="Y591" s="763"/>
      <c r="Z591" s="768" t="str">
        <f>IFERROR(__xludf.DUMMYFUNCTION("""COMPUTED_VALUE"""),"https://studio-gem.it/wp-admin/post.php?post=66173&amp;action=edit")</f>
        <v>https://studio-gem.it/wp-admin/post.php?post=66173&amp;action=edit</v>
      </c>
      <c r="AA591" s="763"/>
      <c r="AB591" s="763"/>
      <c r="AC591" s="763"/>
      <c r="AD591" s="763"/>
      <c r="AE591" s="763"/>
      <c r="AF591" s="763"/>
      <c r="AG591" s="763"/>
      <c r="AH591" s="763"/>
      <c r="AI591" s="763"/>
      <c r="AJ591" s="763"/>
      <c r="AK591" s="763"/>
      <c r="AL591" s="763"/>
      <c r="AM591" s="763"/>
      <c r="AN591" s="763"/>
      <c r="AO591" s="763"/>
      <c r="AP591" s="763"/>
      <c r="AQ591" s="763"/>
      <c r="AR591" s="763"/>
      <c r="AS591" s="763"/>
      <c r="AT591" s="763"/>
      <c r="AU591" s="763"/>
      <c r="AV591" s="763"/>
      <c r="AW591" s="763"/>
      <c r="AX591" s="763"/>
      <c r="AY591" s="763"/>
      <c r="AZ591" s="763"/>
      <c r="BA591" s="763"/>
      <c r="BB591" s="763"/>
      <c r="BC591" s="763"/>
      <c r="BD591" s="763"/>
      <c r="BE591" s="763"/>
      <c r="BF591" s="763"/>
      <c r="BG591" s="763" t="b">
        <f>IFERROR(__xludf.DUMMYFUNCTION("""COMPUTED_VALUE"""),TRUE)</f>
        <v>1</v>
      </c>
      <c r="BH591" s="763" t="b">
        <f>IFERROR(__xludf.DUMMYFUNCTION("""COMPUTED_VALUE"""),FALSE)</f>
        <v>0</v>
      </c>
      <c r="BI591" s="763" t="b">
        <f>IFERROR(__xludf.DUMMYFUNCTION("""COMPUTED_VALUE"""),TRUE)</f>
        <v>1</v>
      </c>
      <c r="BJ591" s="763" t="b">
        <f>IFERROR(__xludf.DUMMYFUNCTION("""COMPUTED_VALUE"""),TRUE)</f>
        <v>1</v>
      </c>
    </row>
    <row r="592">
      <c r="A592" s="763">
        <f>IFERROR(__xludf.DUMMYFUNCTION("""COMPUTED_VALUE"""),66175.0)</f>
        <v>66175</v>
      </c>
      <c r="B592" s="763">
        <f>IFERROR(__xludf.DUMMYFUNCTION("""COMPUTED_VALUE"""),66175.0)</f>
        <v>66175</v>
      </c>
      <c r="C592" s="763" t="str">
        <f>IFERROR(__xludf.DUMMYFUNCTION("""COMPUTED_VALUE"""),"2025-11-18 13:10:11")</f>
        <v>2025-11-18 13:10:11</v>
      </c>
      <c r="D592" s="763" t="str">
        <f>IFERROR(__xludf.DUMMYFUNCTION("""COMPUTED_VALUE"""),"completed")</f>
        <v>completed</v>
      </c>
      <c r="E592" s="763" t="str">
        <f>IFERROR(__xludf.DUMMYFUNCTION("""COMPUTED_VALUE"""),"Alberto")</f>
        <v>Alberto</v>
      </c>
      <c r="F592" s="763" t="str">
        <f>IFERROR(__xludf.DUMMYFUNCTION("""COMPUTED_VALUE"""),"Meloni")</f>
        <v>Meloni</v>
      </c>
      <c r="G592" s="763" t="str">
        <f>IFERROR(__xludf.DUMMYFUNCTION("""COMPUTED_VALUE"""),"bdelgenio@gmail.com")</f>
        <v>bdelgenio@gmail.com</v>
      </c>
      <c r="H592" s="763">
        <f>IFERROR(__xludf.DUMMYFUNCTION("""COMPUTED_VALUE"""),3.35745485E9)</f>
        <v>3357454850</v>
      </c>
      <c r="I592" s="763" t="str">
        <f>IFERROR(__xludf.DUMMYFUNCTION("""COMPUTED_VALUE"""),"Milano")</f>
        <v>Milano</v>
      </c>
      <c r="J592" s="763" t="str">
        <f>IFERROR(__xludf.DUMMYFUNCTION("""COMPUTED_VALUE"""),"Rontgen 20")</f>
        <v>Rontgen 20</v>
      </c>
      <c r="K592" s="763">
        <f>IFERROR(__xludf.DUMMYFUNCTION("""COMPUTED_VALUE"""),20136.0)</f>
        <v>20136</v>
      </c>
      <c r="L592" s="763" t="str">
        <f>IFERROR(__xludf.DUMMYFUNCTION("""COMPUTED_VALUE"""),"Satispay")</f>
        <v>Satispay</v>
      </c>
      <c r="M592" s="763" t="str">
        <f>IFERROR(__xludf.DUMMYFUNCTION("""COMPUTED_VALUE"""),"santo05natale")</f>
        <v>santo05natale</v>
      </c>
      <c r="N592" s="763" t="str">
        <f>IFERROR(__xludf.DUMMYFUNCTION("""COMPUTED_VALUE"""),"019a9716-4bb5-76af-b514-6120f1999fb0")</f>
        <v>019a9716-4bb5-76af-b514-6120f1999fb0</v>
      </c>
      <c r="O592" s="763">
        <f>IFERROR(__xludf.DUMMYFUNCTION("""COMPUTED_VALUE"""),0.0)</f>
        <v>0</v>
      </c>
      <c r="P592" s="767">
        <f>IFERROR(__xludf.DUMMYFUNCTION("""COMPUTED_VALUE"""),2.0833333333333335)</f>
        <v>2.083333333</v>
      </c>
      <c r="Q592" s="763" t="str">
        <f>IFERROR(__xludf.DUMMYFUNCTION("""COMPUTED_VALUE"""),"EUR")</f>
        <v>EUR</v>
      </c>
      <c r="R592" s="763">
        <f>IFERROR(__xludf.DUMMYFUNCTION("""COMPUTED_VALUE"""),1098.0)</f>
        <v>1098</v>
      </c>
      <c r="S592" s="763" t="str">
        <f>IFERROR(__xludf.DUMMYFUNCTION("""COMPUTED_VALUE"""),"Festa di Natale 2025 - Festa di natale 2025 lezioni + pizza + serata 55€")</f>
        <v>Festa di Natale 2025 - Festa di natale 2025 lezioni + pizza + serata 55€</v>
      </c>
      <c r="T592" s="763"/>
      <c r="U592" s="763"/>
      <c r="V592" s="763">
        <f>IFERROR(__xludf.DUMMYFUNCTION("""COMPUTED_VALUE"""),1.0)</f>
        <v>1</v>
      </c>
      <c r="W592" s="763">
        <f>IFERROR(__xludf.DUMMYFUNCTION("""COMPUTED_VALUE"""),50.0)</f>
        <v>50</v>
      </c>
      <c r="X592" s="763">
        <f>IFERROR(__xludf.DUMMYFUNCTION("""COMPUTED_VALUE"""),50.0)</f>
        <v>50</v>
      </c>
      <c r="Y592" s="763"/>
      <c r="Z592" s="768" t="str">
        <f>IFERROR(__xludf.DUMMYFUNCTION("""COMPUTED_VALUE"""),"https://studio-gem.it/wp-admin/post.php?post=66175&amp;action=edit")</f>
        <v>https://studio-gem.it/wp-admin/post.php?post=66175&amp;action=edit</v>
      </c>
      <c r="AA592" s="763"/>
      <c r="AB592" s="763"/>
      <c r="AC592" s="763"/>
      <c r="AD592" s="763"/>
      <c r="AE592" s="763"/>
      <c r="AF592" s="763"/>
      <c r="AG592" s="763"/>
      <c r="AH592" s="763"/>
      <c r="AI592" s="763"/>
      <c r="AJ592" s="763"/>
      <c r="AK592" s="763"/>
      <c r="AL592" s="763"/>
      <c r="AM592" s="763"/>
      <c r="AN592" s="763"/>
      <c r="AO592" s="763"/>
      <c r="AP592" s="763"/>
      <c r="AQ592" s="763"/>
      <c r="AR592" s="763"/>
      <c r="AS592" s="763"/>
      <c r="AT592" s="763"/>
      <c r="AU592" s="763"/>
      <c r="AV592" s="763"/>
      <c r="AW592" s="763"/>
      <c r="AX592" s="763"/>
      <c r="AY592" s="763"/>
      <c r="AZ592" s="763"/>
      <c r="BA592" s="763"/>
      <c r="BB592" s="763"/>
      <c r="BC592" s="763"/>
      <c r="BD592" s="763"/>
      <c r="BE592" s="763"/>
      <c r="BF592" s="763"/>
      <c r="BG592" s="763" t="b">
        <f>IFERROR(__xludf.DUMMYFUNCTION("""COMPUTED_VALUE"""),TRUE)</f>
        <v>1</v>
      </c>
      <c r="BH592" s="763" t="b">
        <f>IFERROR(__xludf.DUMMYFUNCTION("""COMPUTED_VALUE"""),FALSE)</f>
        <v>0</v>
      </c>
      <c r="BI592" s="763" t="b">
        <f>IFERROR(__xludf.DUMMYFUNCTION("""COMPUTED_VALUE"""),TRUE)</f>
        <v>1</v>
      </c>
      <c r="BJ592" s="763" t="b">
        <f>IFERROR(__xludf.DUMMYFUNCTION("""COMPUTED_VALUE"""),TRUE)</f>
        <v>1</v>
      </c>
    </row>
    <row r="593">
      <c r="A593" s="763">
        <f>IFERROR(__xludf.DUMMYFUNCTION("""COMPUTED_VALUE"""),66177.0)</f>
        <v>66177</v>
      </c>
      <c r="B593" s="763">
        <f>IFERROR(__xludf.DUMMYFUNCTION("""COMPUTED_VALUE"""),66177.0)</f>
        <v>66177</v>
      </c>
      <c r="C593" s="763" t="str">
        <f>IFERROR(__xludf.DUMMYFUNCTION("""COMPUTED_VALUE"""),"2025-11-18 13:30:02")</f>
        <v>2025-11-18 13:30:02</v>
      </c>
      <c r="D593" s="763" t="str">
        <f>IFERROR(__xludf.DUMMYFUNCTION("""COMPUTED_VALUE"""),"completed")</f>
        <v>completed</v>
      </c>
      <c r="E593" s="763" t="str">
        <f>IFERROR(__xludf.DUMMYFUNCTION("""COMPUTED_VALUE"""),"Antonio")</f>
        <v>Antonio</v>
      </c>
      <c r="F593" s="763" t="str">
        <f>IFERROR(__xludf.DUMMYFUNCTION("""COMPUTED_VALUE"""),"Iampietro")</f>
        <v>Iampietro</v>
      </c>
      <c r="G593" s="763" t="str">
        <f>IFERROR(__xludf.DUMMYFUNCTION("""COMPUTED_VALUE"""),"antonioiamp94@libero.it")</f>
        <v>antonioiamp94@libero.it</v>
      </c>
      <c r="H593" s="763">
        <f>IFERROR(__xludf.DUMMYFUNCTION("""COMPUTED_VALUE"""),3.358251592E9)</f>
        <v>3358251592</v>
      </c>
      <c r="I593" s="763" t="str">
        <f>IFERROR(__xludf.DUMMYFUNCTION("""COMPUTED_VALUE"""),"Milano")</f>
        <v>Milano</v>
      </c>
      <c r="J593" s="763" t="str">
        <f>IFERROR(__xludf.DUMMYFUNCTION("""COMPUTED_VALUE"""),"Via Gerolamo Tiraboschi 4")</f>
        <v>Via Gerolamo Tiraboschi 4</v>
      </c>
      <c r="K593" s="763">
        <f>IFERROR(__xludf.DUMMYFUNCTION("""COMPUTED_VALUE"""),20135.0)</f>
        <v>20135</v>
      </c>
      <c r="L593" s="763" t="str">
        <f>IFERROR(__xludf.DUMMYFUNCTION("""COMPUTED_VALUE"""),"Satispay")</f>
        <v>Satispay</v>
      </c>
      <c r="M593" s="763" t="str">
        <f>IFERROR(__xludf.DUMMYFUNCTION("""COMPUTED_VALUE"""),"santo05natale")</f>
        <v>santo05natale</v>
      </c>
      <c r="N593" s="763" t="str">
        <f>IFERROR(__xludf.DUMMYFUNCTION("""COMPUTED_VALUE"""),"019a9732-924b-7921-9950-2a7fa7b7f5ed")</f>
        <v>019a9732-924b-7921-9950-2a7fa7b7f5ed</v>
      </c>
      <c r="O593" s="763">
        <f>IFERROR(__xludf.DUMMYFUNCTION("""COMPUTED_VALUE"""),0.0)</f>
        <v>0</v>
      </c>
      <c r="P593" s="767">
        <f>IFERROR(__xludf.DUMMYFUNCTION("""COMPUTED_VALUE"""),2.0833333333333335)</f>
        <v>2.083333333</v>
      </c>
      <c r="Q593" s="763" t="str">
        <f>IFERROR(__xludf.DUMMYFUNCTION("""COMPUTED_VALUE"""),"EUR")</f>
        <v>EUR</v>
      </c>
      <c r="R593" s="763">
        <f>IFERROR(__xludf.DUMMYFUNCTION("""COMPUTED_VALUE"""),1107.0)</f>
        <v>1107</v>
      </c>
      <c r="S593" s="763" t="str">
        <f>IFERROR(__xludf.DUMMYFUNCTION("""COMPUTED_VALUE"""),"Festa di Natale 2025 - Festa di natale 2025 lezioni + pizza + serata 55€")</f>
        <v>Festa di Natale 2025 - Festa di natale 2025 lezioni + pizza + serata 55€</v>
      </c>
      <c r="T593" s="763"/>
      <c r="U593" s="763"/>
      <c r="V593" s="763">
        <f>IFERROR(__xludf.DUMMYFUNCTION("""COMPUTED_VALUE"""),1.0)</f>
        <v>1</v>
      </c>
      <c r="W593" s="763">
        <f>IFERROR(__xludf.DUMMYFUNCTION("""COMPUTED_VALUE"""),50.0)</f>
        <v>50</v>
      </c>
      <c r="X593" s="763">
        <f>IFERROR(__xludf.DUMMYFUNCTION("""COMPUTED_VALUE"""),50.0)</f>
        <v>50</v>
      </c>
      <c r="Y593" s="763"/>
      <c r="Z593" s="768" t="str">
        <f>IFERROR(__xludf.DUMMYFUNCTION("""COMPUTED_VALUE"""),"https://studio-gem.it/wp-admin/post.php?post=66177&amp;action=edit")</f>
        <v>https://studio-gem.it/wp-admin/post.php?post=66177&amp;action=edit</v>
      </c>
      <c r="AA593" s="763"/>
      <c r="AB593" s="763"/>
      <c r="AC593" s="763"/>
      <c r="AD593" s="763"/>
      <c r="AE593" s="763"/>
      <c r="AF593" s="763"/>
      <c r="AG593" s="763"/>
      <c r="AH593" s="763"/>
      <c r="AI593" s="763"/>
      <c r="AJ593" s="763"/>
      <c r="AK593" s="763"/>
      <c r="AL593" s="763"/>
      <c r="AM593" s="763"/>
      <c r="AN593" s="763"/>
      <c r="AO593" s="763"/>
      <c r="AP593" s="763"/>
      <c r="AQ593" s="763"/>
      <c r="AR593" s="763"/>
      <c r="AS593" s="763"/>
      <c r="AT593" s="763"/>
      <c r="AU593" s="763"/>
      <c r="AV593" s="763"/>
      <c r="AW593" s="763"/>
      <c r="AX593" s="763"/>
      <c r="AY593" s="763"/>
      <c r="AZ593" s="763"/>
      <c r="BA593" s="763"/>
      <c r="BB593" s="763"/>
      <c r="BC593" s="763"/>
      <c r="BD593" s="763"/>
      <c r="BE593" s="763"/>
      <c r="BF593" s="763"/>
      <c r="BG593" s="763" t="b">
        <f>IFERROR(__xludf.DUMMYFUNCTION("""COMPUTED_VALUE"""),TRUE)</f>
        <v>1</v>
      </c>
      <c r="BH593" s="763" t="b">
        <f>IFERROR(__xludf.DUMMYFUNCTION("""COMPUTED_VALUE"""),FALSE)</f>
        <v>0</v>
      </c>
      <c r="BI593" s="763" t="b">
        <f>IFERROR(__xludf.DUMMYFUNCTION("""COMPUTED_VALUE"""),TRUE)</f>
        <v>1</v>
      </c>
      <c r="BJ593" s="763" t="b">
        <f>IFERROR(__xludf.DUMMYFUNCTION("""COMPUTED_VALUE"""),TRUE)</f>
        <v>1</v>
      </c>
    </row>
    <row r="594">
      <c r="A594" s="763">
        <f>IFERROR(__xludf.DUMMYFUNCTION("""COMPUTED_VALUE"""),66178.0)</f>
        <v>66178</v>
      </c>
      <c r="B594" s="763">
        <f>IFERROR(__xludf.DUMMYFUNCTION("""COMPUTED_VALUE"""),66178.0)</f>
        <v>66178</v>
      </c>
      <c r="C594" s="763" t="str">
        <f>IFERROR(__xludf.DUMMYFUNCTION("""COMPUTED_VALUE"""),"2025-11-18 13:32:17")</f>
        <v>2025-11-18 13:32:17</v>
      </c>
      <c r="D594" s="763" t="str">
        <f>IFERROR(__xludf.DUMMYFUNCTION("""COMPUTED_VALUE"""),"completed")</f>
        <v>completed</v>
      </c>
      <c r="E594" s="763" t="str">
        <f>IFERROR(__xludf.DUMMYFUNCTION("""COMPUTED_VALUE"""),"Carlotta")</f>
        <v>Carlotta</v>
      </c>
      <c r="F594" s="763" t="str">
        <f>IFERROR(__xludf.DUMMYFUNCTION("""COMPUTED_VALUE"""),"Vecchio")</f>
        <v>Vecchio</v>
      </c>
      <c r="G594" s="763" t="str">
        <f>IFERROR(__xludf.DUMMYFUNCTION("""COMPUTED_VALUE"""),"carlottavecchio@gmail.com")</f>
        <v>carlottavecchio@gmail.com</v>
      </c>
      <c r="H594" s="763">
        <f>IFERROR(__xludf.DUMMYFUNCTION("""COMPUTED_VALUE"""),3.4532328E9)</f>
        <v>3453232800</v>
      </c>
      <c r="I594" s="763" t="str">
        <f>IFERROR(__xludf.DUMMYFUNCTION("""COMPUTED_VALUE"""),"Milano")</f>
        <v>Milano</v>
      </c>
      <c r="J594" s="763" t="str">
        <f>IFERROR(__xludf.DUMMYFUNCTION("""COMPUTED_VALUE"""),"Corso San Gottardo 18")</f>
        <v>Corso San Gottardo 18</v>
      </c>
      <c r="K594" s="763">
        <f>IFERROR(__xludf.DUMMYFUNCTION("""COMPUTED_VALUE"""),20136.0)</f>
        <v>20136</v>
      </c>
      <c r="L594" s="763" t="str">
        <f>IFERROR(__xludf.DUMMYFUNCTION("""COMPUTED_VALUE"""),"Apple Pay")</f>
        <v>Apple Pay</v>
      </c>
      <c r="M594" s="763" t="str">
        <f>IFERROR(__xludf.DUMMYFUNCTION("""COMPUTED_VALUE"""),"santo05natale")</f>
        <v>santo05natale</v>
      </c>
      <c r="N594" s="763" t="str">
        <f>IFERROR(__xludf.DUMMYFUNCTION("""COMPUTED_VALUE"""),"66178-1763472739")</f>
        <v>66178-1763472739</v>
      </c>
      <c r="O594" s="763">
        <f>IFERROR(__xludf.DUMMYFUNCTION("""COMPUTED_VALUE"""),0.0)</f>
        <v>0</v>
      </c>
      <c r="P594" s="767">
        <f>IFERROR(__xludf.DUMMYFUNCTION("""COMPUTED_VALUE"""),2.0833333333333335)</f>
        <v>2.083333333</v>
      </c>
      <c r="Q594" s="763" t="str">
        <f>IFERROR(__xludf.DUMMYFUNCTION("""COMPUTED_VALUE"""),"EUR")</f>
        <v>EUR</v>
      </c>
      <c r="R594" s="763">
        <f>IFERROR(__xludf.DUMMYFUNCTION("""COMPUTED_VALUE"""),1102.0)</f>
        <v>1102</v>
      </c>
      <c r="S594" s="763" t="str">
        <f>IFERROR(__xludf.DUMMYFUNCTION("""COMPUTED_VALUE"""),"Festa di Natale 2025 - Festa di natale 2025 lezioni + pizza + serata 55€")</f>
        <v>Festa di Natale 2025 - Festa di natale 2025 lezioni + pizza + serata 55€</v>
      </c>
      <c r="T594" s="763"/>
      <c r="U594" s="763"/>
      <c r="V594" s="763">
        <f>IFERROR(__xludf.DUMMYFUNCTION("""COMPUTED_VALUE"""),1.0)</f>
        <v>1</v>
      </c>
      <c r="W594" s="763">
        <f>IFERROR(__xludf.DUMMYFUNCTION("""COMPUTED_VALUE"""),50.0)</f>
        <v>50</v>
      </c>
      <c r="X594" s="763">
        <f>IFERROR(__xludf.DUMMYFUNCTION("""COMPUTED_VALUE"""),50.0)</f>
        <v>50</v>
      </c>
      <c r="Y594" s="763"/>
      <c r="Z594" s="768" t="str">
        <f>IFERROR(__xludf.DUMMYFUNCTION("""COMPUTED_VALUE"""),"https://studio-gem.it/wp-admin/post.php?post=66178&amp;action=edit")</f>
        <v>https://studio-gem.it/wp-admin/post.php?post=66178&amp;action=edit</v>
      </c>
      <c r="AA594" s="763"/>
      <c r="AB594" s="763"/>
      <c r="AC594" s="763"/>
      <c r="AD594" s="763"/>
      <c r="AE594" s="763"/>
      <c r="AF594" s="763"/>
      <c r="AG594" s="763"/>
      <c r="AH594" s="763"/>
      <c r="AI594" s="763"/>
      <c r="AJ594" s="763"/>
      <c r="AK594" s="763"/>
      <c r="AL594" s="763"/>
      <c r="AM594" s="763"/>
      <c r="AN594" s="763"/>
      <c r="AO594" s="763"/>
      <c r="AP594" s="763"/>
      <c r="AQ594" s="763"/>
      <c r="AR594" s="763"/>
      <c r="AS594" s="763"/>
      <c r="AT594" s="763"/>
      <c r="AU594" s="763"/>
      <c r="AV594" s="763"/>
      <c r="AW594" s="763"/>
      <c r="AX594" s="763"/>
      <c r="AY594" s="763"/>
      <c r="AZ594" s="763"/>
      <c r="BA594" s="763"/>
      <c r="BB594" s="763"/>
      <c r="BC594" s="763"/>
      <c r="BD594" s="763"/>
      <c r="BE594" s="763"/>
      <c r="BF594" s="763"/>
      <c r="BG594" s="763" t="b">
        <f>IFERROR(__xludf.DUMMYFUNCTION("""COMPUTED_VALUE"""),TRUE)</f>
        <v>1</v>
      </c>
      <c r="BH594" s="763" t="b">
        <f>IFERROR(__xludf.DUMMYFUNCTION("""COMPUTED_VALUE"""),FALSE)</f>
        <v>0</v>
      </c>
      <c r="BI594" s="763" t="b">
        <f>IFERROR(__xludf.DUMMYFUNCTION("""COMPUTED_VALUE"""),TRUE)</f>
        <v>1</v>
      </c>
      <c r="BJ594" s="763" t="b">
        <f>IFERROR(__xludf.DUMMYFUNCTION("""COMPUTED_VALUE"""),TRUE)</f>
        <v>1</v>
      </c>
    </row>
    <row r="595">
      <c r="A595" s="763">
        <f>IFERROR(__xludf.DUMMYFUNCTION("""COMPUTED_VALUE"""),66180.0)</f>
        <v>66180</v>
      </c>
      <c r="B595" s="763">
        <f>IFERROR(__xludf.DUMMYFUNCTION("""COMPUTED_VALUE"""),66180.0)</f>
        <v>66180</v>
      </c>
      <c r="C595" s="763" t="str">
        <f>IFERROR(__xludf.DUMMYFUNCTION("""COMPUTED_VALUE"""),"2025-11-18 13:33:29")</f>
        <v>2025-11-18 13:33:29</v>
      </c>
      <c r="D595" s="763" t="str">
        <f>IFERROR(__xludf.DUMMYFUNCTION("""COMPUTED_VALUE"""),"pending")</f>
        <v>pending</v>
      </c>
      <c r="E595" s="763" t="str">
        <f>IFERROR(__xludf.DUMMYFUNCTION("""COMPUTED_VALUE"""),"Francesca")</f>
        <v>Francesca</v>
      </c>
      <c r="F595" s="763" t="str">
        <f>IFERROR(__xludf.DUMMYFUNCTION("""COMPUTED_VALUE"""),"Roncaldier")</f>
        <v>Roncaldier</v>
      </c>
      <c r="G595" s="763" t="str">
        <f>IFERROR(__xludf.DUMMYFUNCTION("""COMPUTED_VALUE"""),"roncaldier@gmail.com")</f>
        <v>roncaldier@gmail.com</v>
      </c>
      <c r="H595" s="763">
        <f>IFERROR(__xludf.DUMMYFUNCTION("""COMPUTED_VALUE"""),3.93408646266E11)</f>
        <v>393408646266</v>
      </c>
      <c r="I595" s="763" t="str">
        <f>IFERROR(__xludf.DUMMYFUNCTION("""COMPUTED_VALUE"""),"MILANO")</f>
        <v>MILANO</v>
      </c>
      <c r="J595" s="763" t="str">
        <f>IFERROR(__xludf.DUMMYFUNCTION("""COMPUTED_VALUE"""),"Via Luchino del Maino 8")</f>
        <v>Via Luchino del Maino 8</v>
      </c>
      <c r="K595" s="763">
        <f>IFERROR(__xludf.DUMMYFUNCTION("""COMPUTED_VALUE"""),20146.0)</f>
        <v>20146</v>
      </c>
      <c r="L595" s="763" t="str">
        <f>IFERROR(__xludf.DUMMYFUNCTION("""COMPUTED_VALUE"""),"Google Pay")</f>
        <v>Google Pay</v>
      </c>
      <c r="M595" s="763"/>
      <c r="N595" s="763"/>
      <c r="O595" s="763">
        <f>IFERROR(__xludf.DUMMYFUNCTION("""COMPUTED_VALUE"""),0.0)</f>
        <v>0</v>
      </c>
      <c r="P595" s="767">
        <f>IFERROR(__xludf.DUMMYFUNCTION("""COMPUTED_VALUE"""),2.2916666666666665)</f>
        <v>2.291666667</v>
      </c>
      <c r="Q595" s="763" t="str">
        <f>IFERROR(__xludf.DUMMYFUNCTION("""COMPUTED_VALUE"""),"EUR")</f>
        <v>EUR</v>
      </c>
      <c r="R595" s="763">
        <f>IFERROR(__xludf.DUMMYFUNCTION("""COMPUTED_VALUE"""),1104.0)</f>
        <v>1104</v>
      </c>
      <c r="S595" s="763" t="str">
        <f>IFERROR(__xludf.DUMMYFUNCTION("""COMPUTED_VALUE"""),"Festa di Natale 2025 - Festa di natale 2025 lezioni + pizza + serata 55€")</f>
        <v>Festa di Natale 2025 - Festa di natale 2025 lezioni + pizza + serata 55€</v>
      </c>
      <c r="T595" s="763"/>
      <c r="U595" s="763"/>
      <c r="V595" s="763">
        <f>IFERROR(__xludf.DUMMYFUNCTION("""COMPUTED_VALUE"""),1.0)</f>
        <v>1</v>
      </c>
      <c r="W595" s="763">
        <f>IFERROR(__xludf.DUMMYFUNCTION("""COMPUTED_VALUE"""),55.0)</f>
        <v>55</v>
      </c>
      <c r="X595" s="763">
        <f>IFERROR(__xludf.DUMMYFUNCTION("""COMPUTED_VALUE"""),55.0)</f>
        <v>55</v>
      </c>
      <c r="Y595" s="763"/>
      <c r="Z595" s="768" t="str">
        <f>IFERROR(__xludf.DUMMYFUNCTION("""COMPUTED_VALUE"""),"https://studio-gem.it/wp-admin/post.php?post=66180&amp;action=edit")</f>
        <v>https://studio-gem.it/wp-admin/post.php?post=66180&amp;action=edit</v>
      </c>
      <c r="AA595" s="763"/>
      <c r="AB595" s="763"/>
      <c r="AC595" s="763"/>
      <c r="AD595" s="763"/>
      <c r="AE595" s="763"/>
      <c r="AF595" s="763"/>
      <c r="AG595" s="763"/>
      <c r="AH595" s="763"/>
      <c r="AI595" s="763"/>
      <c r="AJ595" s="763"/>
      <c r="AK595" s="763"/>
      <c r="AL595" s="763"/>
      <c r="AM595" s="763"/>
      <c r="AN595" s="763"/>
      <c r="AO595" s="763"/>
      <c r="AP595" s="763"/>
      <c r="AQ595" s="763"/>
      <c r="AR595" s="763"/>
      <c r="AS595" s="763"/>
      <c r="AT595" s="763"/>
      <c r="AU595" s="763"/>
      <c r="AV595" s="763"/>
      <c r="AW595" s="763"/>
      <c r="AX595" s="763"/>
      <c r="AY595" s="763"/>
      <c r="AZ595" s="763"/>
      <c r="BA595" s="763"/>
      <c r="BB595" s="763"/>
      <c r="BC595" s="763"/>
      <c r="BD595" s="763"/>
      <c r="BE595" s="763"/>
      <c r="BF595" s="763"/>
      <c r="BG595" s="763" t="b">
        <f>IFERROR(__xludf.DUMMYFUNCTION("""COMPUTED_VALUE"""),FALSE)</f>
        <v>0</v>
      </c>
      <c r="BH595" s="763" t="b">
        <f>IFERROR(__xludf.DUMMYFUNCTION("""COMPUTED_VALUE"""),FALSE)</f>
        <v>0</v>
      </c>
      <c r="BI595" s="763" t="b">
        <f>IFERROR(__xludf.DUMMYFUNCTION("""COMPUTED_VALUE"""),FALSE)</f>
        <v>0</v>
      </c>
      <c r="BJ595" s="763" t="b">
        <f>IFERROR(__xludf.DUMMYFUNCTION("""COMPUTED_VALUE"""),FALSE)</f>
        <v>0</v>
      </c>
    </row>
    <row r="596">
      <c r="A596" s="763">
        <f>IFERROR(__xludf.DUMMYFUNCTION("""COMPUTED_VALUE"""),66181.0)</f>
        <v>66181</v>
      </c>
      <c r="B596" s="763">
        <f>IFERROR(__xludf.DUMMYFUNCTION("""COMPUTED_VALUE"""),66181.0)</f>
        <v>66181</v>
      </c>
      <c r="C596" s="763" t="str">
        <f>IFERROR(__xludf.DUMMYFUNCTION("""COMPUTED_VALUE"""),"2025-11-18 13:36:21")</f>
        <v>2025-11-18 13:36:21</v>
      </c>
      <c r="D596" s="763" t="str">
        <f>IFERROR(__xludf.DUMMYFUNCTION("""COMPUTED_VALUE"""),"completed")</f>
        <v>completed</v>
      </c>
      <c r="E596" s="763" t="str">
        <f>IFERROR(__xludf.DUMMYFUNCTION("""COMPUTED_VALUE"""),"Francesca")</f>
        <v>Francesca</v>
      </c>
      <c r="F596" s="763" t="str">
        <f>IFERROR(__xludf.DUMMYFUNCTION("""COMPUTED_VALUE"""),"Roncaldier")</f>
        <v>Roncaldier</v>
      </c>
      <c r="G596" s="763" t="str">
        <f>IFERROR(__xludf.DUMMYFUNCTION("""COMPUTED_VALUE"""),"roncaldier@gmail.com")</f>
        <v>roncaldier@gmail.com</v>
      </c>
      <c r="H596" s="763">
        <f>IFERROR(__xludf.DUMMYFUNCTION("""COMPUTED_VALUE"""),3.93408646266E11)</f>
        <v>393408646266</v>
      </c>
      <c r="I596" s="763" t="str">
        <f>IFERROR(__xludf.DUMMYFUNCTION("""COMPUTED_VALUE"""),"MILANO")</f>
        <v>MILANO</v>
      </c>
      <c r="J596" s="763" t="str">
        <f>IFERROR(__xludf.DUMMYFUNCTION("""COMPUTED_VALUE"""),"Via Luchino del Maino 8")</f>
        <v>Via Luchino del Maino 8</v>
      </c>
      <c r="K596" s="763">
        <f>IFERROR(__xludf.DUMMYFUNCTION("""COMPUTED_VALUE"""),20146.0)</f>
        <v>20146</v>
      </c>
      <c r="L596" s="763" t="str">
        <f>IFERROR(__xludf.DUMMYFUNCTION("""COMPUTED_VALUE"""),"Google Pay")</f>
        <v>Google Pay</v>
      </c>
      <c r="M596" s="763" t="str">
        <f>IFERROR(__xludf.DUMMYFUNCTION("""COMPUTED_VALUE"""),"santo05natale")</f>
        <v>santo05natale</v>
      </c>
      <c r="N596" s="763" t="str">
        <f>IFERROR(__xludf.DUMMYFUNCTION("""COMPUTED_VALUE"""),"66181-1763472983")</f>
        <v>66181-1763472983</v>
      </c>
      <c r="O596" s="763">
        <f>IFERROR(__xludf.DUMMYFUNCTION("""COMPUTED_VALUE"""),0.0)</f>
        <v>0</v>
      </c>
      <c r="P596" s="767">
        <f>IFERROR(__xludf.DUMMYFUNCTION("""COMPUTED_VALUE"""),2.0833333333333335)</f>
        <v>2.083333333</v>
      </c>
      <c r="Q596" s="763" t="str">
        <f>IFERROR(__xludf.DUMMYFUNCTION("""COMPUTED_VALUE"""),"EUR")</f>
        <v>EUR</v>
      </c>
      <c r="R596" s="763">
        <f>IFERROR(__xludf.DUMMYFUNCTION("""COMPUTED_VALUE"""),1105.0)</f>
        <v>1105</v>
      </c>
      <c r="S596" s="763" t="str">
        <f>IFERROR(__xludf.DUMMYFUNCTION("""COMPUTED_VALUE"""),"Festa di Natale 2025 - Festa di natale 2025 lezioni + pizza + serata 55€")</f>
        <v>Festa di Natale 2025 - Festa di natale 2025 lezioni + pizza + serata 55€</v>
      </c>
      <c r="T596" s="763"/>
      <c r="U596" s="763"/>
      <c r="V596" s="763">
        <f>IFERROR(__xludf.DUMMYFUNCTION("""COMPUTED_VALUE"""),1.0)</f>
        <v>1</v>
      </c>
      <c r="W596" s="763">
        <f>IFERROR(__xludf.DUMMYFUNCTION("""COMPUTED_VALUE"""),50.0)</f>
        <v>50</v>
      </c>
      <c r="X596" s="763">
        <f>IFERROR(__xludf.DUMMYFUNCTION("""COMPUTED_VALUE"""),50.0)</f>
        <v>50</v>
      </c>
      <c r="Y596" s="763"/>
      <c r="Z596" s="768" t="str">
        <f>IFERROR(__xludf.DUMMYFUNCTION("""COMPUTED_VALUE"""),"https://studio-gem.it/wp-admin/post.php?post=66181&amp;action=edit")</f>
        <v>https://studio-gem.it/wp-admin/post.php?post=66181&amp;action=edit</v>
      </c>
      <c r="AA596" s="763"/>
      <c r="AB596" s="763"/>
      <c r="AC596" s="763"/>
      <c r="AD596" s="763"/>
      <c r="AE596" s="763"/>
      <c r="AF596" s="763"/>
      <c r="AG596" s="763"/>
      <c r="AH596" s="763"/>
      <c r="AI596" s="763"/>
      <c r="AJ596" s="763"/>
      <c r="AK596" s="763"/>
      <c r="AL596" s="763"/>
      <c r="AM596" s="763"/>
      <c r="AN596" s="763"/>
      <c r="AO596" s="763"/>
      <c r="AP596" s="763"/>
      <c r="AQ596" s="763"/>
      <c r="AR596" s="763"/>
      <c r="AS596" s="763"/>
      <c r="AT596" s="763"/>
      <c r="AU596" s="763"/>
      <c r="AV596" s="763"/>
      <c r="AW596" s="763"/>
      <c r="AX596" s="763"/>
      <c r="AY596" s="763"/>
      <c r="AZ596" s="763"/>
      <c r="BA596" s="763"/>
      <c r="BB596" s="763"/>
      <c r="BC596" s="763"/>
      <c r="BD596" s="763"/>
      <c r="BE596" s="763"/>
      <c r="BF596" s="763"/>
      <c r="BG596" s="763" t="b">
        <f>IFERROR(__xludf.DUMMYFUNCTION("""COMPUTED_VALUE"""),TRUE)</f>
        <v>1</v>
      </c>
      <c r="BH596" s="763" t="b">
        <f>IFERROR(__xludf.DUMMYFUNCTION("""COMPUTED_VALUE"""),FALSE)</f>
        <v>0</v>
      </c>
      <c r="BI596" s="763" t="b">
        <f>IFERROR(__xludf.DUMMYFUNCTION("""COMPUTED_VALUE"""),TRUE)</f>
        <v>1</v>
      </c>
      <c r="BJ596" s="763" t="b">
        <f>IFERROR(__xludf.DUMMYFUNCTION("""COMPUTED_VALUE"""),TRUE)</f>
        <v>1</v>
      </c>
    </row>
    <row r="597">
      <c r="A597" s="763">
        <f>IFERROR(__xludf.DUMMYFUNCTION("""COMPUTED_VALUE"""),66184.0)</f>
        <v>66184</v>
      </c>
      <c r="B597" s="763">
        <f>IFERROR(__xludf.DUMMYFUNCTION("""COMPUTED_VALUE"""),66184.0)</f>
        <v>66184</v>
      </c>
      <c r="C597" s="763" t="str">
        <f>IFERROR(__xludf.DUMMYFUNCTION("""COMPUTED_VALUE"""),"2025-11-18 13:52:13")</f>
        <v>2025-11-18 13:52:13</v>
      </c>
      <c r="D597" s="763" t="str">
        <f>IFERROR(__xludf.DUMMYFUNCTION("""COMPUTED_VALUE"""),"completed")</f>
        <v>completed</v>
      </c>
      <c r="E597" s="763" t="str">
        <f>IFERROR(__xludf.DUMMYFUNCTION("""COMPUTED_VALUE"""),"Leonarda")</f>
        <v>Leonarda</v>
      </c>
      <c r="F597" s="763" t="str">
        <f>IFERROR(__xludf.DUMMYFUNCTION("""COMPUTED_VALUE"""),"Canonico")</f>
        <v>Canonico</v>
      </c>
      <c r="G597" s="763" t="str">
        <f>IFERROR(__xludf.DUMMYFUNCTION("""COMPUTED_VALUE"""),"leac85@libero.it")</f>
        <v>leac85@libero.it</v>
      </c>
      <c r="H597" s="763">
        <f>IFERROR(__xludf.DUMMYFUNCTION("""COMPUTED_VALUE"""),3.408588139E9)</f>
        <v>3408588139</v>
      </c>
      <c r="I597" s="763" t="str">
        <f>IFERROR(__xludf.DUMMYFUNCTION("""COMPUTED_VALUE"""),"Milano")</f>
        <v>Milano</v>
      </c>
      <c r="J597" s="763" t="str">
        <f>IFERROR(__xludf.DUMMYFUNCTION("""COMPUTED_VALUE"""),"Gian Carlo Passeroni 2")</f>
        <v>Gian Carlo Passeroni 2</v>
      </c>
      <c r="K597" s="763">
        <f>IFERROR(__xludf.DUMMYFUNCTION("""COMPUTED_VALUE"""),20135.0)</f>
        <v>20135</v>
      </c>
      <c r="L597" s="763" t="str">
        <f>IFERROR(__xludf.DUMMYFUNCTION("""COMPUTED_VALUE"""),"Carte di pagamento")</f>
        <v>Carte di pagamento</v>
      </c>
      <c r="M597" s="763"/>
      <c r="N597" s="763" t="str">
        <f>IFERROR(__xludf.DUMMYFUNCTION("""COMPUTED_VALUE"""),"66184-1763473935")</f>
        <v>66184-1763473935</v>
      </c>
      <c r="O597" s="763">
        <f>IFERROR(__xludf.DUMMYFUNCTION("""COMPUTED_VALUE"""),0.0)</f>
        <v>0</v>
      </c>
      <c r="P597" s="767">
        <f>IFERROR(__xludf.DUMMYFUNCTION("""COMPUTED_VALUE"""),2.2916666666666665)</f>
        <v>2.291666667</v>
      </c>
      <c r="Q597" s="763" t="str">
        <f>IFERROR(__xludf.DUMMYFUNCTION("""COMPUTED_VALUE"""),"EUR")</f>
        <v>EUR</v>
      </c>
      <c r="R597" s="763">
        <f>IFERROR(__xludf.DUMMYFUNCTION("""COMPUTED_VALUE"""),1109.0)</f>
        <v>1109</v>
      </c>
      <c r="S597" s="763" t="str">
        <f>IFERROR(__xludf.DUMMYFUNCTION("""COMPUTED_VALUE"""),"Festa di Natale 2025 - Festa di natale 2025 lezioni + pizza + serata 55€")</f>
        <v>Festa di Natale 2025 - Festa di natale 2025 lezioni + pizza + serata 55€</v>
      </c>
      <c r="T597" s="763"/>
      <c r="U597" s="763"/>
      <c r="V597" s="763">
        <f>IFERROR(__xludf.DUMMYFUNCTION("""COMPUTED_VALUE"""),1.0)</f>
        <v>1</v>
      </c>
      <c r="W597" s="763">
        <f>IFERROR(__xludf.DUMMYFUNCTION("""COMPUTED_VALUE"""),55.0)</f>
        <v>55</v>
      </c>
      <c r="X597" s="763">
        <f>IFERROR(__xludf.DUMMYFUNCTION("""COMPUTED_VALUE"""),55.0)</f>
        <v>55</v>
      </c>
      <c r="Y597" s="763"/>
      <c r="Z597" s="768" t="str">
        <f>IFERROR(__xludf.DUMMYFUNCTION("""COMPUTED_VALUE"""),"https://studio-gem.it/wp-admin/post.php?post=66184&amp;action=edit")</f>
        <v>https://studio-gem.it/wp-admin/post.php?post=66184&amp;action=edit</v>
      </c>
      <c r="AA597" s="763"/>
      <c r="AB597" s="763"/>
      <c r="AC597" s="763"/>
      <c r="AD597" s="763"/>
      <c r="AE597" s="763"/>
      <c r="AF597" s="763"/>
      <c r="AG597" s="763"/>
      <c r="AH597" s="763"/>
      <c r="AI597" s="763"/>
      <c r="AJ597" s="763"/>
      <c r="AK597" s="763"/>
      <c r="AL597" s="763"/>
      <c r="AM597" s="763"/>
      <c r="AN597" s="763"/>
      <c r="AO597" s="763"/>
      <c r="AP597" s="763"/>
      <c r="AQ597" s="763"/>
      <c r="AR597" s="763"/>
      <c r="AS597" s="763"/>
      <c r="AT597" s="763"/>
      <c r="AU597" s="763"/>
      <c r="AV597" s="763"/>
      <c r="AW597" s="763"/>
      <c r="AX597" s="763"/>
      <c r="AY597" s="763"/>
      <c r="AZ597" s="763"/>
      <c r="BA597" s="763"/>
      <c r="BB597" s="763"/>
      <c r="BC597" s="763"/>
      <c r="BD597" s="763"/>
      <c r="BE597" s="763"/>
      <c r="BF597" s="763"/>
      <c r="BG597" s="763" t="b">
        <f>IFERROR(__xludf.DUMMYFUNCTION("""COMPUTED_VALUE"""),TRUE)</f>
        <v>1</v>
      </c>
      <c r="BH597" s="763" t="b">
        <f>IFERROR(__xludf.DUMMYFUNCTION("""COMPUTED_VALUE"""),FALSE)</f>
        <v>0</v>
      </c>
      <c r="BI597" s="763" t="b">
        <f>IFERROR(__xludf.DUMMYFUNCTION("""COMPUTED_VALUE"""),TRUE)</f>
        <v>1</v>
      </c>
      <c r="BJ597" s="763" t="b">
        <f>IFERROR(__xludf.DUMMYFUNCTION("""COMPUTED_VALUE"""),TRUE)</f>
        <v>1</v>
      </c>
    </row>
    <row r="598">
      <c r="A598" s="763">
        <f>IFERROR(__xludf.DUMMYFUNCTION("""COMPUTED_VALUE"""),66186.0)</f>
        <v>66186</v>
      </c>
      <c r="B598" s="763">
        <f>IFERROR(__xludf.DUMMYFUNCTION("""COMPUTED_VALUE"""),66186.0)</f>
        <v>66186</v>
      </c>
      <c r="C598" s="763" t="str">
        <f>IFERROR(__xludf.DUMMYFUNCTION("""COMPUTED_VALUE"""),"2025-11-18 15:00:29")</f>
        <v>2025-11-18 15:00:29</v>
      </c>
      <c r="D598" s="763" t="str">
        <f>IFERROR(__xludf.DUMMYFUNCTION("""COMPUTED_VALUE"""),"completed")</f>
        <v>completed</v>
      </c>
      <c r="E598" s="763" t="str">
        <f>IFERROR(__xludf.DUMMYFUNCTION("""COMPUTED_VALUE"""),"Luca")</f>
        <v>Luca</v>
      </c>
      <c r="F598" s="763" t="str">
        <f>IFERROR(__xludf.DUMMYFUNCTION("""COMPUTED_VALUE"""),"Ronchi")</f>
        <v>Ronchi</v>
      </c>
      <c r="G598" s="763" t="str">
        <f>IFERROR(__xludf.DUMMYFUNCTION("""COMPUTED_VALUE"""),"luca.ronchi1@gmail.com")</f>
        <v>luca.ronchi1@gmail.com</v>
      </c>
      <c r="H598" s="763">
        <f>IFERROR(__xludf.DUMMYFUNCTION("""COMPUTED_VALUE"""),3.396016274E9)</f>
        <v>3396016274</v>
      </c>
      <c r="I598" s="763" t="str">
        <f>IFERROR(__xludf.DUMMYFUNCTION("""COMPUTED_VALUE"""),"Milano")</f>
        <v>Milano</v>
      </c>
      <c r="J598" s="763" t="str">
        <f>IFERROR(__xludf.DUMMYFUNCTION("""COMPUTED_VALUE"""),"Via rezzonico 4")</f>
        <v>Via rezzonico 4</v>
      </c>
      <c r="K598" s="763">
        <f>IFERROR(__xludf.DUMMYFUNCTION("""COMPUTED_VALUE"""),20135.0)</f>
        <v>20135</v>
      </c>
      <c r="L598" s="763" t="str">
        <f>IFERROR(__xludf.DUMMYFUNCTION("""COMPUTED_VALUE"""),"Carte di pagamento")</f>
        <v>Carte di pagamento</v>
      </c>
      <c r="M598" s="763" t="str">
        <f>IFERROR(__xludf.DUMMYFUNCTION("""COMPUTED_VALUE"""),"nura05natale")</f>
        <v>nura05natale</v>
      </c>
      <c r="N598" s="763" t="str">
        <f>IFERROR(__xludf.DUMMYFUNCTION("""COMPUTED_VALUE"""),"66186-1763478030")</f>
        <v>66186-1763478030</v>
      </c>
      <c r="O598" s="763">
        <f>IFERROR(__xludf.DUMMYFUNCTION("""COMPUTED_VALUE"""),0.0)</f>
        <v>0</v>
      </c>
      <c r="P598" s="767">
        <f>IFERROR(__xludf.DUMMYFUNCTION("""COMPUTED_VALUE"""),2.0833333333333335)</f>
        <v>2.083333333</v>
      </c>
      <c r="Q598" s="763" t="str">
        <f>IFERROR(__xludf.DUMMYFUNCTION("""COMPUTED_VALUE"""),"EUR")</f>
        <v>EUR</v>
      </c>
      <c r="R598" s="763">
        <f>IFERROR(__xludf.DUMMYFUNCTION("""COMPUTED_VALUE"""),1110.0)</f>
        <v>1110</v>
      </c>
      <c r="S598" s="763" t="str">
        <f>IFERROR(__xludf.DUMMYFUNCTION("""COMPUTED_VALUE"""),"Festa di Natale 2025 - Festa di natale 2025 lezioni + pizza + serata 55€")</f>
        <v>Festa di Natale 2025 - Festa di natale 2025 lezioni + pizza + serata 55€</v>
      </c>
      <c r="T598" s="763"/>
      <c r="U598" s="763"/>
      <c r="V598" s="763">
        <f>IFERROR(__xludf.DUMMYFUNCTION("""COMPUTED_VALUE"""),1.0)</f>
        <v>1</v>
      </c>
      <c r="W598" s="763">
        <f>IFERROR(__xludf.DUMMYFUNCTION("""COMPUTED_VALUE"""),50.0)</f>
        <v>50</v>
      </c>
      <c r="X598" s="763">
        <f>IFERROR(__xludf.DUMMYFUNCTION("""COMPUTED_VALUE"""),50.0)</f>
        <v>50</v>
      </c>
      <c r="Y598" s="763"/>
      <c r="Z598" s="768" t="str">
        <f>IFERROR(__xludf.DUMMYFUNCTION("""COMPUTED_VALUE"""),"https://studio-gem.it/wp-admin/post.php?post=66186&amp;action=edit")</f>
        <v>https://studio-gem.it/wp-admin/post.php?post=66186&amp;action=edit</v>
      </c>
      <c r="AA598" s="763"/>
      <c r="AB598" s="763"/>
      <c r="AC598" s="763"/>
      <c r="AD598" s="763"/>
      <c r="AE598" s="763"/>
      <c r="AF598" s="763"/>
      <c r="AG598" s="763"/>
      <c r="AH598" s="763"/>
      <c r="AI598" s="763"/>
      <c r="AJ598" s="763"/>
      <c r="AK598" s="763"/>
      <c r="AL598" s="763"/>
      <c r="AM598" s="763"/>
      <c r="AN598" s="763"/>
      <c r="AO598" s="763"/>
      <c r="AP598" s="763"/>
      <c r="AQ598" s="763"/>
      <c r="AR598" s="763"/>
      <c r="AS598" s="763"/>
      <c r="AT598" s="763"/>
      <c r="AU598" s="763"/>
      <c r="AV598" s="763"/>
      <c r="AW598" s="763"/>
      <c r="AX598" s="763"/>
      <c r="AY598" s="763"/>
      <c r="AZ598" s="763"/>
      <c r="BA598" s="763"/>
      <c r="BB598" s="763"/>
      <c r="BC598" s="763"/>
      <c r="BD598" s="763"/>
      <c r="BE598" s="763"/>
      <c r="BF598" s="763"/>
      <c r="BG598" s="763" t="b">
        <f>IFERROR(__xludf.DUMMYFUNCTION("""COMPUTED_VALUE"""),TRUE)</f>
        <v>1</v>
      </c>
      <c r="BH598" s="763" t="b">
        <f>IFERROR(__xludf.DUMMYFUNCTION("""COMPUTED_VALUE"""),FALSE)</f>
        <v>0</v>
      </c>
      <c r="BI598" s="763" t="b">
        <f>IFERROR(__xludf.DUMMYFUNCTION("""COMPUTED_VALUE"""),TRUE)</f>
        <v>1</v>
      </c>
      <c r="BJ598" s="763" t="b">
        <f>IFERROR(__xludf.DUMMYFUNCTION("""COMPUTED_VALUE"""),TRUE)</f>
        <v>1</v>
      </c>
    </row>
    <row r="599">
      <c r="A599" s="763">
        <f>IFERROR(__xludf.DUMMYFUNCTION("""COMPUTED_VALUE"""),66190.0)</f>
        <v>66190</v>
      </c>
      <c r="B599" s="763">
        <f>IFERROR(__xludf.DUMMYFUNCTION("""COMPUTED_VALUE"""),66190.0)</f>
        <v>66190</v>
      </c>
      <c r="C599" s="763" t="str">
        <f>IFERROR(__xludf.DUMMYFUNCTION("""COMPUTED_VALUE"""),"2025-11-18 16:27:10")</f>
        <v>2025-11-18 16:27:10</v>
      </c>
      <c r="D599" s="763" t="str">
        <f>IFERROR(__xludf.DUMMYFUNCTION("""COMPUTED_VALUE"""),"completed")</f>
        <v>completed</v>
      </c>
      <c r="E599" s="763" t="str">
        <f>IFERROR(__xludf.DUMMYFUNCTION("""COMPUTED_VALUE"""),"Padmini")</f>
        <v>Padmini</v>
      </c>
      <c r="F599" s="763" t="str">
        <f>IFERROR(__xludf.DUMMYFUNCTION("""COMPUTED_VALUE"""),"Maraschi")</f>
        <v>Maraschi</v>
      </c>
      <c r="G599" s="763" t="str">
        <f>IFERROR(__xludf.DUMMYFUNCTION("""COMPUTED_VALUE"""),"paddy.mx9@gmail.com")</f>
        <v>paddy.mx9@gmail.com</v>
      </c>
      <c r="H599" s="763">
        <f>IFERROR(__xludf.DUMMYFUNCTION("""COMPUTED_VALUE"""),3.807877826E9)</f>
        <v>3807877826</v>
      </c>
      <c r="I599" s="763" t="str">
        <f>IFERROR(__xludf.DUMMYFUNCTION("""COMPUTED_VALUE"""),"San Giuliano Milanese")</f>
        <v>San Giuliano Milanese</v>
      </c>
      <c r="J599" s="763" t="str">
        <f>IFERROR(__xludf.DUMMYFUNCTION("""COMPUTED_VALUE"""),"Via Fratelli Ruffini 14")</f>
        <v>Via Fratelli Ruffini 14</v>
      </c>
      <c r="K599" s="763">
        <f>IFERROR(__xludf.DUMMYFUNCTION("""COMPUTED_VALUE"""),20098.0)</f>
        <v>20098</v>
      </c>
      <c r="L599" s="763" t="str">
        <f>IFERROR(__xludf.DUMMYFUNCTION("""COMPUTED_VALUE"""),"Apple Pay")</f>
        <v>Apple Pay</v>
      </c>
      <c r="M599" s="763" t="str">
        <f>IFERROR(__xludf.DUMMYFUNCTION("""COMPUTED_VALUE"""),"santo05natale")</f>
        <v>santo05natale</v>
      </c>
      <c r="N599" s="763" t="str">
        <f>IFERROR(__xludf.DUMMYFUNCTION("""COMPUTED_VALUE"""),"66190-1763483453")</f>
        <v>66190-1763483453</v>
      </c>
      <c r="O599" s="763">
        <f>IFERROR(__xludf.DUMMYFUNCTION("""COMPUTED_VALUE"""),0.0)</f>
        <v>0</v>
      </c>
      <c r="P599" s="767">
        <f>IFERROR(__xludf.DUMMYFUNCTION("""COMPUTED_VALUE"""),2.0833333333333335)</f>
        <v>2.083333333</v>
      </c>
      <c r="Q599" s="763" t="str">
        <f>IFERROR(__xludf.DUMMYFUNCTION("""COMPUTED_VALUE"""),"EUR")</f>
        <v>EUR</v>
      </c>
      <c r="R599" s="763">
        <f>IFERROR(__xludf.DUMMYFUNCTION("""COMPUTED_VALUE"""),1112.0)</f>
        <v>1112</v>
      </c>
      <c r="S599" s="763" t="str">
        <f>IFERROR(__xludf.DUMMYFUNCTION("""COMPUTED_VALUE"""),"Festa di Natale 2025 - Festa di natale 2025 lezioni + pizza + serata 55€")</f>
        <v>Festa di Natale 2025 - Festa di natale 2025 lezioni + pizza + serata 55€</v>
      </c>
      <c r="T599" s="763"/>
      <c r="U599" s="763"/>
      <c r="V599" s="763">
        <f>IFERROR(__xludf.DUMMYFUNCTION("""COMPUTED_VALUE"""),1.0)</f>
        <v>1</v>
      </c>
      <c r="W599" s="763">
        <f>IFERROR(__xludf.DUMMYFUNCTION("""COMPUTED_VALUE"""),50.0)</f>
        <v>50</v>
      </c>
      <c r="X599" s="763">
        <f>IFERROR(__xludf.DUMMYFUNCTION("""COMPUTED_VALUE"""),50.0)</f>
        <v>50</v>
      </c>
      <c r="Y599" s="763"/>
      <c r="Z599" s="768" t="str">
        <f>IFERROR(__xludf.DUMMYFUNCTION("""COMPUTED_VALUE"""),"https://studio-gem.it/wp-admin/post.php?post=66190&amp;action=edit")</f>
        <v>https://studio-gem.it/wp-admin/post.php?post=66190&amp;action=edit</v>
      </c>
      <c r="AA599" s="763"/>
      <c r="AB599" s="763"/>
      <c r="AC599" s="763"/>
      <c r="AD599" s="763"/>
      <c r="AE599" s="763"/>
      <c r="AF599" s="763"/>
      <c r="AG599" s="763"/>
      <c r="AH599" s="763"/>
      <c r="AI599" s="763"/>
      <c r="AJ599" s="763"/>
      <c r="AK599" s="763"/>
      <c r="AL599" s="763"/>
      <c r="AM599" s="763"/>
      <c r="AN599" s="763"/>
      <c r="AO599" s="763"/>
      <c r="AP599" s="763"/>
      <c r="AQ599" s="763"/>
      <c r="AR599" s="763"/>
      <c r="AS599" s="763"/>
      <c r="AT599" s="763"/>
      <c r="AU599" s="763"/>
      <c r="AV599" s="763"/>
      <c r="AW599" s="763"/>
      <c r="AX599" s="763"/>
      <c r="AY599" s="763"/>
      <c r="AZ599" s="763"/>
      <c r="BA599" s="763"/>
      <c r="BB599" s="763"/>
      <c r="BC599" s="763"/>
      <c r="BD599" s="763"/>
      <c r="BE599" s="763"/>
      <c r="BF599" s="763"/>
      <c r="BG599" s="763" t="b">
        <f>IFERROR(__xludf.DUMMYFUNCTION("""COMPUTED_VALUE"""),TRUE)</f>
        <v>1</v>
      </c>
      <c r="BH599" s="763" t="b">
        <f>IFERROR(__xludf.DUMMYFUNCTION("""COMPUTED_VALUE"""),FALSE)</f>
        <v>0</v>
      </c>
      <c r="BI599" s="763" t="b">
        <f>IFERROR(__xludf.DUMMYFUNCTION("""COMPUTED_VALUE"""),TRUE)</f>
        <v>1</v>
      </c>
      <c r="BJ599" s="763" t="b">
        <f>IFERROR(__xludf.DUMMYFUNCTION("""COMPUTED_VALUE"""),TRUE)</f>
        <v>1</v>
      </c>
    </row>
    <row r="600">
      <c r="A600" s="763">
        <f>IFERROR(__xludf.DUMMYFUNCTION("""COMPUTED_VALUE"""),66192.0)</f>
        <v>66192</v>
      </c>
      <c r="B600" s="763">
        <f>IFERROR(__xludf.DUMMYFUNCTION("""COMPUTED_VALUE"""),66192.0)</f>
        <v>66192</v>
      </c>
      <c r="C600" s="763" t="str">
        <f>IFERROR(__xludf.DUMMYFUNCTION("""COMPUTED_VALUE"""),"2025-11-18 21:51:43")</f>
        <v>2025-11-18 21:51:43</v>
      </c>
      <c r="D600" s="763" t="str">
        <f>IFERROR(__xludf.DUMMYFUNCTION("""COMPUTED_VALUE"""),"completed")</f>
        <v>completed</v>
      </c>
      <c r="E600" s="763" t="str">
        <f>IFERROR(__xludf.DUMMYFUNCTION("""COMPUTED_VALUE"""),"Marco")</f>
        <v>Marco</v>
      </c>
      <c r="F600" s="763" t="str">
        <f>IFERROR(__xludf.DUMMYFUNCTION("""COMPUTED_VALUE"""),"Gagliardi")</f>
        <v>Gagliardi</v>
      </c>
      <c r="G600" s="763" t="str">
        <f>IFERROR(__xludf.DUMMYFUNCTION("""COMPUTED_VALUE"""),"marco.gagliardi81@gmail.com")</f>
        <v>marco.gagliardi81@gmail.com</v>
      </c>
      <c r="H600" s="763">
        <f>IFERROR(__xludf.DUMMYFUNCTION("""COMPUTED_VALUE"""),3.49224458E9)</f>
        <v>3492244580</v>
      </c>
      <c r="I600" s="763" t="str">
        <f>IFERROR(__xludf.DUMMYFUNCTION("""COMPUTED_VALUE"""),"Milano")</f>
        <v>Milano</v>
      </c>
      <c r="J600" s="763" t="str">
        <f>IFERROR(__xludf.DUMMYFUNCTION("""COMPUTED_VALUE"""),"Via Cornelio Tacito 12")</f>
        <v>Via Cornelio Tacito 12</v>
      </c>
      <c r="K600" s="763">
        <f>IFERROR(__xludf.DUMMYFUNCTION("""COMPUTED_VALUE"""),20137.0)</f>
        <v>20137</v>
      </c>
      <c r="L600" s="763" t="str">
        <f>IFERROR(__xludf.DUMMYFUNCTION("""COMPUTED_VALUE"""),"Carte di pagamento")</f>
        <v>Carte di pagamento</v>
      </c>
      <c r="M600" s="763" t="str">
        <f>IFERROR(__xludf.DUMMYFUNCTION("""COMPUTED_VALUE"""),"santo05natale")</f>
        <v>santo05natale</v>
      </c>
      <c r="N600" s="763" t="str">
        <f>IFERROR(__xludf.DUMMYFUNCTION("""COMPUTED_VALUE"""),"66192-1763502704")</f>
        <v>66192-1763502704</v>
      </c>
      <c r="O600" s="763">
        <f>IFERROR(__xludf.DUMMYFUNCTION("""COMPUTED_VALUE"""),0.0)</f>
        <v>0</v>
      </c>
      <c r="P600" s="767">
        <f>IFERROR(__xludf.DUMMYFUNCTION("""COMPUTED_VALUE"""),2.0833333333333335)</f>
        <v>2.083333333</v>
      </c>
      <c r="Q600" s="763" t="str">
        <f>IFERROR(__xludf.DUMMYFUNCTION("""COMPUTED_VALUE"""),"EUR")</f>
        <v>EUR</v>
      </c>
      <c r="R600" s="763">
        <f>IFERROR(__xludf.DUMMYFUNCTION("""COMPUTED_VALUE"""),1114.0)</f>
        <v>1114</v>
      </c>
      <c r="S600" s="763" t="str">
        <f>IFERROR(__xludf.DUMMYFUNCTION("""COMPUTED_VALUE"""),"Festa di Natale 2025 - Festa di natale 2025 lezioni + pizza + serata 55€")</f>
        <v>Festa di Natale 2025 - Festa di natale 2025 lezioni + pizza + serata 55€</v>
      </c>
      <c r="T600" s="763"/>
      <c r="U600" s="763"/>
      <c r="V600" s="763">
        <f>IFERROR(__xludf.DUMMYFUNCTION("""COMPUTED_VALUE"""),1.0)</f>
        <v>1</v>
      </c>
      <c r="W600" s="763">
        <f>IFERROR(__xludf.DUMMYFUNCTION("""COMPUTED_VALUE"""),50.0)</f>
        <v>50</v>
      </c>
      <c r="X600" s="763">
        <f>IFERROR(__xludf.DUMMYFUNCTION("""COMPUTED_VALUE"""),50.0)</f>
        <v>50</v>
      </c>
      <c r="Y600" s="763"/>
      <c r="Z600" s="768" t="str">
        <f>IFERROR(__xludf.DUMMYFUNCTION("""COMPUTED_VALUE"""),"https://studio-gem.it/wp-admin/post.php?post=66192&amp;action=edit")</f>
        <v>https://studio-gem.it/wp-admin/post.php?post=66192&amp;action=edit</v>
      </c>
      <c r="AA600" s="763"/>
      <c r="AB600" s="763"/>
      <c r="AC600" s="763"/>
      <c r="AD600" s="763"/>
      <c r="AE600" s="763"/>
      <c r="AF600" s="763"/>
      <c r="AG600" s="763"/>
      <c r="AH600" s="763"/>
      <c r="AI600" s="763"/>
      <c r="AJ600" s="763"/>
      <c r="AK600" s="763"/>
      <c r="AL600" s="763"/>
      <c r="AM600" s="763"/>
      <c r="AN600" s="763"/>
      <c r="AO600" s="763"/>
      <c r="AP600" s="763"/>
      <c r="AQ600" s="763"/>
      <c r="AR600" s="763"/>
      <c r="AS600" s="763"/>
      <c r="AT600" s="763"/>
      <c r="AU600" s="763"/>
      <c r="AV600" s="763"/>
      <c r="AW600" s="763"/>
      <c r="AX600" s="763"/>
      <c r="AY600" s="763"/>
      <c r="AZ600" s="763"/>
      <c r="BA600" s="763"/>
      <c r="BB600" s="763"/>
      <c r="BC600" s="763"/>
      <c r="BD600" s="763"/>
      <c r="BE600" s="763"/>
      <c r="BF600" s="763"/>
      <c r="BG600" s="763" t="b">
        <f>IFERROR(__xludf.DUMMYFUNCTION("""COMPUTED_VALUE"""),TRUE)</f>
        <v>1</v>
      </c>
      <c r="BH600" s="763" t="b">
        <f>IFERROR(__xludf.DUMMYFUNCTION("""COMPUTED_VALUE"""),FALSE)</f>
        <v>0</v>
      </c>
      <c r="BI600" s="763" t="b">
        <f>IFERROR(__xludf.DUMMYFUNCTION("""COMPUTED_VALUE"""),TRUE)</f>
        <v>1</v>
      </c>
      <c r="BJ600" s="763" t="b">
        <f>IFERROR(__xludf.DUMMYFUNCTION("""COMPUTED_VALUE"""),TRUE)</f>
        <v>1</v>
      </c>
    </row>
    <row r="601">
      <c r="A601" s="763">
        <f>IFERROR(__xludf.DUMMYFUNCTION("""COMPUTED_VALUE"""),66196.0)</f>
        <v>66196</v>
      </c>
      <c r="B601" s="763">
        <f>IFERROR(__xludf.DUMMYFUNCTION("""COMPUTED_VALUE"""),66196.0)</f>
        <v>66196</v>
      </c>
      <c r="C601" s="763" t="str">
        <f>IFERROR(__xludf.DUMMYFUNCTION("""COMPUTED_VALUE"""),"2025-11-19 07:53:41")</f>
        <v>2025-11-19 07:53:41</v>
      </c>
      <c r="D601" s="763" t="str">
        <f>IFERROR(__xludf.DUMMYFUNCTION("""COMPUTED_VALUE"""),"completed")</f>
        <v>completed</v>
      </c>
      <c r="E601" s="763" t="str">
        <f>IFERROR(__xludf.DUMMYFUNCTION("""COMPUTED_VALUE"""),"Federica")</f>
        <v>Federica</v>
      </c>
      <c r="F601" s="763" t="str">
        <f>IFERROR(__xludf.DUMMYFUNCTION("""COMPUTED_VALUE"""),"Aghemo")</f>
        <v>Aghemo</v>
      </c>
      <c r="G601" s="763" t="str">
        <f>IFERROR(__xludf.DUMMYFUNCTION("""COMPUTED_VALUE"""),"federica_aghemo@hotmail.it")</f>
        <v>federica_aghemo@hotmail.it</v>
      </c>
      <c r="H601" s="763">
        <f>IFERROR(__xludf.DUMMYFUNCTION("""COMPUTED_VALUE"""),3.355330089E9)</f>
        <v>3355330089</v>
      </c>
      <c r="I601" s="763" t="str">
        <f>IFERROR(__xludf.DUMMYFUNCTION("""COMPUTED_VALUE"""),"Milano")</f>
        <v>Milano</v>
      </c>
      <c r="J601" s="763" t="str">
        <f>IFERROR(__xludf.DUMMYFUNCTION("""COMPUTED_VALUE"""),"Corso Porta Romana 57")</f>
        <v>Corso Porta Romana 57</v>
      </c>
      <c r="K601" s="763">
        <f>IFERROR(__xludf.DUMMYFUNCTION("""COMPUTED_VALUE"""),20122.0)</f>
        <v>20122</v>
      </c>
      <c r="L601" s="763"/>
      <c r="M601" s="763"/>
      <c r="N601" s="763"/>
      <c r="O601" s="763">
        <f>IFERROR(__xludf.DUMMYFUNCTION("""COMPUTED_VALUE"""),0.0)</f>
        <v>0</v>
      </c>
      <c r="P601" s="767">
        <f>IFERROR(__xludf.DUMMYFUNCTION("""COMPUTED_VALUE"""),0.0)</f>
        <v>0</v>
      </c>
      <c r="Q601" s="763" t="str">
        <f>IFERROR(__xludf.DUMMYFUNCTION("""COMPUTED_VALUE"""),"EUR")</f>
        <v>EUR</v>
      </c>
      <c r="R601" s="763">
        <f>IFERROR(__xludf.DUMMYFUNCTION("""COMPUTED_VALUE"""),1116.0)</f>
        <v>1116</v>
      </c>
      <c r="S601" s="763" t="str">
        <f>IFERROR(__xludf.DUMMYFUNCTION("""COMPUTED_VALUE"""),"Domeniche in movimento - Gratuito per open fitness e open mattino 2 lezioni dalle 10 alle 11.50")</f>
        <v>Domeniche in movimento - Gratuito per open fitness e open mattino 2 lezioni dalle 10 alle 11.50</v>
      </c>
      <c r="T601" s="763"/>
      <c r="U601" s="763"/>
      <c r="V601" s="763">
        <f>IFERROR(__xludf.DUMMYFUNCTION("""COMPUTED_VALUE"""),2.0)</f>
        <v>2</v>
      </c>
      <c r="W601" s="763">
        <f>IFERROR(__xludf.DUMMYFUNCTION("""COMPUTED_VALUE"""),0.0)</f>
        <v>0</v>
      </c>
      <c r="X601" s="763">
        <f>IFERROR(__xludf.DUMMYFUNCTION("""COMPUTED_VALUE"""),0.0)</f>
        <v>0</v>
      </c>
      <c r="Y601" s="763"/>
      <c r="Z601" s="768" t="str">
        <f>IFERROR(__xludf.DUMMYFUNCTION("""COMPUTED_VALUE"""),"https://studio-gem.it/wp-admin/post.php?post=66196&amp;action=edit")</f>
        <v>https://studio-gem.it/wp-admin/post.php?post=66196&amp;action=edit</v>
      </c>
      <c r="AA601" s="763"/>
      <c r="AB601" s="763"/>
      <c r="AC601" s="763"/>
      <c r="AD601" s="763"/>
      <c r="AE601" s="763"/>
      <c r="AF601" s="763"/>
      <c r="AG601" s="763"/>
      <c r="AH601" s="763"/>
      <c r="AI601" s="763"/>
      <c r="AJ601" s="763"/>
      <c r="AK601" s="763"/>
      <c r="AL601" s="763"/>
      <c r="AM601" s="763"/>
      <c r="AN601" s="763"/>
      <c r="AO601" s="763"/>
      <c r="AP601" s="763"/>
      <c r="AQ601" s="763"/>
      <c r="AR601" s="763"/>
      <c r="AS601" s="763"/>
      <c r="AT601" s="763"/>
      <c r="AU601" s="763"/>
      <c r="AV601" s="763"/>
      <c r="AW601" s="763"/>
      <c r="AX601" s="763"/>
      <c r="AY601" s="763"/>
      <c r="AZ601" s="763"/>
      <c r="BA601" s="763"/>
      <c r="BB601" s="763"/>
      <c r="BC601" s="763"/>
      <c r="BD601" s="763"/>
      <c r="BE601" s="763"/>
      <c r="BF601" s="763"/>
      <c r="BG601" s="763" t="b">
        <f>IFERROR(__xludf.DUMMYFUNCTION("""COMPUTED_VALUE"""),FALSE)</f>
        <v>0</v>
      </c>
      <c r="BH601" s="763" t="b">
        <f>IFERROR(__xludf.DUMMYFUNCTION("""COMPUTED_VALUE"""),FALSE)</f>
        <v>0</v>
      </c>
      <c r="BI601" s="763" t="b">
        <f>IFERROR(__xludf.DUMMYFUNCTION("""COMPUTED_VALUE"""),TRUE)</f>
        <v>1</v>
      </c>
      <c r="BJ601" s="763" t="b">
        <f>IFERROR(__xludf.DUMMYFUNCTION("""COMPUTED_VALUE"""),FALSE)</f>
        <v>0</v>
      </c>
    </row>
    <row r="602">
      <c r="A602" s="763">
        <f>IFERROR(__xludf.DUMMYFUNCTION("""COMPUTED_VALUE"""),66204.0)</f>
        <v>66204</v>
      </c>
      <c r="B602" s="763">
        <f>IFERROR(__xludf.DUMMYFUNCTION("""COMPUTED_VALUE"""),66204.0)</f>
        <v>66204</v>
      </c>
      <c r="C602" s="763" t="str">
        <f>IFERROR(__xludf.DUMMYFUNCTION("""COMPUTED_VALUE"""),"2025-11-19 08:20:38")</f>
        <v>2025-11-19 08:20:38</v>
      </c>
      <c r="D602" s="763" t="str">
        <f>IFERROR(__xludf.DUMMYFUNCTION("""COMPUTED_VALUE"""),"processing")</f>
        <v>processing</v>
      </c>
      <c r="E602" s="763" t="str">
        <f>IFERROR(__xludf.DUMMYFUNCTION("""COMPUTED_VALUE"""),"Elena")</f>
        <v>Elena</v>
      </c>
      <c r="F602" s="763" t="str">
        <f>IFERROR(__xludf.DUMMYFUNCTION("""COMPUTED_VALUE"""),"Saro")</f>
        <v>Saro</v>
      </c>
      <c r="G602" s="763" t="str">
        <f>IFERROR(__xludf.DUMMYFUNCTION("""COMPUTED_VALUE"""),"elena.saro@hotmail.it")</f>
        <v>elena.saro@hotmail.it</v>
      </c>
      <c r="H602" s="763">
        <f>IFERROR(__xludf.DUMMYFUNCTION("""COMPUTED_VALUE"""),3.420351944E9)</f>
        <v>3420351944</v>
      </c>
      <c r="I602" s="763" t="str">
        <f>IFERROR(__xludf.DUMMYFUNCTION("""COMPUTED_VALUE"""),"casalmaiocco")</f>
        <v>casalmaiocco</v>
      </c>
      <c r="J602" s="763" t="str">
        <f>IFERROR(__xludf.DUMMYFUNCTION("""COMPUTED_VALUE"""),"Via Malpensta 9")</f>
        <v>Via Malpensta 9</v>
      </c>
      <c r="K602" s="763">
        <f>IFERROR(__xludf.DUMMYFUNCTION("""COMPUTED_VALUE"""),26831.0)</f>
        <v>26831</v>
      </c>
      <c r="L602" s="763" t="str">
        <f>IFERROR(__xludf.DUMMYFUNCTION("""COMPUTED_VALUE"""),"Carte di pagamento")</f>
        <v>Carte di pagamento</v>
      </c>
      <c r="M602" s="763" t="str">
        <f>IFERROR(__xludf.DUMMYFUNCTION("""COMPUTED_VALUE"""),"santo05natale")</f>
        <v>santo05natale</v>
      </c>
      <c r="N602" s="763" t="str">
        <f>IFERROR(__xludf.DUMMYFUNCTION("""COMPUTED_VALUE"""),"66204-1763540440")</f>
        <v>66204-1763540440</v>
      </c>
      <c r="O602" s="763">
        <f>IFERROR(__xludf.DUMMYFUNCTION("""COMPUTED_VALUE"""),0.0)</f>
        <v>0</v>
      </c>
      <c r="P602" s="767">
        <f>IFERROR(__xludf.DUMMYFUNCTION("""COMPUTED_VALUE"""),2.0833333333333335)</f>
        <v>2.083333333</v>
      </c>
      <c r="Q602" s="763" t="str">
        <f>IFERROR(__xludf.DUMMYFUNCTION("""COMPUTED_VALUE"""),"EUR")</f>
        <v>EUR</v>
      </c>
      <c r="R602" s="763">
        <f>IFERROR(__xludf.DUMMYFUNCTION("""COMPUTED_VALUE"""),1117.0)</f>
        <v>1117</v>
      </c>
      <c r="S602" s="763" t="str">
        <f>IFERROR(__xludf.DUMMYFUNCTION("""COMPUTED_VALUE"""),"Festa di Natale 2025 - Festa di natale 2025 lezioni + pizza + serata 55€")</f>
        <v>Festa di Natale 2025 - Festa di natale 2025 lezioni + pizza + serata 55€</v>
      </c>
      <c r="T602" s="763"/>
      <c r="U602" s="763"/>
      <c r="V602" s="763">
        <f>IFERROR(__xludf.DUMMYFUNCTION("""COMPUTED_VALUE"""),1.0)</f>
        <v>1</v>
      </c>
      <c r="W602" s="763">
        <f>IFERROR(__xludf.DUMMYFUNCTION("""COMPUTED_VALUE"""),50.0)</f>
        <v>50</v>
      </c>
      <c r="X602" s="763">
        <f>IFERROR(__xludf.DUMMYFUNCTION("""COMPUTED_VALUE"""),50.0)</f>
        <v>50</v>
      </c>
      <c r="Y602" s="763"/>
      <c r="Z602" s="768" t="str">
        <f>IFERROR(__xludf.DUMMYFUNCTION("""COMPUTED_VALUE"""),"https://studio-gem.it/wp-admin/post.php?post=66204&amp;action=edit")</f>
        <v>https://studio-gem.it/wp-admin/post.php?post=66204&amp;action=edit</v>
      </c>
      <c r="AA602" s="763"/>
      <c r="AB602" s="763"/>
      <c r="AC602" s="763"/>
      <c r="AD602" s="763"/>
      <c r="AE602" s="763"/>
      <c r="AF602" s="763"/>
      <c r="AG602" s="763"/>
      <c r="AH602" s="763"/>
      <c r="AI602" s="763"/>
      <c r="AJ602" s="763"/>
      <c r="AK602" s="763"/>
      <c r="AL602" s="763"/>
      <c r="AM602" s="763"/>
      <c r="AN602" s="763"/>
      <c r="AO602" s="763"/>
      <c r="AP602" s="763"/>
      <c r="AQ602" s="763"/>
      <c r="AR602" s="763"/>
      <c r="AS602" s="763"/>
      <c r="AT602" s="763"/>
      <c r="AU602" s="763"/>
      <c r="AV602" s="763"/>
      <c r="AW602" s="763"/>
      <c r="AX602" s="763"/>
      <c r="AY602" s="763"/>
      <c r="AZ602" s="763"/>
      <c r="BA602" s="763"/>
      <c r="BB602" s="763"/>
      <c r="BC602" s="763"/>
      <c r="BD602" s="763"/>
      <c r="BE602" s="763"/>
      <c r="BF602" s="763"/>
      <c r="BG602" s="763" t="b">
        <f>IFERROR(__xludf.DUMMYFUNCTION("""COMPUTED_VALUE"""),TRUE)</f>
        <v>1</v>
      </c>
      <c r="BH602" s="763" t="b">
        <f>IFERROR(__xludf.DUMMYFUNCTION("""COMPUTED_VALUE"""),FALSE)</f>
        <v>0</v>
      </c>
      <c r="BI602" s="763" t="b">
        <f>IFERROR(__xludf.DUMMYFUNCTION("""COMPUTED_VALUE"""),TRUE)</f>
        <v>1</v>
      </c>
      <c r="BJ602" s="763" t="b">
        <f>IFERROR(__xludf.DUMMYFUNCTION("""COMPUTED_VALUE"""),TRUE)</f>
        <v>1</v>
      </c>
    </row>
    <row r="603">
      <c r="A603" s="763">
        <f>IFERROR(__xludf.DUMMYFUNCTION("""COMPUTED_VALUE"""),66208.0)</f>
        <v>66208</v>
      </c>
      <c r="B603" s="763">
        <f>IFERROR(__xludf.DUMMYFUNCTION("""COMPUTED_VALUE"""),66208.0)</f>
        <v>66208</v>
      </c>
      <c r="C603" s="763" t="str">
        <f>IFERROR(__xludf.DUMMYFUNCTION("""COMPUTED_VALUE"""),"2025-11-19 09:21:49")</f>
        <v>2025-11-19 09:21:49</v>
      </c>
      <c r="D603" s="763" t="str">
        <f>IFERROR(__xludf.DUMMYFUNCTION("""COMPUTED_VALUE"""),"completed")</f>
        <v>completed</v>
      </c>
      <c r="E603" s="763" t="str">
        <f>IFERROR(__xludf.DUMMYFUNCTION("""COMPUTED_VALUE"""),"MATTEO")</f>
        <v>MATTEO</v>
      </c>
      <c r="F603" s="763" t="str">
        <f>IFERROR(__xludf.DUMMYFUNCTION("""COMPUTED_VALUE"""),"TESSARI")</f>
        <v>TESSARI</v>
      </c>
      <c r="G603" s="763" t="str">
        <f>IFERROR(__xludf.DUMMYFUNCTION("""COMPUTED_VALUE"""),"tessari_matteo@hotmail.it")</f>
        <v>tessari_matteo@hotmail.it</v>
      </c>
      <c r="H603" s="763">
        <f>IFERROR(__xludf.DUMMYFUNCTION("""COMPUTED_VALUE"""),3.313502372E9)</f>
        <v>3313502372</v>
      </c>
      <c r="I603" s="763" t="str">
        <f>IFERROR(__xludf.DUMMYFUNCTION("""COMPUTED_VALUE"""),"MILANO")</f>
        <v>MILANO</v>
      </c>
      <c r="J603" s="763" t="str">
        <f>IFERROR(__xludf.DUMMYFUNCTION("""COMPUTED_VALUE"""),"VIA AUGUSTO OSIMO, 1")</f>
        <v>VIA AUGUSTO OSIMO, 1</v>
      </c>
      <c r="K603" s="763">
        <f>IFERROR(__xludf.DUMMYFUNCTION("""COMPUTED_VALUE"""),20134.0)</f>
        <v>20134</v>
      </c>
      <c r="L603" s="763" t="str">
        <f>IFERROR(__xludf.DUMMYFUNCTION("""COMPUTED_VALUE"""),"Carte di pagamento")</f>
        <v>Carte di pagamento</v>
      </c>
      <c r="M603" s="763" t="str">
        <f>IFERROR(__xludf.DUMMYFUNCTION("""COMPUTED_VALUE"""),"alexandra05natale")</f>
        <v>alexandra05natale</v>
      </c>
      <c r="N603" s="763" t="str">
        <f>IFERROR(__xludf.DUMMYFUNCTION("""COMPUTED_VALUE"""),"66208-1763544111")</f>
        <v>66208-1763544111</v>
      </c>
      <c r="O603" s="763">
        <f>IFERROR(__xludf.DUMMYFUNCTION("""COMPUTED_VALUE"""),0.0)</f>
        <v>0</v>
      </c>
      <c r="P603" s="767">
        <f>IFERROR(__xludf.DUMMYFUNCTION("""COMPUTED_VALUE"""),0.8333333333333334)</f>
        <v>0.8333333333</v>
      </c>
      <c r="Q603" s="763" t="str">
        <f>IFERROR(__xludf.DUMMYFUNCTION("""COMPUTED_VALUE"""),"EUR")</f>
        <v>EUR</v>
      </c>
      <c r="R603" s="763">
        <f>IFERROR(__xludf.DUMMYFUNCTION("""COMPUTED_VALUE"""),1119.0)</f>
        <v>1119</v>
      </c>
      <c r="S603" s="763" t="str">
        <f>IFERROR(__xludf.DUMMYFUNCTION("""COMPUTED_VALUE"""),"Festa di Natale 2025 - Festa di natale 2025 SOLO serata 25€")</f>
        <v>Festa di Natale 2025 - Festa di natale 2025 SOLO serata 25€</v>
      </c>
      <c r="T603" s="763"/>
      <c r="U603" s="763"/>
      <c r="V603" s="763">
        <f>IFERROR(__xludf.DUMMYFUNCTION("""COMPUTED_VALUE"""),1.0)</f>
        <v>1</v>
      </c>
      <c r="W603" s="763">
        <f>IFERROR(__xludf.DUMMYFUNCTION("""COMPUTED_VALUE"""),20.0)</f>
        <v>20</v>
      </c>
      <c r="X603" s="763">
        <f>IFERROR(__xludf.DUMMYFUNCTION("""COMPUTED_VALUE"""),20.0)</f>
        <v>20</v>
      </c>
      <c r="Y603" s="763"/>
      <c r="Z603" s="768" t="str">
        <f>IFERROR(__xludf.DUMMYFUNCTION("""COMPUTED_VALUE"""),"https://studio-gem.it/wp-admin/post.php?post=66208&amp;action=edit")</f>
        <v>https://studio-gem.it/wp-admin/post.php?post=66208&amp;action=edit</v>
      </c>
      <c r="AA603" s="763"/>
      <c r="AB603" s="763"/>
      <c r="AC603" s="763"/>
      <c r="AD603" s="763"/>
      <c r="AE603" s="763"/>
      <c r="AF603" s="763"/>
      <c r="AG603" s="763"/>
      <c r="AH603" s="763"/>
      <c r="AI603" s="763"/>
      <c r="AJ603" s="763"/>
      <c r="AK603" s="763"/>
      <c r="AL603" s="763"/>
      <c r="AM603" s="763"/>
      <c r="AN603" s="763"/>
      <c r="AO603" s="763"/>
      <c r="AP603" s="763"/>
      <c r="AQ603" s="763"/>
      <c r="AR603" s="763"/>
      <c r="AS603" s="763"/>
      <c r="AT603" s="763"/>
      <c r="AU603" s="763"/>
      <c r="AV603" s="763"/>
      <c r="AW603" s="763"/>
      <c r="AX603" s="763"/>
      <c r="AY603" s="763"/>
      <c r="AZ603" s="763"/>
      <c r="BA603" s="763"/>
      <c r="BB603" s="763"/>
      <c r="BC603" s="763"/>
      <c r="BD603" s="763"/>
      <c r="BE603" s="763"/>
      <c r="BF603" s="763"/>
      <c r="BG603" s="763" t="b">
        <f>IFERROR(__xludf.DUMMYFUNCTION("""COMPUTED_VALUE"""),TRUE)</f>
        <v>1</v>
      </c>
      <c r="BH603" s="763" t="b">
        <f>IFERROR(__xludf.DUMMYFUNCTION("""COMPUTED_VALUE"""),FALSE)</f>
        <v>0</v>
      </c>
      <c r="BI603" s="763" t="b">
        <f>IFERROR(__xludf.DUMMYFUNCTION("""COMPUTED_VALUE"""),TRUE)</f>
        <v>1</v>
      </c>
      <c r="BJ603" s="763" t="b">
        <f>IFERROR(__xludf.DUMMYFUNCTION("""COMPUTED_VALUE"""),TRUE)</f>
        <v>1</v>
      </c>
    </row>
    <row r="604">
      <c r="A604" s="763">
        <f>IFERROR(__xludf.DUMMYFUNCTION("""COMPUTED_VALUE"""),66222.0)</f>
        <v>66222</v>
      </c>
      <c r="B604" s="763">
        <f>IFERROR(__xludf.DUMMYFUNCTION("""COMPUTED_VALUE"""),66222.0)</f>
        <v>66222</v>
      </c>
      <c r="C604" s="763" t="str">
        <f>IFERROR(__xludf.DUMMYFUNCTION("""COMPUTED_VALUE"""),"2025-11-19 14:58:40")</f>
        <v>2025-11-19 14:58:40</v>
      </c>
      <c r="D604" s="763" t="str">
        <f>IFERROR(__xludf.DUMMYFUNCTION("""COMPUTED_VALUE"""),"completed")</f>
        <v>completed</v>
      </c>
      <c r="E604" s="763" t="str">
        <f>IFERROR(__xludf.DUMMYFUNCTION("""COMPUTED_VALUE"""),"Alessio")</f>
        <v>Alessio</v>
      </c>
      <c r="F604" s="763" t="str">
        <f>IFERROR(__xludf.DUMMYFUNCTION("""COMPUTED_VALUE"""),"Lizzeri")</f>
        <v>Lizzeri</v>
      </c>
      <c r="G604" s="763" t="str">
        <f>IFERROR(__xludf.DUMMYFUNCTION("""COMPUTED_VALUE"""),"alessio.lizzeri@gmail.com")</f>
        <v>alessio.lizzeri@gmail.com</v>
      </c>
      <c r="H604" s="763" t="str">
        <f>IFERROR(__xludf.DUMMYFUNCTION("""COMPUTED_VALUE"""),"+393273666738")</f>
        <v>+393273666738</v>
      </c>
      <c r="I604" s="763" t="str">
        <f>IFERROR(__xludf.DUMMYFUNCTION("""COMPUTED_VALUE"""),"Milano")</f>
        <v>Milano</v>
      </c>
      <c r="J604" s="763" t="str">
        <f>IFERROR(__xludf.DUMMYFUNCTION("""COMPUTED_VALUE"""),"Via Mecenate 30")</f>
        <v>Via Mecenate 30</v>
      </c>
      <c r="K604" s="763">
        <f>IFERROR(__xludf.DUMMYFUNCTION("""COMPUTED_VALUE"""),20138.0)</f>
        <v>20138</v>
      </c>
      <c r="L604" s="763" t="str">
        <f>IFERROR(__xludf.DUMMYFUNCTION("""COMPUTED_VALUE"""),"Google Pay")</f>
        <v>Google Pay</v>
      </c>
      <c r="M604" s="763"/>
      <c r="N604" s="763" t="str">
        <f>IFERROR(__xludf.DUMMYFUNCTION("""COMPUTED_VALUE"""),"66222-1763564321")</f>
        <v>66222-1763564321</v>
      </c>
      <c r="O604" s="763">
        <f>IFERROR(__xludf.DUMMYFUNCTION("""COMPUTED_VALUE"""),0.0)</f>
        <v>0</v>
      </c>
      <c r="P604" s="767">
        <f>IFERROR(__xludf.DUMMYFUNCTION("""COMPUTED_VALUE"""),1.0416666666666667)</f>
        <v>1.041666667</v>
      </c>
      <c r="Q604" s="763" t="str">
        <f>IFERROR(__xludf.DUMMYFUNCTION("""COMPUTED_VALUE"""),"EUR")</f>
        <v>EUR</v>
      </c>
      <c r="R604" s="763">
        <f>IFERROR(__xludf.DUMMYFUNCTION("""COMPUTED_VALUE"""),1121.0)</f>
        <v>1121</v>
      </c>
      <c r="S604" s="763" t="str">
        <f>IFERROR(__xludf.DUMMYFUNCTION("""COMPUTED_VALUE"""),"Festa di Natale 2025 - Festa di natale 2025 SOLO serata 25€")</f>
        <v>Festa di Natale 2025 - Festa di natale 2025 SOLO serata 25€</v>
      </c>
      <c r="T604" s="763"/>
      <c r="U604" s="763"/>
      <c r="V604" s="763">
        <f>IFERROR(__xludf.DUMMYFUNCTION("""COMPUTED_VALUE"""),1.0)</f>
        <v>1</v>
      </c>
      <c r="W604" s="763">
        <f>IFERROR(__xludf.DUMMYFUNCTION("""COMPUTED_VALUE"""),25.0)</f>
        <v>25</v>
      </c>
      <c r="X604" s="763">
        <f>IFERROR(__xludf.DUMMYFUNCTION("""COMPUTED_VALUE"""),25.0)</f>
        <v>25</v>
      </c>
      <c r="Y604" s="763"/>
      <c r="Z604" s="768" t="str">
        <f>IFERROR(__xludf.DUMMYFUNCTION("""COMPUTED_VALUE"""),"https://studio-gem.it/wp-admin/post.php?post=66222&amp;action=edit")</f>
        <v>https://studio-gem.it/wp-admin/post.php?post=66222&amp;action=edit</v>
      </c>
      <c r="AA604" s="763"/>
      <c r="AB604" s="763"/>
      <c r="AC604" s="763"/>
      <c r="AD604" s="763"/>
      <c r="AE604" s="763"/>
      <c r="AF604" s="763"/>
      <c r="AG604" s="763"/>
      <c r="AH604" s="763"/>
      <c r="AI604" s="763"/>
      <c r="AJ604" s="763"/>
      <c r="AK604" s="763"/>
      <c r="AL604" s="763"/>
      <c r="AM604" s="763"/>
      <c r="AN604" s="763"/>
      <c r="AO604" s="763"/>
      <c r="AP604" s="763"/>
      <c r="AQ604" s="763"/>
      <c r="AR604" s="763"/>
      <c r="AS604" s="763"/>
      <c r="AT604" s="763"/>
      <c r="AU604" s="763"/>
      <c r="AV604" s="763"/>
      <c r="AW604" s="763"/>
      <c r="AX604" s="763"/>
      <c r="AY604" s="763"/>
      <c r="AZ604" s="763"/>
      <c r="BA604" s="763"/>
      <c r="BB604" s="763"/>
      <c r="BC604" s="763"/>
      <c r="BD604" s="763"/>
      <c r="BE604" s="763"/>
      <c r="BF604" s="763"/>
      <c r="BG604" s="763" t="b">
        <f>IFERROR(__xludf.DUMMYFUNCTION("""COMPUTED_VALUE"""),TRUE)</f>
        <v>1</v>
      </c>
      <c r="BH604" s="763" t="b">
        <f>IFERROR(__xludf.DUMMYFUNCTION("""COMPUTED_VALUE"""),FALSE)</f>
        <v>0</v>
      </c>
      <c r="BI604" s="763" t="b">
        <f>IFERROR(__xludf.DUMMYFUNCTION("""COMPUTED_VALUE"""),TRUE)</f>
        <v>1</v>
      </c>
      <c r="BJ604" s="763" t="b">
        <f>IFERROR(__xludf.DUMMYFUNCTION("""COMPUTED_VALUE"""),TRUE)</f>
        <v>1</v>
      </c>
    </row>
    <row r="605">
      <c r="A605" s="763">
        <f>IFERROR(__xludf.DUMMYFUNCTION("""COMPUTED_VALUE"""),66225.0)</f>
        <v>66225</v>
      </c>
      <c r="B605" s="763">
        <f>IFERROR(__xludf.DUMMYFUNCTION("""COMPUTED_VALUE"""),66225.0)</f>
        <v>66225</v>
      </c>
      <c r="C605" s="763" t="str">
        <f>IFERROR(__xludf.DUMMYFUNCTION("""COMPUTED_VALUE"""),"2025-11-19 16:15:56")</f>
        <v>2025-11-19 16:15:56</v>
      </c>
      <c r="D605" s="763" t="str">
        <f>IFERROR(__xludf.DUMMYFUNCTION("""COMPUTED_VALUE"""),"completed")</f>
        <v>completed</v>
      </c>
      <c r="E605" s="763" t="str">
        <f>IFERROR(__xludf.DUMMYFUNCTION("""COMPUTED_VALUE"""),"Margherita")</f>
        <v>Margherita</v>
      </c>
      <c r="F605" s="763" t="str">
        <f>IFERROR(__xludf.DUMMYFUNCTION("""COMPUTED_VALUE"""),"Mietto")</f>
        <v>Mietto</v>
      </c>
      <c r="G605" s="763" t="str">
        <f>IFERROR(__xludf.DUMMYFUNCTION("""COMPUTED_VALUE"""),"marghe.miez@gmail.com")</f>
        <v>marghe.miez@gmail.com</v>
      </c>
      <c r="H605" s="763">
        <f>IFERROR(__xludf.DUMMYFUNCTION("""COMPUTED_VALUE"""),3.397777534E9)</f>
        <v>3397777534</v>
      </c>
      <c r="I605" s="763" t="str">
        <f>IFERROR(__xludf.DUMMYFUNCTION("""COMPUTED_VALUE"""),"Milano")</f>
        <v>Milano</v>
      </c>
      <c r="J605" s="763" t="str">
        <f>IFERROR(__xludf.DUMMYFUNCTION("""COMPUTED_VALUE"""),"Via Garian 47")</f>
        <v>Via Garian 47</v>
      </c>
      <c r="K605" s="763">
        <f>IFERROR(__xludf.DUMMYFUNCTION("""COMPUTED_VALUE"""),20146.0)</f>
        <v>20146</v>
      </c>
      <c r="L605" s="763" t="str">
        <f>IFERROR(__xludf.DUMMYFUNCTION("""COMPUTED_VALUE"""),"Carte di pagamento")</f>
        <v>Carte di pagamento</v>
      </c>
      <c r="M605" s="763" t="str">
        <f>IFERROR(__xludf.DUMMYFUNCTION("""COMPUTED_VALUE"""),"santo05natale")</f>
        <v>santo05natale</v>
      </c>
      <c r="N605" s="763" t="str">
        <f>IFERROR(__xludf.DUMMYFUNCTION("""COMPUTED_VALUE"""),"66225-1763568957")</f>
        <v>66225-1763568957</v>
      </c>
      <c r="O605" s="763">
        <f>IFERROR(__xludf.DUMMYFUNCTION("""COMPUTED_VALUE"""),0.0)</f>
        <v>0</v>
      </c>
      <c r="P605" s="767">
        <f>IFERROR(__xludf.DUMMYFUNCTION("""COMPUTED_VALUE"""),2.0833333333333335)</f>
        <v>2.083333333</v>
      </c>
      <c r="Q605" s="763" t="str">
        <f>IFERROR(__xludf.DUMMYFUNCTION("""COMPUTED_VALUE"""),"EUR")</f>
        <v>EUR</v>
      </c>
      <c r="R605" s="763">
        <f>IFERROR(__xludf.DUMMYFUNCTION("""COMPUTED_VALUE"""),1122.0)</f>
        <v>1122</v>
      </c>
      <c r="S605" s="763" t="str">
        <f>IFERROR(__xludf.DUMMYFUNCTION("""COMPUTED_VALUE"""),"Festa di Natale 2025 - Festa di natale 2025 lezioni + pizza + serata 55€")</f>
        <v>Festa di Natale 2025 - Festa di natale 2025 lezioni + pizza + serata 55€</v>
      </c>
      <c r="T605" s="763"/>
      <c r="U605" s="763"/>
      <c r="V605" s="763">
        <f>IFERROR(__xludf.DUMMYFUNCTION("""COMPUTED_VALUE"""),1.0)</f>
        <v>1</v>
      </c>
      <c r="W605" s="763">
        <f>IFERROR(__xludf.DUMMYFUNCTION("""COMPUTED_VALUE"""),50.0)</f>
        <v>50</v>
      </c>
      <c r="X605" s="763">
        <f>IFERROR(__xludf.DUMMYFUNCTION("""COMPUTED_VALUE"""),50.0)</f>
        <v>50</v>
      </c>
      <c r="Y605" s="763"/>
      <c r="Z605" s="768" t="str">
        <f>IFERROR(__xludf.DUMMYFUNCTION("""COMPUTED_VALUE"""),"https://studio-gem.it/wp-admin/post.php?post=66225&amp;action=edit")</f>
        <v>https://studio-gem.it/wp-admin/post.php?post=66225&amp;action=edit</v>
      </c>
      <c r="AA605" s="763"/>
      <c r="AB605" s="763"/>
      <c r="AC605" s="763"/>
      <c r="AD605" s="763"/>
      <c r="AE605" s="763"/>
      <c r="AF605" s="763"/>
      <c r="AG605" s="763"/>
      <c r="AH605" s="763"/>
      <c r="AI605" s="763"/>
      <c r="AJ605" s="763"/>
      <c r="AK605" s="763"/>
      <c r="AL605" s="763"/>
      <c r="AM605" s="763"/>
      <c r="AN605" s="763"/>
      <c r="AO605" s="763"/>
      <c r="AP605" s="763"/>
      <c r="AQ605" s="763"/>
      <c r="AR605" s="763"/>
      <c r="AS605" s="763"/>
      <c r="AT605" s="763"/>
      <c r="AU605" s="763"/>
      <c r="AV605" s="763"/>
      <c r="AW605" s="763"/>
      <c r="AX605" s="763"/>
      <c r="AY605" s="763"/>
      <c r="AZ605" s="763"/>
      <c r="BA605" s="763"/>
      <c r="BB605" s="763"/>
      <c r="BC605" s="763"/>
      <c r="BD605" s="763"/>
      <c r="BE605" s="763"/>
      <c r="BF605" s="763"/>
      <c r="BG605" s="763" t="b">
        <f>IFERROR(__xludf.DUMMYFUNCTION("""COMPUTED_VALUE"""),TRUE)</f>
        <v>1</v>
      </c>
      <c r="BH605" s="763" t="b">
        <f>IFERROR(__xludf.DUMMYFUNCTION("""COMPUTED_VALUE"""),FALSE)</f>
        <v>0</v>
      </c>
      <c r="BI605" s="763" t="b">
        <f>IFERROR(__xludf.DUMMYFUNCTION("""COMPUTED_VALUE"""),TRUE)</f>
        <v>1</v>
      </c>
      <c r="BJ605" s="763" t="b">
        <f>IFERROR(__xludf.DUMMYFUNCTION("""COMPUTED_VALUE"""),TRUE)</f>
        <v>1</v>
      </c>
    </row>
    <row r="606">
      <c r="A606" s="763">
        <f>IFERROR(__xludf.DUMMYFUNCTION("""COMPUTED_VALUE"""),66236.0)</f>
        <v>66236</v>
      </c>
      <c r="B606" s="763">
        <f>IFERROR(__xludf.DUMMYFUNCTION("""COMPUTED_VALUE"""),66236.0)</f>
        <v>66236</v>
      </c>
      <c r="C606" s="763" t="str">
        <f>IFERROR(__xludf.DUMMYFUNCTION("""COMPUTED_VALUE"""),"2025-11-20 09:58:10")</f>
        <v>2025-11-20 09:58:10</v>
      </c>
      <c r="D606" s="763" t="str">
        <f>IFERROR(__xludf.DUMMYFUNCTION("""COMPUTED_VALUE"""),"completed")</f>
        <v>completed</v>
      </c>
      <c r="E606" s="763" t="str">
        <f>IFERROR(__xludf.DUMMYFUNCTION("""COMPUTED_VALUE"""),"Alessandra")</f>
        <v>Alessandra</v>
      </c>
      <c r="F606" s="763" t="str">
        <f>IFERROR(__xludf.DUMMYFUNCTION("""COMPUTED_VALUE"""),"Barra")</f>
        <v>Barra</v>
      </c>
      <c r="G606" s="763" t="str">
        <f>IFERROR(__xludf.DUMMYFUNCTION("""COMPUTED_VALUE"""),"samucompa2000@gmail.com")</f>
        <v>samucompa2000@gmail.com</v>
      </c>
      <c r="H606" s="763">
        <f>IFERROR(__xludf.DUMMYFUNCTION("""COMPUTED_VALUE"""),3.347182002E9)</f>
        <v>3347182002</v>
      </c>
      <c r="I606" s="763" t="str">
        <f>IFERROR(__xludf.DUMMYFUNCTION("""COMPUTED_VALUE"""),"Milano")</f>
        <v>Milano</v>
      </c>
      <c r="J606" s="763" t="str">
        <f>IFERROR(__xludf.DUMMYFUNCTION("""COMPUTED_VALUE"""),"Via Lesmi, 7")</f>
        <v>Via Lesmi, 7</v>
      </c>
      <c r="K606" s="763">
        <f>IFERROR(__xludf.DUMMYFUNCTION("""COMPUTED_VALUE"""),20123.0)</f>
        <v>20123</v>
      </c>
      <c r="L606" s="763" t="str">
        <f>IFERROR(__xludf.DUMMYFUNCTION("""COMPUTED_VALUE"""),"Carte di pagamento")</f>
        <v>Carte di pagamento</v>
      </c>
      <c r="M606" s="763"/>
      <c r="N606" s="763" t="str">
        <f>IFERROR(__xludf.DUMMYFUNCTION("""COMPUTED_VALUE"""),"66236-1763632692")</f>
        <v>66236-1763632692</v>
      </c>
      <c r="O606" s="763">
        <f>IFERROR(__xludf.DUMMYFUNCTION("""COMPUTED_VALUE"""),0.0)</f>
        <v>0</v>
      </c>
      <c r="P606" s="767">
        <f>IFERROR(__xludf.DUMMYFUNCTION("""COMPUTED_VALUE"""),6.25)</f>
        <v>6.25</v>
      </c>
      <c r="Q606" s="763" t="str">
        <f>IFERROR(__xludf.DUMMYFUNCTION("""COMPUTED_VALUE"""),"EUR")</f>
        <v>EUR</v>
      </c>
      <c r="R606" s="763">
        <f>IFERROR(__xludf.DUMMYFUNCTION("""COMPUTED_VALUE"""),1124.0)</f>
        <v>1124</v>
      </c>
      <c r="S606" s="763" t="str">
        <f>IFERROR(__xludf.DUMMYFUNCTION("""COMPUTED_VALUE"""),"Gift card - Gift card 150€")</f>
        <v>Gift card - Gift card 150€</v>
      </c>
      <c r="T606" s="763"/>
      <c r="U606" s="763"/>
      <c r="V606" s="763">
        <f>IFERROR(__xludf.DUMMYFUNCTION("""COMPUTED_VALUE"""),1.0)</f>
        <v>1</v>
      </c>
      <c r="W606" s="763">
        <f>IFERROR(__xludf.DUMMYFUNCTION("""COMPUTED_VALUE"""),150.0)</f>
        <v>150</v>
      </c>
      <c r="X606" s="763">
        <f>IFERROR(__xludf.DUMMYFUNCTION("""COMPUTED_VALUE"""),150.0)</f>
        <v>150</v>
      </c>
      <c r="Y606" s="763" t="str">
        <f>IFERROR(__xludf.DUMMYFUNCTION("""COMPUTED_VALUE"""),"Gift card per Alessandra Barra. Ho inserito la mia mail e il mio numero di telefono. Nel caso servissero i suoi contatti: alessandra.barra00@gmail.com / 3319859187 Grazie mille.")</f>
        <v>Gift card per Alessandra Barra. Ho inserito la mia mail e il mio numero di telefono. Nel caso servissero i suoi contatti: alessandra.barra00@gmail.com / 3319859187 Grazie mille.</v>
      </c>
      <c r="Z606" s="768" t="str">
        <f>IFERROR(__xludf.DUMMYFUNCTION("""COMPUTED_VALUE"""),"https://studio-gem.it/wp-admin/post.php?post=66236&amp;action=edit")</f>
        <v>https://studio-gem.it/wp-admin/post.php?post=66236&amp;action=edit</v>
      </c>
      <c r="AA606" s="763"/>
      <c r="AB606" s="763"/>
      <c r="AC606" s="763"/>
      <c r="AD606" s="763"/>
      <c r="AE606" s="763"/>
      <c r="AF606" s="763"/>
      <c r="AG606" s="763"/>
      <c r="AH606" s="763"/>
      <c r="AI606" s="763"/>
      <c r="AJ606" s="763"/>
      <c r="AK606" s="763"/>
      <c r="AL606" s="763"/>
      <c r="AM606" s="763"/>
      <c r="AN606" s="763"/>
      <c r="AO606" s="763"/>
      <c r="AP606" s="763"/>
      <c r="AQ606" s="763"/>
      <c r="AR606" s="763"/>
      <c r="AS606" s="763"/>
      <c r="AT606" s="763"/>
      <c r="AU606" s="763"/>
      <c r="AV606" s="763"/>
      <c r="AW606" s="763"/>
      <c r="AX606" s="763"/>
      <c r="AY606" s="763"/>
      <c r="AZ606" s="763"/>
      <c r="BA606" s="763"/>
      <c r="BB606" s="763"/>
      <c r="BC606" s="763"/>
      <c r="BD606" s="763"/>
      <c r="BE606" s="763"/>
      <c r="BF606" s="763"/>
      <c r="BG606" s="763" t="b">
        <f>IFERROR(__xludf.DUMMYFUNCTION("""COMPUTED_VALUE"""),TRUE)</f>
        <v>1</v>
      </c>
      <c r="BH606" s="763" t="b">
        <f>IFERROR(__xludf.DUMMYFUNCTION("""COMPUTED_VALUE"""),FALSE)</f>
        <v>0</v>
      </c>
      <c r="BI606" s="763" t="b">
        <f>IFERROR(__xludf.DUMMYFUNCTION("""COMPUTED_VALUE"""),TRUE)</f>
        <v>1</v>
      </c>
      <c r="BJ606" s="763" t="b">
        <f>IFERROR(__xludf.DUMMYFUNCTION("""COMPUTED_VALUE"""),TRUE)</f>
        <v>1</v>
      </c>
    </row>
    <row r="607">
      <c r="A607" s="763">
        <f>IFERROR(__xludf.DUMMYFUNCTION("""COMPUTED_VALUE"""),66258.0)</f>
        <v>66258</v>
      </c>
      <c r="B607" s="763">
        <f>IFERROR(__xludf.DUMMYFUNCTION("""COMPUTED_VALUE"""),66258.0)</f>
        <v>66258</v>
      </c>
      <c r="C607" s="763" t="str">
        <f>IFERROR(__xludf.DUMMYFUNCTION("""COMPUTED_VALUE"""),"2025-11-20 11:04:36")</f>
        <v>2025-11-20 11:04:36</v>
      </c>
      <c r="D607" s="763" t="str">
        <f>IFERROR(__xludf.DUMMYFUNCTION("""COMPUTED_VALUE"""),"completed")</f>
        <v>completed</v>
      </c>
      <c r="E607" s="763" t="str">
        <f>IFERROR(__xludf.DUMMYFUNCTION("""COMPUTED_VALUE"""),"Roberto")</f>
        <v>Roberto</v>
      </c>
      <c r="F607" s="763" t="str">
        <f>IFERROR(__xludf.DUMMYFUNCTION("""COMPUTED_VALUE"""),"Nottiani")</f>
        <v>Nottiani</v>
      </c>
      <c r="G607" s="763" t="str">
        <f>IFERROR(__xludf.DUMMYFUNCTION("""COMPUTED_VALUE"""),"nott92@icloud.com")</f>
        <v>nott92@icloud.com</v>
      </c>
      <c r="H607" s="763">
        <f>IFERROR(__xludf.DUMMYFUNCTION("""COMPUTED_VALUE"""),3.474491191E9)</f>
        <v>3474491191</v>
      </c>
      <c r="I607" s="763" t="str">
        <f>IFERROR(__xludf.DUMMYFUNCTION("""COMPUTED_VALUE"""),"Milano")</f>
        <v>Milano</v>
      </c>
      <c r="J607" s="763" t="str">
        <f>IFERROR(__xludf.DUMMYFUNCTION("""COMPUTED_VALUE"""),"Via Baldassarre Oltrocchi 7")</f>
        <v>Via Baldassarre Oltrocchi 7</v>
      </c>
      <c r="K607" s="763">
        <f>IFERROR(__xludf.DUMMYFUNCTION("""COMPUTED_VALUE"""),20137.0)</f>
        <v>20137</v>
      </c>
      <c r="L607" s="763" t="str">
        <f>IFERROR(__xludf.DUMMYFUNCTION("""COMPUTED_VALUE"""),"Carte di pagamento")</f>
        <v>Carte di pagamento</v>
      </c>
      <c r="M607" s="763" t="str">
        <f>IFERROR(__xludf.DUMMYFUNCTION("""COMPUTED_VALUE"""),"alexandra05natale")</f>
        <v>alexandra05natale</v>
      </c>
      <c r="N607" s="763" t="str">
        <f>IFERROR(__xludf.DUMMYFUNCTION("""COMPUTED_VALUE"""),"66258-1763636677")</f>
        <v>66258-1763636677</v>
      </c>
      <c r="O607" s="763">
        <f>IFERROR(__xludf.DUMMYFUNCTION("""COMPUTED_VALUE"""),0.0)</f>
        <v>0</v>
      </c>
      <c r="P607" s="767">
        <f>IFERROR(__xludf.DUMMYFUNCTION("""COMPUTED_VALUE"""),2.0833333333333335)</f>
        <v>2.083333333</v>
      </c>
      <c r="Q607" s="763" t="str">
        <f>IFERROR(__xludf.DUMMYFUNCTION("""COMPUTED_VALUE"""),"EUR")</f>
        <v>EUR</v>
      </c>
      <c r="R607" s="763">
        <f>IFERROR(__xludf.DUMMYFUNCTION("""COMPUTED_VALUE"""),1125.0)</f>
        <v>1125</v>
      </c>
      <c r="S607" s="763" t="str">
        <f>IFERROR(__xludf.DUMMYFUNCTION("""COMPUTED_VALUE"""),"Festa di Natale 2025 - Festa di natale 2025 lezioni + pizza + serata 55€")</f>
        <v>Festa di Natale 2025 - Festa di natale 2025 lezioni + pizza + serata 55€</v>
      </c>
      <c r="T607" s="763"/>
      <c r="U607" s="763"/>
      <c r="V607" s="763">
        <f>IFERROR(__xludf.DUMMYFUNCTION("""COMPUTED_VALUE"""),1.0)</f>
        <v>1</v>
      </c>
      <c r="W607" s="763">
        <f>IFERROR(__xludf.DUMMYFUNCTION("""COMPUTED_VALUE"""),50.0)</f>
        <v>50</v>
      </c>
      <c r="X607" s="763">
        <f>IFERROR(__xludf.DUMMYFUNCTION("""COMPUTED_VALUE"""),50.0)</f>
        <v>50</v>
      </c>
      <c r="Y607" s="763"/>
      <c r="Z607" s="768" t="str">
        <f>IFERROR(__xludf.DUMMYFUNCTION("""COMPUTED_VALUE"""),"https://studio-gem.it/wp-admin/post.php?post=66258&amp;action=edit")</f>
        <v>https://studio-gem.it/wp-admin/post.php?post=66258&amp;action=edit</v>
      </c>
      <c r="AA607" s="763"/>
      <c r="AB607" s="763"/>
      <c r="AC607" s="763"/>
      <c r="AD607" s="763"/>
      <c r="AE607" s="763"/>
      <c r="AF607" s="763"/>
      <c r="AG607" s="763"/>
      <c r="AH607" s="763"/>
      <c r="AI607" s="763"/>
      <c r="AJ607" s="763"/>
      <c r="AK607" s="763"/>
      <c r="AL607" s="763"/>
      <c r="AM607" s="763"/>
      <c r="AN607" s="763"/>
      <c r="AO607" s="763"/>
      <c r="AP607" s="763"/>
      <c r="AQ607" s="763"/>
      <c r="AR607" s="763"/>
      <c r="AS607" s="763"/>
      <c r="AT607" s="763"/>
      <c r="AU607" s="763"/>
      <c r="AV607" s="763"/>
      <c r="AW607" s="763"/>
      <c r="AX607" s="763"/>
      <c r="AY607" s="763"/>
      <c r="AZ607" s="763"/>
      <c r="BA607" s="763"/>
      <c r="BB607" s="763"/>
      <c r="BC607" s="763"/>
      <c r="BD607" s="763"/>
      <c r="BE607" s="763"/>
      <c r="BF607" s="763"/>
      <c r="BG607" s="763" t="b">
        <f>IFERROR(__xludf.DUMMYFUNCTION("""COMPUTED_VALUE"""),TRUE)</f>
        <v>1</v>
      </c>
      <c r="BH607" s="763" t="b">
        <f>IFERROR(__xludf.DUMMYFUNCTION("""COMPUTED_VALUE"""),FALSE)</f>
        <v>0</v>
      </c>
      <c r="BI607" s="763" t="b">
        <f>IFERROR(__xludf.DUMMYFUNCTION("""COMPUTED_VALUE"""),TRUE)</f>
        <v>1</v>
      </c>
      <c r="BJ607" s="763" t="b">
        <f>IFERROR(__xludf.DUMMYFUNCTION("""COMPUTED_VALUE"""),TRUE)</f>
        <v>1</v>
      </c>
    </row>
    <row r="608">
      <c r="A608" s="763">
        <f>IFERROR(__xludf.DUMMYFUNCTION("""COMPUTED_VALUE"""),66260.0)</f>
        <v>66260</v>
      </c>
      <c r="B608" s="763">
        <f>IFERROR(__xludf.DUMMYFUNCTION("""COMPUTED_VALUE"""),66260.0)</f>
        <v>66260</v>
      </c>
      <c r="C608" s="763" t="str">
        <f>IFERROR(__xludf.DUMMYFUNCTION("""COMPUTED_VALUE"""),"2025-11-20 11:11:54")</f>
        <v>2025-11-20 11:11:54</v>
      </c>
      <c r="D608" s="763" t="str">
        <f>IFERROR(__xludf.DUMMYFUNCTION("""COMPUTED_VALUE"""),"completed")</f>
        <v>completed</v>
      </c>
      <c r="E608" s="763" t="str">
        <f>IFERROR(__xludf.DUMMYFUNCTION("""COMPUTED_VALUE"""),"Alessandra")</f>
        <v>Alessandra</v>
      </c>
      <c r="F608" s="763" t="str">
        <f>IFERROR(__xludf.DUMMYFUNCTION("""COMPUTED_VALUE"""),"Iungo")</f>
        <v>Iungo</v>
      </c>
      <c r="G608" s="763" t="str">
        <f>IFERROR(__xludf.DUMMYFUNCTION("""COMPUTED_VALUE"""),"alessandraiungo95@gmail.com")</f>
        <v>alessandraiungo95@gmail.com</v>
      </c>
      <c r="H608" s="763">
        <f>IFERROR(__xludf.DUMMYFUNCTION("""COMPUTED_VALUE"""),3.408116902E9)</f>
        <v>3408116902</v>
      </c>
      <c r="I608" s="763" t="str">
        <f>IFERROR(__xludf.DUMMYFUNCTION("""COMPUTED_VALUE"""),"Milano")</f>
        <v>Milano</v>
      </c>
      <c r="J608" s="763" t="str">
        <f>IFERROR(__xludf.DUMMYFUNCTION("""COMPUTED_VALUE"""),"Via Baldassarre Oltrocchi 7")</f>
        <v>Via Baldassarre Oltrocchi 7</v>
      </c>
      <c r="K608" s="763">
        <f>IFERROR(__xludf.DUMMYFUNCTION("""COMPUTED_VALUE"""),20137.0)</f>
        <v>20137</v>
      </c>
      <c r="L608" s="763" t="str">
        <f>IFERROR(__xludf.DUMMYFUNCTION("""COMPUTED_VALUE"""),"Apple Pay")</f>
        <v>Apple Pay</v>
      </c>
      <c r="M608" s="763" t="str">
        <f>IFERROR(__xludf.DUMMYFUNCTION("""COMPUTED_VALUE"""),"alexandra05natale")</f>
        <v>alexandra05natale</v>
      </c>
      <c r="N608" s="763" t="str">
        <f>IFERROR(__xludf.DUMMYFUNCTION("""COMPUTED_VALUE"""),"66260-1763637116")</f>
        <v>66260-1763637116</v>
      </c>
      <c r="O608" s="763">
        <f>IFERROR(__xludf.DUMMYFUNCTION("""COMPUTED_VALUE"""),0.0)</f>
        <v>0</v>
      </c>
      <c r="P608" s="767">
        <f>IFERROR(__xludf.DUMMYFUNCTION("""COMPUTED_VALUE"""),2.0833333333333335)</f>
        <v>2.083333333</v>
      </c>
      <c r="Q608" s="763" t="str">
        <f>IFERROR(__xludf.DUMMYFUNCTION("""COMPUTED_VALUE"""),"EUR")</f>
        <v>EUR</v>
      </c>
      <c r="R608" s="763">
        <f>IFERROR(__xludf.DUMMYFUNCTION("""COMPUTED_VALUE"""),1127.0)</f>
        <v>1127</v>
      </c>
      <c r="S608" s="763" t="str">
        <f>IFERROR(__xludf.DUMMYFUNCTION("""COMPUTED_VALUE"""),"Festa di Natale 2025 - Festa di natale 2025 lezioni + pizza + serata 55€")</f>
        <v>Festa di Natale 2025 - Festa di natale 2025 lezioni + pizza + serata 55€</v>
      </c>
      <c r="T608" s="763"/>
      <c r="U608" s="763"/>
      <c r="V608" s="763">
        <f>IFERROR(__xludf.DUMMYFUNCTION("""COMPUTED_VALUE"""),1.0)</f>
        <v>1</v>
      </c>
      <c r="W608" s="763">
        <f>IFERROR(__xludf.DUMMYFUNCTION("""COMPUTED_VALUE"""),50.0)</f>
        <v>50</v>
      </c>
      <c r="X608" s="763">
        <f>IFERROR(__xludf.DUMMYFUNCTION("""COMPUTED_VALUE"""),50.0)</f>
        <v>50</v>
      </c>
      <c r="Y608" s="763"/>
      <c r="Z608" s="768" t="str">
        <f>IFERROR(__xludf.DUMMYFUNCTION("""COMPUTED_VALUE"""),"https://studio-gem.it/wp-admin/post.php?post=66260&amp;action=edit")</f>
        <v>https://studio-gem.it/wp-admin/post.php?post=66260&amp;action=edit</v>
      </c>
      <c r="AA608" s="763"/>
      <c r="AB608" s="763"/>
      <c r="AC608" s="763"/>
      <c r="AD608" s="763"/>
      <c r="AE608" s="763"/>
      <c r="AF608" s="763"/>
      <c r="AG608" s="763"/>
      <c r="AH608" s="763"/>
      <c r="AI608" s="763"/>
      <c r="AJ608" s="763"/>
      <c r="AK608" s="763"/>
      <c r="AL608" s="763"/>
      <c r="AM608" s="763"/>
      <c r="AN608" s="763"/>
      <c r="AO608" s="763"/>
      <c r="AP608" s="763"/>
      <c r="AQ608" s="763"/>
      <c r="AR608" s="763"/>
      <c r="AS608" s="763"/>
      <c r="AT608" s="763"/>
      <c r="AU608" s="763"/>
      <c r="AV608" s="763"/>
      <c r="AW608" s="763"/>
      <c r="AX608" s="763"/>
      <c r="AY608" s="763"/>
      <c r="AZ608" s="763"/>
      <c r="BA608" s="763"/>
      <c r="BB608" s="763"/>
      <c r="BC608" s="763"/>
      <c r="BD608" s="763"/>
      <c r="BE608" s="763"/>
      <c r="BF608" s="763"/>
      <c r="BG608" s="763" t="b">
        <f>IFERROR(__xludf.DUMMYFUNCTION("""COMPUTED_VALUE"""),TRUE)</f>
        <v>1</v>
      </c>
      <c r="BH608" s="763" t="b">
        <f>IFERROR(__xludf.DUMMYFUNCTION("""COMPUTED_VALUE"""),FALSE)</f>
        <v>0</v>
      </c>
      <c r="BI608" s="763" t="b">
        <f>IFERROR(__xludf.DUMMYFUNCTION("""COMPUTED_VALUE"""),TRUE)</f>
        <v>1</v>
      </c>
      <c r="BJ608" s="763" t="b">
        <f>IFERROR(__xludf.DUMMYFUNCTION("""COMPUTED_VALUE"""),TRUE)</f>
        <v>1</v>
      </c>
    </row>
    <row r="609">
      <c r="A609" s="763">
        <f>IFERROR(__xludf.DUMMYFUNCTION("""COMPUTED_VALUE"""),66269.0)</f>
        <v>66269</v>
      </c>
      <c r="B609" s="763">
        <f>IFERROR(__xludf.DUMMYFUNCTION("""COMPUTED_VALUE"""),66269.0)</f>
        <v>66269</v>
      </c>
      <c r="C609" s="763" t="str">
        <f>IFERROR(__xludf.DUMMYFUNCTION("""COMPUTED_VALUE"""),"2025-11-20 16:13:48")</f>
        <v>2025-11-20 16:13:48</v>
      </c>
      <c r="D609" s="763" t="str">
        <f>IFERROR(__xludf.DUMMYFUNCTION("""COMPUTED_VALUE"""),"completed")</f>
        <v>completed</v>
      </c>
      <c r="E609" s="763" t="str">
        <f>IFERROR(__xludf.DUMMYFUNCTION("""COMPUTED_VALUE"""),"Sara")</f>
        <v>Sara</v>
      </c>
      <c r="F609" s="763" t="str">
        <f>IFERROR(__xludf.DUMMYFUNCTION("""COMPUTED_VALUE"""),"Andriotto")</f>
        <v>Andriotto</v>
      </c>
      <c r="G609" s="763" t="str">
        <f>IFERROR(__xludf.DUMMYFUNCTION("""COMPUTED_VALUE"""),"sara.andriotto@gmail.com")</f>
        <v>sara.andriotto@gmail.com</v>
      </c>
      <c r="H609" s="763">
        <f>IFERROR(__xludf.DUMMYFUNCTION("""COMPUTED_VALUE"""),3.487123226E9)</f>
        <v>3487123226</v>
      </c>
      <c r="I609" s="763" t="str">
        <f>IFERROR(__xludf.DUMMYFUNCTION("""COMPUTED_VALUE"""),"Milano")</f>
        <v>Milano</v>
      </c>
      <c r="J609" s="763" t="str">
        <f>IFERROR(__xludf.DUMMYFUNCTION("""COMPUTED_VALUE"""),"Viale Premuda,22")</f>
        <v>Viale Premuda,22</v>
      </c>
      <c r="K609" s="763">
        <f>IFERROR(__xludf.DUMMYFUNCTION("""COMPUTED_VALUE"""),20129.0)</f>
        <v>20129</v>
      </c>
      <c r="L609" s="763" t="str">
        <f>IFERROR(__xludf.DUMMYFUNCTION("""COMPUTED_VALUE"""),"Apple Pay")</f>
        <v>Apple Pay</v>
      </c>
      <c r="M609" s="763" t="str">
        <f>IFERROR(__xludf.DUMMYFUNCTION("""COMPUTED_VALUE"""),"santo05natale")</f>
        <v>santo05natale</v>
      </c>
      <c r="N609" s="763" t="str">
        <f>IFERROR(__xludf.DUMMYFUNCTION("""COMPUTED_VALUE"""),"66269-1763655230")</f>
        <v>66269-1763655230</v>
      </c>
      <c r="O609" s="763">
        <f>IFERROR(__xludf.DUMMYFUNCTION("""COMPUTED_VALUE"""),0.0)</f>
        <v>0</v>
      </c>
      <c r="P609" s="767">
        <f>IFERROR(__xludf.DUMMYFUNCTION("""COMPUTED_VALUE"""),2.0833333333333335)</f>
        <v>2.083333333</v>
      </c>
      <c r="Q609" s="763" t="str">
        <f>IFERROR(__xludf.DUMMYFUNCTION("""COMPUTED_VALUE"""),"EUR")</f>
        <v>EUR</v>
      </c>
      <c r="R609" s="763">
        <f>IFERROR(__xludf.DUMMYFUNCTION("""COMPUTED_VALUE"""),1129.0)</f>
        <v>1129</v>
      </c>
      <c r="S609" s="763" t="str">
        <f>IFERROR(__xludf.DUMMYFUNCTION("""COMPUTED_VALUE"""),"Festa di Natale 2025 - Festa di natale 2025 lezioni + pizza + serata 55€")</f>
        <v>Festa di Natale 2025 - Festa di natale 2025 lezioni + pizza + serata 55€</v>
      </c>
      <c r="T609" s="763"/>
      <c r="U609" s="763"/>
      <c r="V609" s="763">
        <f>IFERROR(__xludf.DUMMYFUNCTION("""COMPUTED_VALUE"""),1.0)</f>
        <v>1</v>
      </c>
      <c r="W609" s="763">
        <f>IFERROR(__xludf.DUMMYFUNCTION("""COMPUTED_VALUE"""),50.0)</f>
        <v>50</v>
      </c>
      <c r="X609" s="763">
        <f>IFERROR(__xludf.DUMMYFUNCTION("""COMPUTED_VALUE"""),50.0)</f>
        <v>50</v>
      </c>
      <c r="Y609" s="763"/>
      <c r="Z609" s="768" t="str">
        <f>IFERROR(__xludf.DUMMYFUNCTION("""COMPUTED_VALUE"""),"https://studio-gem.it/wp-admin/post.php?post=66269&amp;action=edit")</f>
        <v>https://studio-gem.it/wp-admin/post.php?post=66269&amp;action=edit</v>
      </c>
      <c r="AA609" s="763"/>
      <c r="AB609" s="763"/>
      <c r="AC609" s="763"/>
      <c r="AD609" s="763"/>
      <c r="AE609" s="763"/>
      <c r="AF609" s="763"/>
      <c r="AG609" s="763"/>
      <c r="AH609" s="763"/>
      <c r="AI609" s="763"/>
      <c r="AJ609" s="763"/>
      <c r="AK609" s="763"/>
      <c r="AL609" s="763"/>
      <c r="AM609" s="763"/>
      <c r="AN609" s="763"/>
      <c r="AO609" s="763"/>
      <c r="AP609" s="763"/>
      <c r="AQ609" s="763"/>
      <c r="AR609" s="763"/>
      <c r="AS609" s="763"/>
      <c r="AT609" s="763"/>
      <c r="AU609" s="763"/>
      <c r="AV609" s="763"/>
      <c r="AW609" s="763"/>
      <c r="AX609" s="763"/>
      <c r="AY609" s="763"/>
      <c r="AZ609" s="763"/>
      <c r="BA609" s="763"/>
      <c r="BB609" s="763"/>
      <c r="BC609" s="763"/>
      <c r="BD609" s="763"/>
      <c r="BE609" s="763"/>
      <c r="BF609" s="763"/>
      <c r="BG609" s="763" t="b">
        <f>IFERROR(__xludf.DUMMYFUNCTION("""COMPUTED_VALUE"""),TRUE)</f>
        <v>1</v>
      </c>
      <c r="BH609" s="763" t="b">
        <f>IFERROR(__xludf.DUMMYFUNCTION("""COMPUTED_VALUE"""),FALSE)</f>
        <v>0</v>
      </c>
      <c r="BI609" s="763" t="b">
        <f>IFERROR(__xludf.DUMMYFUNCTION("""COMPUTED_VALUE"""),TRUE)</f>
        <v>1</v>
      </c>
      <c r="BJ609" s="763" t="b">
        <f>IFERROR(__xludf.DUMMYFUNCTION("""COMPUTED_VALUE"""),TRUE)</f>
        <v>1</v>
      </c>
    </row>
    <row r="610">
      <c r="A610" s="763">
        <f>IFERROR(__xludf.DUMMYFUNCTION("""COMPUTED_VALUE"""),66305.0)</f>
        <v>66305</v>
      </c>
      <c r="B610" s="763">
        <f>IFERROR(__xludf.DUMMYFUNCTION("""COMPUTED_VALUE"""),66305.0)</f>
        <v>66305</v>
      </c>
      <c r="C610" s="763" t="str">
        <f>IFERROR(__xludf.DUMMYFUNCTION("""COMPUTED_VALUE"""),"2025-11-21 09:12:27")</f>
        <v>2025-11-21 09:12:27</v>
      </c>
      <c r="D610" s="763" t="str">
        <f>IFERROR(__xludf.DUMMYFUNCTION("""COMPUTED_VALUE"""),"pending")</f>
        <v>pending</v>
      </c>
      <c r="E610" s="763" t="str">
        <f>IFERROR(__xludf.DUMMYFUNCTION("""COMPUTED_VALUE"""),"Ambre")</f>
        <v>Ambre</v>
      </c>
      <c r="F610" s="763" t="str">
        <f>IFERROR(__xludf.DUMMYFUNCTION("""COMPUTED_VALUE"""),"Auguet")</f>
        <v>Auguet</v>
      </c>
      <c r="G610" s="763" t="str">
        <f>IFERROR(__xludf.DUMMYFUNCTION("""COMPUTED_VALUE"""),"ambre.auguet@gmail.com")</f>
        <v>ambre.auguet@gmail.com</v>
      </c>
      <c r="H610" s="763" t="str">
        <f>IFERROR(__xludf.DUMMYFUNCTION("""COMPUTED_VALUE"""),"+33637017788")</f>
        <v>+33637017788</v>
      </c>
      <c r="I610" s="763" t="str">
        <f>IFERROR(__xludf.DUMMYFUNCTION("""COMPUTED_VALUE"""),"Milano")</f>
        <v>Milano</v>
      </c>
      <c r="J610" s="763" t="str">
        <f>IFERROR(__xludf.DUMMYFUNCTION("""COMPUTED_VALUE"""),"24 via Gian Francesco pizzi")</f>
        <v>24 via Gian Francesco pizzi</v>
      </c>
      <c r="K610" s="763">
        <f>IFERROR(__xludf.DUMMYFUNCTION("""COMPUTED_VALUE"""),20141.0)</f>
        <v>20141</v>
      </c>
      <c r="L610" s="763" t="str">
        <f>IFERROR(__xludf.DUMMYFUNCTION("""COMPUTED_VALUE"""),"Carte di pagamento")</f>
        <v>Carte di pagamento</v>
      </c>
      <c r="M610" s="763"/>
      <c r="N610" s="763"/>
      <c r="O610" s="763">
        <f>IFERROR(__xludf.DUMMYFUNCTION("""COMPUTED_VALUE"""),0.0)</f>
        <v>0</v>
      </c>
      <c r="P610" s="767">
        <f>IFERROR(__xludf.DUMMYFUNCTION("""COMPUTED_VALUE"""),1.0416666666666667)</f>
        <v>1.041666667</v>
      </c>
      <c r="Q610" s="763" t="str">
        <f>IFERROR(__xludf.DUMMYFUNCTION("""COMPUTED_VALUE"""),"EUR")</f>
        <v>EUR</v>
      </c>
      <c r="R610" s="763">
        <f>IFERROR(__xludf.DUMMYFUNCTION("""COMPUTED_VALUE"""),1131.0)</f>
        <v>1131</v>
      </c>
      <c r="S610" s="763" t="str">
        <f>IFERROR(__xludf.DUMMYFUNCTION("""COMPUTED_VALUE"""),"Festa di Natale 2025 - Festa di natale 2025 SOLO serata 25€")</f>
        <v>Festa di Natale 2025 - Festa di natale 2025 SOLO serata 25€</v>
      </c>
      <c r="T610" s="763"/>
      <c r="U610" s="763"/>
      <c r="V610" s="763">
        <f>IFERROR(__xludf.DUMMYFUNCTION("""COMPUTED_VALUE"""),1.0)</f>
        <v>1</v>
      </c>
      <c r="W610" s="763">
        <f>IFERROR(__xludf.DUMMYFUNCTION("""COMPUTED_VALUE"""),25.0)</f>
        <v>25</v>
      </c>
      <c r="X610" s="763">
        <f>IFERROR(__xludf.DUMMYFUNCTION("""COMPUTED_VALUE"""),25.0)</f>
        <v>25</v>
      </c>
      <c r="Y610" s="763"/>
      <c r="Z610" s="768" t="str">
        <f>IFERROR(__xludf.DUMMYFUNCTION("""COMPUTED_VALUE"""),"https://studio-gem.it/wp-admin/post.php?post=66305&amp;action=edit")</f>
        <v>https://studio-gem.it/wp-admin/post.php?post=66305&amp;action=edit</v>
      </c>
      <c r="AA610" s="763"/>
      <c r="AB610" s="763"/>
      <c r="AC610" s="763"/>
      <c r="AD610" s="763"/>
      <c r="AE610" s="763"/>
      <c r="AF610" s="763"/>
      <c r="AG610" s="763"/>
      <c r="AH610" s="763"/>
      <c r="AI610" s="763"/>
      <c r="AJ610" s="763"/>
      <c r="AK610" s="763"/>
      <c r="AL610" s="763"/>
      <c r="AM610" s="763"/>
      <c r="AN610" s="763"/>
      <c r="AO610" s="763"/>
      <c r="AP610" s="763"/>
      <c r="AQ610" s="763"/>
      <c r="AR610" s="763"/>
      <c r="AS610" s="763"/>
      <c r="AT610" s="763"/>
      <c r="AU610" s="763"/>
      <c r="AV610" s="763"/>
      <c r="AW610" s="763"/>
      <c r="AX610" s="763"/>
      <c r="AY610" s="763"/>
      <c r="AZ610" s="763"/>
      <c r="BA610" s="763"/>
      <c r="BB610" s="763"/>
      <c r="BC610" s="763"/>
      <c r="BD610" s="763"/>
      <c r="BE610" s="763"/>
      <c r="BF610" s="763"/>
      <c r="BG610" s="763" t="b">
        <f>IFERROR(__xludf.DUMMYFUNCTION("""COMPUTED_VALUE"""),TRUE)</f>
        <v>1</v>
      </c>
      <c r="BH610" s="763" t="b">
        <f>IFERROR(__xludf.DUMMYFUNCTION("""COMPUTED_VALUE"""),FALSE)</f>
        <v>0</v>
      </c>
      <c r="BI610" s="763" t="b">
        <f>IFERROR(__xludf.DUMMYFUNCTION("""COMPUTED_VALUE"""),TRUE)</f>
        <v>1</v>
      </c>
      <c r="BJ610" s="763" t="b">
        <f>IFERROR(__xludf.DUMMYFUNCTION("""COMPUTED_VALUE"""),TRUE)</f>
        <v>1</v>
      </c>
    </row>
    <row r="611">
      <c r="A611" s="763">
        <f>IFERROR(__xludf.DUMMYFUNCTION("""COMPUTED_VALUE"""),66311.0)</f>
        <v>66311</v>
      </c>
      <c r="B611" s="763">
        <f>IFERROR(__xludf.DUMMYFUNCTION("""COMPUTED_VALUE"""),66311.0)</f>
        <v>66311</v>
      </c>
      <c r="C611" s="763" t="str">
        <f>IFERROR(__xludf.DUMMYFUNCTION("""COMPUTED_VALUE"""),"2025-11-21 15:32:58")</f>
        <v>2025-11-21 15:32:58</v>
      </c>
      <c r="D611" s="763" t="str">
        <f>IFERROR(__xludf.DUMMYFUNCTION("""COMPUTED_VALUE"""),"completed")</f>
        <v>completed</v>
      </c>
      <c r="E611" s="763" t="str">
        <f>IFERROR(__xludf.DUMMYFUNCTION("""COMPUTED_VALUE"""),"Cinzia")</f>
        <v>Cinzia</v>
      </c>
      <c r="F611" s="763" t="str">
        <f>IFERROR(__xludf.DUMMYFUNCTION("""COMPUTED_VALUE"""),"Graff")</f>
        <v>Graff</v>
      </c>
      <c r="G611" s="763" t="str">
        <f>IFERROR(__xludf.DUMMYFUNCTION("""COMPUTED_VALUE"""),"cgraffc@tiscali.it")</f>
        <v>cgraffc@tiscali.it</v>
      </c>
      <c r="H611" s="763">
        <f>IFERROR(__xludf.DUMMYFUNCTION("""COMPUTED_VALUE"""),3.473044648E9)</f>
        <v>3473044648</v>
      </c>
      <c r="I611" s="763" t="str">
        <f>IFERROR(__xludf.DUMMYFUNCTION("""COMPUTED_VALUE"""),"Milano")</f>
        <v>Milano</v>
      </c>
      <c r="J611" s="763" t="str">
        <f>IFERROR(__xludf.DUMMYFUNCTION("""COMPUTED_VALUE"""),"Viale Corsica 99")</f>
        <v>Viale Corsica 99</v>
      </c>
      <c r="K611" s="763">
        <f>IFERROR(__xludf.DUMMYFUNCTION("""COMPUTED_VALUE"""),20133.0)</f>
        <v>20133</v>
      </c>
      <c r="L611" s="763"/>
      <c r="M611" s="763"/>
      <c r="N611" s="763"/>
      <c r="O611" s="763">
        <f>IFERROR(__xludf.DUMMYFUNCTION("""COMPUTED_VALUE"""),0.0)</f>
        <v>0</v>
      </c>
      <c r="P611" s="767">
        <f>IFERROR(__xludf.DUMMYFUNCTION("""COMPUTED_VALUE"""),0.0)</f>
        <v>0</v>
      </c>
      <c r="Q611" s="763" t="str">
        <f>IFERROR(__xludf.DUMMYFUNCTION("""COMPUTED_VALUE"""),"EUR")</f>
        <v>EUR</v>
      </c>
      <c r="R611" s="763">
        <f>IFERROR(__xludf.DUMMYFUNCTION("""COMPUTED_VALUE"""),1132.0)</f>
        <v>1132</v>
      </c>
      <c r="S611" s="763" t="str">
        <f>IFERROR(__xludf.DUMMYFUNCTION("""COMPUTED_VALUE"""),"Domeniche in movimento - Gratuito per open fitness e open mattino 1 lezione dalle 10 alle 10.50")</f>
        <v>Domeniche in movimento - Gratuito per open fitness e open mattino 1 lezione dalle 10 alle 10.50</v>
      </c>
      <c r="T611" s="763"/>
      <c r="U611" s="763"/>
      <c r="V611" s="763">
        <f>IFERROR(__xludf.DUMMYFUNCTION("""COMPUTED_VALUE"""),1.0)</f>
        <v>1</v>
      </c>
      <c r="W611" s="763">
        <f>IFERROR(__xludf.DUMMYFUNCTION("""COMPUTED_VALUE"""),0.0)</f>
        <v>0</v>
      </c>
      <c r="X611" s="763">
        <f>IFERROR(__xludf.DUMMYFUNCTION("""COMPUTED_VALUE"""),0.0)</f>
        <v>0</v>
      </c>
      <c r="Y611" s="763"/>
      <c r="Z611" s="768" t="str">
        <f>IFERROR(__xludf.DUMMYFUNCTION("""COMPUTED_VALUE"""),"https://studio-gem.it/wp-admin/post.php?post=66311&amp;action=edit")</f>
        <v>https://studio-gem.it/wp-admin/post.php?post=66311&amp;action=edit</v>
      </c>
      <c r="AA611" s="763"/>
      <c r="AB611" s="763"/>
      <c r="AC611" s="763"/>
      <c r="AD611" s="763"/>
      <c r="AE611" s="763"/>
      <c r="AF611" s="763"/>
      <c r="AG611" s="763"/>
      <c r="AH611" s="763"/>
      <c r="AI611" s="763"/>
      <c r="AJ611" s="763"/>
      <c r="AK611" s="763"/>
      <c r="AL611" s="763"/>
      <c r="AM611" s="763"/>
      <c r="AN611" s="763"/>
      <c r="AO611" s="763"/>
      <c r="AP611" s="763"/>
      <c r="AQ611" s="763"/>
      <c r="AR611" s="763"/>
      <c r="AS611" s="763"/>
      <c r="AT611" s="763"/>
      <c r="AU611" s="763"/>
      <c r="AV611" s="763"/>
      <c r="AW611" s="763"/>
      <c r="AX611" s="763"/>
      <c r="AY611" s="763"/>
      <c r="AZ611" s="763"/>
      <c r="BA611" s="763"/>
      <c r="BB611" s="763"/>
      <c r="BC611" s="763"/>
      <c r="BD611" s="763"/>
      <c r="BE611" s="763"/>
      <c r="BF611" s="763"/>
      <c r="BG611" s="763" t="b">
        <f>IFERROR(__xludf.DUMMYFUNCTION("""COMPUTED_VALUE"""),FALSE)</f>
        <v>0</v>
      </c>
      <c r="BH611" s="763" t="b">
        <f>IFERROR(__xludf.DUMMYFUNCTION("""COMPUTED_VALUE"""),FALSE)</f>
        <v>0</v>
      </c>
      <c r="BI611" s="763" t="b">
        <f>IFERROR(__xludf.DUMMYFUNCTION("""COMPUTED_VALUE"""),TRUE)</f>
        <v>1</v>
      </c>
      <c r="BJ611" s="763" t="b">
        <f>IFERROR(__xludf.DUMMYFUNCTION("""COMPUTED_VALUE"""),FALSE)</f>
        <v>0</v>
      </c>
    </row>
    <row r="612">
      <c r="A612" s="763">
        <f>IFERROR(__xludf.DUMMYFUNCTION("""COMPUTED_VALUE"""),66317.0)</f>
        <v>66317</v>
      </c>
      <c r="B612" s="763">
        <f>IFERROR(__xludf.DUMMYFUNCTION("""COMPUTED_VALUE"""),66317.0)</f>
        <v>66317</v>
      </c>
      <c r="C612" s="763" t="str">
        <f>IFERROR(__xludf.DUMMYFUNCTION("""COMPUTED_VALUE"""),"2025-11-21 21:41:28")</f>
        <v>2025-11-21 21:41:28</v>
      </c>
      <c r="D612" s="763" t="str">
        <f>IFERROR(__xludf.DUMMYFUNCTION("""COMPUTED_VALUE"""),"completed")</f>
        <v>completed</v>
      </c>
      <c r="E612" s="763" t="str">
        <f>IFERROR(__xludf.DUMMYFUNCTION("""COMPUTED_VALUE"""),"Alberto")</f>
        <v>Alberto</v>
      </c>
      <c r="F612" s="763" t="str">
        <f>IFERROR(__xludf.DUMMYFUNCTION("""COMPUTED_VALUE"""),"Milanese")</f>
        <v>Milanese</v>
      </c>
      <c r="G612" s="763" t="str">
        <f>IFERROR(__xludf.DUMMYFUNCTION("""COMPUTED_VALUE"""),"albertomilanese.md@gmail.com")</f>
        <v>albertomilanese.md@gmail.com</v>
      </c>
      <c r="H612" s="763">
        <f>IFERROR(__xludf.DUMMYFUNCTION("""COMPUTED_VALUE"""),3.465001112E9)</f>
        <v>3465001112</v>
      </c>
      <c r="I612" s="763" t="str">
        <f>IFERROR(__xludf.DUMMYFUNCTION("""COMPUTED_VALUE"""),"Treviso")</f>
        <v>Treviso</v>
      </c>
      <c r="J612" s="763" t="str">
        <f>IFERROR(__xludf.DUMMYFUNCTION("""COMPUTED_VALUE"""),"vicolo Piave 18")</f>
        <v>vicolo Piave 18</v>
      </c>
      <c r="K612" s="763">
        <f>IFERROR(__xludf.DUMMYFUNCTION("""COMPUTED_VALUE"""),31100.0)</f>
        <v>31100</v>
      </c>
      <c r="L612" s="763" t="str">
        <f>IFERROR(__xludf.DUMMYFUNCTION("""COMPUTED_VALUE"""),"Google Pay")</f>
        <v>Google Pay</v>
      </c>
      <c r="M612" s="763"/>
      <c r="N612" s="763" t="str">
        <f>IFERROR(__xludf.DUMMYFUNCTION("""COMPUTED_VALUE"""),"66317-1763761290")</f>
        <v>66317-1763761290</v>
      </c>
      <c r="O612" s="763">
        <f>IFERROR(__xludf.DUMMYFUNCTION("""COMPUTED_VALUE"""),0.0)</f>
        <v>0</v>
      </c>
      <c r="P612" s="767">
        <f>IFERROR(__xludf.DUMMYFUNCTION("""COMPUTED_VALUE"""),2.2916666666666665)</f>
        <v>2.291666667</v>
      </c>
      <c r="Q612" s="763" t="str">
        <f>IFERROR(__xludf.DUMMYFUNCTION("""COMPUTED_VALUE"""),"EUR")</f>
        <v>EUR</v>
      </c>
      <c r="R612" s="763">
        <f>IFERROR(__xludf.DUMMYFUNCTION("""COMPUTED_VALUE"""),1133.0)</f>
        <v>1133</v>
      </c>
      <c r="S612" s="763" t="str">
        <f>IFERROR(__xludf.DUMMYFUNCTION("""COMPUTED_VALUE"""),"Festa di Natale 2025 - Festa di natale 2025 lezioni + pizza + serata 55€")</f>
        <v>Festa di Natale 2025 - Festa di natale 2025 lezioni + pizza + serata 55€</v>
      </c>
      <c r="T612" s="763"/>
      <c r="U612" s="763"/>
      <c r="V612" s="763">
        <f>IFERROR(__xludf.DUMMYFUNCTION("""COMPUTED_VALUE"""),1.0)</f>
        <v>1</v>
      </c>
      <c r="W612" s="763">
        <f>IFERROR(__xludf.DUMMYFUNCTION("""COMPUTED_VALUE"""),55.0)</f>
        <v>55</v>
      </c>
      <c r="X612" s="763">
        <f>IFERROR(__xludf.DUMMYFUNCTION("""COMPUTED_VALUE"""),55.0)</f>
        <v>55</v>
      </c>
      <c r="Y612" s="763"/>
      <c r="Z612" s="768" t="str">
        <f>IFERROR(__xludf.DUMMYFUNCTION("""COMPUTED_VALUE"""),"https://studio-gem.it/wp-admin/post.php?post=66317&amp;action=edit")</f>
        <v>https://studio-gem.it/wp-admin/post.php?post=66317&amp;action=edit</v>
      </c>
      <c r="AA612" s="763"/>
      <c r="AB612" s="763"/>
      <c r="AC612" s="763"/>
      <c r="AD612" s="763"/>
      <c r="AE612" s="763"/>
      <c r="AF612" s="763"/>
      <c r="AG612" s="763"/>
      <c r="AH612" s="763"/>
      <c r="AI612" s="763"/>
      <c r="AJ612" s="763"/>
      <c r="AK612" s="763"/>
      <c r="AL612" s="763"/>
      <c r="AM612" s="763"/>
      <c r="AN612" s="763"/>
      <c r="AO612" s="763"/>
      <c r="AP612" s="763"/>
      <c r="AQ612" s="763"/>
      <c r="AR612" s="763"/>
      <c r="AS612" s="763"/>
      <c r="AT612" s="763"/>
      <c r="AU612" s="763"/>
      <c r="AV612" s="763"/>
      <c r="AW612" s="763"/>
      <c r="AX612" s="763"/>
      <c r="AY612" s="763"/>
      <c r="AZ612" s="763"/>
      <c r="BA612" s="763"/>
      <c r="BB612" s="763"/>
      <c r="BC612" s="763"/>
      <c r="BD612" s="763"/>
      <c r="BE612" s="763"/>
      <c r="BF612" s="763"/>
      <c r="BG612" s="763" t="b">
        <f>IFERROR(__xludf.DUMMYFUNCTION("""COMPUTED_VALUE"""),TRUE)</f>
        <v>1</v>
      </c>
      <c r="BH612" s="763" t="b">
        <f>IFERROR(__xludf.DUMMYFUNCTION("""COMPUTED_VALUE"""),FALSE)</f>
        <v>0</v>
      </c>
      <c r="BI612" s="763" t="b">
        <f>IFERROR(__xludf.DUMMYFUNCTION("""COMPUTED_VALUE"""),TRUE)</f>
        <v>1</v>
      </c>
      <c r="BJ612" s="763" t="b">
        <f>IFERROR(__xludf.DUMMYFUNCTION("""COMPUTED_VALUE"""),TRUE)</f>
        <v>1</v>
      </c>
    </row>
    <row r="613">
      <c r="A613" s="763">
        <f>IFERROR(__xludf.DUMMYFUNCTION("""COMPUTED_VALUE"""),66321.0)</f>
        <v>66321</v>
      </c>
      <c r="B613" s="763">
        <f>IFERROR(__xludf.DUMMYFUNCTION("""COMPUTED_VALUE"""),66321.0)</f>
        <v>66321</v>
      </c>
      <c r="C613" s="763" t="str">
        <f>IFERROR(__xludf.DUMMYFUNCTION("""COMPUTED_VALUE"""),"2025-11-22 08:33:47")</f>
        <v>2025-11-22 08:33:47</v>
      </c>
      <c r="D613" s="763" t="str">
        <f>IFERROR(__xludf.DUMMYFUNCTION("""COMPUTED_VALUE"""),"completed")</f>
        <v>completed</v>
      </c>
      <c r="E613" s="763" t="str">
        <f>IFERROR(__xludf.DUMMYFUNCTION("""COMPUTED_VALUE"""),"Luigi")</f>
        <v>Luigi</v>
      </c>
      <c r="F613" s="763" t="str">
        <f>IFERROR(__xludf.DUMMYFUNCTION("""COMPUTED_VALUE"""),"Neri")</f>
        <v>Neri</v>
      </c>
      <c r="G613" s="763" t="str">
        <f>IFERROR(__xludf.DUMMYFUNCTION("""COMPUTED_VALUE"""),"Luigi.neri.67@gmail.com")</f>
        <v>Luigi.neri.67@gmail.com</v>
      </c>
      <c r="H613" s="763">
        <f>IFERROR(__xludf.DUMMYFUNCTION("""COMPUTED_VALUE"""),3.358072949E9)</f>
        <v>3358072949</v>
      </c>
      <c r="I613" s="763" t="str">
        <f>IFERROR(__xludf.DUMMYFUNCTION("""COMPUTED_VALUE"""),"Milano")</f>
        <v>Milano</v>
      </c>
      <c r="J613" s="763" t="str">
        <f>IFERROR(__xludf.DUMMYFUNCTION("""COMPUTED_VALUE"""),"Piazza del Rosario 1")</f>
        <v>Piazza del Rosario 1</v>
      </c>
      <c r="K613" s="763">
        <f>IFERROR(__xludf.DUMMYFUNCTION("""COMPUTED_VALUE"""),20144.0)</f>
        <v>20144</v>
      </c>
      <c r="L613" s="763"/>
      <c r="M613" s="763"/>
      <c r="N613" s="763"/>
      <c r="O613" s="763">
        <f>IFERROR(__xludf.DUMMYFUNCTION("""COMPUTED_VALUE"""),0.0)</f>
        <v>0</v>
      </c>
      <c r="P613" s="767">
        <f>IFERROR(__xludf.DUMMYFUNCTION("""COMPUTED_VALUE"""),0.0)</f>
        <v>0</v>
      </c>
      <c r="Q613" s="763" t="str">
        <f>IFERROR(__xludf.DUMMYFUNCTION("""COMPUTED_VALUE"""),"EUR")</f>
        <v>EUR</v>
      </c>
      <c r="R613" s="763">
        <f>IFERROR(__xludf.DUMMYFUNCTION("""COMPUTED_VALUE"""),1134.0)</f>
        <v>1134</v>
      </c>
      <c r="S613" s="763" t="str">
        <f>IFERROR(__xludf.DUMMYFUNCTION("""COMPUTED_VALUE"""),"Domeniche in movimento - Gratuito per open fitness e open mattino 2 lezioni dalle 10 alle 11.50")</f>
        <v>Domeniche in movimento - Gratuito per open fitness e open mattino 2 lezioni dalle 10 alle 11.50</v>
      </c>
      <c r="T613" s="763"/>
      <c r="U613" s="763"/>
      <c r="V613" s="763">
        <f>IFERROR(__xludf.DUMMYFUNCTION("""COMPUTED_VALUE"""),1.0)</f>
        <v>1</v>
      </c>
      <c r="W613" s="763">
        <f>IFERROR(__xludf.DUMMYFUNCTION("""COMPUTED_VALUE"""),0.0)</f>
        <v>0</v>
      </c>
      <c r="X613" s="763">
        <f>IFERROR(__xludf.DUMMYFUNCTION("""COMPUTED_VALUE"""),0.0)</f>
        <v>0</v>
      </c>
      <c r="Y613" s="763"/>
      <c r="Z613" s="768" t="str">
        <f>IFERROR(__xludf.DUMMYFUNCTION("""COMPUTED_VALUE"""),"https://studio-gem.it/wp-admin/post.php?post=66321&amp;action=edit")</f>
        <v>https://studio-gem.it/wp-admin/post.php?post=66321&amp;action=edit</v>
      </c>
      <c r="AA613" s="763"/>
      <c r="AB613" s="763"/>
      <c r="AC613" s="763"/>
      <c r="AD613" s="763"/>
      <c r="AE613" s="763"/>
      <c r="AF613" s="763"/>
      <c r="AG613" s="763"/>
      <c r="AH613" s="763"/>
      <c r="AI613" s="763"/>
      <c r="AJ613" s="763"/>
      <c r="AK613" s="763"/>
      <c r="AL613" s="763"/>
      <c r="AM613" s="763"/>
      <c r="AN613" s="763"/>
      <c r="AO613" s="763"/>
      <c r="AP613" s="763"/>
      <c r="AQ613" s="763"/>
      <c r="AR613" s="763"/>
      <c r="AS613" s="763"/>
      <c r="AT613" s="763"/>
      <c r="AU613" s="763"/>
      <c r="AV613" s="763"/>
      <c r="AW613" s="763"/>
      <c r="AX613" s="763"/>
      <c r="AY613" s="763"/>
      <c r="AZ613" s="763"/>
      <c r="BA613" s="763"/>
      <c r="BB613" s="763"/>
      <c r="BC613" s="763"/>
      <c r="BD613" s="763"/>
      <c r="BE613" s="763"/>
      <c r="BF613" s="763"/>
      <c r="BG613" s="763" t="b">
        <f>IFERROR(__xludf.DUMMYFUNCTION("""COMPUTED_VALUE"""),FALSE)</f>
        <v>0</v>
      </c>
      <c r="BH613" s="763" t="b">
        <f>IFERROR(__xludf.DUMMYFUNCTION("""COMPUTED_VALUE"""),FALSE)</f>
        <v>0</v>
      </c>
      <c r="BI613" s="763" t="b">
        <f>IFERROR(__xludf.DUMMYFUNCTION("""COMPUTED_VALUE"""),TRUE)</f>
        <v>1</v>
      </c>
      <c r="BJ613" s="763" t="b">
        <f>IFERROR(__xludf.DUMMYFUNCTION("""COMPUTED_VALUE"""),FALSE)</f>
        <v>0</v>
      </c>
    </row>
    <row r="614">
      <c r="A614" s="763">
        <f>IFERROR(__xludf.DUMMYFUNCTION("""COMPUTED_VALUE"""),66323.0)</f>
        <v>66323</v>
      </c>
      <c r="B614" s="763">
        <f>IFERROR(__xludf.DUMMYFUNCTION("""COMPUTED_VALUE"""),66323.0)</f>
        <v>66323</v>
      </c>
      <c r="C614" s="763" t="str">
        <f>IFERROR(__xludf.DUMMYFUNCTION("""COMPUTED_VALUE"""),"2025-11-22 11:33:58")</f>
        <v>2025-11-22 11:33:58</v>
      </c>
      <c r="D614" s="763" t="str">
        <f>IFERROR(__xludf.DUMMYFUNCTION("""COMPUTED_VALUE"""),"completed")</f>
        <v>completed</v>
      </c>
      <c r="E614" s="763" t="str">
        <f>IFERROR(__xludf.DUMMYFUNCTION("""COMPUTED_VALUE"""),"giorgio")</f>
        <v>giorgio</v>
      </c>
      <c r="F614" s="763" t="str">
        <f>IFERROR(__xludf.DUMMYFUNCTION("""COMPUTED_VALUE"""),"sbampato")</f>
        <v>sbampato</v>
      </c>
      <c r="G614" s="763" t="str">
        <f>IFERROR(__xludf.DUMMYFUNCTION("""COMPUTED_VALUE"""),"giorgio_sbampato@yahoo.com")</f>
        <v>giorgio_sbampato@yahoo.com</v>
      </c>
      <c r="H614" s="763">
        <f>IFERROR(__xludf.DUMMYFUNCTION("""COMPUTED_VALUE"""),3.492924982E9)</f>
        <v>3492924982</v>
      </c>
      <c r="I614" s="763" t="str">
        <f>IFERROR(__xludf.DUMMYFUNCTION("""COMPUTED_VALUE"""),"Milano")</f>
        <v>Milano</v>
      </c>
      <c r="J614" s="763" t="str">
        <f>IFERROR(__xludf.DUMMYFUNCTION("""COMPUTED_VALUE"""),"lamarmora 36")</f>
        <v>lamarmora 36</v>
      </c>
      <c r="K614" s="763">
        <f>IFERROR(__xludf.DUMMYFUNCTION("""COMPUTED_VALUE"""),20122.0)</f>
        <v>20122</v>
      </c>
      <c r="L614" s="763"/>
      <c r="M614" s="763"/>
      <c r="N614" s="763"/>
      <c r="O614" s="763">
        <f>IFERROR(__xludf.DUMMYFUNCTION("""COMPUTED_VALUE"""),0.0)</f>
        <v>0</v>
      </c>
      <c r="P614" s="767">
        <f>IFERROR(__xludf.DUMMYFUNCTION("""COMPUTED_VALUE"""),0.0)</f>
        <v>0</v>
      </c>
      <c r="Q614" s="763" t="str">
        <f>IFERROR(__xludf.DUMMYFUNCTION("""COMPUTED_VALUE"""),"EUR")</f>
        <v>EUR</v>
      </c>
      <c r="R614" s="763">
        <f>IFERROR(__xludf.DUMMYFUNCTION("""COMPUTED_VALUE"""),1135.0)</f>
        <v>1135</v>
      </c>
      <c r="S614" s="763" t="str">
        <f>IFERROR(__xludf.DUMMYFUNCTION("""COMPUTED_VALUE"""),"Domeniche in movimento - Gratuito per open fitness e open mattino 2 lezioni dalle 10 alle 11.50")</f>
        <v>Domeniche in movimento - Gratuito per open fitness e open mattino 2 lezioni dalle 10 alle 11.50</v>
      </c>
      <c r="T614" s="763"/>
      <c r="U614" s="763"/>
      <c r="V614" s="763">
        <f>IFERROR(__xludf.DUMMYFUNCTION("""COMPUTED_VALUE"""),1.0)</f>
        <v>1</v>
      </c>
      <c r="W614" s="763">
        <f>IFERROR(__xludf.DUMMYFUNCTION("""COMPUTED_VALUE"""),0.0)</f>
        <v>0</v>
      </c>
      <c r="X614" s="763">
        <f>IFERROR(__xludf.DUMMYFUNCTION("""COMPUTED_VALUE"""),0.0)</f>
        <v>0</v>
      </c>
      <c r="Y614" s="763"/>
      <c r="Z614" s="768" t="str">
        <f>IFERROR(__xludf.DUMMYFUNCTION("""COMPUTED_VALUE"""),"https://studio-gem.it/wp-admin/post.php?post=66323&amp;action=edit")</f>
        <v>https://studio-gem.it/wp-admin/post.php?post=66323&amp;action=edit</v>
      </c>
      <c r="AA614" s="763"/>
      <c r="AB614" s="763"/>
      <c r="AC614" s="763"/>
      <c r="AD614" s="763"/>
      <c r="AE614" s="763"/>
      <c r="AF614" s="763"/>
      <c r="AG614" s="763"/>
      <c r="AH614" s="763"/>
      <c r="AI614" s="763"/>
      <c r="AJ614" s="763"/>
      <c r="AK614" s="763"/>
      <c r="AL614" s="763"/>
      <c r="AM614" s="763"/>
      <c r="AN614" s="763"/>
      <c r="AO614" s="763"/>
      <c r="AP614" s="763"/>
      <c r="AQ614" s="763"/>
      <c r="AR614" s="763"/>
      <c r="AS614" s="763"/>
      <c r="AT614" s="763"/>
      <c r="AU614" s="763"/>
      <c r="AV614" s="763"/>
      <c r="AW614" s="763"/>
      <c r="AX614" s="763"/>
      <c r="AY614" s="763"/>
      <c r="AZ614" s="763"/>
      <c r="BA614" s="763"/>
      <c r="BB614" s="763"/>
      <c r="BC614" s="763"/>
      <c r="BD614" s="763"/>
      <c r="BE614" s="763"/>
      <c r="BF614" s="763"/>
      <c r="BG614" s="763" t="b">
        <f>IFERROR(__xludf.DUMMYFUNCTION("""COMPUTED_VALUE"""),FALSE)</f>
        <v>0</v>
      </c>
      <c r="BH614" s="763" t="b">
        <f>IFERROR(__xludf.DUMMYFUNCTION("""COMPUTED_VALUE"""),FALSE)</f>
        <v>0</v>
      </c>
      <c r="BI614" s="763" t="b">
        <f>IFERROR(__xludf.DUMMYFUNCTION("""COMPUTED_VALUE"""),TRUE)</f>
        <v>1</v>
      </c>
      <c r="BJ614" s="763" t="b">
        <f>IFERROR(__xludf.DUMMYFUNCTION("""COMPUTED_VALUE"""),FALSE)</f>
        <v>0</v>
      </c>
    </row>
    <row r="615">
      <c r="A615" s="763">
        <f>IFERROR(__xludf.DUMMYFUNCTION("""COMPUTED_VALUE"""),66325.0)</f>
        <v>66325</v>
      </c>
      <c r="B615" s="763">
        <f>IFERROR(__xludf.DUMMYFUNCTION("""COMPUTED_VALUE"""),66325.0)</f>
        <v>66325</v>
      </c>
      <c r="C615" s="763" t="str">
        <f>IFERROR(__xludf.DUMMYFUNCTION("""COMPUTED_VALUE"""),"2025-11-22 12:50:58")</f>
        <v>2025-11-22 12:50:58</v>
      </c>
      <c r="D615" s="763" t="str">
        <f>IFERROR(__xludf.DUMMYFUNCTION("""COMPUTED_VALUE"""),"completed")</f>
        <v>completed</v>
      </c>
      <c r="E615" s="763" t="str">
        <f>IFERROR(__xludf.DUMMYFUNCTION("""COMPUTED_VALUE"""),"Ugo Alberto")</f>
        <v>Ugo Alberto</v>
      </c>
      <c r="F615" s="763" t="str">
        <f>IFERROR(__xludf.DUMMYFUNCTION("""COMPUTED_VALUE"""),"Binacchi")</f>
        <v>Binacchi</v>
      </c>
      <c r="G615" s="763" t="str">
        <f>IFERROR(__xludf.DUMMYFUNCTION("""COMPUTED_VALUE"""),"ugo.binacchi@gmail.com")</f>
        <v>ugo.binacchi@gmail.com</v>
      </c>
      <c r="H615" s="763">
        <f>IFERROR(__xludf.DUMMYFUNCTION("""COMPUTED_VALUE"""),3.335208129E9)</f>
        <v>3335208129</v>
      </c>
      <c r="I615" s="763" t="str">
        <f>IFERROR(__xludf.DUMMYFUNCTION("""COMPUTED_VALUE"""),"Buccinasco")</f>
        <v>Buccinasco</v>
      </c>
      <c r="J615" s="763" t="str">
        <f>IFERROR(__xludf.DUMMYFUNCTION("""COMPUTED_VALUE"""),"Via indipendenza 7")</f>
        <v>Via indipendenza 7</v>
      </c>
      <c r="K615" s="763">
        <f>IFERROR(__xludf.DUMMYFUNCTION("""COMPUTED_VALUE"""),20090.0)</f>
        <v>20090</v>
      </c>
      <c r="L615" s="763" t="str">
        <f>IFERROR(__xludf.DUMMYFUNCTION("""COMPUTED_VALUE"""),"Apple Pay")</f>
        <v>Apple Pay</v>
      </c>
      <c r="M615" s="763" t="str">
        <f>IFERROR(__xludf.DUMMYFUNCTION("""COMPUTED_VALUE"""),"nura05natale")</f>
        <v>nura05natale</v>
      </c>
      <c r="N615" s="763" t="str">
        <f>IFERROR(__xludf.DUMMYFUNCTION("""COMPUTED_VALUE"""),"66325-1763815872")</f>
        <v>66325-1763815872</v>
      </c>
      <c r="O615" s="763">
        <f>IFERROR(__xludf.DUMMYFUNCTION("""COMPUTED_VALUE"""),0.0)</f>
        <v>0</v>
      </c>
      <c r="P615" s="767">
        <f>IFERROR(__xludf.DUMMYFUNCTION("""COMPUTED_VALUE"""),0.8333333333333334)</f>
        <v>0.8333333333</v>
      </c>
      <c r="Q615" s="763" t="str">
        <f>IFERROR(__xludf.DUMMYFUNCTION("""COMPUTED_VALUE"""),"EUR")</f>
        <v>EUR</v>
      </c>
      <c r="R615" s="763">
        <f>IFERROR(__xludf.DUMMYFUNCTION("""COMPUTED_VALUE"""),1136.0)</f>
        <v>1136</v>
      </c>
      <c r="S615" s="763" t="str">
        <f>IFERROR(__xludf.DUMMYFUNCTION("""COMPUTED_VALUE"""),"Festa di Natale 2025 - Festa di natale 2025 SOLO serata 25€")</f>
        <v>Festa di Natale 2025 - Festa di natale 2025 SOLO serata 25€</v>
      </c>
      <c r="T615" s="763"/>
      <c r="U615" s="763"/>
      <c r="V615" s="763">
        <f>IFERROR(__xludf.DUMMYFUNCTION("""COMPUTED_VALUE"""),1.0)</f>
        <v>1</v>
      </c>
      <c r="W615" s="763">
        <f>IFERROR(__xludf.DUMMYFUNCTION("""COMPUTED_VALUE"""),20.0)</f>
        <v>20</v>
      </c>
      <c r="X615" s="763">
        <f>IFERROR(__xludf.DUMMYFUNCTION("""COMPUTED_VALUE"""),20.0)</f>
        <v>20</v>
      </c>
      <c r="Y615" s="763"/>
      <c r="Z615" s="768" t="str">
        <f>IFERROR(__xludf.DUMMYFUNCTION("""COMPUTED_VALUE"""),"https://studio-gem.it/wp-admin/post.php?post=66325&amp;action=edit")</f>
        <v>https://studio-gem.it/wp-admin/post.php?post=66325&amp;action=edit</v>
      </c>
      <c r="AA615" s="763"/>
      <c r="AB615" s="763"/>
      <c r="AC615" s="763"/>
      <c r="AD615" s="763"/>
      <c r="AE615" s="763"/>
      <c r="AF615" s="763"/>
      <c r="AG615" s="763"/>
      <c r="AH615" s="763"/>
      <c r="AI615" s="763"/>
      <c r="AJ615" s="763"/>
      <c r="AK615" s="763"/>
      <c r="AL615" s="763"/>
      <c r="AM615" s="763"/>
      <c r="AN615" s="763"/>
      <c r="AO615" s="763"/>
      <c r="AP615" s="763"/>
      <c r="AQ615" s="763"/>
      <c r="AR615" s="763"/>
      <c r="AS615" s="763"/>
      <c r="AT615" s="763"/>
      <c r="AU615" s="763"/>
      <c r="AV615" s="763"/>
      <c r="AW615" s="763"/>
      <c r="AX615" s="763"/>
      <c r="AY615" s="763"/>
      <c r="AZ615" s="763"/>
      <c r="BA615" s="763"/>
      <c r="BB615" s="763"/>
      <c r="BC615" s="763"/>
      <c r="BD615" s="763"/>
      <c r="BE615" s="763"/>
      <c r="BF615" s="763"/>
      <c r="BG615" s="763" t="b">
        <f>IFERROR(__xludf.DUMMYFUNCTION("""COMPUTED_VALUE"""),TRUE)</f>
        <v>1</v>
      </c>
      <c r="BH615" s="763" t="b">
        <f>IFERROR(__xludf.DUMMYFUNCTION("""COMPUTED_VALUE"""),FALSE)</f>
        <v>0</v>
      </c>
      <c r="BI615" s="763" t="b">
        <f>IFERROR(__xludf.DUMMYFUNCTION("""COMPUTED_VALUE"""),TRUE)</f>
        <v>1</v>
      </c>
      <c r="BJ615" s="763" t="b">
        <f>IFERROR(__xludf.DUMMYFUNCTION("""COMPUTED_VALUE"""),TRUE)</f>
        <v>1</v>
      </c>
    </row>
    <row r="616">
      <c r="A616" s="763">
        <f>IFERROR(__xludf.DUMMYFUNCTION("""COMPUTED_VALUE"""),66333.0)</f>
        <v>66333</v>
      </c>
      <c r="B616" s="763">
        <f>IFERROR(__xludf.DUMMYFUNCTION("""COMPUTED_VALUE"""),66333.0)</f>
        <v>66333</v>
      </c>
      <c r="C616" s="763" t="str">
        <f>IFERROR(__xludf.DUMMYFUNCTION("""COMPUTED_VALUE"""),"2025-11-23 22:35:06")</f>
        <v>2025-11-23 22:35:06</v>
      </c>
      <c r="D616" s="763" t="str">
        <f>IFERROR(__xludf.DUMMYFUNCTION("""COMPUTED_VALUE"""),"completed")</f>
        <v>completed</v>
      </c>
      <c r="E616" s="763" t="str">
        <f>IFERROR(__xludf.DUMMYFUNCTION("""COMPUTED_VALUE"""),"FABIO")</f>
        <v>FABIO</v>
      </c>
      <c r="F616" s="763" t="str">
        <f>IFERROR(__xludf.DUMMYFUNCTION("""COMPUTED_VALUE"""),"CAMISA")</f>
        <v>CAMISA</v>
      </c>
      <c r="G616" s="763" t="str">
        <f>IFERROR(__xludf.DUMMYFUNCTION("""COMPUTED_VALUE"""),"fabio.camisa@libero.it")</f>
        <v>fabio.camisa@libero.it</v>
      </c>
      <c r="H616" s="763">
        <f>IFERROR(__xludf.DUMMYFUNCTION("""COMPUTED_VALUE"""),3.3829622E9)</f>
        <v>3382962200</v>
      </c>
      <c r="I616" s="763" t="str">
        <f>IFERROR(__xludf.DUMMYFUNCTION("""COMPUTED_VALUE"""),"Agrate Brianza")</f>
        <v>Agrate Brianza</v>
      </c>
      <c r="J616" s="763" t="str">
        <f>IFERROR(__xludf.DUMMYFUNCTION("""COMPUTED_VALUE"""),"Via Silvio Pellico 6/12")</f>
        <v>Via Silvio Pellico 6/12</v>
      </c>
      <c r="K616" s="763">
        <f>IFERROR(__xludf.DUMMYFUNCTION("""COMPUTED_VALUE"""),20864.0)</f>
        <v>20864</v>
      </c>
      <c r="L616" s="763" t="str">
        <f>IFERROR(__xludf.DUMMYFUNCTION("""COMPUTED_VALUE"""),"Carte di pagamento")</f>
        <v>Carte di pagamento</v>
      </c>
      <c r="M616" s="763" t="str">
        <f>IFERROR(__xludf.DUMMYFUNCTION("""COMPUTED_VALUE"""),"santo05natale")</f>
        <v>santo05natale</v>
      </c>
      <c r="N616" s="763" t="str">
        <f>IFERROR(__xludf.DUMMYFUNCTION("""COMPUTED_VALUE"""),"66333-1763937307")</f>
        <v>66333-1763937307</v>
      </c>
      <c r="O616" s="763">
        <f>IFERROR(__xludf.DUMMYFUNCTION("""COMPUTED_VALUE"""),0.0)</f>
        <v>0</v>
      </c>
      <c r="P616" s="767">
        <f>IFERROR(__xludf.DUMMYFUNCTION("""COMPUTED_VALUE"""),2.0833333333333335)</f>
        <v>2.083333333</v>
      </c>
      <c r="Q616" s="763" t="str">
        <f>IFERROR(__xludf.DUMMYFUNCTION("""COMPUTED_VALUE"""),"EUR")</f>
        <v>EUR</v>
      </c>
      <c r="R616" s="763">
        <f>IFERROR(__xludf.DUMMYFUNCTION("""COMPUTED_VALUE"""),1138.0)</f>
        <v>1138</v>
      </c>
      <c r="S616" s="763" t="str">
        <f>IFERROR(__xludf.DUMMYFUNCTION("""COMPUTED_VALUE"""),"Festa di Natale 2025 - Festa di natale 2025 lezioni + pizza + serata 55€")</f>
        <v>Festa di Natale 2025 - Festa di natale 2025 lezioni + pizza + serata 55€</v>
      </c>
      <c r="T616" s="763"/>
      <c r="U616" s="763"/>
      <c r="V616" s="763">
        <f>IFERROR(__xludf.DUMMYFUNCTION("""COMPUTED_VALUE"""),1.0)</f>
        <v>1</v>
      </c>
      <c r="W616" s="763">
        <f>IFERROR(__xludf.DUMMYFUNCTION("""COMPUTED_VALUE"""),50.0)</f>
        <v>50</v>
      </c>
      <c r="X616" s="763">
        <f>IFERROR(__xludf.DUMMYFUNCTION("""COMPUTED_VALUE"""),50.0)</f>
        <v>50</v>
      </c>
      <c r="Y616" s="763"/>
      <c r="Z616" s="768" t="str">
        <f>IFERROR(__xludf.DUMMYFUNCTION("""COMPUTED_VALUE"""),"https://studio-gem.it/wp-admin/post.php?post=66333&amp;action=edit")</f>
        <v>https://studio-gem.it/wp-admin/post.php?post=66333&amp;action=edit</v>
      </c>
      <c r="AA616" s="763"/>
      <c r="AB616" s="763"/>
      <c r="AC616" s="763"/>
      <c r="AD616" s="763"/>
      <c r="AE616" s="763"/>
      <c r="AF616" s="763"/>
      <c r="AG616" s="763"/>
      <c r="AH616" s="763"/>
      <c r="AI616" s="763"/>
      <c r="AJ616" s="763"/>
      <c r="AK616" s="763"/>
      <c r="AL616" s="763"/>
      <c r="AM616" s="763"/>
      <c r="AN616" s="763"/>
      <c r="AO616" s="763"/>
      <c r="AP616" s="763"/>
      <c r="AQ616" s="763"/>
      <c r="AR616" s="763"/>
      <c r="AS616" s="763"/>
      <c r="AT616" s="763"/>
      <c r="AU616" s="763"/>
      <c r="AV616" s="763"/>
      <c r="AW616" s="763"/>
      <c r="AX616" s="763"/>
      <c r="AY616" s="763"/>
      <c r="AZ616" s="763"/>
      <c r="BA616" s="763"/>
      <c r="BB616" s="763"/>
      <c r="BC616" s="763"/>
      <c r="BD616" s="763"/>
      <c r="BE616" s="763"/>
      <c r="BF616" s="763"/>
      <c r="BG616" s="763" t="b">
        <f>IFERROR(__xludf.DUMMYFUNCTION("""COMPUTED_VALUE"""),TRUE)</f>
        <v>1</v>
      </c>
      <c r="BH616" s="763" t="b">
        <f>IFERROR(__xludf.DUMMYFUNCTION("""COMPUTED_VALUE"""),FALSE)</f>
        <v>0</v>
      </c>
      <c r="BI616" s="763" t="b">
        <f>IFERROR(__xludf.DUMMYFUNCTION("""COMPUTED_VALUE"""),TRUE)</f>
        <v>1</v>
      </c>
      <c r="BJ616" s="763" t="b">
        <f>IFERROR(__xludf.DUMMYFUNCTION("""COMPUTED_VALUE"""),TRUE)</f>
        <v>1</v>
      </c>
    </row>
    <row r="617">
      <c r="A617" s="763">
        <f>IFERROR(__xludf.DUMMYFUNCTION("""COMPUTED_VALUE"""),66341.0)</f>
        <v>66341</v>
      </c>
      <c r="B617" s="763">
        <f>IFERROR(__xludf.DUMMYFUNCTION("""COMPUTED_VALUE"""),66341.0)</f>
        <v>66341</v>
      </c>
      <c r="C617" s="763" t="str">
        <f>IFERROR(__xludf.DUMMYFUNCTION("""COMPUTED_VALUE"""),"2025-11-24 11:09:46")</f>
        <v>2025-11-24 11:09:46</v>
      </c>
      <c r="D617" s="763" t="str">
        <f>IFERROR(__xludf.DUMMYFUNCTION("""COMPUTED_VALUE"""),"pending")</f>
        <v>pending</v>
      </c>
      <c r="E617" s="763" t="str">
        <f>IFERROR(__xludf.DUMMYFUNCTION("""COMPUTED_VALUE"""),"Loredana")</f>
        <v>Loredana</v>
      </c>
      <c r="F617" s="763" t="str">
        <f>IFERROR(__xludf.DUMMYFUNCTION("""COMPUTED_VALUE"""),"Sutera")</f>
        <v>Sutera</v>
      </c>
      <c r="G617" s="763" t="str">
        <f>IFERROR(__xludf.DUMMYFUNCTION("""COMPUTED_VALUE"""),"loredanasutera79@gmail.com")</f>
        <v>loredanasutera79@gmail.com</v>
      </c>
      <c r="H617" s="763">
        <f>IFERROR(__xludf.DUMMYFUNCTION("""COMPUTED_VALUE"""),3.299261349E9)</f>
        <v>3299261349</v>
      </c>
      <c r="I617" s="763" t="str">
        <f>IFERROR(__xludf.DUMMYFUNCTION("""COMPUTED_VALUE"""),"Milano")</f>
        <v>Milano</v>
      </c>
      <c r="J617" s="763" t="str">
        <f>IFERROR(__xludf.DUMMYFUNCTION("""COMPUTED_VALUE"""),"Via ponti della priula 2")</f>
        <v>Via ponti della priula 2</v>
      </c>
      <c r="K617" s="763">
        <f>IFERROR(__xludf.DUMMYFUNCTION("""COMPUTED_VALUE"""),20100.0)</f>
        <v>20100</v>
      </c>
      <c r="L617" s="763" t="str">
        <f>IFERROR(__xludf.DUMMYFUNCTION("""COMPUTED_VALUE"""),"Carte di pagamento")</f>
        <v>Carte di pagamento</v>
      </c>
      <c r="M617" s="763" t="str">
        <f>IFERROR(__xludf.DUMMYFUNCTION("""COMPUTED_VALUE"""),"alexandra05natale")</f>
        <v>alexandra05natale</v>
      </c>
      <c r="N617" s="763" t="str">
        <f>IFERROR(__xludf.DUMMYFUNCTION("""COMPUTED_VALUE""")," 66341-1763982588")</f>
        <v> 66341-1763982588</v>
      </c>
      <c r="O617" s="763">
        <f>IFERROR(__xludf.DUMMYFUNCTION("""COMPUTED_VALUE"""),0.0)</f>
        <v>0</v>
      </c>
      <c r="P617" s="767">
        <f>IFERROR(__xludf.DUMMYFUNCTION("""COMPUTED_VALUE"""),0.8333333333333334)</f>
        <v>0.8333333333</v>
      </c>
      <c r="Q617" s="763" t="str">
        <f>IFERROR(__xludf.DUMMYFUNCTION("""COMPUTED_VALUE"""),"EUR")</f>
        <v>EUR</v>
      </c>
      <c r="R617" s="763">
        <f>IFERROR(__xludf.DUMMYFUNCTION("""COMPUTED_VALUE"""),1140.0)</f>
        <v>1140</v>
      </c>
      <c r="S617" s="763" t="str">
        <f>IFERROR(__xludf.DUMMYFUNCTION("""COMPUTED_VALUE"""),"Festa di Natale 2025 - Festa di natale 2025 SOLO serata 25€")</f>
        <v>Festa di Natale 2025 - Festa di natale 2025 SOLO serata 25€</v>
      </c>
      <c r="T617" s="763"/>
      <c r="U617" s="763"/>
      <c r="V617" s="763">
        <f>IFERROR(__xludf.DUMMYFUNCTION("""COMPUTED_VALUE"""),1.0)</f>
        <v>1</v>
      </c>
      <c r="W617" s="763">
        <f>IFERROR(__xludf.DUMMYFUNCTION("""COMPUTED_VALUE"""),20.0)</f>
        <v>20</v>
      </c>
      <c r="X617" s="763">
        <f>IFERROR(__xludf.DUMMYFUNCTION("""COMPUTED_VALUE"""),20.0)</f>
        <v>20</v>
      </c>
      <c r="Y617" s="763"/>
      <c r="Z617" s="768" t="str">
        <f>IFERROR(__xludf.DUMMYFUNCTION("""COMPUTED_VALUE"""),"https://studio-gem.it/wp-admin/post.php?post=66341&amp;action=edit")</f>
        <v>https://studio-gem.it/wp-admin/post.php?post=66341&amp;action=edit</v>
      </c>
      <c r="AA617" s="763"/>
      <c r="AB617" s="763"/>
      <c r="AC617" s="763"/>
      <c r="AD617" s="763"/>
      <c r="AE617" s="763"/>
      <c r="AF617" s="763"/>
      <c r="AG617" s="763"/>
      <c r="AH617" s="763"/>
      <c r="AI617" s="763"/>
      <c r="AJ617" s="763"/>
      <c r="AK617" s="763"/>
      <c r="AL617" s="763"/>
      <c r="AM617" s="763"/>
      <c r="AN617" s="763"/>
      <c r="AO617" s="763"/>
      <c r="AP617" s="763"/>
      <c r="AQ617" s="763"/>
      <c r="AR617" s="763"/>
      <c r="AS617" s="763"/>
      <c r="AT617" s="763"/>
      <c r="AU617" s="763"/>
      <c r="AV617" s="763"/>
      <c r="AW617" s="763"/>
      <c r="AX617" s="763"/>
      <c r="AY617" s="763"/>
      <c r="AZ617" s="763"/>
      <c r="BA617" s="763"/>
      <c r="BB617" s="763"/>
      <c r="BC617" s="763"/>
      <c r="BD617" s="763"/>
      <c r="BE617" s="763"/>
      <c r="BF617" s="763"/>
      <c r="BG617" s="763" t="b">
        <f>IFERROR(__xludf.DUMMYFUNCTION("""COMPUTED_VALUE"""),TRUE)</f>
        <v>1</v>
      </c>
      <c r="BH617" s="763" t="b">
        <f>IFERROR(__xludf.DUMMYFUNCTION("""COMPUTED_VALUE"""),FALSE)</f>
        <v>0</v>
      </c>
      <c r="BI617" s="763" t="b">
        <f>IFERROR(__xludf.DUMMYFUNCTION("""COMPUTED_VALUE"""),TRUE)</f>
        <v>1</v>
      </c>
      <c r="BJ617" s="763" t="b">
        <f>IFERROR(__xludf.DUMMYFUNCTION("""COMPUTED_VALUE"""),TRUE)</f>
        <v>1</v>
      </c>
    </row>
    <row r="618">
      <c r="A618" s="763">
        <f>IFERROR(__xludf.DUMMYFUNCTION("""COMPUTED_VALUE"""),66343.0)</f>
        <v>66343</v>
      </c>
      <c r="B618" s="763">
        <f>IFERROR(__xludf.DUMMYFUNCTION("""COMPUTED_VALUE"""),66343.0)</f>
        <v>66343</v>
      </c>
      <c r="C618" s="763" t="str">
        <f>IFERROR(__xludf.DUMMYFUNCTION("""COMPUTED_VALUE"""),"2025-11-24 13:07:24")</f>
        <v>2025-11-24 13:07:24</v>
      </c>
      <c r="D618" s="763" t="str">
        <f>IFERROR(__xludf.DUMMYFUNCTION("""COMPUTED_VALUE"""),"completed")</f>
        <v>completed</v>
      </c>
      <c r="E618" s="763" t="str">
        <f>IFERROR(__xludf.DUMMYFUNCTION("""COMPUTED_VALUE"""),"Regina")</f>
        <v>Regina</v>
      </c>
      <c r="F618" s="763" t="str">
        <f>IFERROR(__xludf.DUMMYFUNCTION("""COMPUTED_VALUE"""),"Ingrosso")</f>
        <v>Ingrosso</v>
      </c>
      <c r="G618" s="763" t="str">
        <f>IFERROR(__xludf.DUMMYFUNCTION("""COMPUTED_VALUE"""),"regina.ingrosso@gmail.com")</f>
        <v>regina.ingrosso@gmail.com</v>
      </c>
      <c r="H618" s="763">
        <f>IFERROR(__xludf.DUMMYFUNCTION("""COMPUTED_VALUE"""),3.463182312E9)</f>
        <v>3463182312</v>
      </c>
      <c r="I618" s="763" t="str">
        <f>IFERROR(__xludf.DUMMYFUNCTION("""COMPUTED_VALUE"""),"Milano")</f>
        <v>Milano</v>
      </c>
      <c r="J618" s="763" t="str">
        <f>IFERROR(__xludf.DUMMYFUNCTION("""COMPUTED_VALUE"""),"Via Pietro custodi 3")</f>
        <v>Via Pietro custodi 3</v>
      </c>
      <c r="K618" s="763">
        <f>IFERROR(__xludf.DUMMYFUNCTION("""COMPUTED_VALUE"""),20136.0)</f>
        <v>20136</v>
      </c>
      <c r="L618" s="763" t="str">
        <f>IFERROR(__xludf.DUMMYFUNCTION("""COMPUTED_VALUE"""),"Apple Pay")</f>
        <v>Apple Pay</v>
      </c>
      <c r="M618" s="763" t="str">
        <f>IFERROR(__xludf.DUMMYFUNCTION("""COMPUTED_VALUE"""),"santo05natale")</f>
        <v>santo05natale</v>
      </c>
      <c r="N618" s="763" t="str">
        <f>IFERROR(__xludf.DUMMYFUNCTION("""COMPUTED_VALUE"""),"66343-1763989647")</f>
        <v>66343-1763989647</v>
      </c>
      <c r="O618" s="763">
        <f>IFERROR(__xludf.DUMMYFUNCTION("""COMPUTED_VALUE"""),0.0)</f>
        <v>0</v>
      </c>
      <c r="P618" s="767">
        <f>IFERROR(__xludf.DUMMYFUNCTION("""COMPUTED_VALUE"""),2.0833333333333335)</f>
        <v>2.083333333</v>
      </c>
      <c r="Q618" s="763" t="str">
        <f>IFERROR(__xludf.DUMMYFUNCTION("""COMPUTED_VALUE"""),"EUR")</f>
        <v>EUR</v>
      </c>
      <c r="R618" s="763">
        <f>IFERROR(__xludf.DUMMYFUNCTION("""COMPUTED_VALUE"""),1142.0)</f>
        <v>1142</v>
      </c>
      <c r="S618" s="763" t="str">
        <f>IFERROR(__xludf.DUMMYFUNCTION("""COMPUTED_VALUE"""),"Festa di Natale 2025 - Festa di natale 2025 lezioni + pizza + serata 55€")</f>
        <v>Festa di Natale 2025 - Festa di natale 2025 lezioni + pizza + serata 55€</v>
      </c>
      <c r="T618" s="763"/>
      <c r="U618" s="763"/>
      <c r="V618" s="763">
        <f>IFERROR(__xludf.DUMMYFUNCTION("""COMPUTED_VALUE"""),1.0)</f>
        <v>1</v>
      </c>
      <c r="W618" s="763">
        <f>IFERROR(__xludf.DUMMYFUNCTION("""COMPUTED_VALUE"""),50.0)</f>
        <v>50</v>
      </c>
      <c r="X618" s="763">
        <f>IFERROR(__xludf.DUMMYFUNCTION("""COMPUTED_VALUE"""),50.0)</f>
        <v>50</v>
      </c>
      <c r="Y618" s="763"/>
      <c r="Z618" s="768" t="str">
        <f>IFERROR(__xludf.DUMMYFUNCTION("""COMPUTED_VALUE"""),"https://studio-gem.it/wp-admin/post.php?post=66343&amp;action=edit")</f>
        <v>https://studio-gem.it/wp-admin/post.php?post=66343&amp;action=edit</v>
      </c>
      <c r="AA618" s="763"/>
      <c r="AB618" s="763"/>
      <c r="AC618" s="763"/>
      <c r="AD618" s="763"/>
      <c r="AE618" s="763"/>
      <c r="AF618" s="763"/>
      <c r="AG618" s="763"/>
      <c r="AH618" s="763"/>
      <c r="AI618" s="763"/>
      <c r="AJ618" s="763"/>
      <c r="AK618" s="763"/>
      <c r="AL618" s="763"/>
      <c r="AM618" s="763"/>
      <c r="AN618" s="763"/>
      <c r="AO618" s="763"/>
      <c r="AP618" s="763"/>
      <c r="AQ618" s="763"/>
      <c r="AR618" s="763"/>
      <c r="AS618" s="763"/>
      <c r="AT618" s="763"/>
      <c r="AU618" s="763"/>
      <c r="AV618" s="763"/>
      <c r="AW618" s="763"/>
      <c r="AX618" s="763"/>
      <c r="AY618" s="763"/>
      <c r="AZ618" s="763"/>
      <c r="BA618" s="763"/>
      <c r="BB618" s="763"/>
      <c r="BC618" s="763"/>
      <c r="BD618" s="763"/>
      <c r="BE618" s="763"/>
      <c r="BF618" s="763"/>
      <c r="BG618" s="763" t="b">
        <f>IFERROR(__xludf.DUMMYFUNCTION("""COMPUTED_VALUE"""),TRUE)</f>
        <v>1</v>
      </c>
      <c r="BH618" s="763" t="b">
        <f>IFERROR(__xludf.DUMMYFUNCTION("""COMPUTED_VALUE"""),FALSE)</f>
        <v>0</v>
      </c>
      <c r="BI618" s="763" t="b">
        <f>IFERROR(__xludf.DUMMYFUNCTION("""COMPUTED_VALUE"""),TRUE)</f>
        <v>1</v>
      </c>
      <c r="BJ618" s="763" t="b">
        <f>IFERROR(__xludf.DUMMYFUNCTION("""COMPUTED_VALUE"""),TRUE)</f>
        <v>1</v>
      </c>
    </row>
    <row r="619">
      <c r="A619" s="763">
        <f>IFERROR(__xludf.DUMMYFUNCTION("""COMPUTED_VALUE"""),66346.0)</f>
        <v>66346</v>
      </c>
      <c r="B619" s="763">
        <f>IFERROR(__xludf.DUMMYFUNCTION("""COMPUTED_VALUE"""),66346.0)</f>
        <v>66346</v>
      </c>
      <c r="C619" s="763" t="str">
        <f>IFERROR(__xludf.DUMMYFUNCTION("""COMPUTED_VALUE"""),"2025-11-24 16:32:48")</f>
        <v>2025-11-24 16:32:48</v>
      </c>
      <c r="D619" s="763" t="str">
        <f>IFERROR(__xludf.DUMMYFUNCTION("""COMPUTED_VALUE"""),"pending")</f>
        <v>pending</v>
      </c>
      <c r="E619" s="763" t="str">
        <f>IFERROR(__xludf.DUMMYFUNCTION("""COMPUTED_VALUE"""),"Maryam")</f>
        <v>Maryam</v>
      </c>
      <c r="F619" s="763" t="str">
        <f>IFERROR(__xludf.DUMMYFUNCTION("""COMPUTED_VALUE"""),"Zareie")</f>
        <v>Zareie</v>
      </c>
      <c r="G619" s="763" t="str">
        <f>IFERROR(__xludf.DUMMYFUNCTION("""COMPUTED_VALUE"""),"mdavia@gmail.com")</f>
        <v>mdavia@gmail.com</v>
      </c>
      <c r="H619" s="763">
        <f>IFERROR(__xludf.DUMMYFUNCTION("""COMPUTED_VALUE"""),3.473123328E9)</f>
        <v>3473123328</v>
      </c>
      <c r="I619" s="763" t="str">
        <f>IFERROR(__xludf.DUMMYFUNCTION("""COMPUTED_VALUE"""),"Milano")</f>
        <v>Milano</v>
      </c>
      <c r="J619" s="763" t="str">
        <f>IFERROR(__xludf.DUMMYFUNCTION("""COMPUTED_VALUE"""),"Viale Romagna 56")</f>
        <v>Viale Romagna 56</v>
      </c>
      <c r="K619" s="763">
        <f>IFERROR(__xludf.DUMMYFUNCTION("""COMPUTED_VALUE"""),20133.0)</f>
        <v>20133</v>
      </c>
      <c r="L619" s="763" t="str">
        <f>IFERROR(__xludf.DUMMYFUNCTION("""COMPUTED_VALUE"""),"Carte di pagamento")</f>
        <v>Carte di pagamento</v>
      </c>
      <c r="M619" s="763"/>
      <c r="N619" s="763"/>
      <c r="O619" s="763">
        <f>IFERROR(__xludf.DUMMYFUNCTION("""COMPUTED_VALUE"""),0.0)</f>
        <v>0</v>
      </c>
      <c r="P619" s="767">
        <f>IFERROR(__xludf.DUMMYFUNCTION("""COMPUTED_VALUE"""),4.583333333333333)</f>
        <v>4.583333333</v>
      </c>
      <c r="Q619" s="763" t="str">
        <f>IFERROR(__xludf.DUMMYFUNCTION("""COMPUTED_VALUE"""),"EUR")</f>
        <v>EUR</v>
      </c>
      <c r="R619" s="763">
        <f>IFERROR(__xludf.DUMMYFUNCTION("""COMPUTED_VALUE"""),1144.0)</f>
        <v>1144</v>
      </c>
      <c r="S619" s="763" t="str">
        <f>IFERROR(__xludf.DUMMYFUNCTION("""COMPUTED_VALUE"""),"Festa di Natale 2025 - Festa di natale 2025 lezioni + pizza + serata 55€")</f>
        <v>Festa di Natale 2025 - Festa di natale 2025 lezioni + pizza + serata 55€</v>
      </c>
      <c r="T619" s="763"/>
      <c r="U619" s="763"/>
      <c r="V619" s="763">
        <f>IFERROR(__xludf.DUMMYFUNCTION("""COMPUTED_VALUE"""),2.0)</f>
        <v>2</v>
      </c>
      <c r="W619" s="763">
        <f>IFERROR(__xludf.DUMMYFUNCTION("""COMPUTED_VALUE"""),55.0)</f>
        <v>55</v>
      </c>
      <c r="X619" s="763">
        <f>IFERROR(__xludf.DUMMYFUNCTION("""COMPUTED_VALUE"""),110.0)</f>
        <v>110</v>
      </c>
      <c r="Y619" s="763"/>
      <c r="Z619" s="768" t="str">
        <f>IFERROR(__xludf.DUMMYFUNCTION("""COMPUTED_VALUE"""),"https://studio-gem.it/wp-admin/post.php?post=66346&amp;action=edit")</f>
        <v>https://studio-gem.it/wp-admin/post.php?post=66346&amp;action=edit</v>
      </c>
      <c r="AA619" s="763"/>
      <c r="AB619" s="763"/>
      <c r="AC619" s="763"/>
      <c r="AD619" s="763"/>
      <c r="AE619" s="763"/>
      <c r="AF619" s="763"/>
      <c r="AG619" s="763"/>
      <c r="AH619" s="763"/>
      <c r="AI619" s="763"/>
      <c r="AJ619" s="763"/>
      <c r="AK619" s="763"/>
      <c r="AL619" s="763"/>
      <c r="AM619" s="763"/>
      <c r="AN619" s="763"/>
      <c r="AO619" s="763"/>
      <c r="AP619" s="763"/>
      <c r="AQ619" s="763"/>
      <c r="AR619" s="763"/>
      <c r="AS619" s="763"/>
      <c r="AT619" s="763"/>
      <c r="AU619" s="763"/>
      <c r="AV619" s="763"/>
      <c r="AW619" s="763"/>
      <c r="AX619" s="763"/>
      <c r="AY619" s="763"/>
      <c r="AZ619" s="763"/>
      <c r="BA619" s="763"/>
      <c r="BB619" s="763"/>
      <c r="BC619" s="763"/>
      <c r="BD619" s="763"/>
      <c r="BE619" s="763"/>
      <c r="BF619" s="763"/>
      <c r="BG619" s="763" t="b">
        <f>IFERROR(__xludf.DUMMYFUNCTION("""COMPUTED_VALUE"""),FALSE)</f>
        <v>0</v>
      </c>
      <c r="BH619" s="763" t="b">
        <f>IFERROR(__xludf.DUMMYFUNCTION("""COMPUTED_VALUE"""),FALSE)</f>
        <v>0</v>
      </c>
      <c r="BI619" s="763" t="b">
        <f>IFERROR(__xludf.DUMMYFUNCTION("""COMPUTED_VALUE"""),FALSE)</f>
        <v>0</v>
      </c>
      <c r="BJ619" s="763" t="b">
        <f>IFERROR(__xludf.DUMMYFUNCTION("""COMPUTED_VALUE"""),FALSE)</f>
        <v>0</v>
      </c>
    </row>
    <row r="620">
      <c r="A620" s="763">
        <f>IFERROR(__xludf.DUMMYFUNCTION("""COMPUTED_VALUE"""),66347.0)</f>
        <v>66347</v>
      </c>
      <c r="B620" s="763">
        <f>IFERROR(__xludf.DUMMYFUNCTION("""COMPUTED_VALUE"""),66347.0)</f>
        <v>66347</v>
      </c>
      <c r="C620" s="763" t="str">
        <f>IFERROR(__xludf.DUMMYFUNCTION("""COMPUTED_VALUE"""),"2025-11-24 16:35:27")</f>
        <v>2025-11-24 16:35:27</v>
      </c>
      <c r="D620" s="763" t="str">
        <f>IFERROR(__xludf.DUMMYFUNCTION("""COMPUTED_VALUE"""),"processing")</f>
        <v>processing</v>
      </c>
      <c r="E620" s="763" t="str">
        <f>IFERROR(__xludf.DUMMYFUNCTION("""COMPUTED_VALUE"""),"Maryam")</f>
        <v>Maryam</v>
      </c>
      <c r="F620" s="763" t="str">
        <f>IFERROR(__xludf.DUMMYFUNCTION("""COMPUTED_VALUE"""),"Zareie")</f>
        <v>Zareie</v>
      </c>
      <c r="G620" s="763" t="str">
        <f>IFERROR(__xludf.DUMMYFUNCTION("""COMPUTED_VALUE"""),"mdavia@gmail.com")</f>
        <v>mdavia@gmail.com</v>
      </c>
      <c r="H620" s="763">
        <f>IFERROR(__xludf.DUMMYFUNCTION("""COMPUTED_VALUE"""),3.473123328E9)</f>
        <v>3473123328</v>
      </c>
      <c r="I620" s="763" t="str">
        <f>IFERROR(__xludf.DUMMYFUNCTION("""COMPUTED_VALUE"""),"Milano")</f>
        <v>Milano</v>
      </c>
      <c r="J620" s="763" t="str">
        <f>IFERROR(__xludf.DUMMYFUNCTION("""COMPUTED_VALUE"""),"Viale Romagna 56")</f>
        <v>Viale Romagna 56</v>
      </c>
      <c r="K620" s="763">
        <f>IFERROR(__xludf.DUMMYFUNCTION("""COMPUTED_VALUE"""),20133.0)</f>
        <v>20133</v>
      </c>
      <c r="L620" s="763" t="str">
        <f>IFERROR(__xludf.DUMMYFUNCTION("""COMPUTED_VALUE"""),"Carte di pagamento")</f>
        <v>Carte di pagamento</v>
      </c>
      <c r="M620" s="763"/>
      <c r="N620" s="763" t="str">
        <f>IFERROR(__xludf.DUMMYFUNCTION("""COMPUTED_VALUE"""),"66347-1764002130")</f>
        <v>66347-1764002130</v>
      </c>
      <c r="O620" s="763">
        <f>IFERROR(__xludf.DUMMYFUNCTION("""COMPUTED_VALUE"""),0.0)</f>
        <v>0</v>
      </c>
      <c r="P620" s="767">
        <f>IFERROR(__xludf.DUMMYFUNCTION("""COMPUTED_VALUE"""),2.2916666666666665)</f>
        <v>2.291666667</v>
      </c>
      <c r="Q620" s="763" t="str">
        <f>IFERROR(__xludf.DUMMYFUNCTION("""COMPUTED_VALUE"""),"EUR")</f>
        <v>EUR</v>
      </c>
      <c r="R620" s="763">
        <f>IFERROR(__xludf.DUMMYFUNCTION("""COMPUTED_VALUE"""),1145.0)</f>
        <v>1145</v>
      </c>
      <c r="S620" s="763" t="str">
        <f>IFERROR(__xludf.DUMMYFUNCTION("""COMPUTED_VALUE"""),"Festa di Natale 2025 - Festa di natale 2025 lezioni + pizza + serata 55€")</f>
        <v>Festa di Natale 2025 - Festa di natale 2025 lezioni + pizza + serata 55€</v>
      </c>
      <c r="T620" s="763"/>
      <c r="U620" s="763"/>
      <c r="V620" s="763">
        <f>IFERROR(__xludf.DUMMYFUNCTION("""COMPUTED_VALUE"""),1.0)</f>
        <v>1</v>
      </c>
      <c r="W620" s="763">
        <f>IFERROR(__xludf.DUMMYFUNCTION("""COMPUTED_VALUE"""),55.0)</f>
        <v>55</v>
      </c>
      <c r="X620" s="763">
        <f>IFERROR(__xludf.DUMMYFUNCTION("""COMPUTED_VALUE"""),55.0)</f>
        <v>55</v>
      </c>
      <c r="Y620" s="763"/>
      <c r="Z620" s="768" t="str">
        <f>IFERROR(__xludf.DUMMYFUNCTION("""COMPUTED_VALUE"""),"https://studio-gem.it/wp-admin/post.php?post=66347&amp;action=edit")</f>
        <v>https://studio-gem.it/wp-admin/post.php?post=66347&amp;action=edit</v>
      </c>
      <c r="AA620" s="763"/>
      <c r="AB620" s="763"/>
      <c r="AC620" s="763"/>
      <c r="AD620" s="763"/>
      <c r="AE620" s="763"/>
      <c r="AF620" s="763"/>
      <c r="AG620" s="763"/>
      <c r="AH620" s="763"/>
      <c r="AI620" s="763"/>
      <c r="AJ620" s="763"/>
      <c r="AK620" s="763"/>
      <c r="AL620" s="763"/>
      <c r="AM620" s="763"/>
      <c r="AN620" s="763"/>
      <c r="AO620" s="763"/>
      <c r="AP620" s="763"/>
      <c r="AQ620" s="763"/>
      <c r="AR620" s="763"/>
      <c r="AS620" s="763"/>
      <c r="AT620" s="763"/>
      <c r="AU620" s="763"/>
      <c r="AV620" s="763"/>
      <c r="AW620" s="763"/>
      <c r="AX620" s="763"/>
      <c r="AY620" s="763"/>
      <c r="AZ620" s="763"/>
      <c r="BA620" s="763"/>
      <c r="BB620" s="763"/>
      <c r="BC620" s="763"/>
      <c r="BD620" s="763"/>
      <c r="BE620" s="763"/>
      <c r="BF620" s="763"/>
      <c r="BG620" s="763" t="b">
        <f>IFERROR(__xludf.DUMMYFUNCTION("""COMPUTED_VALUE"""),TRUE)</f>
        <v>1</v>
      </c>
      <c r="BH620" s="763" t="b">
        <f>IFERROR(__xludf.DUMMYFUNCTION("""COMPUTED_VALUE"""),FALSE)</f>
        <v>0</v>
      </c>
      <c r="BI620" s="763" t="b">
        <f>IFERROR(__xludf.DUMMYFUNCTION("""COMPUTED_VALUE"""),TRUE)</f>
        <v>1</v>
      </c>
      <c r="BJ620" s="763" t="b">
        <f>IFERROR(__xludf.DUMMYFUNCTION("""COMPUTED_VALUE"""),TRUE)</f>
        <v>1</v>
      </c>
    </row>
    <row r="621">
      <c r="A621" s="763">
        <f>IFERROR(__xludf.DUMMYFUNCTION("""COMPUTED_VALUE"""),66350.0)</f>
        <v>66350</v>
      </c>
      <c r="B621" s="763">
        <f>IFERROR(__xludf.DUMMYFUNCTION("""COMPUTED_VALUE"""),66350.0)</f>
        <v>66350</v>
      </c>
      <c r="C621" s="763" t="str">
        <f>IFERROR(__xludf.DUMMYFUNCTION("""COMPUTED_VALUE"""),"2025-11-24 19:24:42")</f>
        <v>2025-11-24 19:24:42</v>
      </c>
      <c r="D621" s="763" t="str">
        <f>IFERROR(__xludf.DUMMYFUNCTION("""COMPUTED_VALUE"""),"completed")</f>
        <v>completed</v>
      </c>
      <c r="E621" s="763" t="str">
        <f>IFERROR(__xludf.DUMMYFUNCTION("""COMPUTED_VALUE"""),"Cristiana")</f>
        <v>Cristiana</v>
      </c>
      <c r="F621" s="763" t="str">
        <f>IFERROR(__xludf.DUMMYFUNCTION("""COMPUTED_VALUE"""),"Curzio")</f>
        <v>Curzio</v>
      </c>
      <c r="G621" s="763" t="str">
        <f>IFERROR(__xludf.DUMMYFUNCTION("""COMPUTED_VALUE"""),"cristianacurzio@gmail.com")</f>
        <v>cristianacurzio@gmail.com</v>
      </c>
      <c r="H621" s="763">
        <f>IFERROR(__xludf.DUMMYFUNCTION("""COMPUTED_VALUE"""),3.273842993E9)</f>
        <v>3273842993</v>
      </c>
      <c r="I621" s="763" t="str">
        <f>IFERROR(__xludf.DUMMYFUNCTION("""COMPUTED_VALUE"""),"Milano")</f>
        <v>Milano</v>
      </c>
      <c r="J621" s="763" t="str">
        <f>IFERROR(__xludf.DUMMYFUNCTION("""COMPUTED_VALUE"""),"Via Monfalcone 3")</f>
        <v>Via Monfalcone 3</v>
      </c>
      <c r="K621" s="763">
        <f>IFERROR(__xludf.DUMMYFUNCTION("""COMPUTED_VALUE"""),20132.0)</f>
        <v>20132</v>
      </c>
      <c r="L621" s="763" t="str">
        <f>IFERROR(__xludf.DUMMYFUNCTION("""COMPUTED_VALUE"""),"Apple Pay")</f>
        <v>Apple Pay</v>
      </c>
      <c r="M621" s="763" t="str">
        <f>IFERROR(__xludf.DUMMYFUNCTION("""COMPUTED_VALUE"""),"nura05natale")</f>
        <v>nura05natale</v>
      </c>
      <c r="N621" s="763" t="str">
        <f>IFERROR(__xludf.DUMMYFUNCTION("""COMPUTED_VALUE"""),"66350-1764012298")</f>
        <v>66350-1764012298</v>
      </c>
      <c r="O621" s="763">
        <f>IFERROR(__xludf.DUMMYFUNCTION("""COMPUTED_VALUE"""),0.0)</f>
        <v>0</v>
      </c>
      <c r="P621" s="767">
        <f>IFERROR(__xludf.DUMMYFUNCTION("""COMPUTED_VALUE"""),0.8333333333333334)</f>
        <v>0.8333333333</v>
      </c>
      <c r="Q621" s="763" t="str">
        <f>IFERROR(__xludf.DUMMYFUNCTION("""COMPUTED_VALUE"""),"EUR")</f>
        <v>EUR</v>
      </c>
      <c r="R621" s="763">
        <f>IFERROR(__xludf.DUMMYFUNCTION("""COMPUTED_VALUE"""),1146.0)</f>
        <v>1146</v>
      </c>
      <c r="S621" s="763" t="str">
        <f>IFERROR(__xludf.DUMMYFUNCTION("""COMPUTED_VALUE"""),"Festa di Natale 2025 - Festa di natale 2025 SOLO serata 25€")</f>
        <v>Festa di Natale 2025 - Festa di natale 2025 SOLO serata 25€</v>
      </c>
      <c r="T621" s="763"/>
      <c r="U621" s="763"/>
      <c r="V621" s="763">
        <f>IFERROR(__xludf.DUMMYFUNCTION("""COMPUTED_VALUE"""),1.0)</f>
        <v>1</v>
      </c>
      <c r="W621" s="763">
        <f>IFERROR(__xludf.DUMMYFUNCTION("""COMPUTED_VALUE"""),20.0)</f>
        <v>20</v>
      </c>
      <c r="X621" s="763">
        <f>IFERROR(__xludf.DUMMYFUNCTION("""COMPUTED_VALUE"""),20.0)</f>
        <v>20</v>
      </c>
      <c r="Y621" s="763"/>
      <c r="Z621" s="768" t="str">
        <f>IFERROR(__xludf.DUMMYFUNCTION("""COMPUTED_VALUE"""),"https://studio-gem.it/wp-admin/post.php?post=66350&amp;action=edit")</f>
        <v>https://studio-gem.it/wp-admin/post.php?post=66350&amp;action=edit</v>
      </c>
      <c r="AA621" s="763"/>
      <c r="AB621" s="763"/>
      <c r="AC621" s="763"/>
      <c r="AD621" s="763"/>
      <c r="AE621" s="763"/>
      <c r="AF621" s="763"/>
      <c r="AG621" s="763"/>
      <c r="AH621" s="763"/>
      <c r="AI621" s="763"/>
      <c r="AJ621" s="763"/>
      <c r="AK621" s="763"/>
      <c r="AL621" s="763"/>
      <c r="AM621" s="763"/>
      <c r="AN621" s="763"/>
      <c r="AO621" s="763"/>
      <c r="AP621" s="763"/>
      <c r="AQ621" s="763"/>
      <c r="AR621" s="763"/>
      <c r="AS621" s="763"/>
      <c r="AT621" s="763"/>
      <c r="AU621" s="763"/>
      <c r="AV621" s="763"/>
      <c r="AW621" s="763"/>
      <c r="AX621" s="763"/>
      <c r="AY621" s="763"/>
      <c r="AZ621" s="763"/>
      <c r="BA621" s="763"/>
      <c r="BB621" s="763"/>
      <c r="BC621" s="763"/>
      <c r="BD621" s="763"/>
      <c r="BE621" s="763"/>
      <c r="BF621" s="763"/>
      <c r="BG621" s="763" t="b">
        <f>IFERROR(__xludf.DUMMYFUNCTION("""COMPUTED_VALUE"""),TRUE)</f>
        <v>1</v>
      </c>
      <c r="BH621" s="763" t="b">
        <f>IFERROR(__xludf.DUMMYFUNCTION("""COMPUTED_VALUE"""),FALSE)</f>
        <v>0</v>
      </c>
      <c r="BI621" s="763" t="b">
        <f>IFERROR(__xludf.DUMMYFUNCTION("""COMPUTED_VALUE"""),TRUE)</f>
        <v>1</v>
      </c>
      <c r="BJ621" s="763" t="b">
        <f>IFERROR(__xludf.DUMMYFUNCTION("""COMPUTED_VALUE"""),TRUE)</f>
        <v>1</v>
      </c>
    </row>
    <row r="622">
      <c r="A622" s="763">
        <f>IFERROR(__xludf.DUMMYFUNCTION("""COMPUTED_VALUE"""),66352.0)</f>
        <v>66352</v>
      </c>
      <c r="B622" s="763">
        <f>IFERROR(__xludf.DUMMYFUNCTION("""COMPUTED_VALUE"""),66352.0)</f>
        <v>66352</v>
      </c>
      <c r="C622" s="763" t="str">
        <f>IFERROR(__xludf.DUMMYFUNCTION("""COMPUTED_VALUE"""),"2025-11-24 20:31:51")</f>
        <v>2025-11-24 20:31:51</v>
      </c>
      <c r="D622" s="763" t="str">
        <f>IFERROR(__xludf.DUMMYFUNCTION("""COMPUTED_VALUE"""),"completed")</f>
        <v>completed</v>
      </c>
      <c r="E622" s="763" t="str">
        <f>IFERROR(__xludf.DUMMYFUNCTION("""COMPUTED_VALUE"""),"Ilaria")</f>
        <v>Ilaria</v>
      </c>
      <c r="F622" s="763" t="str">
        <f>IFERROR(__xludf.DUMMYFUNCTION("""COMPUTED_VALUE"""),"Pacini")</f>
        <v>Pacini</v>
      </c>
      <c r="G622" s="763" t="str">
        <f>IFERROR(__xludf.DUMMYFUNCTION("""COMPUTED_VALUE"""),"Ilaria.pacini1990@gmail.com")</f>
        <v>Ilaria.pacini1990@gmail.com</v>
      </c>
      <c r="H622" s="763">
        <f>IFERROR(__xludf.DUMMYFUNCTION("""COMPUTED_VALUE"""),3.407315896E9)</f>
        <v>3407315896</v>
      </c>
      <c r="I622" s="763" t="str">
        <f>IFERROR(__xludf.DUMMYFUNCTION("""COMPUTED_VALUE"""),"Milano")</f>
        <v>Milano</v>
      </c>
      <c r="J622" s="763" t="str">
        <f>IFERROR(__xludf.DUMMYFUNCTION("""COMPUTED_VALUE"""),"Via Vincenzo Forcella 11")</f>
        <v>Via Vincenzo Forcella 11</v>
      </c>
      <c r="K622" s="763">
        <f>IFERROR(__xludf.DUMMYFUNCTION("""COMPUTED_VALUE"""),20144.0)</f>
        <v>20144</v>
      </c>
      <c r="L622" s="763" t="str">
        <f>IFERROR(__xludf.DUMMYFUNCTION("""COMPUTED_VALUE"""),"Apple Pay")</f>
        <v>Apple Pay</v>
      </c>
      <c r="M622" s="763" t="str">
        <f>IFERROR(__xludf.DUMMYFUNCTION("""COMPUTED_VALUE"""),"santo05natale")</f>
        <v>santo05natale</v>
      </c>
      <c r="N622" s="763" t="str">
        <f>IFERROR(__xludf.DUMMYFUNCTION("""COMPUTED_VALUE"""),"66352-1764016507")</f>
        <v>66352-1764016507</v>
      </c>
      <c r="O622" s="763">
        <f>IFERROR(__xludf.DUMMYFUNCTION("""COMPUTED_VALUE"""),0.0)</f>
        <v>0</v>
      </c>
      <c r="P622" s="767">
        <f>IFERROR(__xludf.DUMMYFUNCTION("""COMPUTED_VALUE"""),2.0833333333333335)</f>
        <v>2.083333333</v>
      </c>
      <c r="Q622" s="763" t="str">
        <f>IFERROR(__xludf.DUMMYFUNCTION("""COMPUTED_VALUE"""),"EUR")</f>
        <v>EUR</v>
      </c>
      <c r="R622" s="763">
        <f>IFERROR(__xludf.DUMMYFUNCTION("""COMPUTED_VALUE"""),1150.0)</f>
        <v>1150</v>
      </c>
      <c r="S622" s="763" t="str">
        <f>IFERROR(__xludf.DUMMYFUNCTION("""COMPUTED_VALUE"""),"Festa di Natale 2025 - Festa di natale 2025 lezioni + pizza + serata 55€")</f>
        <v>Festa di Natale 2025 - Festa di natale 2025 lezioni + pizza + serata 55€</v>
      </c>
      <c r="T622" s="763"/>
      <c r="U622" s="763"/>
      <c r="V622" s="763">
        <f>IFERROR(__xludf.DUMMYFUNCTION("""COMPUTED_VALUE"""),1.0)</f>
        <v>1</v>
      </c>
      <c r="W622" s="763">
        <f>IFERROR(__xludf.DUMMYFUNCTION("""COMPUTED_VALUE"""),50.0)</f>
        <v>50</v>
      </c>
      <c r="X622" s="763">
        <f>IFERROR(__xludf.DUMMYFUNCTION("""COMPUTED_VALUE"""),50.0)</f>
        <v>50</v>
      </c>
      <c r="Y622" s="763"/>
      <c r="Z622" s="768" t="str">
        <f>IFERROR(__xludf.DUMMYFUNCTION("""COMPUTED_VALUE"""),"https://studio-gem.it/wp-admin/post.php?post=66352&amp;action=edit")</f>
        <v>https://studio-gem.it/wp-admin/post.php?post=66352&amp;action=edit</v>
      </c>
      <c r="AA622" s="763"/>
      <c r="AB622" s="763"/>
      <c r="AC622" s="763"/>
      <c r="AD622" s="763"/>
      <c r="AE622" s="763"/>
      <c r="AF622" s="763"/>
      <c r="AG622" s="763"/>
      <c r="AH622" s="763"/>
      <c r="AI622" s="763"/>
      <c r="AJ622" s="763"/>
      <c r="AK622" s="763"/>
      <c r="AL622" s="763"/>
      <c r="AM622" s="763"/>
      <c r="AN622" s="763"/>
      <c r="AO622" s="763"/>
      <c r="AP622" s="763"/>
      <c r="AQ622" s="763"/>
      <c r="AR622" s="763"/>
      <c r="AS622" s="763"/>
      <c r="AT622" s="763"/>
      <c r="AU622" s="763"/>
      <c r="AV622" s="763"/>
      <c r="AW622" s="763"/>
      <c r="AX622" s="763"/>
      <c r="AY622" s="763"/>
      <c r="AZ622" s="763"/>
      <c r="BA622" s="763"/>
      <c r="BB622" s="763"/>
      <c r="BC622" s="763"/>
      <c r="BD622" s="763"/>
      <c r="BE622" s="763"/>
      <c r="BF622" s="763"/>
      <c r="BG622" s="763" t="b">
        <f>IFERROR(__xludf.DUMMYFUNCTION("""COMPUTED_VALUE"""),TRUE)</f>
        <v>1</v>
      </c>
      <c r="BH622" s="763" t="b">
        <f>IFERROR(__xludf.DUMMYFUNCTION("""COMPUTED_VALUE"""),FALSE)</f>
        <v>0</v>
      </c>
      <c r="BI622" s="763" t="b">
        <f>IFERROR(__xludf.DUMMYFUNCTION("""COMPUTED_VALUE"""),TRUE)</f>
        <v>1</v>
      </c>
      <c r="BJ622" s="763" t="b">
        <f>IFERROR(__xludf.DUMMYFUNCTION("""COMPUTED_VALUE"""),TRUE)</f>
        <v>1</v>
      </c>
    </row>
    <row r="623">
      <c r="A623" s="763">
        <f>IFERROR(__xludf.DUMMYFUNCTION("""COMPUTED_VALUE"""),66354.0)</f>
        <v>66354</v>
      </c>
      <c r="B623" s="763">
        <f>IFERROR(__xludf.DUMMYFUNCTION("""COMPUTED_VALUE"""),66354.0)</f>
        <v>66354</v>
      </c>
      <c r="C623" s="763" t="str">
        <f>IFERROR(__xludf.DUMMYFUNCTION("""COMPUTED_VALUE"""),"2025-11-24 21:21:18")</f>
        <v>2025-11-24 21:21:18</v>
      </c>
      <c r="D623" s="763" t="str">
        <f>IFERROR(__xludf.DUMMYFUNCTION("""COMPUTED_VALUE"""),"completed")</f>
        <v>completed</v>
      </c>
      <c r="E623" s="763" t="str">
        <f>IFERROR(__xludf.DUMMYFUNCTION("""COMPUTED_VALUE"""),"Diego")</f>
        <v>Diego</v>
      </c>
      <c r="F623" s="763" t="str">
        <f>IFERROR(__xludf.DUMMYFUNCTION("""COMPUTED_VALUE"""),"Lapegna")</f>
        <v>Lapegna</v>
      </c>
      <c r="G623" s="763" t="str">
        <f>IFERROR(__xludf.DUMMYFUNCTION("""COMPUTED_VALUE"""),"lapegnad@gmail.com")</f>
        <v>lapegnad@gmail.com</v>
      </c>
      <c r="H623" s="763">
        <f>IFERROR(__xludf.DUMMYFUNCTION("""COMPUTED_VALUE"""),3.496749917E9)</f>
        <v>3496749917</v>
      </c>
      <c r="I623" s="763" t="str">
        <f>IFERROR(__xludf.DUMMYFUNCTION("""COMPUTED_VALUE"""),"Milano")</f>
        <v>Milano</v>
      </c>
      <c r="J623" s="763" t="str">
        <f>IFERROR(__xludf.DUMMYFUNCTION("""COMPUTED_VALUE"""),"Via dei transiti 3")</f>
        <v>Via dei transiti 3</v>
      </c>
      <c r="K623" s="763">
        <f>IFERROR(__xludf.DUMMYFUNCTION("""COMPUTED_VALUE"""),20127.0)</f>
        <v>20127</v>
      </c>
      <c r="L623" s="763" t="str">
        <f>IFERROR(__xludf.DUMMYFUNCTION("""COMPUTED_VALUE"""),"Google Pay")</f>
        <v>Google Pay</v>
      </c>
      <c r="M623" s="763" t="str">
        <f>IFERROR(__xludf.DUMMYFUNCTION("""COMPUTED_VALUE"""),"santo05natale")</f>
        <v>santo05natale</v>
      </c>
      <c r="N623" s="763" t="str">
        <f>IFERROR(__xludf.DUMMYFUNCTION("""COMPUTED_VALUE"""),"66354-1764019290")</f>
        <v>66354-1764019290</v>
      </c>
      <c r="O623" s="763">
        <f>IFERROR(__xludf.DUMMYFUNCTION("""COMPUTED_VALUE"""),0.0)</f>
        <v>0</v>
      </c>
      <c r="P623" s="767">
        <f>IFERROR(__xludf.DUMMYFUNCTION("""COMPUTED_VALUE"""),2.0833333333333335)</f>
        <v>2.083333333</v>
      </c>
      <c r="Q623" s="763" t="str">
        <f>IFERROR(__xludf.DUMMYFUNCTION("""COMPUTED_VALUE"""),"EUR")</f>
        <v>EUR</v>
      </c>
      <c r="R623" s="763">
        <f>IFERROR(__xludf.DUMMYFUNCTION("""COMPUTED_VALUE"""),1152.0)</f>
        <v>1152</v>
      </c>
      <c r="S623" s="763" t="str">
        <f>IFERROR(__xludf.DUMMYFUNCTION("""COMPUTED_VALUE"""),"Festa di Natale 2025 - Festa di natale 2025 lezioni + pizza + serata 55€")</f>
        <v>Festa di Natale 2025 - Festa di natale 2025 lezioni + pizza + serata 55€</v>
      </c>
      <c r="T623" s="763"/>
      <c r="U623" s="763"/>
      <c r="V623" s="763">
        <f>IFERROR(__xludf.DUMMYFUNCTION("""COMPUTED_VALUE"""),1.0)</f>
        <v>1</v>
      </c>
      <c r="W623" s="763">
        <f>IFERROR(__xludf.DUMMYFUNCTION("""COMPUTED_VALUE"""),50.0)</f>
        <v>50</v>
      </c>
      <c r="X623" s="763">
        <f>IFERROR(__xludf.DUMMYFUNCTION("""COMPUTED_VALUE"""),50.0)</f>
        <v>50</v>
      </c>
      <c r="Y623" s="763"/>
      <c r="Z623" s="768" t="str">
        <f>IFERROR(__xludf.DUMMYFUNCTION("""COMPUTED_VALUE"""),"https://studio-gem.it/wp-admin/post.php?post=66354&amp;action=edit")</f>
        <v>https://studio-gem.it/wp-admin/post.php?post=66354&amp;action=edit</v>
      </c>
      <c r="AA623" s="763"/>
      <c r="AB623" s="763"/>
      <c r="AC623" s="763"/>
      <c r="AD623" s="763"/>
      <c r="AE623" s="763"/>
      <c r="AF623" s="763"/>
      <c r="AG623" s="763"/>
      <c r="AH623" s="763"/>
      <c r="AI623" s="763"/>
      <c r="AJ623" s="763"/>
      <c r="AK623" s="763"/>
      <c r="AL623" s="763"/>
      <c r="AM623" s="763"/>
      <c r="AN623" s="763"/>
      <c r="AO623" s="763"/>
      <c r="AP623" s="763"/>
      <c r="AQ623" s="763"/>
      <c r="AR623" s="763"/>
      <c r="AS623" s="763"/>
      <c r="AT623" s="763"/>
      <c r="AU623" s="763"/>
      <c r="AV623" s="763"/>
      <c r="AW623" s="763"/>
      <c r="AX623" s="763"/>
      <c r="AY623" s="763"/>
      <c r="AZ623" s="763"/>
      <c r="BA623" s="763"/>
      <c r="BB623" s="763"/>
      <c r="BC623" s="763"/>
      <c r="BD623" s="763"/>
      <c r="BE623" s="763"/>
      <c r="BF623" s="763"/>
      <c r="BG623" s="763" t="b">
        <f>IFERROR(__xludf.DUMMYFUNCTION("""COMPUTED_VALUE"""),TRUE)</f>
        <v>1</v>
      </c>
      <c r="BH623" s="763" t="b">
        <f>IFERROR(__xludf.DUMMYFUNCTION("""COMPUTED_VALUE"""),FALSE)</f>
        <v>0</v>
      </c>
      <c r="BI623" s="763" t="b">
        <f>IFERROR(__xludf.DUMMYFUNCTION("""COMPUTED_VALUE"""),TRUE)</f>
        <v>1</v>
      </c>
      <c r="BJ623" s="763" t="b">
        <f>IFERROR(__xludf.DUMMYFUNCTION("""COMPUTED_VALUE"""),TRUE)</f>
        <v>1</v>
      </c>
    </row>
    <row r="624">
      <c r="A624" s="763">
        <f>IFERROR(__xludf.DUMMYFUNCTION("""COMPUTED_VALUE"""),66356.0)</f>
        <v>66356</v>
      </c>
      <c r="B624" s="763">
        <f>IFERROR(__xludf.DUMMYFUNCTION("""COMPUTED_VALUE"""),66356.0)</f>
        <v>66356</v>
      </c>
      <c r="C624" s="763" t="str">
        <f>IFERROR(__xludf.DUMMYFUNCTION("""COMPUTED_VALUE"""),"2025-11-24 22:19:05")</f>
        <v>2025-11-24 22:19:05</v>
      </c>
      <c r="D624" s="763" t="str">
        <f>IFERROR(__xludf.DUMMYFUNCTION("""COMPUTED_VALUE"""),"completed")</f>
        <v>completed</v>
      </c>
      <c r="E624" s="763" t="str">
        <f>IFERROR(__xludf.DUMMYFUNCTION("""COMPUTED_VALUE"""),"Alessio")</f>
        <v>Alessio</v>
      </c>
      <c r="F624" s="763" t="str">
        <f>IFERROR(__xludf.DUMMYFUNCTION("""COMPUTED_VALUE"""),"Campagna")</f>
        <v>Campagna</v>
      </c>
      <c r="G624" s="763" t="str">
        <f>IFERROR(__xludf.DUMMYFUNCTION("""COMPUTED_VALUE"""),"alessiotcgtrade@gmail.com")</f>
        <v>alessiotcgtrade@gmail.com</v>
      </c>
      <c r="H624" s="763">
        <f>IFERROR(__xludf.DUMMYFUNCTION("""COMPUTED_VALUE"""),3.517240804E9)</f>
        <v>3517240804</v>
      </c>
      <c r="I624" s="763" t="str">
        <f>IFERROR(__xludf.DUMMYFUNCTION("""COMPUTED_VALUE"""),"Milano")</f>
        <v>Milano</v>
      </c>
      <c r="J624" s="763" t="str">
        <f>IFERROR(__xludf.DUMMYFUNCTION("""COMPUTED_VALUE"""),"Corso di porta vigentina 38")</f>
        <v>Corso di porta vigentina 38</v>
      </c>
      <c r="K624" s="763">
        <f>IFERROR(__xludf.DUMMYFUNCTION("""COMPUTED_VALUE"""),20122.0)</f>
        <v>20122</v>
      </c>
      <c r="L624" s="763"/>
      <c r="M624" s="763"/>
      <c r="N624" s="763"/>
      <c r="O624" s="763">
        <f>IFERROR(__xludf.DUMMYFUNCTION("""COMPUTED_VALUE"""),0.0)</f>
        <v>0</v>
      </c>
      <c r="P624" s="767">
        <f>IFERROR(__xludf.DUMMYFUNCTION("""COMPUTED_VALUE"""),0.0)</f>
        <v>0</v>
      </c>
      <c r="Q624" s="763" t="str">
        <f>IFERROR(__xludf.DUMMYFUNCTION("""COMPUTED_VALUE"""),"EUR")</f>
        <v>EUR</v>
      </c>
      <c r="R624" s="763">
        <f>IFERROR(__xludf.DUMMYFUNCTION("""COMPUTED_VALUE"""),1154.0)</f>
        <v>1154</v>
      </c>
      <c r="S624" s="763" t="str">
        <f>IFERROR(__xludf.DUMMYFUNCTION("""COMPUTED_VALUE"""),"Domeniche in movimento - Gratuito per open fitness e open mattino 2 lezioni dalle 10 alle 11.50")</f>
        <v>Domeniche in movimento - Gratuito per open fitness e open mattino 2 lezioni dalle 10 alle 11.50</v>
      </c>
      <c r="T624" s="763"/>
      <c r="U624" s="763"/>
      <c r="V624" s="763">
        <f>IFERROR(__xludf.DUMMYFUNCTION("""COMPUTED_VALUE"""),1.0)</f>
        <v>1</v>
      </c>
      <c r="W624" s="763">
        <f>IFERROR(__xludf.DUMMYFUNCTION("""COMPUTED_VALUE"""),0.0)</f>
        <v>0</v>
      </c>
      <c r="X624" s="763">
        <f>IFERROR(__xludf.DUMMYFUNCTION("""COMPUTED_VALUE"""),0.0)</f>
        <v>0</v>
      </c>
      <c r="Y624" s="763"/>
      <c r="Z624" s="768" t="str">
        <f>IFERROR(__xludf.DUMMYFUNCTION("""COMPUTED_VALUE"""),"https://studio-gem.it/wp-admin/post.php?post=66356&amp;action=edit")</f>
        <v>https://studio-gem.it/wp-admin/post.php?post=66356&amp;action=edit</v>
      </c>
      <c r="AA624" s="763"/>
      <c r="AB624" s="763"/>
      <c r="AC624" s="763"/>
      <c r="AD624" s="763"/>
      <c r="AE624" s="763"/>
      <c r="AF624" s="763"/>
      <c r="AG624" s="763"/>
      <c r="AH624" s="763"/>
      <c r="AI624" s="763"/>
      <c r="AJ624" s="763"/>
      <c r="AK624" s="763"/>
      <c r="AL624" s="763"/>
      <c r="AM624" s="763"/>
      <c r="AN624" s="763"/>
      <c r="AO624" s="763"/>
      <c r="AP624" s="763"/>
      <c r="AQ624" s="763"/>
      <c r="AR624" s="763"/>
      <c r="AS624" s="763"/>
      <c r="AT624" s="763"/>
      <c r="AU624" s="763"/>
      <c r="AV624" s="763"/>
      <c r="AW624" s="763"/>
      <c r="AX624" s="763"/>
      <c r="AY624" s="763"/>
      <c r="AZ624" s="763"/>
      <c r="BA624" s="763"/>
      <c r="BB624" s="763"/>
      <c r="BC624" s="763"/>
      <c r="BD624" s="763"/>
      <c r="BE624" s="763"/>
      <c r="BF624" s="763"/>
      <c r="BG624" s="763" t="b">
        <f>IFERROR(__xludf.DUMMYFUNCTION("""COMPUTED_VALUE"""),FALSE)</f>
        <v>0</v>
      </c>
      <c r="BH624" s="763" t="b">
        <f>IFERROR(__xludf.DUMMYFUNCTION("""COMPUTED_VALUE"""),FALSE)</f>
        <v>0</v>
      </c>
      <c r="BI624" s="763" t="b">
        <f>IFERROR(__xludf.DUMMYFUNCTION("""COMPUTED_VALUE"""),FALSE)</f>
        <v>0</v>
      </c>
      <c r="BJ624" s="763" t="b">
        <f>IFERROR(__xludf.DUMMYFUNCTION("""COMPUTED_VALUE"""),FALSE)</f>
        <v>0</v>
      </c>
    </row>
    <row r="625">
      <c r="A625" s="763">
        <f>IFERROR(__xludf.DUMMYFUNCTION("""COMPUTED_VALUE"""),66358.0)</f>
        <v>66358</v>
      </c>
      <c r="B625" s="763">
        <f>IFERROR(__xludf.DUMMYFUNCTION("""COMPUTED_VALUE"""),66358.0)</f>
        <v>66358</v>
      </c>
      <c r="C625" s="763" t="str">
        <f>IFERROR(__xludf.DUMMYFUNCTION("""COMPUTED_VALUE"""),"2025-11-25 07:57:45")</f>
        <v>2025-11-25 07:57:45</v>
      </c>
      <c r="D625" s="763" t="str">
        <f>IFERROR(__xludf.DUMMYFUNCTION("""COMPUTED_VALUE"""),"processing")</f>
        <v>processing</v>
      </c>
      <c r="E625" s="763" t="str">
        <f>IFERROR(__xludf.DUMMYFUNCTION("""COMPUTED_VALUE"""),"serena")</f>
        <v>serena</v>
      </c>
      <c r="F625" s="763" t="str">
        <f>IFERROR(__xludf.DUMMYFUNCTION("""COMPUTED_VALUE"""),"angiuli")</f>
        <v>angiuli</v>
      </c>
      <c r="G625" s="763" t="str">
        <f>IFERROR(__xludf.DUMMYFUNCTION("""COMPUTED_VALUE"""),"serean89@yahoo.it")</f>
        <v>serean89@yahoo.it</v>
      </c>
      <c r="H625" s="763">
        <f>IFERROR(__xludf.DUMMYFUNCTION("""COMPUTED_VALUE"""),3.468490566E9)</f>
        <v>3468490566</v>
      </c>
      <c r="I625" s="763" t="str">
        <f>IFERROR(__xludf.DUMMYFUNCTION("""COMPUTED_VALUE"""),"milano")</f>
        <v>milano</v>
      </c>
      <c r="J625" s="763" t="str">
        <f>IFERROR(__xludf.DUMMYFUNCTION("""COMPUTED_VALUE"""),"giulio romano")</f>
        <v>giulio romano</v>
      </c>
      <c r="K625" s="763">
        <f>IFERROR(__xludf.DUMMYFUNCTION("""COMPUTED_VALUE"""),20125.0)</f>
        <v>20125</v>
      </c>
      <c r="L625" s="763" t="str">
        <f>IFERROR(__xludf.DUMMYFUNCTION("""COMPUTED_VALUE"""),"Carte di pagamento")</f>
        <v>Carte di pagamento</v>
      </c>
      <c r="M625" s="763" t="str">
        <f>IFERROR(__xludf.DUMMYFUNCTION("""COMPUTED_VALUE"""),"santo05natale")</f>
        <v>santo05natale</v>
      </c>
      <c r="N625" s="763" t="str">
        <f>IFERROR(__xludf.DUMMYFUNCTION("""COMPUTED_VALUE"""),"66358-1764057483")</f>
        <v>66358-1764057483</v>
      </c>
      <c r="O625" s="763">
        <f>IFERROR(__xludf.DUMMYFUNCTION("""COMPUTED_VALUE"""),0.0)</f>
        <v>0</v>
      </c>
      <c r="P625" s="767">
        <f>IFERROR(__xludf.DUMMYFUNCTION("""COMPUTED_VALUE"""),0.8333333333333334)</f>
        <v>0.8333333333</v>
      </c>
      <c r="Q625" s="763" t="str">
        <f>IFERROR(__xludf.DUMMYFUNCTION("""COMPUTED_VALUE"""),"EUR")</f>
        <v>EUR</v>
      </c>
      <c r="R625" s="763">
        <f>IFERROR(__xludf.DUMMYFUNCTION("""COMPUTED_VALUE"""),1155.0)</f>
        <v>1155</v>
      </c>
      <c r="S625" s="763" t="str">
        <f>IFERROR(__xludf.DUMMYFUNCTION("""COMPUTED_VALUE"""),"Festa di Natale 2025 - Festa di natale 2025 SOLO serata 25€")</f>
        <v>Festa di Natale 2025 - Festa di natale 2025 SOLO serata 25€</v>
      </c>
      <c r="T625" s="763"/>
      <c r="U625" s="763"/>
      <c r="V625" s="763">
        <f>IFERROR(__xludf.DUMMYFUNCTION("""COMPUTED_VALUE"""),1.0)</f>
        <v>1</v>
      </c>
      <c r="W625" s="763">
        <f>IFERROR(__xludf.DUMMYFUNCTION("""COMPUTED_VALUE"""),20.0)</f>
        <v>20</v>
      </c>
      <c r="X625" s="763">
        <f>IFERROR(__xludf.DUMMYFUNCTION("""COMPUTED_VALUE"""),20.0)</f>
        <v>20</v>
      </c>
      <c r="Y625" s="763"/>
      <c r="Z625" s="768" t="str">
        <f>IFERROR(__xludf.DUMMYFUNCTION("""COMPUTED_VALUE"""),"https://studio-gem.it/wp-admin/post.php?post=66358&amp;action=edit")</f>
        <v>https://studio-gem.it/wp-admin/post.php?post=66358&amp;action=edit</v>
      </c>
      <c r="AA625" s="763"/>
      <c r="AB625" s="763"/>
      <c r="AC625" s="763"/>
      <c r="AD625" s="763"/>
      <c r="AE625" s="763"/>
      <c r="AF625" s="763"/>
      <c r="AG625" s="763"/>
      <c r="AH625" s="763"/>
      <c r="AI625" s="763"/>
      <c r="AJ625" s="763"/>
      <c r="AK625" s="763"/>
      <c r="AL625" s="763"/>
      <c r="AM625" s="763"/>
      <c r="AN625" s="763"/>
      <c r="AO625" s="763"/>
      <c r="AP625" s="763"/>
      <c r="AQ625" s="763"/>
      <c r="AR625" s="763"/>
      <c r="AS625" s="763"/>
      <c r="AT625" s="763"/>
      <c r="AU625" s="763"/>
      <c r="AV625" s="763"/>
      <c r="AW625" s="763"/>
      <c r="AX625" s="763"/>
      <c r="AY625" s="763"/>
      <c r="AZ625" s="763"/>
      <c r="BA625" s="763"/>
      <c r="BB625" s="763"/>
      <c r="BC625" s="763"/>
      <c r="BD625" s="763"/>
      <c r="BE625" s="763"/>
      <c r="BF625" s="763"/>
      <c r="BG625" s="763" t="b">
        <f>IFERROR(__xludf.DUMMYFUNCTION("""COMPUTED_VALUE"""),TRUE)</f>
        <v>1</v>
      </c>
      <c r="BH625" s="763" t="b">
        <f>IFERROR(__xludf.DUMMYFUNCTION("""COMPUTED_VALUE"""),FALSE)</f>
        <v>0</v>
      </c>
      <c r="BI625" s="763" t="b">
        <f>IFERROR(__xludf.DUMMYFUNCTION("""COMPUTED_VALUE"""),TRUE)</f>
        <v>1</v>
      </c>
      <c r="BJ625" s="763" t="b">
        <f>IFERROR(__xludf.DUMMYFUNCTION("""COMPUTED_VALUE"""),TRUE)</f>
        <v>1</v>
      </c>
    </row>
    <row r="626">
      <c r="A626" s="763">
        <f>IFERROR(__xludf.DUMMYFUNCTION("""COMPUTED_VALUE"""),66360.0)</f>
        <v>66360</v>
      </c>
      <c r="B626" s="763">
        <f>IFERROR(__xludf.DUMMYFUNCTION("""COMPUTED_VALUE"""),66360.0)</f>
        <v>66360</v>
      </c>
      <c r="C626" s="763" t="str">
        <f>IFERROR(__xludf.DUMMYFUNCTION("""COMPUTED_VALUE"""),"2025-11-25 19:31:39")</f>
        <v>2025-11-25 19:31:39</v>
      </c>
      <c r="D626" s="763" t="str">
        <f>IFERROR(__xludf.DUMMYFUNCTION("""COMPUTED_VALUE"""),"processing")</f>
        <v>processing</v>
      </c>
      <c r="E626" s="763" t="str">
        <f>IFERROR(__xludf.DUMMYFUNCTION("""COMPUTED_VALUE"""),"Roberto")</f>
        <v>Roberto</v>
      </c>
      <c r="F626" s="763" t="str">
        <f>IFERROR(__xludf.DUMMYFUNCTION("""COMPUTED_VALUE"""),"Ricci")</f>
        <v>Ricci</v>
      </c>
      <c r="G626" s="763" t="str">
        <f>IFERROR(__xludf.DUMMYFUNCTION("""COMPUTED_VALUE"""),"rr.robertoricci@icloud.com")</f>
        <v>rr.robertoricci@icloud.com</v>
      </c>
      <c r="H626" s="763">
        <f>IFERROR(__xludf.DUMMYFUNCTION("""COMPUTED_VALUE"""),3.475725927E9)</f>
        <v>3475725927</v>
      </c>
      <c r="I626" s="763" t="str">
        <f>IFERROR(__xludf.DUMMYFUNCTION("""COMPUTED_VALUE"""),"Caserta")</f>
        <v>Caserta</v>
      </c>
      <c r="J626" s="763" t="str">
        <f>IFERROR(__xludf.DUMMYFUNCTION("""COMPUTED_VALUE"""),"Ferdinando Fuga 62")</f>
        <v>Ferdinando Fuga 62</v>
      </c>
      <c r="K626" s="763">
        <f>IFERROR(__xludf.DUMMYFUNCTION("""COMPUTED_VALUE"""),81100.0)</f>
        <v>81100</v>
      </c>
      <c r="L626" s="763" t="str">
        <f>IFERROR(__xludf.DUMMYFUNCTION("""COMPUTED_VALUE"""),"Carte di pagamento")</f>
        <v>Carte di pagamento</v>
      </c>
      <c r="M626" s="763" t="str">
        <f>IFERROR(__xludf.DUMMYFUNCTION("""COMPUTED_VALUE"""),"alexandra05natale")</f>
        <v>alexandra05natale</v>
      </c>
      <c r="N626" s="763" t="str">
        <f>IFERROR(__xludf.DUMMYFUNCTION("""COMPUTED_VALUE"""),"66360-1764099100")</f>
        <v>66360-1764099100</v>
      </c>
      <c r="O626" s="763">
        <f>IFERROR(__xludf.DUMMYFUNCTION("""COMPUTED_VALUE"""),0.0)</f>
        <v>0</v>
      </c>
      <c r="P626" s="767">
        <f>IFERROR(__xludf.DUMMYFUNCTION("""COMPUTED_VALUE"""),2.0833333333333335)</f>
        <v>2.083333333</v>
      </c>
      <c r="Q626" s="763" t="str">
        <f>IFERROR(__xludf.DUMMYFUNCTION("""COMPUTED_VALUE"""),"EUR")</f>
        <v>EUR</v>
      </c>
      <c r="R626" s="763">
        <f>IFERROR(__xludf.DUMMYFUNCTION("""COMPUTED_VALUE"""),1157.0)</f>
        <v>1157</v>
      </c>
      <c r="S626" s="763" t="str">
        <f>IFERROR(__xludf.DUMMYFUNCTION("""COMPUTED_VALUE"""),"Festa di Natale 2025 - Festa di natale 2025 lezioni + pizza + serata 55€")</f>
        <v>Festa di Natale 2025 - Festa di natale 2025 lezioni + pizza + serata 55€</v>
      </c>
      <c r="T626" s="763"/>
      <c r="U626" s="763"/>
      <c r="V626" s="763">
        <f>IFERROR(__xludf.DUMMYFUNCTION("""COMPUTED_VALUE"""),1.0)</f>
        <v>1</v>
      </c>
      <c r="W626" s="763">
        <f>IFERROR(__xludf.DUMMYFUNCTION("""COMPUTED_VALUE"""),50.0)</f>
        <v>50</v>
      </c>
      <c r="X626" s="763">
        <f>IFERROR(__xludf.DUMMYFUNCTION("""COMPUTED_VALUE"""),50.0)</f>
        <v>50</v>
      </c>
      <c r="Y626" s="763"/>
      <c r="Z626" s="768" t="str">
        <f>IFERROR(__xludf.DUMMYFUNCTION("""COMPUTED_VALUE"""),"https://studio-gem.it/wp-admin/post.php?post=66360&amp;action=edit")</f>
        <v>https://studio-gem.it/wp-admin/post.php?post=66360&amp;action=edit</v>
      </c>
      <c r="AA626" s="763"/>
      <c r="AB626" s="763"/>
      <c r="AC626" s="763"/>
      <c r="AD626" s="763"/>
      <c r="AE626" s="763"/>
      <c r="AF626" s="763"/>
      <c r="AG626" s="763"/>
      <c r="AH626" s="763"/>
      <c r="AI626" s="763"/>
      <c r="AJ626" s="763"/>
      <c r="AK626" s="763"/>
      <c r="AL626" s="763"/>
      <c r="AM626" s="763"/>
      <c r="AN626" s="763"/>
      <c r="AO626" s="763"/>
      <c r="AP626" s="763"/>
      <c r="AQ626" s="763"/>
      <c r="AR626" s="763"/>
      <c r="AS626" s="763"/>
      <c r="AT626" s="763"/>
      <c r="AU626" s="763"/>
      <c r="AV626" s="763"/>
      <c r="AW626" s="763"/>
      <c r="AX626" s="763"/>
      <c r="AY626" s="763"/>
      <c r="AZ626" s="763"/>
      <c r="BA626" s="763"/>
      <c r="BB626" s="763"/>
      <c r="BC626" s="763"/>
      <c r="BD626" s="763"/>
      <c r="BE626" s="763"/>
      <c r="BF626" s="763"/>
      <c r="BG626" s="763" t="b">
        <f>IFERROR(__xludf.DUMMYFUNCTION("""COMPUTED_VALUE"""),TRUE)</f>
        <v>1</v>
      </c>
      <c r="BH626" s="763" t="b">
        <f>IFERROR(__xludf.DUMMYFUNCTION("""COMPUTED_VALUE"""),FALSE)</f>
        <v>0</v>
      </c>
      <c r="BI626" s="763" t="b">
        <f>IFERROR(__xludf.DUMMYFUNCTION("""COMPUTED_VALUE"""),TRUE)</f>
        <v>1</v>
      </c>
      <c r="BJ626" s="763" t="b">
        <f>IFERROR(__xludf.DUMMYFUNCTION("""COMPUTED_VALUE"""),TRUE)</f>
        <v>1</v>
      </c>
    </row>
    <row r="627">
      <c r="A627" s="763">
        <f>IFERROR(__xludf.DUMMYFUNCTION("""COMPUTED_VALUE"""),66361.0)</f>
        <v>66361</v>
      </c>
      <c r="B627" s="763">
        <f>IFERROR(__xludf.DUMMYFUNCTION("""COMPUTED_VALUE"""),66361.0)</f>
        <v>66361</v>
      </c>
      <c r="C627" s="763" t="str">
        <f>IFERROR(__xludf.DUMMYFUNCTION("""COMPUTED_VALUE"""),"2025-11-26 09:34:55")</f>
        <v>2025-11-26 09:34:55</v>
      </c>
      <c r="D627" s="763" t="str">
        <f>IFERROR(__xludf.DUMMYFUNCTION("""COMPUTED_VALUE"""),"completed")</f>
        <v>completed</v>
      </c>
      <c r="E627" s="763" t="str">
        <f>IFERROR(__xludf.DUMMYFUNCTION("""COMPUTED_VALUE"""),"Fabio")</f>
        <v>Fabio</v>
      </c>
      <c r="F627" s="763" t="str">
        <f>IFERROR(__xludf.DUMMYFUNCTION("""COMPUTED_VALUE"""),"Fabbi")</f>
        <v>Fabbi</v>
      </c>
      <c r="G627" s="763" t="str">
        <f>IFERROR(__xludf.DUMMYFUNCTION("""COMPUTED_VALUE"""),"fabio.fabbi@gmail.com")</f>
        <v>fabio.fabbi@gmail.com</v>
      </c>
      <c r="H627" s="763">
        <f>IFERROR(__xludf.DUMMYFUNCTION("""COMPUTED_VALUE"""),3.805554444E9)</f>
        <v>3805554444</v>
      </c>
      <c r="I627" s="763" t="str">
        <f>IFERROR(__xludf.DUMMYFUNCTION("""COMPUTED_VALUE"""),"Milano")</f>
        <v>Milano</v>
      </c>
      <c r="J627" s="763" t="str">
        <f>IFERROR(__xludf.DUMMYFUNCTION("""COMPUTED_VALUE"""),"Via Caradosso 16")</f>
        <v>Via Caradosso 16</v>
      </c>
      <c r="K627" s="763">
        <f>IFERROR(__xludf.DUMMYFUNCTION("""COMPUTED_VALUE"""),20123.0)</f>
        <v>20123</v>
      </c>
      <c r="L627" s="763" t="str">
        <f>IFERROR(__xludf.DUMMYFUNCTION("""COMPUTED_VALUE"""),"Apple Pay")</f>
        <v>Apple Pay</v>
      </c>
      <c r="M627" s="763"/>
      <c r="N627" s="763" t="str">
        <f>IFERROR(__xludf.DUMMYFUNCTION("""COMPUTED_VALUE"""),"66361-1764149696")</f>
        <v>66361-1764149696</v>
      </c>
      <c r="O627" s="763">
        <f>IFERROR(__xludf.DUMMYFUNCTION("""COMPUTED_VALUE"""),0.0)</f>
        <v>0</v>
      </c>
      <c r="P627" s="767">
        <f>IFERROR(__xludf.DUMMYFUNCTION("""COMPUTED_VALUE"""),2.2916666666666665)</f>
        <v>2.291666667</v>
      </c>
      <c r="Q627" s="763" t="str">
        <f>IFERROR(__xludf.DUMMYFUNCTION("""COMPUTED_VALUE"""),"EUR")</f>
        <v>EUR</v>
      </c>
      <c r="R627" s="763">
        <f>IFERROR(__xludf.DUMMYFUNCTION("""COMPUTED_VALUE"""),1159.0)</f>
        <v>1159</v>
      </c>
      <c r="S627" s="763" t="str">
        <f>IFERROR(__xludf.DUMMYFUNCTION("""COMPUTED_VALUE"""),"Festa di Natale 2025 - Festa di natale 2025 lezioni + pizza + serata 55€")</f>
        <v>Festa di Natale 2025 - Festa di natale 2025 lezioni + pizza + serata 55€</v>
      </c>
      <c r="T627" s="763"/>
      <c r="U627" s="763"/>
      <c r="V627" s="763">
        <f>IFERROR(__xludf.DUMMYFUNCTION("""COMPUTED_VALUE"""),1.0)</f>
        <v>1</v>
      </c>
      <c r="W627" s="763">
        <f>IFERROR(__xludf.DUMMYFUNCTION("""COMPUTED_VALUE"""),55.0)</f>
        <v>55</v>
      </c>
      <c r="X627" s="763">
        <f>IFERROR(__xludf.DUMMYFUNCTION("""COMPUTED_VALUE"""),55.0)</f>
        <v>55</v>
      </c>
      <c r="Y627" s="763"/>
      <c r="Z627" s="768" t="str">
        <f>IFERROR(__xludf.DUMMYFUNCTION("""COMPUTED_VALUE"""),"https://studio-gem.it/wp-admin/post.php?post=66361&amp;action=edit")</f>
        <v>https://studio-gem.it/wp-admin/post.php?post=66361&amp;action=edit</v>
      </c>
      <c r="AA627" s="763"/>
      <c r="AB627" s="763"/>
      <c r="AC627" s="763"/>
      <c r="AD627" s="763"/>
      <c r="AE627" s="763"/>
      <c r="AF627" s="763"/>
      <c r="AG627" s="763"/>
      <c r="AH627" s="763"/>
      <c r="AI627" s="763"/>
      <c r="AJ627" s="763"/>
      <c r="AK627" s="763"/>
      <c r="AL627" s="763"/>
      <c r="AM627" s="763"/>
      <c r="AN627" s="763"/>
      <c r="AO627" s="763"/>
      <c r="AP627" s="763"/>
      <c r="AQ627" s="763"/>
      <c r="AR627" s="763"/>
      <c r="AS627" s="763"/>
      <c r="AT627" s="763"/>
      <c r="AU627" s="763"/>
      <c r="AV627" s="763"/>
      <c r="AW627" s="763"/>
      <c r="AX627" s="763"/>
      <c r="AY627" s="763"/>
      <c r="AZ627" s="763"/>
      <c r="BA627" s="763"/>
      <c r="BB627" s="763"/>
      <c r="BC627" s="763"/>
      <c r="BD627" s="763"/>
      <c r="BE627" s="763"/>
      <c r="BF627" s="763"/>
      <c r="BG627" s="763" t="b">
        <f>IFERROR(__xludf.DUMMYFUNCTION("""COMPUTED_VALUE"""),TRUE)</f>
        <v>1</v>
      </c>
      <c r="BH627" s="763" t="b">
        <f>IFERROR(__xludf.DUMMYFUNCTION("""COMPUTED_VALUE"""),FALSE)</f>
        <v>0</v>
      </c>
      <c r="BI627" s="763" t="b">
        <f>IFERROR(__xludf.DUMMYFUNCTION("""COMPUTED_VALUE"""),TRUE)</f>
        <v>1</v>
      </c>
      <c r="BJ627" s="763" t="b">
        <f>IFERROR(__xludf.DUMMYFUNCTION("""COMPUTED_VALUE"""),TRUE)</f>
        <v>1</v>
      </c>
    </row>
    <row r="628">
      <c r="A628" s="763">
        <f>IFERROR(__xludf.DUMMYFUNCTION("""COMPUTED_VALUE"""),66363.0)</f>
        <v>66363</v>
      </c>
      <c r="B628" s="763">
        <f>IFERROR(__xludf.DUMMYFUNCTION("""COMPUTED_VALUE"""),66363.0)</f>
        <v>66363</v>
      </c>
      <c r="C628" s="763" t="str">
        <f>IFERROR(__xludf.DUMMYFUNCTION("""COMPUTED_VALUE"""),"2025-11-26 11:49:41")</f>
        <v>2025-11-26 11:49:41</v>
      </c>
      <c r="D628" s="763" t="str">
        <f>IFERROR(__xludf.DUMMYFUNCTION("""COMPUTED_VALUE"""),"processing")</f>
        <v>processing</v>
      </c>
      <c r="E628" s="763" t="str">
        <f>IFERROR(__xludf.DUMMYFUNCTION("""COMPUTED_VALUE"""),"SANDRA")</f>
        <v>SANDRA</v>
      </c>
      <c r="F628" s="763" t="str">
        <f>IFERROR(__xludf.DUMMYFUNCTION("""COMPUTED_VALUE"""),"ROUVIERE")</f>
        <v>ROUVIERE</v>
      </c>
      <c r="G628" s="763" t="str">
        <f>IFERROR(__xludf.DUMMYFUNCTION("""COMPUTED_VALUE"""),"sandra.rouviere123@gmail.com")</f>
        <v>sandra.rouviere123@gmail.com</v>
      </c>
      <c r="H628" s="763">
        <f>IFERROR(__xludf.DUMMYFUNCTION("""COMPUTED_VALUE"""),3.34605149E9)</f>
        <v>3346051490</v>
      </c>
      <c r="I628" s="763" t="str">
        <f>IFERROR(__xludf.DUMMYFUNCTION("""COMPUTED_VALUE"""),"Milano")</f>
        <v>Milano</v>
      </c>
      <c r="J628" s="763" t="str">
        <f>IFERROR(__xludf.DUMMYFUNCTION("""COMPUTED_VALUE"""),"CORSO GARIBALDI 49")</f>
        <v>CORSO GARIBALDI 49</v>
      </c>
      <c r="K628" s="763">
        <f>IFERROR(__xludf.DUMMYFUNCTION("""COMPUTED_VALUE"""),20121.0)</f>
        <v>20121</v>
      </c>
      <c r="L628" s="763" t="str">
        <f>IFERROR(__xludf.DUMMYFUNCTION("""COMPUTED_VALUE"""),"Carte di pagamento")</f>
        <v>Carte di pagamento</v>
      </c>
      <c r="M628" s="763" t="str">
        <f>IFERROR(__xludf.DUMMYFUNCTION("""COMPUTED_VALUE"""),"santo05natale")</f>
        <v>santo05natale</v>
      </c>
      <c r="N628" s="763" t="str">
        <f>IFERROR(__xludf.DUMMYFUNCTION("""COMPUTED_VALUE"""),"66363-1764157783")</f>
        <v>66363-1764157783</v>
      </c>
      <c r="O628" s="763">
        <f>IFERROR(__xludf.DUMMYFUNCTION("""COMPUTED_VALUE"""),0.0)</f>
        <v>0</v>
      </c>
      <c r="P628" s="767">
        <f>IFERROR(__xludf.DUMMYFUNCTION("""COMPUTED_VALUE"""),2.0833333333333335)</f>
        <v>2.083333333</v>
      </c>
      <c r="Q628" s="763" t="str">
        <f>IFERROR(__xludf.DUMMYFUNCTION("""COMPUTED_VALUE"""),"EUR")</f>
        <v>EUR</v>
      </c>
      <c r="R628" s="763">
        <f>IFERROR(__xludf.DUMMYFUNCTION("""COMPUTED_VALUE"""),1160.0)</f>
        <v>1160</v>
      </c>
      <c r="S628" s="763" t="str">
        <f>IFERROR(__xludf.DUMMYFUNCTION("""COMPUTED_VALUE"""),"Festa di Natale 2025 - Festa di natale 2025 lezioni + pizza + serata 55€")</f>
        <v>Festa di Natale 2025 - Festa di natale 2025 lezioni + pizza + serata 55€</v>
      </c>
      <c r="T628" s="763"/>
      <c r="U628" s="763"/>
      <c r="V628" s="763">
        <f>IFERROR(__xludf.DUMMYFUNCTION("""COMPUTED_VALUE"""),1.0)</f>
        <v>1</v>
      </c>
      <c r="W628" s="763">
        <f>IFERROR(__xludf.DUMMYFUNCTION("""COMPUTED_VALUE"""),50.0)</f>
        <v>50</v>
      </c>
      <c r="X628" s="763">
        <f>IFERROR(__xludf.DUMMYFUNCTION("""COMPUTED_VALUE"""),50.0)</f>
        <v>50</v>
      </c>
      <c r="Y628" s="763"/>
      <c r="Z628" s="768" t="str">
        <f>IFERROR(__xludf.DUMMYFUNCTION("""COMPUTED_VALUE"""),"https://studio-gem.it/wp-admin/post.php?post=66363&amp;action=edit")</f>
        <v>https://studio-gem.it/wp-admin/post.php?post=66363&amp;action=edit</v>
      </c>
      <c r="AA628" s="763"/>
      <c r="AB628" s="763"/>
      <c r="AC628" s="763"/>
      <c r="AD628" s="763"/>
      <c r="AE628" s="763"/>
      <c r="AF628" s="763"/>
      <c r="AG628" s="763"/>
      <c r="AH628" s="763"/>
      <c r="AI628" s="763"/>
      <c r="AJ628" s="763"/>
      <c r="AK628" s="763"/>
      <c r="AL628" s="763"/>
      <c r="AM628" s="763"/>
      <c r="AN628" s="763"/>
      <c r="AO628" s="763"/>
      <c r="AP628" s="763"/>
      <c r="AQ628" s="763"/>
      <c r="AR628" s="763"/>
      <c r="AS628" s="763"/>
      <c r="AT628" s="763"/>
      <c r="AU628" s="763"/>
      <c r="AV628" s="763"/>
      <c r="AW628" s="763"/>
      <c r="AX628" s="763"/>
      <c r="AY628" s="763"/>
      <c r="AZ628" s="763"/>
      <c r="BA628" s="763"/>
      <c r="BB628" s="763"/>
      <c r="BC628" s="763"/>
      <c r="BD628" s="763"/>
      <c r="BE628" s="763"/>
      <c r="BF628" s="763"/>
      <c r="BG628" s="763" t="b">
        <f>IFERROR(__xludf.DUMMYFUNCTION("""COMPUTED_VALUE"""),TRUE)</f>
        <v>1</v>
      </c>
      <c r="BH628" s="763" t="b">
        <f>IFERROR(__xludf.DUMMYFUNCTION("""COMPUTED_VALUE"""),FALSE)</f>
        <v>0</v>
      </c>
      <c r="BI628" s="763" t="b">
        <f>IFERROR(__xludf.DUMMYFUNCTION("""COMPUTED_VALUE"""),TRUE)</f>
        <v>1</v>
      </c>
      <c r="BJ628" s="763" t="b">
        <f>IFERROR(__xludf.DUMMYFUNCTION("""COMPUTED_VALUE"""),TRUE)</f>
        <v>1</v>
      </c>
    </row>
    <row r="629">
      <c r="A629" s="763">
        <f>IFERROR(__xludf.DUMMYFUNCTION("""COMPUTED_VALUE"""),66366.0)</f>
        <v>66366</v>
      </c>
      <c r="B629" s="763">
        <f>IFERROR(__xludf.DUMMYFUNCTION("""COMPUTED_VALUE"""),66366.0)</f>
        <v>66366</v>
      </c>
      <c r="C629" s="763" t="str">
        <f>IFERROR(__xludf.DUMMYFUNCTION("""COMPUTED_VALUE"""),"2025-11-26 16:40:58")</f>
        <v>2025-11-26 16:40:58</v>
      </c>
      <c r="D629" s="763" t="str">
        <f>IFERROR(__xludf.DUMMYFUNCTION("""COMPUTED_VALUE"""),"completed")</f>
        <v>completed</v>
      </c>
      <c r="E629" s="763" t="str">
        <f>IFERROR(__xludf.DUMMYFUNCTION("""COMPUTED_VALUE"""),"Martina")</f>
        <v>Martina</v>
      </c>
      <c r="F629" s="763" t="str">
        <f>IFERROR(__xludf.DUMMYFUNCTION("""COMPUTED_VALUE"""),"Di Matteo")</f>
        <v>Di Matteo</v>
      </c>
      <c r="G629" s="763" t="str">
        <f>IFERROR(__xludf.DUMMYFUNCTION("""COMPUTED_VALUE"""),"marty_dimatteo@hotmail.it")</f>
        <v>marty_dimatteo@hotmail.it</v>
      </c>
      <c r="H629" s="763">
        <f>IFERROR(__xludf.DUMMYFUNCTION("""COMPUTED_VALUE"""),3.475388806E9)</f>
        <v>3475388806</v>
      </c>
      <c r="I629" s="763" t="str">
        <f>IFERROR(__xludf.DUMMYFUNCTION("""COMPUTED_VALUE"""),"Milano")</f>
        <v>Milano</v>
      </c>
      <c r="J629" s="763" t="str">
        <f>IFERROR(__xludf.DUMMYFUNCTION("""COMPUTED_VALUE"""),"Via Selvanesco 77")</f>
        <v>Via Selvanesco 77</v>
      </c>
      <c r="K629" s="763">
        <f>IFERROR(__xludf.DUMMYFUNCTION("""COMPUTED_VALUE"""),20142.0)</f>
        <v>20142</v>
      </c>
      <c r="L629" s="763" t="str">
        <f>IFERROR(__xludf.DUMMYFUNCTION("""COMPUTED_VALUE"""),"Carte di pagamento")</f>
        <v>Carte di pagamento</v>
      </c>
      <c r="M629" s="763" t="str">
        <f>IFERROR(__xludf.DUMMYFUNCTION("""COMPUTED_VALUE"""),"santo05natale")</f>
        <v>santo05natale</v>
      </c>
      <c r="N629" s="763" t="str">
        <f>IFERROR(__xludf.DUMMYFUNCTION("""COMPUTED_VALUE"""),"66366-1764175260")</f>
        <v>66366-1764175260</v>
      </c>
      <c r="O629" s="763">
        <f>IFERROR(__xludf.DUMMYFUNCTION("""COMPUTED_VALUE"""),0.0)</f>
        <v>0</v>
      </c>
      <c r="P629" s="767">
        <f>IFERROR(__xludf.DUMMYFUNCTION("""COMPUTED_VALUE"""),0.8333333333333334)</f>
        <v>0.8333333333</v>
      </c>
      <c r="Q629" s="763" t="str">
        <f>IFERROR(__xludf.DUMMYFUNCTION("""COMPUTED_VALUE"""),"EUR")</f>
        <v>EUR</v>
      </c>
      <c r="R629" s="763">
        <f>IFERROR(__xludf.DUMMYFUNCTION("""COMPUTED_VALUE"""),1162.0)</f>
        <v>1162</v>
      </c>
      <c r="S629" s="763" t="str">
        <f>IFERROR(__xludf.DUMMYFUNCTION("""COMPUTED_VALUE"""),"Festa di Natale 2025 - Festa di natale 2025 SOLO serata 25€")</f>
        <v>Festa di Natale 2025 - Festa di natale 2025 SOLO serata 25€</v>
      </c>
      <c r="T629" s="763"/>
      <c r="U629" s="763"/>
      <c r="V629" s="763">
        <f>IFERROR(__xludf.DUMMYFUNCTION("""COMPUTED_VALUE"""),1.0)</f>
        <v>1</v>
      </c>
      <c r="W629" s="763">
        <f>IFERROR(__xludf.DUMMYFUNCTION("""COMPUTED_VALUE"""),20.0)</f>
        <v>20</v>
      </c>
      <c r="X629" s="763">
        <f>IFERROR(__xludf.DUMMYFUNCTION("""COMPUTED_VALUE"""),20.0)</f>
        <v>20</v>
      </c>
      <c r="Y629" s="763"/>
      <c r="Z629" s="768" t="str">
        <f>IFERROR(__xludf.DUMMYFUNCTION("""COMPUTED_VALUE"""),"https://studio-gem.it/wp-admin/post.php?post=66366&amp;action=edit")</f>
        <v>https://studio-gem.it/wp-admin/post.php?post=66366&amp;action=edit</v>
      </c>
      <c r="AA629" s="763"/>
      <c r="AB629" s="763"/>
      <c r="AC629" s="763"/>
      <c r="AD629" s="763"/>
      <c r="AE629" s="763"/>
      <c r="AF629" s="763"/>
      <c r="AG629" s="763"/>
      <c r="AH629" s="763"/>
      <c r="AI629" s="763"/>
      <c r="AJ629" s="763"/>
      <c r="AK629" s="763"/>
      <c r="AL629" s="763"/>
      <c r="AM629" s="763"/>
      <c r="AN629" s="763"/>
      <c r="AO629" s="763"/>
      <c r="AP629" s="763"/>
      <c r="AQ629" s="763"/>
      <c r="AR629" s="763"/>
      <c r="AS629" s="763"/>
      <c r="AT629" s="763"/>
      <c r="AU629" s="763"/>
      <c r="AV629" s="763"/>
      <c r="AW629" s="763"/>
      <c r="AX629" s="763"/>
      <c r="AY629" s="763"/>
      <c r="AZ629" s="763"/>
      <c r="BA629" s="763"/>
      <c r="BB629" s="763"/>
      <c r="BC629" s="763"/>
      <c r="BD629" s="763"/>
      <c r="BE629" s="763"/>
      <c r="BF629" s="763"/>
      <c r="BG629" s="763" t="b">
        <f>IFERROR(__xludf.DUMMYFUNCTION("""COMPUTED_VALUE"""),TRUE)</f>
        <v>1</v>
      </c>
      <c r="BH629" s="763" t="b">
        <f>IFERROR(__xludf.DUMMYFUNCTION("""COMPUTED_VALUE"""),FALSE)</f>
        <v>0</v>
      </c>
      <c r="BI629" s="763" t="b">
        <f>IFERROR(__xludf.DUMMYFUNCTION("""COMPUTED_VALUE"""),TRUE)</f>
        <v>1</v>
      </c>
      <c r="BJ629" s="763" t="b">
        <f>IFERROR(__xludf.DUMMYFUNCTION("""COMPUTED_VALUE"""),TRUE)</f>
        <v>1</v>
      </c>
    </row>
    <row r="630">
      <c r="A630" s="763">
        <f>IFERROR(__xludf.DUMMYFUNCTION("""COMPUTED_VALUE"""),66368.0)</f>
        <v>66368</v>
      </c>
      <c r="B630" s="763">
        <f>IFERROR(__xludf.DUMMYFUNCTION("""COMPUTED_VALUE"""),66368.0)</f>
        <v>66368</v>
      </c>
      <c r="C630" s="763" t="str">
        <f>IFERROR(__xludf.DUMMYFUNCTION("""COMPUTED_VALUE"""),"2025-11-26 16:44:15")</f>
        <v>2025-11-26 16:44:15</v>
      </c>
      <c r="D630" s="763" t="str">
        <f>IFERROR(__xludf.DUMMYFUNCTION("""COMPUTED_VALUE"""),"completed")</f>
        <v>completed</v>
      </c>
      <c r="E630" s="763" t="str">
        <f>IFERROR(__xludf.DUMMYFUNCTION("""COMPUTED_VALUE"""),"Mariantonietta")</f>
        <v>Mariantonietta</v>
      </c>
      <c r="F630" s="763" t="str">
        <f>IFERROR(__xludf.DUMMYFUNCTION("""COMPUTED_VALUE"""),"Fasciano")</f>
        <v>Fasciano</v>
      </c>
      <c r="G630" s="763" t="str">
        <f>IFERROR(__xludf.DUMMYFUNCTION("""COMPUTED_VALUE"""),"mariant.fasciano@gmail.com")</f>
        <v>mariant.fasciano@gmail.com</v>
      </c>
      <c r="H630" s="763">
        <f>IFERROR(__xludf.DUMMYFUNCTION("""COMPUTED_VALUE"""),3.274770214E9)</f>
        <v>3274770214</v>
      </c>
      <c r="I630" s="763" t="str">
        <f>IFERROR(__xludf.DUMMYFUNCTION("""COMPUTED_VALUE"""),"Milano")</f>
        <v>Milano</v>
      </c>
      <c r="J630" s="763" t="str">
        <f>IFERROR(__xludf.DUMMYFUNCTION("""COMPUTED_VALUE"""),"Via dei Biancospini 11")</f>
        <v>Via dei Biancospini 11</v>
      </c>
      <c r="K630" s="763">
        <f>IFERROR(__xludf.DUMMYFUNCTION("""COMPUTED_VALUE"""),20146.0)</f>
        <v>20146</v>
      </c>
      <c r="L630" s="763" t="str">
        <f>IFERROR(__xludf.DUMMYFUNCTION("""COMPUTED_VALUE"""),"Apple Pay")</f>
        <v>Apple Pay</v>
      </c>
      <c r="M630" s="763" t="str">
        <f>IFERROR(__xludf.DUMMYFUNCTION("""COMPUTED_VALUE"""),"santo05natale")</f>
        <v>santo05natale</v>
      </c>
      <c r="N630" s="763" t="str">
        <f>IFERROR(__xludf.DUMMYFUNCTION("""COMPUTED_VALUE"""),"66368-1764175651")</f>
        <v>66368-1764175651</v>
      </c>
      <c r="O630" s="763">
        <f>IFERROR(__xludf.DUMMYFUNCTION("""COMPUTED_VALUE"""),0.0)</f>
        <v>0</v>
      </c>
      <c r="P630" s="767">
        <f>IFERROR(__xludf.DUMMYFUNCTION("""COMPUTED_VALUE"""),2.0833333333333335)</f>
        <v>2.083333333</v>
      </c>
      <c r="Q630" s="763" t="str">
        <f>IFERROR(__xludf.DUMMYFUNCTION("""COMPUTED_VALUE"""),"EUR")</f>
        <v>EUR</v>
      </c>
      <c r="R630" s="763">
        <f>IFERROR(__xludf.DUMMYFUNCTION("""COMPUTED_VALUE"""),1166.0)</f>
        <v>1166</v>
      </c>
      <c r="S630" s="763" t="str">
        <f>IFERROR(__xludf.DUMMYFUNCTION("""COMPUTED_VALUE"""),"Festa di Natale 2025 - Festa di natale 2025 lezioni + pizza + serata 55€")</f>
        <v>Festa di Natale 2025 - Festa di natale 2025 lezioni + pizza + serata 55€</v>
      </c>
      <c r="T630" s="763"/>
      <c r="U630" s="763"/>
      <c r="V630" s="763">
        <f>IFERROR(__xludf.DUMMYFUNCTION("""COMPUTED_VALUE"""),1.0)</f>
        <v>1</v>
      </c>
      <c r="W630" s="763">
        <f>IFERROR(__xludf.DUMMYFUNCTION("""COMPUTED_VALUE"""),50.0)</f>
        <v>50</v>
      </c>
      <c r="X630" s="763">
        <f>IFERROR(__xludf.DUMMYFUNCTION("""COMPUTED_VALUE"""),50.0)</f>
        <v>50</v>
      </c>
      <c r="Y630" s="763"/>
      <c r="Z630" s="768" t="str">
        <f>IFERROR(__xludf.DUMMYFUNCTION("""COMPUTED_VALUE"""),"https://studio-gem.it/wp-admin/post.php?post=66368&amp;action=edit")</f>
        <v>https://studio-gem.it/wp-admin/post.php?post=66368&amp;action=edit</v>
      </c>
      <c r="AA630" s="763"/>
      <c r="AB630" s="763"/>
      <c r="AC630" s="763"/>
      <c r="AD630" s="763"/>
      <c r="AE630" s="763"/>
      <c r="AF630" s="763"/>
      <c r="AG630" s="763"/>
      <c r="AH630" s="763"/>
      <c r="AI630" s="763"/>
      <c r="AJ630" s="763"/>
      <c r="AK630" s="763"/>
      <c r="AL630" s="763"/>
      <c r="AM630" s="763"/>
      <c r="AN630" s="763"/>
      <c r="AO630" s="763"/>
      <c r="AP630" s="763"/>
      <c r="AQ630" s="763"/>
      <c r="AR630" s="763"/>
      <c r="AS630" s="763"/>
      <c r="AT630" s="763"/>
      <c r="AU630" s="763"/>
      <c r="AV630" s="763"/>
      <c r="AW630" s="763"/>
      <c r="AX630" s="763"/>
      <c r="AY630" s="763"/>
      <c r="AZ630" s="763"/>
      <c r="BA630" s="763"/>
      <c r="BB630" s="763"/>
      <c r="BC630" s="763"/>
      <c r="BD630" s="763"/>
      <c r="BE630" s="763"/>
      <c r="BF630" s="763"/>
      <c r="BG630" s="763" t="b">
        <f>IFERROR(__xludf.DUMMYFUNCTION("""COMPUTED_VALUE"""),TRUE)</f>
        <v>1</v>
      </c>
      <c r="BH630" s="763" t="b">
        <f>IFERROR(__xludf.DUMMYFUNCTION("""COMPUTED_VALUE"""),FALSE)</f>
        <v>0</v>
      </c>
      <c r="BI630" s="763" t="b">
        <f>IFERROR(__xludf.DUMMYFUNCTION("""COMPUTED_VALUE"""),TRUE)</f>
        <v>1</v>
      </c>
      <c r="BJ630" s="763" t="b">
        <f>IFERROR(__xludf.DUMMYFUNCTION("""COMPUTED_VALUE"""),TRUE)</f>
        <v>1</v>
      </c>
    </row>
    <row r="631">
      <c r="A631" s="763">
        <f>IFERROR(__xludf.DUMMYFUNCTION("""COMPUTED_VALUE"""),66370.0)</f>
        <v>66370</v>
      </c>
      <c r="B631" s="763">
        <f>IFERROR(__xludf.DUMMYFUNCTION("""COMPUTED_VALUE"""),66370.0)</f>
        <v>66370</v>
      </c>
      <c r="C631" s="763" t="str">
        <f>IFERROR(__xludf.DUMMYFUNCTION("""COMPUTED_VALUE"""),"2025-11-26 16:58:46")</f>
        <v>2025-11-26 16:58:46</v>
      </c>
      <c r="D631" s="763" t="str">
        <f>IFERROR(__xludf.DUMMYFUNCTION("""COMPUTED_VALUE"""),"completed")</f>
        <v>completed</v>
      </c>
      <c r="E631" s="763" t="str">
        <f>IFERROR(__xludf.DUMMYFUNCTION("""COMPUTED_VALUE"""),"Andrea Giorgia")</f>
        <v>Andrea Giorgia</v>
      </c>
      <c r="F631" s="763" t="str">
        <f>IFERROR(__xludf.DUMMYFUNCTION("""COMPUTED_VALUE"""),"Cimmati")</f>
        <v>Cimmati</v>
      </c>
      <c r="G631" s="763" t="str">
        <f>IFERROR(__xludf.DUMMYFUNCTION("""COMPUTED_VALUE"""),"Cimmati.a@gmail.com")</f>
        <v>Cimmati.a@gmail.com</v>
      </c>
      <c r="H631" s="763">
        <f>IFERROR(__xludf.DUMMYFUNCTION("""COMPUTED_VALUE"""),3.888179303E9)</f>
        <v>3888179303</v>
      </c>
      <c r="I631" s="763" t="str">
        <f>IFERROR(__xludf.DUMMYFUNCTION("""COMPUTED_VALUE"""),"Ceranova")</f>
        <v>Ceranova</v>
      </c>
      <c r="J631" s="763" t="str">
        <f>IFERROR(__xludf.DUMMYFUNCTION("""COMPUTED_VALUE"""),"Via Lucio Battisti 62")</f>
        <v>Via Lucio Battisti 62</v>
      </c>
      <c r="K631" s="763">
        <f>IFERROR(__xludf.DUMMYFUNCTION("""COMPUTED_VALUE"""),27010.0)</f>
        <v>27010</v>
      </c>
      <c r="L631" s="763" t="str">
        <f>IFERROR(__xludf.DUMMYFUNCTION("""COMPUTED_VALUE"""),"Apple Pay")</f>
        <v>Apple Pay</v>
      </c>
      <c r="M631" s="763" t="str">
        <f>IFERROR(__xludf.DUMMYFUNCTION("""COMPUTED_VALUE"""),"nura05natale")</f>
        <v>nura05natale</v>
      </c>
      <c r="N631" s="763" t="str">
        <f>IFERROR(__xludf.DUMMYFUNCTION("""COMPUTED_VALUE"""),"66370-1764176339")</f>
        <v>66370-1764176339</v>
      </c>
      <c r="O631" s="763">
        <f>IFERROR(__xludf.DUMMYFUNCTION("""COMPUTED_VALUE"""),0.0)</f>
        <v>0</v>
      </c>
      <c r="P631" s="767">
        <f>IFERROR(__xludf.DUMMYFUNCTION("""COMPUTED_VALUE"""),0.8333333333333334)</f>
        <v>0.8333333333</v>
      </c>
      <c r="Q631" s="763" t="str">
        <f>IFERROR(__xludf.DUMMYFUNCTION("""COMPUTED_VALUE"""),"EUR")</f>
        <v>EUR</v>
      </c>
      <c r="R631" s="763">
        <f>IFERROR(__xludf.DUMMYFUNCTION("""COMPUTED_VALUE"""),1168.0)</f>
        <v>1168</v>
      </c>
      <c r="S631" s="763" t="str">
        <f>IFERROR(__xludf.DUMMYFUNCTION("""COMPUTED_VALUE"""),"Festa di Natale 2025 - Festa di natale 2025 SOLO serata 25€")</f>
        <v>Festa di Natale 2025 - Festa di natale 2025 SOLO serata 25€</v>
      </c>
      <c r="T631" s="763"/>
      <c r="U631" s="763"/>
      <c r="V631" s="763">
        <f>IFERROR(__xludf.DUMMYFUNCTION("""COMPUTED_VALUE"""),1.0)</f>
        <v>1</v>
      </c>
      <c r="W631" s="763">
        <f>IFERROR(__xludf.DUMMYFUNCTION("""COMPUTED_VALUE"""),20.0)</f>
        <v>20</v>
      </c>
      <c r="X631" s="763">
        <f>IFERROR(__xludf.DUMMYFUNCTION("""COMPUTED_VALUE"""),20.0)</f>
        <v>20</v>
      </c>
      <c r="Y631" s="763"/>
      <c r="Z631" s="768" t="str">
        <f>IFERROR(__xludf.DUMMYFUNCTION("""COMPUTED_VALUE"""),"https://studio-gem.it/wp-admin/post.php?post=66370&amp;action=edit")</f>
        <v>https://studio-gem.it/wp-admin/post.php?post=66370&amp;action=edit</v>
      </c>
      <c r="AA631" s="763"/>
      <c r="AB631" s="763"/>
      <c r="AC631" s="763"/>
      <c r="AD631" s="763"/>
      <c r="AE631" s="763"/>
      <c r="AF631" s="763"/>
      <c r="AG631" s="763"/>
      <c r="AH631" s="763"/>
      <c r="AI631" s="763"/>
      <c r="AJ631" s="763"/>
      <c r="AK631" s="763"/>
      <c r="AL631" s="763"/>
      <c r="AM631" s="763"/>
      <c r="AN631" s="763"/>
      <c r="AO631" s="763"/>
      <c r="AP631" s="763"/>
      <c r="AQ631" s="763"/>
      <c r="AR631" s="763"/>
      <c r="AS631" s="763"/>
      <c r="AT631" s="763"/>
      <c r="AU631" s="763"/>
      <c r="AV631" s="763"/>
      <c r="AW631" s="763"/>
      <c r="AX631" s="763"/>
      <c r="AY631" s="763"/>
      <c r="AZ631" s="763"/>
      <c r="BA631" s="763"/>
      <c r="BB631" s="763"/>
      <c r="BC631" s="763"/>
      <c r="BD631" s="763"/>
      <c r="BE631" s="763"/>
      <c r="BF631" s="763"/>
      <c r="BG631" s="763" t="b">
        <f>IFERROR(__xludf.DUMMYFUNCTION("""COMPUTED_VALUE"""),TRUE)</f>
        <v>1</v>
      </c>
      <c r="BH631" s="763" t="b">
        <f>IFERROR(__xludf.DUMMYFUNCTION("""COMPUTED_VALUE"""),FALSE)</f>
        <v>0</v>
      </c>
      <c r="BI631" s="763" t="b">
        <f>IFERROR(__xludf.DUMMYFUNCTION("""COMPUTED_VALUE"""),TRUE)</f>
        <v>1</v>
      </c>
      <c r="BJ631" s="763" t="b">
        <f>IFERROR(__xludf.DUMMYFUNCTION("""COMPUTED_VALUE"""),TRUE)</f>
        <v>1</v>
      </c>
    </row>
    <row r="632">
      <c r="A632" s="763">
        <f>IFERROR(__xludf.DUMMYFUNCTION("""COMPUTED_VALUE"""),66372.0)</f>
        <v>66372</v>
      </c>
      <c r="B632" s="763">
        <f>IFERROR(__xludf.DUMMYFUNCTION("""COMPUTED_VALUE"""),66372.0)</f>
        <v>66372</v>
      </c>
      <c r="C632" s="763" t="str">
        <f>IFERROR(__xludf.DUMMYFUNCTION("""COMPUTED_VALUE"""),"2025-11-26 16:59:47")</f>
        <v>2025-11-26 16:59:47</v>
      </c>
      <c r="D632" s="763" t="str">
        <f>IFERROR(__xludf.DUMMYFUNCTION("""COMPUTED_VALUE"""),"completed")</f>
        <v>completed</v>
      </c>
      <c r="E632" s="763" t="str">
        <f>IFERROR(__xludf.DUMMYFUNCTION("""COMPUTED_VALUE"""),"Pamela")</f>
        <v>Pamela</v>
      </c>
      <c r="F632" s="763" t="str">
        <f>IFERROR(__xludf.DUMMYFUNCTION("""COMPUTED_VALUE"""),"Francioso")</f>
        <v>Francioso</v>
      </c>
      <c r="G632" s="763" t="str">
        <f>IFERROR(__xludf.DUMMYFUNCTION("""COMPUTED_VALUE"""),"francioso3@icloud.com")</f>
        <v>francioso3@icloud.com</v>
      </c>
      <c r="H632" s="763">
        <f>IFERROR(__xludf.DUMMYFUNCTION("""COMPUTED_VALUE"""),3.42718387E9)</f>
        <v>3427183870</v>
      </c>
      <c r="I632" s="763" t="str">
        <f>IFERROR(__xludf.DUMMYFUNCTION("""COMPUTED_VALUE"""),"Milano")</f>
        <v>Milano</v>
      </c>
      <c r="J632" s="763" t="str">
        <f>IFERROR(__xludf.DUMMYFUNCTION("""COMPUTED_VALUE"""),"Largo Caccia Dominioni 3")</f>
        <v>Largo Caccia Dominioni 3</v>
      </c>
      <c r="K632" s="763">
        <f>IFERROR(__xludf.DUMMYFUNCTION("""COMPUTED_VALUE"""),20141.0)</f>
        <v>20141</v>
      </c>
      <c r="L632" s="763" t="str">
        <f>IFERROR(__xludf.DUMMYFUNCTION("""COMPUTED_VALUE"""),"Apple Pay")</f>
        <v>Apple Pay</v>
      </c>
      <c r="M632" s="763" t="str">
        <f>IFERROR(__xludf.DUMMYFUNCTION("""COMPUTED_VALUE"""),"nura05natale")</f>
        <v>nura05natale</v>
      </c>
      <c r="N632" s="763" t="str">
        <f>IFERROR(__xludf.DUMMYFUNCTION("""COMPUTED_VALUE"""),"66372-1764176391")</f>
        <v>66372-1764176391</v>
      </c>
      <c r="O632" s="763">
        <f>IFERROR(__xludf.DUMMYFUNCTION("""COMPUTED_VALUE"""),0.0)</f>
        <v>0</v>
      </c>
      <c r="P632" s="767">
        <f>IFERROR(__xludf.DUMMYFUNCTION("""COMPUTED_VALUE"""),0.8333333333333334)</f>
        <v>0.8333333333</v>
      </c>
      <c r="Q632" s="763" t="str">
        <f>IFERROR(__xludf.DUMMYFUNCTION("""COMPUTED_VALUE"""),"EUR")</f>
        <v>EUR</v>
      </c>
      <c r="R632" s="763">
        <f>IFERROR(__xludf.DUMMYFUNCTION("""COMPUTED_VALUE"""),1170.0)</f>
        <v>1170</v>
      </c>
      <c r="S632" s="763" t="str">
        <f>IFERROR(__xludf.DUMMYFUNCTION("""COMPUTED_VALUE"""),"Festa di Natale 2025 - Festa di natale 2025 SOLO serata 25€")</f>
        <v>Festa di Natale 2025 - Festa di natale 2025 SOLO serata 25€</v>
      </c>
      <c r="T632" s="763"/>
      <c r="U632" s="763"/>
      <c r="V632" s="763">
        <f>IFERROR(__xludf.DUMMYFUNCTION("""COMPUTED_VALUE"""),1.0)</f>
        <v>1</v>
      </c>
      <c r="W632" s="763">
        <f>IFERROR(__xludf.DUMMYFUNCTION("""COMPUTED_VALUE"""),20.0)</f>
        <v>20</v>
      </c>
      <c r="X632" s="763">
        <f>IFERROR(__xludf.DUMMYFUNCTION("""COMPUTED_VALUE"""),20.0)</f>
        <v>20</v>
      </c>
      <c r="Y632" s="763"/>
      <c r="Z632" s="768" t="str">
        <f>IFERROR(__xludf.DUMMYFUNCTION("""COMPUTED_VALUE"""),"https://studio-gem.it/wp-admin/post.php?post=66372&amp;action=edit")</f>
        <v>https://studio-gem.it/wp-admin/post.php?post=66372&amp;action=edit</v>
      </c>
      <c r="AA632" s="763"/>
      <c r="AB632" s="763"/>
      <c r="AC632" s="763"/>
      <c r="AD632" s="763"/>
      <c r="AE632" s="763"/>
      <c r="AF632" s="763"/>
      <c r="AG632" s="763"/>
      <c r="AH632" s="763"/>
      <c r="AI632" s="763"/>
      <c r="AJ632" s="763"/>
      <c r="AK632" s="763"/>
      <c r="AL632" s="763"/>
      <c r="AM632" s="763"/>
      <c r="AN632" s="763"/>
      <c r="AO632" s="763"/>
      <c r="AP632" s="763"/>
      <c r="AQ632" s="763"/>
      <c r="AR632" s="763"/>
      <c r="AS632" s="763"/>
      <c r="AT632" s="763"/>
      <c r="AU632" s="763"/>
      <c r="AV632" s="763"/>
      <c r="AW632" s="763"/>
      <c r="AX632" s="763"/>
      <c r="AY632" s="763"/>
      <c r="AZ632" s="763"/>
      <c r="BA632" s="763"/>
      <c r="BB632" s="763"/>
      <c r="BC632" s="763"/>
      <c r="BD632" s="763"/>
      <c r="BE632" s="763"/>
      <c r="BF632" s="763"/>
      <c r="BG632" s="763" t="b">
        <f>IFERROR(__xludf.DUMMYFUNCTION("""COMPUTED_VALUE"""),TRUE)</f>
        <v>1</v>
      </c>
      <c r="BH632" s="763" t="b">
        <f>IFERROR(__xludf.DUMMYFUNCTION("""COMPUTED_VALUE"""),FALSE)</f>
        <v>0</v>
      </c>
      <c r="BI632" s="763" t="b">
        <f>IFERROR(__xludf.DUMMYFUNCTION("""COMPUTED_VALUE"""),TRUE)</f>
        <v>1</v>
      </c>
      <c r="BJ632" s="763" t="b">
        <f>IFERROR(__xludf.DUMMYFUNCTION("""COMPUTED_VALUE"""),TRUE)</f>
        <v>1</v>
      </c>
    </row>
    <row r="633">
      <c r="A633" s="763">
        <f>IFERROR(__xludf.DUMMYFUNCTION("""COMPUTED_VALUE"""),66374.0)</f>
        <v>66374</v>
      </c>
      <c r="B633" s="763">
        <f>IFERROR(__xludf.DUMMYFUNCTION("""COMPUTED_VALUE"""),66374.0)</f>
        <v>66374</v>
      </c>
      <c r="C633" s="763" t="str">
        <f>IFERROR(__xludf.DUMMYFUNCTION("""COMPUTED_VALUE"""),"2025-11-26 17:07:32")</f>
        <v>2025-11-26 17:07:32</v>
      </c>
      <c r="D633" s="763" t="str">
        <f>IFERROR(__xludf.DUMMYFUNCTION("""COMPUTED_VALUE"""),"completed")</f>
        <v>completed</v>
      </c>
      <c r="E633" s="763" t="str">
        <f>IFERROR(__xludf.DUMMYFUNCTION("""COMPUTED_VALUE"""),"Giordana")</f>
        <v>Giordana</v>
      </c>
      <c r="F633" s="763" t="str">
        <f>IFERROR(__xludf.DUMMYFUNCTION("""COMPUTED_VALUE"""),"Ferro'")</f>
        <v>Ferro'</v>
      </c>
      <c r="G633" s="763" t="str">
        <f>IFERROR(__xludf.DUMMYFUNCTION("""COMPUTED_VALUE"""),"giordana.ferro@gmail.com")</f>
        <v>giordana.ferro@gmail.com</v>
      </c>
      <c r="H633" s="763">
        <f>IFERROR(__xludf.DUMMYFUNCTION("""COMPUTED_VALUE"""),3.921028476E9)</f>
        <v>3921028476</v>
      </c>
      <c r="I633" s="763" t="str">
        <f>IFERROR(__xludf.DUMMYFUNCTION("""COMPUTED_VALUE"""),"Milano")</f>
        <v>Milano</v>
      </c>
      <c r="J633" s="763" t="str">
        <f>IFERROR(__xludf.DUMMYFUNCTION("""COMPUTED_VALUE"""),"Via trebbia 33")</f>
        <v>Via trebbia 33</v>
      </c>
      <c r="K633" s="763">
        <f>IFERROR(__xludf.DUMMYFUNCTION("""COMPUTED_VALUE"""),20135.0)</f>
        <v>20135</v>
      </c>
      <c r="L633" s="763" t="str">
        <f>IFERROR(__xludf.DUMMYFUNCTION("""COMPUTED_VALUE"""),"Satispay")</f>
        <v>Satispay</v>
      </c>
      <c r="M633" s="763" t="str">
        <f>IFERROR(__xludf.DUMMYFUNCTION("""COMPUTED_VALUE"""),"santo05natale")</f>
        <v>santo05natale</v>
      </c>
      <c r="N633" s="763" t="str">
        <f>IFERROR(__xludf.DUMMYFUNCTION("""COMPUTED_VALUE"""),"019ac122-75db-753e-972e-9019f81629bf")</f>
        <v>019ac122-75db-753e-972e-9019f81629bf</v>
      </c>
      <c r="O633" s="763">
        <f>IFERROR(__xludf.DUMMYFUNCTION("""COMPUTED_VALUE"""),0.0)</f>
        <v>0</v>
      </c>
      <c r="P633" s="767">
        <f>IFERROR(__xludf.DUMMYFUNCTION("""COMPUTED_VALUE"""),0.8333333333333334)</f>
        <v>0.8333333333</v>
      </c>
      <c r="Q633" s="763" t="str">
        <f>IFERROR(__xludf.DUMMYFUNCTION("""COMPUTED_VALUE"""),"EUR")</f>
        <v>EUR</v>
      </c>
      <c r="R633" s="763">
        <f>IFERROR(__xludf.DUMMYFUNCTION("""COMPUTED_VALUE"""),1172.0)</f>
        <v>1172</v>
      </c>
      <c r="S633" s="763" t="str">
        <f>IFERROR(__xludf.DUMMYFUNCTION("""COMPUTED_VALUE"""),"Festa di Natale 2025 - Festa di natale 2025 SOLO serata 25€")</f>
        <v>Festa di Natale 2025 - Festa di natale 2025 SOLO serata 25€</v>
      </c>
      <c r="T633" s="763"/>
      <c r="U633" s="763"/>
      <c r="V633" s="763">
        <f>IFERROR(__xludf.DUMMYFUNCTION("""COMPUTED_VALUE"""),1.0)</f>
        <v>1</v>
      </c>
      <c r="W633" s="763">
        <f>IFERROR(__xludf.DUMMYFUNCTION("""COMPUTED_VALUE"""),20.0)</f>
        <v>20</v>
      </c>
      <c r="X633" s="763">
        <f>IFERROR(__xludf.DUMMYFUNCTION("""COMPUTED_VALUE"""),20.0)</f>
        <v>20</v>
      </c>
      <c r="Y633" s="763"/>
      <c r="Z633" s="768" t="str">
        <f>IFERROR(__xludf.DUMMYFUNCTION("""COMPUTED_VALUE"""),"https://studio-gem.it/wp-admin/post.php?post=66374&amp;action=edit")</f>
        <v>https://studio-gem.it/wp-admin/post.php?post=66374&amp;action=edit</v>
      </c>
      <c r="AA633" s="763"/>
      <c r="AB633" s="763"/>
      <c r="AC633" s="763"/>
      <c r="AD633" s="763"/>
      <c r="AE633" s="763"/>
      <c r="AF633" s="763"/>
      <c r="AG633" s="763"/>
      <c r="AH633" s="763"/>
      <c r="AI633" s="763"/>
      <c r="AJ633" s="763"/>
      <c r="AK633" s="763"/>
      <c r="AL633" s="763"/>
      <c r="AM633" s="763"/>
      <c r="AN633" s="763"/>
      <c r="AO633" s="763"/>
      <c r="AP633" s="763"/>
      <c r="AQ633" s="763"/>
      <c r="AR633" s="763"/>
      <c r="AS633" s="763"/>
      <c r="AT633" s="763"/>
      <c r="AU633" s="763"/>
      <c r="AV633" s="763"/>
      <c r="AW633" s="763"/>
      <c r="AX633" s="763"/>
      <c r="AY633" s="763"/>
      <c r="AZ633" s="763"/>
      <c r="BA633" s="763"/>
      <c r="BB633" s="763"/>
      <c r="BC633" s="763"/>
      <c r="BD633" s="763"/>
      <c r="BE633" s="763"/>
      <c r="BF633" s="763"/>
      <c r="BG633" s="763" t="b">
        <f>IFERROR(__xludf.DUMMYFUNCTION("""COMPUTED_VALUE"""),TRUE)</f>
        <v>1</v>
      </c>
      <c r="BH633" s="763" t="b">
        <f>IFERROR(__xludf.DUMMYFUNCTION("""COMPUTED_VALUE"""),FALSE)</f>
        <v>0</v>
      </c>
      <c r="BI633" s="763" t="b">
        <f>IFERROR(__xludf.DUMMYFUNCTION("""COMPUTED_VALUE"""),TRUE)</f>
        <v>1</v>
      </c>
      <c r="BJ633" s="763" t="b">
        <f>IFERROR(__xludf.DUMMYFUNCTION("""COMPUTED_VALUE"""),TRUE)</f>
        <v>1</v>
      </c>
    </row>
    <row r="634">
      <c r="A634" s="763">
        <f>IFERROR(__xludf.DUMMYFUNCTION("""COMPUTED_VALUE"""),66376.0)</f>
        <v>66376</v>
      </c>
      <c r="B634" s="763">
        <f>IFERROR(__xludf.DUMMYFUNCTION("""COMPUTED_VALUE"""),66376.0)</f>
        <v>66376</v>
      </c>
      <c r="C634" s="763" t="str">
        <f>IFERROR(__xludf.DUMMYFUNCTION("""COMPUTED_VALUE"""),"2025-11-26 17:08:52")</f>
        <v>2025-11-26 17:08:52</v>
      </c>
      <c r="D634" s="763" t="str">
        <f>IFERROR(__xludf.DUMMYFUNCTION("""COMPUTED_VALUE"""),"completed")</f>
        <v>completed</v>
      </c>
      <c r="E634" s="763" t="str">
        <f>IFERROR(__xludf.DUMMYFUNCTION("""COMPUTED_VALUE"""),"Giorgio Gabriele")</f>
        <v>Giorgio Gabriele</v>
      </c>
      <c r="F634" s="763" t="str">
        <f>IFERROR(__xludf.DUMMYFUNCTION("""COMPUTED_VALUE"""),"Vietti")</f>
        <v>Vietti</v>
      </c>
      <c r="G634" s="763" t="str">
        <f>IFERROR(__xludf.DUMMYFUNCTION("""COMPUTED_VALUE"""),"giorgio.g.vietti@gmail.com")</f>
        <v>giorgio.g.vietti@gmail.com</v>
      </c>
      <c r="H634" s="763">
        <f>IFERROR(__xludf.DUMMYFUNCTION("""COMPUTED_VALUE"""),3.202784833E9)</f>
        <v>3202784833</v>
      </c>
      <c r="I634" s="763" t="str">
        <f>IFERROR(__xludf.DUMMYFUNCTION("""COMPUTED_VALUE"""),"Milano")</f>
        <v>Milano</v>
      </c>
      <c r="J634" s="763" t="str">
        <f>IFERROR(__xludf.DUMMYFUNCTION("""COMPUTED_VALUE"""),"Via Principe Eugenio, 3")</f>
        <v>Via Principe Eugenio, 3</v>
      </c>
      <c r="K634" s="763">
        <f>IFERROR(__xludf.DUMMYFUNCTION("""COMPUTED_VALUE"""),20155.0)</f>
        <v>20155</v>
      </c>
      <c r="L634" s="763" t="str">
        <f>IFERROR(__xludf.DUMMYFUNCTION("""COMPUTED_VALUE"""),"Carte di pagamento")</f>
        <v>Carte di pagamento</v>
      </c>
      <c r="M634" s="763" t="str">
        <f>IFERROR(__xludf.DUMMYFUNCTION("""COMPUTED_VALUE"""),"massi05natale")</f>
        <v>massi05natale</v>
      </c>
      <c r="N634" s="763" t="str">
        <f>IFERROR(__xludf.DUMMYFUNCTION("""COMPUTED_VALUE"""),"66376-1764176933")</f>
        <v>66376-1764176933</v>
      </c>
      <c r="O634" s="763">
        <f>IFERROR(__xludf.DUMMYFUNCTION("""COMPUTED_VALUE"""),0.0)</f>
        <v>0</v>
      </c>
      <c r="P634" s="767">
        <f>IFERROR(__xludf.DUMMYFUNCTION("""COMPUTED_VALUE"""),0.8333333333333334)</f>
        <v>0.8333333333</v>
      </c>
      <c r="Q634" s="763" t="str">
        <f>IFERROR(__xludf.DUMMYFUNCTION("""COMPUTED_VALUE"""),"EUR")</f>
        <v>EUR</v>
      </c>
      <c r="R634" s="763">
        <f>IFERROR(__xludf.DUMMYFUNCTION("""COMPUTED_VALUE"""),1174.0)</f>
        <v>1174</v>
      </c>
      <c r="S634" s="763" t="str">
        <f>IFERROR(__xludf.DUMMYFUNCTION("""COMPUTED_VALUE"""),"Festa di Natale 2025 - Festa di natale 2025 SOLO serata 25€")</f>
        <v>Festa di Natale 2025 - Festa di natale 2025 SOLO serata 25€</v>
      </c>
      <c r="T634" s="763"/>
      <c r="U634" s="763"/>
      <c r="V634" s="763">
        <f>IFERROR(__xludf.DUMMYFUNCTION("""COMPUTED_VALUE"""),1.0)</f>
        <v>1</v>
      </c>
      <c r="W634" s="763">
        <f>IFERROR(__xludf.DUMMYFUNCTION("""COMPUTED_VALUE"""),20.0)</f>
        <v>20</v>
      </c>
      <c r="X634" s="763">
        <f>IFERROR(__xludf.DUMMYFUNCTION("""COMPUTED_VALUE"""),20.0)</f>
        <v>20</v>
      </c>
      <c r="Y634" s="763"/>
      <c r="Z634" s="768" t="str">
        <f>IFERROR(__xludf.DUMMYFUNCTION("""COMPUTED_VALUE"""),"https://studio-gem.it/wp-admin/post.php?post=66376&amp;action=edit")</f>
        <v>https://studio-gem.it/wp-admin/post.php?post=66376&amp;action=edit</v>
      </c>
      <c r="AA634" s="763"/>
      <c r="AB634" s="763"/>
      <c r="AC634" s="763"/>
      <c r="AD634" s="763"/>
      <c r="AE634" s="763"/>
      <c r="AF634" s="763"/>
      <c r="AG634" s="763"/>
      <c r="AH634" s="763"/>
      <c r="AI634" s="763"/>
      <c r="AJ634" s="763"/>
      <c r="AK634" s="763"/>
      <c r="AL634" s="763"/>
      <c r="AM634" s="763"/>
      <c r="AN634" s="763"/>
      <c r="AO634" s="763"/>
      <c r="AP634" s="763"/>
      <c r="AQ634" s="763"/>
      <c r="AR634" s="763"/>
      <c r="AS634" s="763"/>
      <c r="AT634" s="763"/>
      <c r="AU634" s="763"/>
      <c r="AV634" s="763"/>
      <c r="AW634" s="763"/>
      <c r="AX634" s="763"/>
      <c r="AY634" s="763"/>
      <c r="AZ634" s="763"/>
      <c r="BA634" s="763"/>
      <c r="BB634" s="763"/>
      <c r="BC634" s="763"/>
      <c r="BD634" s="763"/>
      <c r="BE634" s="763"/>
      <c r="BF634" s="763"/>
      <c r="BG634" s="763" t="b">
        <f>IFERROR(__xludf.DUMMYFUNCTION("""COMPUTED_VALUE"""),TRUE)</f>
        <v>1</v>
      </c>
      <c r="BH634" s="763" t="b">
        <f>IFERROR(__xludf.DUMMYFUNCTION("""COMPUTED_VALUE"""),FALSE)</f>
        <v>0</v>
      </c>
      <c r="BI634" s="763" t="b">
        <f>IFERROR(__xludf.DUMMYFUNCTION("""COMPUTED_VALUE"""),TRUE)</f>
        <v>1</v>
      </c>
      <c r="BJ634" s="763" t="b">
        <f>IFERROR(__xludf.DUMMYFUNCTION("""COMPUTED_VALUE"""),TRUE)</f>
        <v>1</v>
      </c>
    </row>
    <row r="635">
      <c r="A635" s="763">
        <f>IFERROR(__xludf.DUMMYFUNCTION("""COMPUTED_VALUE"""),66378.0)</f>
        <v>66378</v>
      </c>
      <c r="B635" s="763">
        <f>IFERROR(__xludf.DUMMYFUNCTION("""COMPUTED_VALUE"""),66378.0)</f>
        <v>66378</v>
      </c>
      <c r="C635" s="763" t="str">
        <f>IFERROR(__xludf.DUMMYFUNCTION("""COMPUTED_VALUE"""),"2025-11-26 20:34:28")</f>
        <v>2025-11-26 20:34:28</v>
      </c>
      <c r="D635" s="763" t="str">
        <f>IFERROR(__xludf.DUMMYFUNCTION("""COMPUTED_VALUE"""),"completed")</f>
        <v>completed</v>
      </c>
      <c r="E635" s="763" t="str">
        <f>IFERROR(__xludf.DUMMYFUNCTION("""COMPUTED_VALUE"""),"Serap")</f>
        <v>Serap</v>
      </c>
      <c r="F635" s="763" t="str">
        <f>IFERROR(__xludf.DUMMYFUNCTION("""COMPUTED_VALUE"""),"kara")</f>
        <v>kara</v>
      </c>
      <c r="G635" s="763" t="str">
        <f>IFERROR(__xludf.DUMMYFUNCTION("""COMPUTED_VALUE"""),"serap.karaa97@gmail.com")</f>
        <v>serap.karaa97@gmail.com</v>
      </c>
      <c r="H635" s="763">
        <f>IFERROR(__xludf.DUMMYFUNCTION("""COMPUTED_VALUE"""),3.760494267E9)</f>
        <v>3760494267</v>
      </c>
      <c r="I635" s="763" t="str">
        <f>IFERROR(__xludf.DUMMYFUNCTION("""COMPUTED_VALUE"""),"Milano")</f>
        <v>Milano</v>
      </c>
      <c r="J635" s="763" t="str">
        <f>IFERROR(__xludf.DUMMYFUNCTION("""COMPUTED_VALUE"""),"via paullo 9A")</f>
        <v>via paullo 9A</v>
      </c>
      <c r="K635" s="763">
        <f>IFERROR(__xludf.DUMMYFUNCTION("""COMPUTED_VALUE"""),20135.0)</f>
        <v>20135</v>
      </c>
      <c r="L635" s="763" t="str">
        <f>IFERROR(__xludf.DUMMYFUNCTION("""COMPUTED_VALUE"""),"Apple Pay")</f>
        <v>Apple Pay</v>
      </c>
      <c r="M635" s="763"/>
      <c r="N635" s="763" t="str">
        <f>IFERROR(__xludf.DUMMYFUNCTION("""COMPUTED_VALUE"""),"66378-1764189270")</f>
        <v>66378-1764189270</v>
      </c>
      <c r="O635" s="763">
        <f>IFERROR(__xludf.DUMMYFUNCTION("""COMPUTED_VALUE"""),0.0)</f>
        <v>0</v>
      </c>
      <c r="P635" s="767">
        <f>IFERROR(__xludf.DUMMYFUNCTION("""COMPUTED_VALUE"""),1.0416666666666667)</f>
        <v>1.041666667</v>
      </c>
      <c r="Q635" s="763" t="str">
        <f>IFERROR(__xludf.DUMMYFUNCTION("""COMPUTED_VALUE"""),"EUR")</f>
        <v>EUR</v>
      </c>
      <c r="R635" s="763">
        <f>IFERROR(__xludf.DUMMYFUNCTION("""COMPUTED_VALUE"""),1176.0)</f>
        <v>1176</v>
      </c>
      <c r="S635" s="763" t="str">
        <f>IFERROR(__xludf.DUMMYFUNCTION("""COMPUTED_VALUE"""),"Festa di Natale 2025 - Festa di natale 2025 SOLO serata 25€")</f>
        <v>Festa di Natale 2025 - Festa di natale 2025 SOLO serata 25€</v>
      </c>
      <c r="T635" s="763"/>
      <c r="U635" s="763"/>
      <c r="V635" s="763">
        <f>IFERROR(__xludf.DUMMYFUNCTION("""COMPUTED_VALUE"""),1.0)</f>
        <v>1</v>
      </c>
      <c r="W635" s="763">
        <f>IFERROR(__xludf.DUMMYFUNCTION("""COMPUTED_VALUE"""),25.0)</f>
        <v>25</v>
      </c>
      <c r="X635" s="763">
        <f>IFERROR(__xludf.DUMMYFUNCTION("""COMPUTED_VALUE"""),25.0)</f>
        <v>25</v>
      </c>
      <c r="Y635" s="763"/>
      <c r="Z635" s="768" t="str">
        <f>IFERROR(__xludf.DUMMYFUNCTION("""COMPUTED_VALUE"""),"https://studio-gem.it/wp-admin/post.php?post=66378&amp;action=edit")</f>
        <v>https://studio-gem.it/wp-admin/post.php?post=66378&amp;action=edit</v>
      </c>
      <c r="AA635" s="763"/>
      <c r="AB635" s="763"/>
      <c r="AC635" s="763"/>
      <c r="AD635" s="763"/>
      <c r="AE635" s="763"/>
      <c r="AF635" s="763"/>
      <c r="AG635" s="763"/>
      <c r="AH635" s="763"/>
      <c r="AI635" s="763"/>
      <c r="AJ635" s="763"/>
      <c r="AK635" s="763"/>
      <c r="AL635" s="763"/>
      <c r="AM635" s="763"/>
      <c r="AN635" s="763"/>
      <c r="AO635" s="763"/>
      <c r="AP635" s="763"/>
      <c r="AQ635" s="763"/>
      <c r="AR635" s="763"/>
      <c r="AS635" s="763"/>
      <c r="AT635" s="763"/>
      <c r="AU635" s="763"/>
      <c r="AV635" s="763"/>
      <c r="AW635" s="763"/>
      <c r="AX635" s="763"/>
      <c r="AY635" s="763"/>
      <c r="AZ635" s="763"/>
      <c r="BA635" s="763"/>
      <c r="BB635" s="763"/>
      <c r="BC635" s="763"/>
      <c r="BD635" s="763"/>
      <c r="BE635" s="763"/>
      <c r="BF635" s="763"/>
      <c r="BG635" s="763" t="b">
        <f>IFERROR(__xludf.DUMMYFUNCTION("""COMPUTED_VALUE"""),TRUE)</f>
        <v>1</v>
      </c>
      <c r="BH635" s="763" t="b">
        <f>IFERROR(__xludf.DUMMYFUNCTION("""COMPUTED_VALUE"""),FALSE)</f>
        <v>0</v>
      </c>
      <c r="BI635" s="763" t="b">
        <f>IFERROR(__xludf.DUMMYFUNCTION("""COMPUTED_VALUE"""),TRUE)</f>
        <v>1</v>
      </c>
      <c r="BJ635" s="763" t="b">
        <f>IFERROR(__xludf.DUMMYFUNCTION("""COMPUTED_VALUE"""),TRUE)</f>
        <v>1</v>
      </c>
    </row>
    <row r="636">
      <c r="A636" s="763">
        <f>IFERROR(__xludf.DUMMYFUNCTION("""COMPUTED_VALUE"""),66401.0)</f>
        <v>66401</v>
      </c>
      <c r="B636" s="763">
        <f>IFERROR(__xludf.DUMMYFUNCTION("""COMPUTED_VALUE"""),66401.0)</f>
        <v>66401</v>
      </c>
      <c r="C636" s="763" t="str">
        <f>IFERROR(__xludf.DUMMYFUNCTION("""COMPUTED_VALUE"""),"2025-11-27 20:26:03")</f>
        <v>2025-11-27 20:26:03</v>
      </c>
      <c r="D636" s="763" t="str">
        <f>IFERROR(__xludf.DUMMYFUNCTION("""COMPUTED_VALUE"""),"completed")</f>
        <v>completed</v>
      </c>
      <c r="E636" s="763" t="str">
        <f>IFERROR(__xludf.DUMMYFUNCTION("""COMPUTED_VALUE"""),"Daniela")</f>
        <v>Daniela</v>
      </c>
      <c r="F636" s="763" t="str">
        <f>IFERROR(__xludf.DUMMYFUNCTION("""COMPUTED_VALUE"""),"Mormanni")</f>
        <v>Mormanni</v>
      </c>
      <c r="G636" s="763" t="str">
        <f>IFERROR(__xludf.DUMMYFUNCTION("""COMPUTED_VALUE"""),"daniela85mor@gmail.com")</f>
        <v>daniela85mor@gmail.com</v>
      </c>
      <c r="H636" s="763">
        <f>IFERROR(__xludf.DUMMYFUNCTION("""COMPUTED_VALUE"""),3.492588361E9)</f>
        <v>3492588361</v>
      </c>
      <c r="I636" s="763" t="str">
        <f>IFERROR(__xludf.DUMMYFUNCTION("""COMPUTED_VALUE"""),"Milano")</f>
        <v>Milano</v>
      </c>
      <c r="J636" s="763" t="str">
        <f>IFERROR(__xludf.DUMMYFUNCTION("""COMPUTED_VALUE"""),"Viale monte nero 29")</f>
        <v>Viale monte nero 29</v>
      </c>
      <c r="K636" s="763">
        <f>IFERROR(__xludf.DUMMYFUNCTION("""COMPUTED_VALUE"""),20135.0)</f>
        <v>20135</v>
      </c>
      <c r="L636" s="763" t="str">
        <f>IFERROR(__xludf.DUMMYFUNCTION("""COMPUTED_VALUE"""),"Apple Pay")</f>
        <v>Apple Pay</v>
      </c>
      <c r="M636" s="763" t="str">
        <f>IFERROR(__xludf.DUMMYFUNCTION("""COMPUTED_VALUE"""),"alexandra05natale")</f>
        <v>alexandra05natale</v>
      </c>
      <c r="N636" s="763" t="str">
        <f>IFERROR(__xludf.DUMMYFUNCTION("""COMPUTED_VALUE"""),"66401-1764275177")</f>
        <v>66401-1764275177</v>
      </c>
      <c r="O636" s="763">
        <f>IFERROR(__xludf.DUMMYFUNCTION("""COMPUTED_VALUE"""),0.0)</f>
        <v>0</v>
      </c>
      <c r="P636" s="767">
        <f>IFERROR(__xludf.DUMMYFUNCTION("""COMPUTED_VALUE"""),0.8333333333333334)</f>
        <v>0.8333333333</v>
      </c>
      <c r="Q636" s="763" t="str">
        <f>IFERROR(__xludf.DUMMYFUNCTION("""COMPUTED_VALUE"""),"EUR")</f>
        <v>EUR</v>
      </c>
      <c r="R636" s="763">
        <f>IFERROR(__xludf.DUMMYFUNCTION("""COMPUTED_VALUE"""),1177.0)</f>
        <v>1177</v>
      </c>
      <c r="S636" s="763" t="str">
        <f>IFERROR(__xludf.DUMMYFUNCTION("""COMPUTED_VALUE"""),"Festa di Natale 2025 - Festa di natale 2025 SOLO serata 25€")</f>
        <v>Festa di Natale 2025 - Festa di natale 2025 SOLO serata 25€</v>
      </c>
      <c r="T636" s="763"/>
      <c r="U636" s="763"/>
      <c r="V636" s="763">
        <f>IFERROR(__xludf.DUMMYFUNCTION("""COMPUTED_VALUE"""),1.0)</f>
        <v>1</v>
      </c>
      <c r="W636" s="763">
        <f>IFERROR(__xludf.DUMMYFUNCTION("""COMPUTED_VALUE"""),20.0)</f>
        <v>20</v>
      </c>
      <c r="X636" s="763">
        <f>IFERROR(__xludf.DUMMYFUNCTION("""COMPUTED_VALUE"""),20.0)</f>
        <v>20</v>
      </c>
      <c r="Y636" s="763"/>
      <c r="Z636" s="768" t="str">
        <f>IFERROR(__xludf.DUMMYFUNCTION("""COMPUTED_VALUE"""),"https://studio-gem.it/wp-admin/post.php?post=66401&amp;action=edit")</f>
        <v>https://studio-gem.it/wp-admin/post.php?post=66401&amp;action=edit</v>
      </c>
      <c r="AA636" s="763"/>
      <c r="AB636" s="763"/>
      <c r="AC636" s="763"/>
      <c r="AD636" s="763"/>
      <c r="AE636" s="763"/>
      <c r="AF636" s="763"/>
      <c r="AG636" s="763"/>
      <c r="AH636" s="763"/>
      <c r="AI636" s="763"/>
      <c r="AJ636" s="763"/>
      <c r="AK636" s="763"/>
      <c r="AL636" s="763"/>
      <c r="AM636" s="763"/>
      <c r="AN636" s="763"/>
      <c r="AO636" s="763"/>
      <c r="AP636" s="763"/>
      <c r="AQ636" s="763"/>
      <c r="AR636" s="763"/>
      <c r="AS636" s="763"/>
      <c r="AT636" s="763"/>
      <c r="AU636" s="763"/>
      <c r="AV636" s="763"/>
      <c r="AW636" s="763"/>
      <c r="AX636" s="763"/>
      <c r="AY636" s="763"/>
      <c r="AZ636" s="763"/>
      <c r="BA636" s="763"/>
      <c r="BB636" s="763"/>
      <c r="BC636" s="763"/>
      <c r="BD636" s="763"/>
      <c r="BE636" s="763"/>
      <c r="BF636" s="763"/>
      <c r="BG636" s="763" t="b">
        <f>IFERROR(__xludf.DUMMYFUNCTION("""COMPUTED_VALUE"""),TRUE)</f>
        <v>1</v>
      </c>
      <c r="BH636" s="763" t="b">
        <f>IFERROR(__xludf.DUMMYFUNCTION("""COMPUTED_VALUE"""),FALSE)</f>
        <v>0</v>
      </c>
      <c r="BI636" s="763" t="b">
        <f>IFERROR(__xludf.DUMMYFUNCTION("""COMPUTED_VALUE"""),TRUE)</f>
        <v>1</v>
      </c>
      <c r="BJ636" s="763" t="b">
        <f>IFERROR(__xludf.DUMMYFUNCTION("""COMPUTED_VALUE"""),TRUE)</f>
        <v>1</v>
      </c>
    </row>
    <row r="637">
      <c r="A637" s="763">
        <f>IFERROR(__xludf.DUMMYFUNCTION("""COMPUTED_VALUE"""),66403.0)</f>
        <v>66403</v>
      </c>
      <c r="B637" s="763">
        <f>IFERROR(__xludf.DUMMYFUNCTION("""COMPUTED_VALUE"""),66403.0)</f>
        <v>66403</v>
      </c>
      <c r="C637" s="763" t="str">
        <f>IFERROR(__xludf.DUMMYFUNCTION("""COMPUTED_VALUE"""),"2025-11-27 22:12:12")</f>
        <v>2025-11-27 22:12:12</v>
      </c>
      <c r="D637" s="763" t="str">
        <f>IFERROR(__xludf.DUMMYFUNCTION("""COMPUTED_VALUE"""),"pending")</f>
        <v>pending</v>
      </c>
      <c r="E637" s="763" t="str">
        <f>IFERROR(__xludf.DUMMYFUNCTION("""COMPUTED_VALUE"""),"Lorenzo")</f>
        <v>Lorenzo</v>
      </c>
      <c r="F637" s="763" t="str">
        <f>IFERROR(__xludf.DUMMYFUNCTION("""COMPUTED_VALUE"""),"Vitali")</f>
        <v>Vitali</v>
      </c>
      <c r="G637" s="763" t="str">
        <f>IFERROR(__xludf.DUMMYFUNCTION("""COMPUTED_VALUE"""),"vitali.lorenzo20@gmail.com")</f>
        <v>vitali.lorenzo20@gmail.com</v>
      </c>
      <c r="H637" s="763">
        <f>IFERROR(__xludf.DUMMYFUNCTION("""COMPUTED_VALUE"""),3.46427687E9)</f>
        <v>3464276870</v>
      </c>
      <c r="I637" s="763" t="str">
        <f>IFERROR(__xludf.DUMMYFUNCTION("""COMPUTED_VALUE"""),"Milano")</f>
        <v>Milano</v>
      </c>
      <c r="J637" s="763" t="str">
        <f>IFERROR(__xludf.DUMMYFUNCTION("""COMPUTED_VALUE"""),"Via Tertulliano, 57")</f>
        <v>Via Tertulliano, 57</v>
      </c>
      <c r="K637" s="763">
        <f>IFERROR(__xludf.DUMMYFUNCTION("""COMPUTED_VALUE"""),20137.0)</f>
        <v>20137</v>
      </c>
      <c r="L637" s="763" t="str">
        <f>IFERROR(__xludf.DUMMYFUNCTION("""COMPUTED_VALUE"""),"Carte di pagamento")</f>
        <v>Carte di pagamento</v>
      </c>
      <c r="M637" s="763"/>
      <c r="N637" s="763"/>
      <c r="O637" s="763">
        <f>IFERROR(__xludf.DUMMYFUNCTION("""COMPUTED_VALUE"""),0.0)</f>
        <v>0</v>
      </c>
      <c r="P637" s="767">
        <f>IFERROR(__xludf.DUMMYFUNCTION("""COMPUTED_VALUE"""),2.2916666666666665)</f>
        <v>2.291666667</v>
      </c>
      <c r="Q637" s="763" t="str">
        <f>IFERROR(__xludf.DUMMYFUNCTION("""COMPUTED_VALUE"""),"EUR")</f>
        <v>EUR</v>
      </c>
      <c r="R637" s="763">
        <f>IFERROR(__xludf.DUMMYFUNCTION("""COMPUTED_VALUE"""),1179.0)</f>
        <v>1179</v>
      </c>
      <c r="S637" s="763" t="str">
        <f>IFERROR(__xludf.DUMMYFUNCTION("""COMPUTED_VALUE"""),"Festa di Natale 2025 - Festa di natale 2025 lezioni + pizza + serata 55€")</f>
        <v>Festa di Natale 2025 - Festa di natale 2025 lezioni + pizza + serata 55€</v>
      </c>
      <c r="T637" s="763"/>
      <c r="U637" s="763"/>
      <c r="V637" s="763">
        <f>IFERROR(__xludf.DUMMYFUNCTION("""COMPUTED_VALUE"""),1.0)</f>
        <v>1</v>
      </c>
      <c r="W637" s="763">
        <f>IFERROR(__xludf.DUMMYFUNCTION("""COMPUTED_VALUE"""),55.0)</f>
        <v>55</v>
      </c>
      <c r="X637" s="763">
        <f>IFERROR(__xludf.DUMMYFUNCTION("""COMPUTED_VALUE"""),55.0)</f>
        <v>55</v>
      </c>
      <c r="Y637" s="763"/>
      <c r="Z637" s="768" t="str">
        <f>IFERROR(__xludf.DUMMYFUNCTION("""COMPUTED_VALUE"""),"https://studio-gem.it/wp-admin/post.php?post=66403&amp;action=edit")</f>
        <v>https://studio-gem.it/wp-admin/post.php?post=66403&amp;action=edit</v>
      </c>
      <c r="AA637" s="763"/>
      <c r="AB637" s="763"/>
      <c r="AC637" s="763"/>
      <c r="AD637" s="763"/>
      <c r="AE637" s="763"/>
      <c r="AF637" s="763"/>
      <c r="AG637" s="763"/>
      <c r="AH637" s="763"/>
      <c r="AI637" s="763"/>
      <c r="AJ637" s="763"/>
      <c r="AK637" s="763"/>
      <c r="AL637" s="763"/>
      <c r="AM637" s="763"/>
      <c r="AN637" s="763"/>
      <c r="AO637" s="763"/>
      <c r="AP637" s="763"/>
      <c r="AQ637" s="763"/>
      <c r="AR637" s="763"/>
      <c r="AS637" s="763"/>
      <c r="AT637" s="763"/>
      <c r="AU637" s="763"/>
      <c r="AV637" s="763"/>
      <c r="AW637" s="763"/>
      <c r="AX637" s="763"/>
      <c r="AY637" s="763"/>
      <c r="AZ637" s="763"/>
      <c r="BA637" s="763"/>
      <c r="BB637" s="763"/>
      <c r="BC637" s="763"/>
      <c r="BD637" s="763"/>
      <c r="BE637" s="763"/>
      <c r="BF637" s="763"/>
      <c r="BG637" s="763" t="b">
        <f>IFERROR(__xludf.DUMMYFUNCTION("""COMPUTED_VALUE"""),FALSE)</f>
        <v>0</v>
      </c>
      <c r="BH637" s="763" t="b">
        <f>IFERROR(__xludf.DUMMYFUNCTION("""COMPUTED_VALUE"""),FALSE)</f>
        <v>0</v>
      </c>
      <c r="BI637" s="763" t="b">
        <f>IFERROR(__xludf.DUMMYFUNCTION("""COMPUTED_VALUE"""),FALSE)</f>
        <v>0</v>
      </c>
      <c r="BJ637" s="763" t="b">
        <f>IFERROR(__xludf.DUMMYFUNCTION("""COMPUTED_VALUE"""),FALSE)</f>
        <v>0</v>
      </c>
    </row>
    <row r="638">
      <c r="A638" s="763">
        <f>IFERROR(__xludf.DUMMYFUNCTION("""COMPUTED_VALUE"""),66404.0)</f>
        <v>66404</v>
      </c>
      <c r="B638" s="763">
        <f>IFERROR(__xludf.DUMMYFUNCTION("""COMPUTED_VALUE"""),66404.0)</f>
        <v>66404</v>
      </c>
      <c r="C638" s="763" t="str">
        <f>IFERROR(__xludf.DUMMYFUNCTION("""COMPUTED_VALUE"""),"2025-11-27 22:14:09")</f>
        <v>2025-11-27 22:14:09</v>
      </c>
      <c r="D638" s="763" t="str">
        <f>IFERROR(__xludf.DUMMYFUNCTION("""COMPUTED_VALUE"""),"processing")</f>
        <v>processing</v>
      </c>
      <c r="E638" s="763" t="str">
        <f>IFERROR(__xludf.DUMMYFUNCTION("""COMPUTED_VALUE"""),"Lorenzo")</f>
        <v>Lorenzo</v>
      </c>
      <c r="F638" s="763" t="str">
        <f>IFERROR(__xludf.DUMMYFUNCTION("""COMPUTED_VALUE"""),"Vitali")</f>
        <v>Vitali</v>
      </c>
      <c r="G638" s="763" t="str">
        <f>IFERROR(__xludf.DUMMYFUNCTION("""COMPUTED_VALUE"""),"vitali.lorenzo20@gmail.com")</f>
        <v>vitali.lorenzo20@gmail.com</v>
      </c>
      <c r="H638" s="763">
        <f>IFERROR(__xludf.DUMMYFUNCTION("""COMPUTED_VALUE"""),3.46427687E9)</f>
        <v>3464276870</v>
      </c>
      <c r="I638" s="763" t="str">
        <f>IFERROR(__xludf.DUMMYFUNCTION("""COMPUTED_VALUE"""),"Milano")</f>
        <v>Milano</v>
      </c>
      <c r="J638" s="763" t="str">
        <f>IFERROR(__xludf.DUMMYFUNCTION("""COMPUTED_VALUE"""),"Via Tertulliano, 57")</f>
        <v>Via Tertulliano, 57</v>
      </c>
      <c r="K638" s="763">
        <f>IFERROR(__xludf.DUMMYFUNCTION("""COMPUTED_VALUE"""),20137.0)</f>
        <v>20137</v>
      </c>
      <c r="L638" s="763" t="str">
        <f>IFERROR(__xludf.DUMMYFUNCTION("""COMPUTED_VALUE"""),"Carte di pagamento")</f>
        <v>Carte di pagamento</v>
      </c>
      <c r="M638" s="763" t="str">
        <f>IFERROR(__xludf.DUMMYFUNCTION("""COMPUTED_VALUE"""),"santo05natale")</f>
        <v>santo05natale</v>
      </c>
      <c r="N638" s="763" t="str">
        <f>IFERROR(__xludf.DUMMYFUNCTION("""COMPUTED_VALUE"""),"66404-1764281650")</f>
        <v>66404-1764281650</v>
      </c>
      <c r="O638" s="763">
        <f>IFERROR(__xludf.DUMMYFUNCTION("""COMPUTED_VALUE"""),0.0)</f>
        <v>0</v>
      </c>
      <c r="P638" s="767">
        <f>IFERROR(__xludf.DUMMYFUNCTION("""COMPUTED_VALUE"""),2.0833333333333335)</f>
        <v>2.083333333</v>
      </c>
      <c r="Q638" s="763" t="str">
        <f>IFERROR(__xludf.DUMMYFUNCTION("""COMPUTED_VALUE"""),"EUR")</f>
        <v>EUR</v>
      </c>
      <c r="R638" s="763">
        <f>IFERROR(__xludf.DUMMYFUNCTION("""COMPUTED_VALUE"""),1180.0)</f>
        <v>1180</v>
      </c>
      <c r="S638" s="763" t="str">
        <f>IFERROR(__xludf.DUMMYFUNCTION("""COMPUTED_VALUE"""),"Festa di Natale 2025 - Festa di natale 2025 lezioni + pizza + serata 55€")</f>
        <v>Festa di Natale 2025 - Festa di natale 2025 lezioni + pizza + serata 55€</v>
      </c>
      <c r="T638" s="763"/>
      <c r="U638" s="763"/>
      <c r="V638" s="763">
        <f>IFERROR(__xludf.DUMMYFUNCTION("""COMPUTED_VALUE"""),1.0)</f>
        <v>1</v>
      </c>
      <c r="W638" s="763">
        <f>IFERROR(__xludf.DUMMYFUNCTION("""COMPUTED_VALUE"""),50.0)</f>
        <v>50</v>
      </c>
      <c r="X638" s="763">
        <f>IFERROR(__xludf.DUMMYFUNCTION("""COMPUTED_VALUE"""),50.0)</f>
        <v>50</v>
      </c>
      <c r="Y638" s="763"/>
      <c r="Z638" s="768" t="str">
        <f>IFERROR(__xludf.DUMMYFUNCTION("""COMPUTED_VALUE"""),"https://studio-gem.it/wp-admin/post.php?post=66404&amp;action=edit")</f>
        <v>https://studio-gem.it/wp-admin/post.php?post=66404&amp;action=edit</v>
      </c>
      <c r="AA638" s="763"/>
      <c r="AB638" s="763"/>
      <c r="AC638" s="763"/>
      <c r="AD638" s="763"/>
      <c r="AE638" s="763"/>
      <c r="AF638" s="763"/>
      <c r="AG638" s="763"/>
      <c r="AH638" s="763"/>
      <c r="AI638" s="763"/>
      <c r="AJ638" s="763"/>
      <c r="AK638" s="763"/>
      <c r="AL638" s="763"/>
      <c r="AM638" s="763"/>
      <c r="AN638" s="763"/>
      <c r="AO638" s="763"/>
      <c r="AP638" s="763"/>
      <c r="AQ638" s="763"/>
      <c r="AR638" s="763"/>
      <c r="AS638" s="763"/>
      <c r="AT638" s="763"/>
      <c r="AU638" s="763"/>
      <c r="AV638" s="763"/>
      <c r="AW638" s="763"/>
      <c r="AX638" s="763"/>
      <c r="AY638" s="763"/>
      <c r="AZ638" s="763"/>
      <c r="BA638" s="763"/>
      <c r="BB638" s="763"/>
      <c r="BC638" s="763"/>
      <c r="BD638" s="763"/>
      <c r="BE638" s="763"/>
      <c r="BF638" s="763"/>
      <c r="BG638" s="763" t="b">
        <f>IFERROR(__xludf.DUMMYFUNCTION("""COMPUTED_VALUE"""),TRUE)</f>
        <v>1</v>
      </c>
      <c r="BH638" s="763" t="b">
        <f>IFERROR(__xludf.DUMMYFUNCTION("""COMPUTED_VALUE"""),FALSE)</f>
        <v>0</v>
      </c>
      <c r="BI638" s="763" t="b">
        <f>IFERROR(__xludf.DUMMYFUNCTION("""COMPUTED_VALUE"""),TRUE)</f>
        <v>1</v>
      </c>
      <c r="BJ638" s="763" t="b">
        <f>IFERROR(__xludf.DUMMYFUNCTION("""COMPUTED_VALUE"""),TRUE)</f>
        <v>1</v>
      </c>
    </row>
    <row r="639">
      <c r="A639" s="763">
        <f>IFERROR(__xludf.DUMMYFUNCTION("""COMPUTED_VALUE"""),66407.0)</f>
        <v>66407</v>
      </c>
      <c r="B639" s="763">
        <f>IFERROR(__xludf.DUMMYFUNCTION("""COMPUTED_VALUE"""),66407.0)</f>
        <v>66407</v>
      </c>
      <c r="C639" s="763" t="str">
        <f>IFERROR(__xludf.DUMMYFUNCTION("""COMPUTED_VALUE"""),"2025-11-28 08:30:01")</f>
        <v>2025-11-28 08:30:01</v>
      </c>
      <c r="D639" s="763" t="str">
        <f>IFERROR(__xludf.DUMMYFUNCTION("""COMPUTED_VALUE"""),"completed")</f>
        <v>completed</v>
      </c>
      <c r="E639" s="763" t="str">
        <f>IFERROR(__xludf.DUMMYFUNCTION("""COMPUTED_VALUE"""),"Veronica")</f>
        <v>Veronica</v>
      </c>
      <c r="F639" s="763" t="str">
        <f>IFERROR(__xludf.DUMMYFUNCTION("""COMPUTED_VALUE"""),"Da Dalt")</f>
        <v>Da Dalt</v>
      </c>
      <c r="G639" s="763" t="str">
        <f>IFERROR(__xludf.DUMMYFUNCTION("""COMPUTED_VALUE"""),"vero.dadalt@gmail.com")</f>
        <v>vero.dadalt@gmail.com</v>
      </c>
      <c r="H639" s="763">
        <f>IFERROR(__xludf.DUMMYFUNCTION("""COMPUTED_VALUE"""),3.465219903E9)</f>
        <v>3465219903</v>
      </c>
      <c r="I639" s="763" t="str">
        <f>IFERROR(__xludf.DUMMYFUNCTION("""COMPUTED_VALUE"""),"Milano")</f>
        <v>Milano</v>
      </c>
      <c r="J639" s="763" t="str">
        <f>IFERROR(__xludf.DUMMYFUNCTION("""COMPUTED_VALUE"""),"Via San Calocero 27")</f>
        <v>Via San Calocero 27</v>
      </c>
      <c r="K639" s="763">
        <f>IFERROR(__xludf.DUMMYFUNCTION("""COMPUTED_VALUE"""),20143.0)</f>
        <v>20143</v>
      </c>
      <c r="L639" s="763" t="str">
        <f>IFERROR(__xludf.DUMMYFUNCTION("""COMPUTED_VALUE"""),"Apple Pay")</f>
        <v>Apple Pay</v>
      </c>
      <c r="M639" s="763"/>
      <c r="N639" s="763" t="str">
        <f>IFERROR(__xludf.DUMMYFUNCTION("""COMPUTED_VALUE"""),"66407-1764318614")</f>
        <v>66407-1764318614</v>
      </c>
      <c r="O639" s="763">
        <f>IFERROR(__xludf.DUMMYFUNCTION("""COMPUTED_VALUE"""),0.0)</f>
        <v>0</v>
      </c>
      <c r="P639" s="767">
        <f>IFERROR(__xludf.DUMMYFUNCTION("""COMPUTED_VALUE"""),1.0416666666666667)</f>
        <v>1.041666667</v>
      </c>
      <c r="Q639" s="763" t="str">
        <f>IFERROR(__xludf.DUMMYFUNCTION("""COMPUTED_VALUE"""),"EUR")</f>
        <v>EUR</v>
      </c>
      <c r="R639" s="763">
        <f>IFERROR(__xludf.DUMMYFUNCTION("""COMPUTED_VALUE"""),1182.0)</f>
        <v>1182</v>
      </c>
      <c r="S639" s="763" t="str">
        <f>IFERROR(__xludf.DUMMYFUNCTION("""COMPUTED_VALUE"""),"Festa di Natale 2025 - Festa di natale 2025 SOLO serata 25€")</f>
        <v>Festa di Natale 2025 - Festa di natale 2025 SOLO serata 25€</v>
      </c>
      <c r="T639" s="763"/>
      <c r="U639" s="763"/>
      <c r="V639" s="763">
        <f>IFERROR(__xludf.DUMMYFUNCTION("""COMPUTED_VALUE"""),1.0)</f>
        <v>1</v>
      </c>
      <c r="W639" s="763">
        <f>IFERROR(__xludf.DUMMYFUNCTION("""COMPUTED_VALUE"""),25.0)</f>
        <v>25</v>
      </c>
      <c r="X639" s="763">
        <f>IFERROR(__xludf.DUMMYFUNCTION("""COMPUTED_VALUE"""),25.0)</f>
        <v>25</v>
      </c>
      <c r="Y639" s="763"/>
      <c r="Z639" s="768" t="str">
        <f>IFERROR(__xludf.DUMMYFUNCTION("""COMPUTED_VALUE"""),"https://studio-gem.it/wp-admin/post.php?post=66407&amp;action=edit")</f>
        <v>https://studio-gem.it/wp-admin/post.php?post=66407&amp;action=edit</v>
      </c>
      <c r="AA639" s="763"/>
      <c r="AB639" s="763"/>
      <c r="AC639" s="763"/>
      <c r="AD639" s="763"/>
      <c r="AE639" s="763"/>
      <c r="AF639" s="763"/>
      <c r="AG639" s="763"/>
      <c r="AH639" s="763"/>
      <c r="AI639" s="763"/>
      <c r="AJ639" s="763"/>
      <c r="AK639" s="763"/>
      <c r="AL639" s="763"/>
      <c r="AM639" s="763"/>
      <c r="AN639" s="763"/>
      <c r="AO639" s="763"/>
      <c r="AP639" s="763"/>
      <c r="AQ639" s="763"/>
      <c r="AR639" s="763"/>
      <c r="AS639" s="763"/>
      <c r="AT639" s="763"/>
      <c r="AU639" s="763"/>
      <c r="AV639" s="763"/>
      <c r="AW639" s="763"/>
      <c r="AX639" s="763"/>
      <c r="AY639" s="763"/>
      <c r="AZ639" s="763"/>
      <c r="BA639" s="763"/>
      <c r="BB639" s="763"/>
      <c r="BC639" s="763"/>
      <c r="BD639" s="763"/>
      <c r="BE639" s="763"/>
      <c r="BF639" s="763"/>
      <c r="BG639" s="763" t="b">
        <f>IFERROR(__xludf.DUMMYFUNCTION("""COMPUTED_VALUE"""),TRUE)</f>
        <v>1</v>
      </c>
      <c r="BH639" s="763" t="b">
        <f>IFERROR(__xludf.DUMMYFUNCTION("""COMPUTED_VALUE"""),FALSE)</f>
        <v>0</v>
      </c>
      <c r="BI639" s="763" t="b">
        <f>IFERROR(__xludf.DUMMYFUNCTION("""COMPUTED_VALUE"""),TRUE)</f>
        <v>1</v>
      </c>
      <c r="BJ639" s="763" t="b">
        <f>IFERROR(__xludf.DUMMYFUNCTION("""COMPUTED_VALUE"""),TRUE)</f>
        <v>1</v>
      </c>
    </row>
    <row r="640">
      <c r="A640" s="763">
        <f>IFERROR(__xludf.DUMMYFUNCTION("""COMPUTED_VALUE"""),66409.0)</f>
        <v>66409</v>
      </c>
      <c r="B640" s="763">
        <f>IFERROR(__xludf.DUMMYFUNCTION("""COMPUTED_VALUE"""),66409.0)</f>
        <v>66409</v>
      </c>
      <c r="C640" s="763" t="str">
        <f>IFERROR(__xludf.DUMMYFUNCTION("""COMPUTED_VALUE"""),"2025-11-28 08:40:18")</f>
        <v>2025-11-28 08:40:18</v>
      </c>
      <c r="D640" s="763" t="str">
        <f>IFERROR(__xludf.DUMMYFUNCTION("""COMPUTED_VALUE"""),"completed")</f>
        <v>completed</v>
      </c>
      <c r="E640" s="763" t="str">
        <f>IFERROR(__xludf.DUMMYFUNCTION("""COMPUTED_VALUE"""),"Monica")</f>
        <v>Monica</v>
      </c>
      <c r="F640" s="763" t="str">
        <f>IFERROR(__xludf.DUMMYFUNCTION("""COMPUTED_VALUE"""),"Mirto")</f>
        <v>Mirto</v>
      </c>
      <c r="G640" s="763" t="str">
        <f>IFERROR(__xludf.DUMMYFUNCTION("""COMPUTED_VALUE"""),"monica_mirto@libero.it")</f>
        <v>monica_mirto@libero.it</v>
      </c>
      <c r="H640" s="763">
        <f>IFERROR(__xludf.DUMMYFUNCTION("""COMPUTED_VALUE"""),3.488159583E9)</f>
        <v>3488159583</v>
      </c>
      <c r="I640" s="763" t="str">
        <f>IFERROR(__xludf.DUMMYFUNCTION("""COMPUTED_VALUE"""),"Casagiove")</f>
        <v>Casagiove</v>
      </c>
      <c r="J640" s="763" t="str">
        <f>IFERROR(__xludf.DUMMYFUNCTION("""COMPUTED_VALUE"""),"Via L.Castiello")</f>
        <v>Via L.Castiello</v>
      </c>
      <c r="K640" s="763">
        <f>IFERROR(__xludf.DUMMYFUNCTION("""COMPUTED_VALUE"""),81022.0)</f>
        <v>81022</v>
      </c>
      <c r="L640" s="763" t="str">
        <f>IFERROR(__xludf.DUMMYFUNCTION("""COMPUTED_VALUE"""),"Apple Pay")</f>
        <v>Apple Pay</v>
      </c>
      <c r="M640" s="763"/>
      <c r="N640" s="763" t="str">
        <f>IFERROR(__xludf.DUMMYFUNCTION("""COMPUTED_VALUE"""),"66409-1764319219")</f>
        <v>66409-1764319219</v>
      </c>
      <c r="O640" s="763">
        <f>IFERROR(__xludf.DUMMYFUNCTION("""COMPUTED_VALUE"""),0.0)</f>
        <v>0</v>
      </c>
      <c r="P640" s="767">
        <f>IFERROR(__xludf.DUMMYFUNCTION("""COMPUTED_VALUE"""),1.0416666666666667)</f>
        <v>1.041666667</v>
      </c>
      <c r="Q640" s="763" t="str">
        <f>IFERROR(__xludf.DUMMYFUNCTION("""COMPUTED_VALUE"""),"EUR")</f>
        <v>EUR</v>
      </c>
      <c r="R640" s="763">
        <f>IFERROR(__xludf.DUMMYFUNCTION("""COMPUTED_VALUE"""),1183.0)</f>
        <v>1183</v>
      </c>
      <c r="S640" s="763" t="str">
        <f>IFERROR(__xludf.DUMMYFUNCTION("""COMPUTED_VALUE"""),"Festa di Natale 2025 - Festa di natale 2025 SOLO serata 25€")</f>
        <v>Festa di Natale 2025 - Festa di natale 2025 SOLO serata 25€</v>
      </c>
      <c r="T640" s="763"/>
      <c r="U640" s="763"/>
      <c r="V640" s="763">
        <f>IFERROR(__xludf.DUMMYFUNCTION("""COMPUTED_VALUE"""),1.0)</f>
        <v>1</v>
      </c>
      <c r="W640" s="763">
        <f>IFERROR(__xludf.DUMMYFUNCTION("""COMPUTED_VALUE"""),25.0)</f>
        <v>25</v>
      </c>
      <c r="X640" s="763">
        <f>IFERROR(__xludf.DUMMYFUNCTION("""COMPUTED_VALUE"""),25.0)</f>
        <v>25</v>
      </c>
      <c r="Y640" s="763"/>
      <c r="Z640" s="768" t="str">
        <f>IFERROR(__xludf.DUMMYFUNCTION("""COMPUTED_VALUE"""),"https://studio-gem.it/wp-admin/post.php?post=66409&amp;action=edit")</f>
        <v>https://studio-gem.it/wp-admin/post.php?post=66409&amp;action=edit</v>
      </c>
      <c r="AA640" s="763"/>
      <c r="AB640" s="763"/>
      <c r="AC640" s="763"/>
      <c r="AD640" s="763"/>
      <c r="AE640" s="763"/>
      <c r="AF640" s="763"/>
      <c r="AG640" s="763"/>
      <c r="AH640" s="763"/>
      <c r="AI640" s="763"/>
      <c r="AJ640" s="763"/>
      <c r="AK640" s="763"/>
      <c r="AL640" s="763"/>
      <c r="AM640" s="763"/>
      <c r="AN640" s="763"/>
      <c r="AO640" s="763"/>
      <c r="AP640" s="763"/>
      <c r="AQ640" s="763"/>
      <c r="AR640" s="763"/>
      <c r="AS640" s="763"/>
      <c r="AT640" s="763"/>
      <c r="AU640" s="763"/>
      <c r="AV640" s="763"/>
      <c r="AW640" s="763"/>
      <c r="AX640" s="763"/>
      <c r="AY640" s="763"/>
      <c r="AZ640" s="763"/>
      <c r="BA640" s="763"/>
      <c r="BB640" s="763"/>
      <c r="BC640" s="763"/>
      <c r="BD640" s="763"/>
      <c r="BE640" s="763"/>
      <c r="BF640" s="763"/>
      <c r="BG640" s="763" t="b">
        <f>IFERROR(__xludf.DUMMYFUNCTION("""COMPUTED_VALUE"""),TRUE)</f>
        <v>1</v>
      </c>
      <c r="BH640" s="763" t="b">
        <f>IFERROR(__xludf.DUMMYFUNCTION("""COMPUTED_VALUE"""),FALSE)</f>
        <v>0</v>
      </c>
      <c r="BI640" s="763" t="b">
        <f>IFERROR(__xludf.DUMMYFUNCTION("""COMPUTED_VALUE"""),TRUE)</f>
        <v>1</v>
      </c>
      <c r="BJ640" s="763" t="b">
        <f>IFERROR(__xludf.DUMMYFUNCTION("""COMPUTED_VALUE"""),TRUE)</f>
        <v>1</v>
      </c>
    </row>
    <row r="641">
      <c r="A641" s="763">
        <f>IFERROR(__xludf.DUMMYFUNCTION("""COMPUTED_VALUE"""),66411.0)</f>
        <v>66411</v>
      </c>
      <c r="B641" s="763">
        <f>IFERROR(__xludf.DUMMYFUNCTION("""COMPUTED_VALUE"""),66411.0)</f>
        <v>66411</v>
      </c>
      <c r="C641" s="763" t="str">
        <f>IFERROR(__xludf.DUMMYFUNCTION("""COMPUTED_VALUE"""),"2025-11-28 08:53:23")</f>
        <v>2025-11-28 08:53:23</v>
      </c>
      <c r="D641" s="763" t="str">
        <f>IFERROR(__xludf.DUMMYFUNCTION("""COMPUTED_VALUE"""),"processing")</f>
        <v>processing</v>
      </c>
      <c r="E641" s="763" t="str">
        <f>IFERROR(__xludf.DUMMYFUNCTION("""COMPUTED_VALUE"""),"Anna")</f>
        <v>Anna</v>
      </c>
      <c r="F641" s="763" t="str">
        <f>IFERROR(__xludf.DUMMYFUNCTION("""COMPUTED_VALUE"""),"Abate")</f>
        <v>Abate</v>
      </c>
      <c r="G641" s="763" t="str">
        <f>IFERROR(__xludf.DUMMYFUNCTION("""COMPUTED_VALUE"""),"annabate98@gmail.com")</f>
        <v>annabate98@gmail.com</v>
      </c>
      <c r="H641" s="763">
        <f>IFERROR(__xludf.DUMMYFUNCTION("""COMPUTED_VALUE"""),3.459288207E9)</f>
        <v>3459288207</v>
      </c>
      <c r="I641" s="763" t="str">
        <f>IFERROR(__xludf.DUMMYFUNCTION("""COMPUTED_VALUE"""),"Morbegno")</f>
        <v>Morbegno</v>
      </c>
      <c r="J641" s="763" t="str">
        <f>IFERROR(__xludf.DUMMYFUNCTION("""COMPUTED_VALUE"""),"Via Llanberis, 1")</f>
        <v>Via Llanberis, 1</v>
      </c>
      <c r="K641" s="763">
        <f>IFERROR(__xludf.DUMMYFUNCTION("""COMPUTED_VALUE"""),23017.0)</f>
        <v>23017</v>
      </c>
      <c r="L641" s="763" t="str">
        <f>IFERROR(__xludf.DUMMYFUNCTION("""COMPUTED_VALUE"""),"Carte di pagamento")</f>
        <v>Carte di pagamento</v>
      </c>
      <c r="M641" s="763" t="str">
        <f>IFERROR(__xludf.DUMMYFUNCTION("""COMPUTED_VALUE"""),"alexandra05natale")</f>
        <v>alexandra05natale</v>
      </c>
      <c r="N641" s="763" t="str">
        <f>IFERROR(__xludf.DUMMYFUNCTION("""COMPUTED_VALUE"""),"66411-1764320012")</f>
        <v>66411-1764320012</v>
      </c>
      <c r="O641" s="763">
        <f>IFERROR(__xludf.DUMMYFUNCTION("""COMPUTED_VALUE"""),0.0)</f>
        <v>0</v>
      </c>
      <c r="P641" s="767">
        <f>IFERROR(__xludf.DUMMYFUNCTION("""COMPUTED_VALUE"""),0.8333333333333334)</f>
        <v>0.8333333333</v>
      </c>
      <c r="Q641" s="763" t="str">
        <f>IFERROR(__xludf.DUMMYFUNCTION("""COMPUTED_VALUE"""),"EUR")</f>
        <v>EUR</v>
      </c>
      <c r="R641" s="763">
        <f>IFERROR(__xludf.DUMMYFUNCTION("""COMPUTED_VALUE"""),1184.0)</f>
        <v>1184</v>
      </c>
      <c r="S641" s="763" t="str">
        <f>IFERROR(__xludf.DUMMYFUNCTION("""COMPUTED_VALUE"""),"Festa di Natale 2025 - Festa di natale 2025 SOLO serata 25€")</f>
        <v>Festa di Natale 2025 - Festa di natale 2025 SOLO serata 25€</v>
      </c>
      <c r="T641" s="763"/>
      <c r="U641" s="763"/>
      <c r="V641" s="763">
        <f>IFERROR(__xludf.DUMMYFUNCTION("""COMPUTED_VALUE"""),1.0)</f>
        <v>1</v>
      </c>
      <c r="W641" s="763">
        <f>IFERROR(__xludf.DUMMYFUNCTION("""COMPUTED_VALUE"""),20.0)</f>
        <v>20</v>
      </c>
      <c r="X641" s="763">
        <f>IFERROR(__xludf.DUMMYFUNCTION("""COMPUTED_VALUE"""),20.0)</f>
        <v>20</v>
      </c>
      <c r="Y641" s="763"/>
      <c r="Z641" s="768" t="str">
        <f>IFERROR(__xludf.DUMMYFUNCTION("""COMPUTED_VALUE"""),"https://studio-gem.it/wp-admin/post.php?post=66411&amp;action=edit")</f>
        <v>https://studio-gem.it/wp-admin/post.php?post=66411&amp;action=edit</v>
      </c>
      <c r="AA641" s="763"/>
      <c r="AB641" s="763"/>
      <c r="AC641" s="763"/>
      <c r="AD641" s="763"/>
      <c r="AE641" s="763"/>
      <c r="AF641" s="763"/>
      <c r="AG641" s="763"/>
      <c r="AH641" s="763"/>
      <c r="AI641" s="763"/>
      <c r="AJ641" s="763"/>
      <c r="AK641" s="763"/>
      <c r="AL641" s="763"/>
      <c r="AM641" s="763"/>
      <c r="AN641" s="763"/>
      <c r="AO641" s="763"/>
      <c r="AP641" s="763"/>
      <c r="AQ641" s="763"/>
      <c r="AR641" s="763"/>
      <c r="AS641" s="763"/>
      <c r="AT641" s="763"/>
      <c r="AU641" s="763"/>
      <c r="AV641" s="763"/>
      <c r="AW641" s="763"/>
      <c r="AX641" s="763"/>
      <c r="AY641" s="763"/>
      <c r="AZ641" s="763"/>
      <c r="BA641" s="763"/>
      <c r="BB641" s="763"/>
      <c r="BC641" s="763"/>
      <c r="BD641" s="763"/>
      <c r="BE641" s="763"/>
      <c r="BF641" s="763"/>
      <c r="BG641" s="763" t="b">
        <f>IFERROR(__xludf.DUMMYFUNCTION("""COMPUTED_VALUE"""),TRUE)</f>
        <v>1</v>
      </c>
      <c r="BH641" s="763" t="b">
        <f>IFERROR(__xludf.DUMMYFUNCTION("""COMPUTED_VALUE"""),FALSE)</f>
        <v>0</v>
      </c>
      <c r="BI641" s="763" t="b">
        <f>IFERROR(__xludf.DUMMYFUNCTION("""COMPUTED_VALUE"""),TRUE)</f>
        <v>1</v>
      </c>
      <c r="BJ641" s="763" t="b">
        <f>IFERROR(__xludf.DUMMYFUNCTION("""COMPUTED_VALUE"""),TRUE)</f>
        <v>1</v>
      </c>
    </row>
    <row r="642">
      <c r="A642" s="763">
        <f>IFERROR(__xludf.DUMMYFUNCTION("""COMPUTED_VALUE"""),66412.0)</f>
        <v>66412</v>
      </c>
      <c r="B642" s="763">
        <f>IFERROR(__xludf.DUMMYFUNCTION("""COMPUTED_VALUE"""),66412.0)</f>
        <v>66412</v>
      </c>
      <c r="C642" s="763" t="str">
        <f>IFERROR(__xludf.DUMMYFUNCTION("""COMPUTED_VALUE"""),"2025-11-28 10:46:38")</f>
        <v>2025-11-28 10:46:38</v>
      </c>
      <c r="D642" s="763" t="str">
        <f>IFERROR(__xludf.DUMMYFUNCTION("""COMPUTED_VALUE"""),"completed")</f>
        <v>completed</v>
      </c>
      <c r="E642" s="763" t="str">
        <f>IFERROR(__xludf.DUMMYFUNCTION("""COMPUTED_VALUE"""),"Shiri")</f>
        <v>Shiri</v>
      </c>
      <c r="F642" s="763" t="str">
        <f>IFERROR(__xludf.DUMMYFUNCTION("""COMPUTED_VALUE"""),"Carrara")</f>
        <v>Carrara</v>
      </c>
      <c r="G642" s="763" t="str">
        <f>IFERROR(__xludf.DUMMYFUNCTION("""COMPUTED_VALUE"""),"shelbyyy99@gmail.com")</f>
        <v>shelbyyy99@gmail.com</v>
      </c>
      <c r="H642" s="763">
        <f>IFERROR(__xludf.DUMMYFUNCTION("""COMPUTED_VALUE"""),3.459744401E9)</f>
        <v>3459744401</v>
      </c>
      <c r="I642" s="763" t="str">
        <f>IFERROR(__xludf.DUMMYFUNCTION("""COMPUTED_VALUE"""),"Aviatico")</f>
        <v>Aviatico</v>
      </c>
      <c r="J642" s="763" t="str">
        <f>IFERROR(__xludf.DUMMYFUNCTION("""COMPUTED_VALUE"""),"Via Amora Bassa 23")</f>
        <v>Via Amora Bassa 23</v>
      </c>
      <c r="K642" s="763">
        <f>IFERROR(__xludf.DUMMYFUNCTION("""COMPUTED_VALUE"""),24020.0)</f>
        <v>24020</v>
      </c>
      <c r="L642" s="763" t="str">
        <f>IFERROR(__xludf.DUMMYFUNCTION("""COMPUTED_VALUE"""),"Carte di pagamento")</f>
        <v>Carte di pagamento</v>
      </c>
      <c r="M642" s="763"/>
      <c r="N642" s="763" t="str">
        <f>IFERROR(__xludf.DUMMYFUNCTION("""COMPUTED_VALUE"""),"66412-1764326805")</f>
        <v>66412-1764326805</v>
      </c>
      <c r="O642" s="763">
        <f>IFERROR(__xludf.DUMMYFUNCTION("""COMPUTED_VALUE"""),0.0)</f>
        <v>0</v>
      </c>
      <c r="P642" s="767">
        <f>IFERROR(__xludf.DUMMYFUNCTION("""COMPUTED_VALUE"""),2.0833333333333335)</f>
        <v>2.083333333</v>
      </c>
      <c r="Q642" s="763" t="str">
        <f>IFERROR(__xludf.DUMMYFUNCTION("""COMPUTED_VALUE"""),"EUR")</f>
        <v>EUR</v>
      </c>
      <c r="R642" s="763">
        <f>IFERROR(__xludf.DUMMYFUNCTION("""COMPUTED_VALUE"""),1186.0)</f>
        <v>1186</v>
      </c>
      <c r="S642" s="763" t="str">
        <f>IFERROR(__xludf.DUMMYFUNCTION("""COMPUTED_VALUE"""),"Gift Card - Gift card 50€")</f>
        <v>Gift Card - Gift card 50€</v>
      </c>
      <c r="T642" s="763"/>
      <c r="U642" s="763"/>
      <c r="V642" s="763">
        <f>IFERROR(__xludf.DUMMYFUNCTION("""COMPUTED_VALUE"""),1.0)</f>
        <v>1</v>
      </c>
      <c r="W642" s="763">
        <f>IFERROR(__xludf.DUMMYFUNCTION("""COMPUTED_VALUE"""),50.0)</f>
        <v>50</v>
      </c>
      <c r="X642" s="763">
        <f>IFERROR(__xludf.DUMMYFUNCTION("""COMPUTED_VALUE"""),50.0)</f>
        <v>50</v>
      </c>
      <c r="Y642" s="763"/>
      <c r="Z642" s="768" t="str">
        <f>IFERROR(__xludf.DUMMYFUNCTION("""COMPUTED_VALUE"""),"https://studio-gem.it/wp-admin/post.php?post=66412&amp;action=edit")</f>
        <v>https://studio-gem.it/wp-admin/post.php?post=66412&amp;action=edit</v>
      </c>
      <c r="AA642" s="763"/>
      <c r="AB642" s="763"/>
      <c r="AC642" s="763"/>
      <c r="AD642" s="763"/>
      <c r="AE642" s="763"/>
      <c r="AF642" s="763"/>
      <c r="AG642" s="763"/>
      <c r="AH642" s="763"/>
      <c r="AI642" s="763"/>
      <c r="AJ642" s="763"/>
      <c r="AK642" s="763"/>
      <c r="AL642" s="763"/>
      <c r="AM642" s="763"/>
      <c r="AN642" s="763"/>
      <c r="AO642" s="763"/>
      <c r="AP642" s="763"/>
      <c r="AQ642" s="763"/>
      <c r="AR642" s="763"/>
      <c r="AS642" s="763"/>
      <c r="AT642" s="763"/>
      <c r="AU642" s="763"/>
      <c r="AV642" s="763"/>
      <c r="AW642" s="763"/>
      <c r="AX642" s="763"/>
      <c r="AY642" s="763"/>
      <c r="AZ642" s="763"/>
      <c r="BA642" s="763"/>
      <c r="BB642" s="763"/>
      <c r="BC642" s="763"/>
      <c r="BD642" s="763"/>
      <c r="BE642" s="763"/>
      <c r="BF642" s="763"/>
      <c r="BG642" s="763" t="b">
        <f>IFERROR(__xludf.DUMMYFUNCTION("""COMPUTED_VALUE"""),TRUE)</f>
        <v>1</v>
      </c>
      <c r="BH642" s="763" t="b">
        <f>IFERROR(__xludf.DUMMYFUNCTION("""COMPUTED_VALUE"""),FALSE)</f>
        <v>0</v>
      </c>
      <c r="BI642" s="763" t="b">
        <f>IFERROR(__xludf.DUMMYFUNCTION("""COMPUTED_VALUE"""),TRUE)</f>
        <v>1</v>
      </c>
      <c r="BJ642" s="763" t="b">
        <f>IFERROR(__xludf.DUMMYFUNCTION("""COMPUTED_VALUE"""),TRUE)</f>
        <v>1</v>
      </c>
    </row>
    <row r="643">
      <c r="A643" s="763">
        <f>IFERROR(__xludf.DUMMYFUNCTION("""COMPUTED_VALUE"""),66427.0)</f>
        <v>66427</v>
      </c>
      <c r="B643" s="763">
        <f>IFERROR(__xludf.DUMMYFUNCTION("""COMPUTED_VALUE"""),66427.0)</f>
        <v>66427</v>
      </c>
      <c r="C643" s="763" t="str">
        <f>IFERROR(__xludf.DUMMYFUNCTION("""COMPUTED_VALUE"""),"2025-11-28 13:21:13")</f>
        <v>2025-11-28 13:21:13</v>
      </c>
      <c r="D643" s="763" t="str">
        <f>IFERROR(__xludf.DUMMYFUNCTION("""COMPUTED_VALUE"""),"completed")</f>
        <v>completed</v>
      </c>
      <c r="E643" s="763" t="str">
        <f>IFERROR(__xludf.DUMMYFUNCTION("""COMPUTED_VALUE"""),"Gaia")</f>
        <v>Gaia</v>
      </c>
      <c r="F643" s="763" t="str">
        <f>IFERROR(__xludf.DUMMYFUNCTION("""COMPUTED_VALUE"""),"Dalla Montà")</f>
        <v>Dalla Montà</v>
      </c>
      <c r="G643" s="763" t="str">
        <f>IFERROR(__xludf.DUMMYFUNCTION("""COMPUTED_VALUE"""),"gaiadallamonta@hotmail.it")</f>
        <v>gaiadallamonta@hotmail.it</v>
      </c>
      <c r="H643" s="763">
        <f>IFERROR(__xludf.DUMMYFUNCTION("""COMPUTED_VALUE"""),3.890232755E9)</f>
        <v>3890232755</v>
      </c>
      <c r="I643" s="763" t="str">
        <f>IFERROR(__xludf.DUMMYFUNCTION("""COMPUTED_VALUE"""),"Milano")</f>
        <v>Milano</v>
      </c>
      <c r="J643" s="763" t="str">
        <f>IFERROR(__xludf.DUMMYFUNCTION("""COMPUTED_VALUE"""),"Via Mantova 5")</f>
        <v>Via Mantova 5</v>
      </c>
      <c r="K643" s="763">
        <f>IFERROR(__xludf.DUMMYFUNCTION("""COMPUTED_VALUE"""),20135.0)</f>
        <v>20135</v>
      </c>
      <c r="L643" s="763" t="str">
        <f>IFERROR(__xludf.DUMMYFUNCTION("""COMPUTED_VALUE"""),"Carte di pagamento")</f>
        <v>Carte di pagamento</v>
      </c>
      <c r="M643" s="763" t="str">
        <f>IFERROR(__xludf.DUMMYFUNCTION("""COMPUTED_VALUE"""),"alexandra05natale")</f>
        <v>alexandra05natale</v>
      </c>
      <c r="N643" s="763" t="str">
        <f>IFERROR(__xludf.DUMMYFUNCTION("""COMPUTED_VALUE"""),"66427-1764336109")</f>
        <v>66427-1764336109</v>
      </c>
      <c r="O643" s="763">
        <f>IFERROR(__xludf.DUMMYFUNCTION("""COMPUTED_VALUE"""),0.0)</f>
        <v>0</v>
      </c>
      <c r="P643" s="767">
        <f>IFERROR(__xludf.DUMMYFUNCTION("""COMPUTED_VALUE"""),2.0833333333333335)</f>
        <v>2.083333333</v>
      </c>
      <c r="Q643" s="763" t="str">
        <f>IFERROR(__xludf.DUMMYFUNCTION("""COMPUTED_VALUE"""),"EUR")</f>
        <v>EUR</v>
      </c>
      <c r="R643" s="763">
        <f>IFERROR(__xludf.DUMMYFUNCTION("""COMPUTED_VALUE"""),1187.0)</f>
        <v>1187</v>
      </c>
      <c r="S643" s="763" t="str">
        <f>IFERROR(__xludf.DUMMYFUNCTION("""COMPUTED_VALUE"""),"Festa di Natale 2025 - Festa di natale 2025 lezioni + pizza + serata 55€")</f>
        <v>Festa di Natale 2025 - Festa di natale 2025 lezioni + pizza + serata 55€</v>
      </c>
      <c r="T643" s="763"/>
      <c r="U643" s="763"/>
      <c r="V643" s="763">
        <f>IFERROR(__xludf.DUMMYFUNCTION("""COMPUTED_VALUE"""),1.0)</f>
        <v>1</v>
      </c>
      <c r="W643" s="763">
        <f>IFERROR(__xludf.DUMMYFUNCTION("""COMPUTED_VALUE"""),50.0)</f>
        <v>50</v>
      </c>
      <c r="X643" s="763">
        <f>IFERROR(__xludf.DUMMYFUNCTION("""COMPUTED_VALUE"""),50.0)</f>
        <v>50</v>
      </c>
      <c r="Y643" s="763"/>
      <c r="Z643" s="768" t="str">
        <f>IFERROR(__xludf.DUMMYFUNCTION("""COMPUTED_VALUE"""),"https://studio-gem.it/wp-admin/post.php?post=66427&amp;action=edit")</f>
        <v>https://studio-gem.it/wp-admin/post.php?post=66427&amp;action=edit</v>
      </c>
      <c r="AA643" s="763"/>
      <c r="AB643" s="763"/>
      <c r="AC643" s="763"/>
      <c r="AD643" s="763"/>
      <c r="AE643" s="763"/>
      <c r="AF643" s="763"/>
      <c r="AG643" s="763"/>
      <c r="AH643" s="763"/>
      <c r="AI643" s="763"/>
      <c r="AJ643" s="763"/>
      <c r="AK643" s="763"/>
      <c r="AL643" s="763"/>
      <c r="AM643" s="763"/>
      <c r="AN643" s="763"/>
      <c r="AO643" s="763"/>
      <c r="AP643" s="763"/>
      <c r="AQ643" s="763"/>
      <c r="AR643" s="763"/>
      <c r="AS643" s="763"/>
      <c r="AT643" s="763"/>
      <c r="AU643" s="763"/>
      <c r="AV643" s="763"/>
      <c r="AW643" s="763"/>
      <c r="AX643" s="763"/>
      <c r="AY643" s="763"/>
      <c r="AZ643" s="763"/>
      <c r="BA643" s="763"/>
      <c r="BB643" s="763"/>
      <c r="BC643" s="763"/>
      <c r="BD643" s="763"/>
      <c r="BE643" s="763"/>
      <c r="BF643" s="763"/>
      <c r="BG643" s="763" t="b">
        <f>IFERROR(__xludf.DUMMYFUNCTION("""COMPUTED_VALUE"""),TRUE)</f>
        <v>1</v>
      </c>
      <c r="BH643" s="763" t="b">
        <f>IFERROR(__xludf.DUMMYFUNCTION("""COMPUTED_VALUE"""),FALSE)</f>
        <v>0</v>
      </c>
      <c r="BI643" s="763" t="b">
        <f>IFERROR(__xludf.DUMMYFUNCTION("""COMPUTED_VALUE"""),TRUE)</f>
        <v>1</v>
      </c>
      <c r="BJ643" s="763" t="b">
        <f>IFERROR(__xludf.DUMMYFUNCTION("""COMPUTED_VALUE"""),TRUE)</f>
        <v>1</v>
      </c>
    </row>
    <row r="644">
      <c r="A644" s="763">
        <f>IFERROR(__xludf.DUMMYFUNCTION("""COMPUTED_VALUE"""),66435.0)</f>
        <v>66435</v>
      </c>
      <c r="B644" s="763">
        <f>IFERROR(__xludf.DUMMYFUNCTION("""COMPUTED_VALUE"""),66435.0)</f>
        <v>66435</v>
      </c>
      <c r="C644" s="763" t="str">
        <f>IFERROR(__xludf.DUMMYFUNCTION("""COMPUTED_VALUE"""),"2025-11-28 17:31:57")</f>
        <v>2025-11-28 17:31:57</v>
      </c>
      <c r="D644" s="763" t="str">
        <f>IFERROR(__xludf.DUMMYFUNCTION("""COMPUTED_VALUE"""),"failed")</f>
        <v>failed</v>
      </c>
      <c r="E644" s="763" t="str">
        <f>IFERROR(__xludf.DUMMYFUNCTION("""COMPUTED_VALUE"""),"Silvia")</f>
        <v>Silvia</v>
      </c>
      <c r="F644" s="763" t="str">
        <f>IFERROR(__xludf.DUMMYFUNCTION("""COMPUTED_VALUE"""),"Polentani")</f>
        <v>Polentani</v>
      </c>
      <c r="G644" s="763" t="str">
        <f>IFERROR(__xludf.DUMMYFUNCTION("""COMPUTED_VALUE"""),"silviapolentani@gmail.com")</f>
        <v>silviapolentani@gmail.com</v>
      </c>
      <c r="H644" s="763">
        <f>IFERROR(__xludf.DUMMYFUNCTION("""COMPUTED_VALUE"""),3.349981529E9)</f>
        <v>3349981529</v>
      </c>
      <c r="I644" s="763" t="str">
        <f>IFERROR(__xludf.DUMMYFUNCTION("""COMPUTED_VALUE"""),"Milano")</f>
        <v>Milano</v>
      </c>
      <c r="J644" s="763" t="str">
        <f>IFERROR(__xludf.DUMMYFUNCTION("""COMPUTED_VALUE"""),"Viale Angelo Filippetti 1")</f>
        <v>Viale Angelo Filippetti 1</v>
      </c>
      <c r="K644" s="763">
        <f>IFERROR(__xludf.DUMMYFUNCTION("""COMPUTED_VALUE"""),20122.0)</f>
        <v>20122</v>
      </c>
      <c r="L644" s="763" t="str">
        <f>IFERROR(__xludf.DUMMYFUNCTION("""COMPUTED_VALUE"""),"Carte di pagamento")</f>
        <v>Carte di pagamento</v>
      </c>
      <c r="M644" s="763" t="str">
        <f>IFERROR(__xludf.DUMMYFUNCTION("""COMPUTED_VALUE"""),"estefany05natale")</f>
        <v>estefany05natale</v>
      </c>
      <c r="N644" s="763"/>
      <c r="O644" s="763">
        <f>IFERROR(__xludf.DUMMYFUNCTION("""COMPUTED_VALUE"""),0.0)</f>
        <v>0</v>
      </c>
      <c r="P644" s="767">
        <f>IFERROR(__xludf.DUMMYFUNCTION("""COMPUTED_VALUE"""),2.0833333333333335)</f>
        <v>2.083333333</v>
      </c>
      <c r="Q644" s="763" t="str">
        <f>IFERROR(__xludf.DUMMYFUNCTION("""COMPUTED_VALUE"""),"EUR")</f>
        <v>EUR</v>
      </c>
      <c r="R644" s="763">
        <f>IFERROR(__xludf.DUMMYFUNCTION("""COMPUTED_VALUE"""),1189.0)</f>
        <v>1189</v>
      </c>
      <c r="S644" s="763" t="str">
        <f>IFERROR(__xludf.DUMMYFUNCTION("""COMPUTED_VALUE"""),"Festa di Natale 2025 - Festa di natale 2025 lezioni + pizza + serata 55€")</f>
        <v>Festa di Natale 2025 - Festa di natale 2025 lezioni + pizza + serata 55€</v>
      </c>
      <c r="T644" s="763"/>
      <c r="U644" s="763"/>
      <c r="V644" s="763">
        <f>IFERROR(__xludf.DUMMYFUNCTION("""COMPUTED_VALUE"""),1.0)</f>
        <v>1</v>
      </c>
      <c r="W644" s="763">
        <f>IFERROR(__xludf.DUMMYFUNCTION("""COMPUTED_VALUE"""),50.0)</f>
        <v>50</v>
      </c>
      <c r="X644" s="763">
        <f>IFERROR(__xludf.DUMMYFUNCTION("""COMPUTED_VALUE"""),50.0)</f>
        <v>50</v>
      </c>
      <c r="Y644" s="763"/>
      <c r="Z644" s="768" t="str">
        <f>IFERROR(__xludf.DUMMYFUNCTION("""COMPUTED_VALUE"""),"https://studio-gem.it/wp-admin/post.php?post=66435&amp;action=edit")</f>
        <v>https://studio-gem.it/wp-admin/post.php?post=66435&amp;action=edit</v>
      </c>
      <c r="AA644" s="763"/>
      <c r="AB644" s="763"/>
      <c r="AC644" s="763"/>
      <c r="AD644" s="763"/>
      <c r="AE644" s="763"/>
      <c r="AF644" s="763"/>
      <c r="AG644" s="763"/>
      <c r="AH644" s="763"/>
      <c r="AI644" s="763"/>
      <c r="AJ644" s="763"/>
      <c r="AK644" s="763"/>
      <c r="AL644" s="763"/>
      <c r="AM644" s="763"/>
      <c r="AN644" s="763"/>
      <c r="AO644" s="763"/>
      <c r="AP644" s="763"/>
      <c r="AQ644" s="763"/>
      <c r="AR644" s="763"/>
      <c r="AS644" s="763"/>
      <c r="AT644" s="763"/>
      <c r="AU644" s="763"/>
      <c r="AV644" s="763"/>
      <c r="AW644" s="763"/>
      <c r="AX644" s="763"/>
      <c r="AY644" s="763"/>
      <c r="AZ644" s="763"/>
      <c r="BA644" s="763"/>
      <c r="BB644" s="763"/>
      <c r="BC644" s="763"/>
      <c r="BD644" s="763"/>
      <c r="BE644" s="763"/>
      <c r="BF644" s="763"/>
      <c r="BG644" s="763" t="b">
        <f>IFERROR(__xludf.DUMMYFUNCTION("""COMPUTED_VALUE"""),FALSE)</f>
        <v>0</v>
      </c>
      <c r="BH644" s="763" t="b">
        <f>IFERROR(__xludf.DUMMYFUNCTION("""COMPUTED_VALUE"""),FALSE)</f>
        <v>0</v>
      </c>
      <c r="BI644" s="763" t="b">
        <f>IFERROR(__xludf.DUMMYFUNCTION("""COMPUTED_VALUE"""),FALSE)</f>
        <v>0</v>
      </c>
      <c r="BJ644" s="763" t="b">
        <f>IFERROR(__xludf.DUMMYFUNCTION("""COMPUTED_VALUE"""),FALSE)</f>
        <v>0</v>
      </c>
    </row>
    <row r="645">
      <c r="A645" s="763">
        <f>IFERROR(__xludf.DUMMYFUNCTION("""COMPUTED_VALUE"""),66436.0)</f>
        <v>66436</v>
      </c>
      <c r="B645" s="763">
        <f>IFERROR(__xludf.DUMMYFUNCTION("""COMPUTED_VALUE"""),66436.0)</f>
        <v>66436</v>
      </c>
      <c r="C645" s="763" t="str">
        <f>IFERROR(__xludf.DUMMYFUNCTION("""COMPUTED_VALUE"""),"2025-11-29 09:05:39")</f>
        <v>2025-11-29 09:05:39</v>
      </c>
      <c r="D645" s="763" t="str">
        <f>IFERROR(__xludf.DUMMYFUNCTION("""COMPUTED_VALUE"""),"failed")</f>
        <v>failed</v>
      </c>
      <c r="E645" s="763" t="str">
        <f>IFERROR(__xludf.DUMMYFUNCTION("""COMPUTED_VALUE"""),"Silvia")</f>
        <v>Silvia</v>
      </c>
      <c r="F645" s="763" t="str">
        <f>IFERROR(__xludf.DUMMYFUNCTION("""COMPUTED_VALUE"""),"Polentani")</f>
        <v>Polentani</v>
      </c>
      <c r="G645" s="763" t="str">
        <f>IFERROR(__xludf.DUMMYFUNCTION("""COMPUTED_VALUE"""),"silviapolentani@gmail.com")</f>
        <v>silviapolentani@gmail.com</v>
      </c>
      <c r="H645" s="763">
        <f>IFERROR(__xludf.DUMMYFUNCTION("""COMPUTED_VALUE"""),3.349981529E9)</f>
        <v>3349981529</v>
      </c>
      <c r="I645" s="763" t="str">
        <f>IFERROR(__xludf.DUMMYFUNCTION("""COMPUTED_VALUE"""),"Milano")</f>
        <v>Milano</v>
      </c>
      <c r="J645" s="763" t="str">
        <f>IFERROR(__xludf.DUMMYFUNCTION("""COMPUTED_VALUE"""),"Viale Angelo Filippetti 1")</f>
        <v>Viale Angelo Filippetti 1</v>
      </c>
      <c r="K645" s="763">
        <f>IFERROR(__xludf.DUMMYFUNCTION("""COMPUTED_VALUE"""),20122.0)</f>
        <v>20122</v>
      </c>
      <c r="L645" s="763" t="str">
        <f>IFERROR(__xludf.DUMMYFUNCTION("""COMPUTED_VALUE"""),"Carte di pagamento")</f>
        <v>Carte di pagamento</v>
      </c>
      <c r="M645" s="763" t="str">
        <f>IFERROR(__xludf.DUMMYFUNCTION("""COMPUTED_VALUE"""),"estefany05natale")</f>
        <v>estefany05natale</v>
      </c>
      <c r="N645" s="763"/>
      <c r="O645" s="763">
        <f>IFERROR(__xludf.DUMMYFUNCTION("""COMPUTED_VALUE"""),0.0)</f>
        <v>0</v>
      </c>
      <c r="P645" s="767">
        <f>IFERROR(__xludf.DUMMYFUNCTION("""COMPUTED_VALUE"""),2.0833333333333335)</f>
        <v>2.083333333</v>
      </c>
      <c r="Q645" s="763" t="str">
        <f>IFERROR(__xludf.DUMMYFUNCTION("""COMPUTED_VALUE"""),"EUR")</f>
        <v>EUR</v>
      </c>
      <c r="R645" s="763">
        <f>IFERROR(__xludf.DUMMYFUNCTION("""COMPUTED_VALUE"""),1191.0)</f>
        <v>1191</v>
      </c>
      <c r="S645" s="763" t="str">
        <f>IFERROR(__xludf.DUMMYFUNCTION("""COMPUTED_VALUE"""),"Festa di Natale 2025 - Festa di natale 2025 lezioni + pizza + serata 55€")</f>
        <v>Festa di Natale 2025 - Festa di natale 2025 lezioni + pizza + serata 55€</v>
      </c>
      <c r="T645" s="763"/>
      <c r="U645" s="763"/>
      <c r="V645" s="763">
        <f>IFERROR(__xludf.DUMMYFUNCTION("""COMPUTED_VALUE"""),1.0)</f>
        <v>1</v>
      </c>
      <c r="W645" s="763">
        <f>IFERROR(__xludf.DUMMYFUNCTION("""COMPUTED_VALUE"""),50.0)</f>
        <v>50</v>
      </c>
      <c r="X645" s="763">
        <f>IFERROR(__xludf.DUMMYFUNCTION("""COMPUTED_VALUE"""),50.0)</f>
        <v>50</v>
      </c>
      <c r="Y645" s="763"/>
      <c r="Z645" s="768" t="str">
        <f>IFERROR(__xludf.DUMMYFUNCTION("""COMPUTED_VALUE"""),"https://studio-gem.it/wp-admin/post.php?post=66436&amp;action=edit")</f>
        <v>https://studio-gem.it/wp-admin/post.php?post=66436&amp;action=edit</v>
      </c>
      <c r="AA645" s="763"/>
      <c r="AB645" s="763"/>
      <c r="AC645" s="763"/>
      <c r="AD645" s="763"/>
      <c r="AE645" s="763"/>
      <c r="AF645" s="763"/>
      <c r="AG645" s="763"/>
      <c r="AH645" s="763"/>
      <c r="AI645" s="763"/>
      <c r="AJ645" s="763"/>
      <c r="AK645" s="763"/>
      <c r="AL645" s="763"/>
      <c r="AM645" s="763"/>
      <c r="AN645" s="763"/>
      <c r="AO645" s="763"/>
      <c r="AP645" s="763"/>
      <c r="AQ645" s="763"/>
      <c r="AR645" s="763"/>
      <c r="AS645" s="763"/>
      <c r="AT645" s="763"/>
      <c r="AU645" s="763"/>
      <c r="AV645" s="763"/>
      <c r="AW645" s="763"/>
      <c r="AX645" s="763"/>
      <c r="AY645" s="763"/>
      <c r="AZ645" s="763"/>
      <c r="BA645" s="763"/>
      <c r="BB645" s="763"/>
      <c r="BC645" s="763"/>
      <c r="BD645" s="763"/>
      <c r="BE645" s="763"/>
      <c r="BF645" s="763"/>
      <c r="BG645" s="763" t="b">
        <f>IFERROR(__xludf.DUMMYFUNCTION("""COMPUTED_VALUE"""),FALSE)</f>
        <v>0</v>
      </c>
      <c r="BH645" s="763" t="b">
        <f>IFERROR(__xludf.DUMMYFUNCTION("""COMPUTED_VALUE"""),FALSE)</f>
        <v>0</v>
      </c>
      <c r="BI645" s="763" t="b">
        <f>IFERROR(__xludf.DUMMYFUNCTION("""COMPUTED_VALUE"""),FALSE)</f>
        <v>0</v>
      </c>
      <c r="BJ645" s="763" t="b">
        <f>IFERROR(__xludf.DUMMYFUNCTION("""COMPUTED_VALUE"""),FALSE)</f>
        <v>0</v>
      </c>
    </row>
    <row r="646">
      <c r="A646" s="763">
        <f>IFERROR(__xludf.DUMMYFUNCTION("""COMPUTED_VALUE"""),66437.0)</f>
        <v>66437</v>
      </c>
      <c r="B646" s="763">
        <f>IFERROR(__xludf.DUMMYFUNCTION("""COMPUTED_VALUE"""),66437.0)</f>
        <v>66437</v>
      </c>
      <c r="C646" s="763" t="str">
        <f>IFERROR(__xludf.DUMMYFUNCTION("""COMPUTED_VALUE"""),"2025-11-29 09:05:51")</f>
        <v>2025-11-29 09:05:51</v>
      </c>
      <c r="D646" s="763" t="str">
        <f>IFERROR(__xludf.DUMMYFUNCTION("""COMPUTED_VALUE"""),"completed")</f>
        <v>completed</v>
      </c>
      <c r="E646" s="763" t="str">
        <f>IFERROR(__xludf.DUMMYFUNCTION("""COMPUTED_VALUE"""),"Valeria")</f>
        <v>Valeria</v>
      </c>
      <c r="F646" s="763" t="str">
        <f>IFERROR(__xludf.DUMMYFUNCTION("""COMPUTED_VALUE"""),"Spano")</f>
        <v>Spano</v>
      </c>
      <c r="G646" s="763" t="str">
        <f>IFERROR(__xludf.DUMMYFUNCTION("""COMPUTED_VALUE"""),"valerie.spano3@gmail.com")</f>
        <v>valerie.spano3@gmail.com</v>
      </c>
      <c r="H646" s="763">
        <f>IFERROR(__xludf.DUMMYFUNCTION("""COMPUTED_VALUE"""),3.898782476E9)</f>
        <v>3898782476</v>
      </c>
      <c r="I646" s="763" t="str">
        <f>IFERROR(__xludf.DUMMYFUNCTION("""COMPUTED_VALUE"""),"Milano")</f>
        <v>Milano</v>
      </c>
      <c r="J646" s="763" t="str">
        <f>IFERROR(__xludf.DUMMYFUNCTION("""COMPUTED_VALUE"""),"Via Pietro Orseolo 3")</f>
        <v>Via Pietro Orseolo 3</v>
      </c>
      <c r="K646" s="763">
        <f>IFERROR(__xludf.DUMMYFUNCTION("""COMPUTED_VALUE"""),20144.0)</f>
        <v>20144</v>
      </c>
      <c r="L646" s="763" t="str">
        <f>IFERROR(__xludf.DUMMYFUNCTION("""COMPUTED_VALUE"""),"Google Pay")</f>
        <v>Google Pay</v>
      </c>
      <c r="M646" s="763"/>
      <c r="N646" s="763" t="str">
        <f>IFERROR(__xludf.DUMMYFUNCTION("""COMPUTED_VALUE"""),"66437-1764407152")</f>
        <v>66437-1764407152</v>
      </c>
      <c r="O646" s="763">
        <f>IFERROR(__xludf.DUMMYFUNCTION("""COMPUTED_VALUE"""),0.0)</f>
        <v>0</v>
      </c>
      <c r="P646" s="767">
        <f>IFERROR(__xludf.DUMMYFUNCTION("""COMPUTED_VALUE"""),1.3333333333333333)</f>
        <v>1.333333333</v>
      </c>
      <c r="Q646" s="763" t="str">
        <f>IFERROR(__xludf.DUMMYFUNCTION("""COMPUTED_VALUE"""),"EUR")</f>
        <v>EUR</v>
      </c>
      <c r="R646" s="763">
        <f>IFERROR(__xludf.DUMMYFUNCTION("""COMPUTED_VALUE"""),1193.0)</f>
        <v>1193</v>
      </c>
      <c r="S646" s="763" t="str">
        <f>IFERROR(__xludf.DUMMYFUNCTION("""COMPUTED_VALUE"""),"Workshop Salsa flamenco e pasitos con Nerea Perez - Workshop Nerea Pasitos")</f>
        <v>Workshop Salsa flamenco e pasitos con Nerea Perez - Workshop Nerea Pasitos</v>
      </c>
      <c r="T646" s="763"/>
      <c r="U646" s="763"/>
      <c r="V646" s="763">
        <f>IFERROR(__xludf.DUMMYFUNCTION("""COMPUTED_VALUE"""),1.0)</f>
        <v>1</v>
      </c>
      <c r="W646" s="763">
        <f>IFERROR(__xludf.DUMMYFUNCTION("""COMPUTED_VALUE"""),32.0)</f>
        <v>32</v>
      </c>
      <c r="X646" s="763">
        <f>IFERROR(__xludf.DUMMYFUNCTION("""COMPUTED_VALUE"""),32.0)</f>
        <v>32</v>
      </c>
      <c r="Y646" s="763"/>
      <c r="Z646" s="768" t="str">
        <f>IFERROR(__xludf.DUMMYFUNCTION("""COMPUTED_VALUE"""),"https://studio-gem.it/wp-admin/post.php?post=66437&amp;action=edit")</f>
        <v>https://studio-gem.it/wp-admin/post.php?post=66437&amp;action=edit</v>
      </c>
      <c r="AA646" s="763"/>
      <c r="AB646" s="763"/>
      <c r="AC646" s="763"/>
      <c r="AD646" s="763"/>
      <c r="AE646" s="763"/>
      <c r="AF646" s="763"/>
      <c r="AG646" s="763"/>
      <c r="AH646" s="763"/>
      <c r="AI646" s="763"/>
      <c r="AJ646" s="763"/>
      <c r="AK646" s="763"/>
      <c r="AL646" s="763"/>
      <c r="AM646" s="763"/>
      <c r="AN646" s="763"/>
      <c r="AO646" s="763"/>
      <c r="AP646" s="763"/>
      <c r="AQ646" s="763"/>
      <c r="AR646" s="763"/>
      <c r="AS646" s="763"/>
      <c r="AT646" s="763"/>
      <c r="AU646" s="763"/>
      <c r="AV646" s="763"/>
      <c r="AW646" s="763"/>
      <c r="AX646" s="763"/>
      <c r="AY646" s="763"/>
      <c r="AZ646" s="763"/>
      <c r="BA646" s="763"/>
      <c r="BB646" s="763"/>
      <c r="BC646" s="763"/>
      <c r="BD646" s="763"/>
      <c r="BE646" s="763"/>
      <c r="BF646" s="763"/>
      <c r="BG646" s="763" t="b">
        <f>IFERROR(__xludf.DUMMYFUNCTION("""COMPUTED_VALUE"""),TRUE)</f>
        <v>1</v>
      </c>
      <c r="BH646" s="763" t="b">
        <f>IFERROR(__xludf.DUMMYFUNCTION("""COMPUTED_VALUE"""),FALSE)</f>
        <v>0</v>
      </c>
      <c r="BI646" s="763" t="b">
        <f>IFERROR(__xludf.DUMMYFUNCTION("""COMPUTED_VALUE"""),TRUE)</f>
        <v>1</v>
      </c>
      <c r="BJ646" s="763" t="b">
        <f>IFERROR(__xludf.DUMMYFUNCTION("""COMPUTED_VALUE"""),TRUE)</f>
        <v>1</v>
      </c>
    </row>
    <row r="647">
      <c r="A647" s="763">
        <f>IFERROR(__xludf.DUMMYFUNCTION("""COMPUTED_VALUE"""),66443.0)</f>
        <v>66443</v>
      </c>
      <c r="B647" s="763">
        <f>IFERROR(__xludf.DUMMYFUNCTION("""COMPUTED_VALUE"""),66443.0)</f>
        <v>66443</v>
      </c>
      <c r="C647" s="763" t="str">
        <f>IFERROR(__xludf.DUMMYFUNCTION("""COMPUTED_VALUE"""),"2025-11-29 09:52:54")</f>
        <v>2025-11-29 09:52:54</v>
      </c>
      <c r="D647" s="763" t="str">
        <f>IFERROR(__xludf.DUMMYFUNCTION("""COMPUTED_VALUE"""),"processing")</f>
        <v>processing</v>
      </c>
      <c r="E647" s="763" t="str">
        <f>IFERROR(__xludf.DUMMYFUNCTION("""COMPUTED_VALUE"""),"Irene")</f>
        <v>Irene</v>
      </c>
      <c r="F647" s="763" t="str">
        <f>IFERROR(__xludf.DUMMYFUNCTION("""COMPUTED_VALUE"""),"Cecconi")</f>
        <v>Cecconi</v>
      </c>
      <c r="G647" s="763" t="str">
        <f>IFERROR(__xludf.DUMMYFUNCTION("""COMPUTED_VALUE"""),"cecconi.ire@gmail.com")</f>
        <v>cecconi.ire@gmail.com</v>
      </c>
      <c r="H647" s="763">
        <f>IFERROR(__xludf.DUMMYFUNCTION("""COMPUTED_VALUE"""),3.663330295E9)</f>
        <v>3663330295</v>
      </c>
      <c r="I647" s="763" t="str">
        <f>IFERROR(__xludf.DUMMYFUNCTION("""COMPUTED_VALUE"""),"Milano")</f>
        <v>Milano</v>
      </c>
      <c r="J647" s="763" t="str">
        <f>IFERROR(__xludf.DUMMYFUNCTION("""COMPUTED_VALUE"""),"Via Maffeo Pantaleoni, 7")</f>
        <v>Via Maffeo Pantaleoni, 7</v>
      </c>
      <c r="K647" s="763">
        <f>IFERROR(__xludf.DUMMYFUNCTION("""COMPUTED_VALUE"""),20158.0)</f>
        <v>20158</v>
      </c>
      <c r="L647" s="763" t="str">
        <f>IFERROR(__xludf.DUMMYFUNCTION("""COMPUTED_VALUE"""),"Carte di pagamento")</f>
        <v>Carte di pagamento</v>
      </c>
      <c r="M647" s="763" t="str">
        <f>IFERROR(__xludf.DUMMYFUNCTION("""COMPUTED_VALUE"""),"santo05natale")</f>
        <v>santo05natale</v>
      </c>
      <c r="N647" s="763" t="str">
        <f>IFERROR(__xludf.DUMMYFUNCTION("""COMPUTED_VALUE"""),"66443-1764409984")</f>
        <v>66443-1764409984</v>
      </c>
      <c r="O647" s="763">
        <f>IFERROR(__xludf.DUMMYFUNCTION("""COMPUTED_VALUE"""),0.0)</f>
        <v>0</v>
      </c>
      <c r="P647" s="767">
        <f>IFERROR(__xludf.DUMMYFUNCTION("""COMPUTED_VALUE"""),2.0833333333333335)</f>
        <v>2.083333333</v>
      </c>
      <c r="Q647" s="763" t="str">
        <f>IFERROR(__xludf.DUMMYFUNCTION("""COMPUTED_VALUE"""),"EUR")</f>
        <v>EUR</v>
      </c>
      <c r="R647" s="763">
        <f>IFERROR(__xludf.DUMMYFUNCTION("""COMPUTED_VALUE"""),1194.0)</f>
        <v>1194</v>
      </c>
      <c r="S647" s="763" t="str">
        <f>IFERROR(__xludf.DUMMYFUNCTION("""COMPUTED_VALUE"""),"Festa di Natale 2025 - Festa di natale 2025 lezioni + pizza + serata 55€")</f>
        <v>Festa di Natale 2025 - Festa di natale 2025 lezioni + pizza + serata 55€</v>
      </c>
      <c r="T647" s="763"/>
      <c r="U647" s="763"/>
      <c r="V647" s="763">
        <f>IFERROR(__xludf.DUMMYFUNCTION("""COMPUTED_VALUE"""),1.0)</f>
        <v>1</v>
      </c>
      <c r="W647" s="763">
        <f>IFERROR(__xludf.DUMMYFUNCTION("""COMPUTED_VALUE"""),50.0)</f>
        <v>50</v>
      </c>
      <c r="X647" s="763">
        <f>IFERROR(__xludf.DUMMYFUNCTION("""COMPUTED_VALUE"""),50.0)</f>
        <v>50</v>
      </c>
      <c r="Y647" s="763"/>
      <c r="Z647" s="768" t="str">
        <f>IFERROR(__xludf.DUMMYFUNCTION("""COMPUTED_VALUE"""),"https://studio-gem.it/wp-admin/post.php?post=66443&amp;action=edit")</f>
        <v>https://studio-gem.it/wp-admin/post.php?post=66443&amp;action=edit</v>
      </c>
      <c r="AA647" s="763"/>
      <c r="AB647" s="763"/>
      <c r="AC647" s="763"/>
      <c r="AD647" s="763"/>
      <c r="AE647" s="763"/>
      <c r="AF647" s="763"/>
      <c r="AG647" s="763"/>
      <c r="AH647" s="763"/>
      <c r="AI647" s="763"/>
      <c r="AJ647" s="763"/>
      <c r="AK647" s="763"/>
      <c r="AL647" s="763"/>
      <c r="AM647" s="763"/>
      <c r="AN647" s="763"/>
      <c r="AO647" s="763"/>
      <c r="AP647" s="763"/>
      <c r="AQ647" s="763"/>
      <c r="AR647" s="763"/>
      <c r="AS647" s="763"/>
      <c r="AT647" s="763"/>
      <c r="AU647" s="763"/>
      <c r="AV647" s="763"/>
      <c r="AW647" s="763"/>
      <c r="AX647" s="763"/>
      <c r="AY647" s="763"/>
      <c r="AZ647" s="763"/>
      <c r="BA647" s="763"/>
      <c r="BB647" s="763"/>
      <c r="BC647" s="763"/>
      <c r="BD647" s="763"/>
      <c r="BE647" s="763"/>
      <c r="BF647" s="763"/>
      <c r="BG647" s="763" t="b">
        <f>IFERROR(__xludf.DUMMYFUNCTION("""COMPUTED_VALUE"""),FALSE)</f>
        <v>0</v>
      </c>
      <c r="BH647" s="763" t="b">
        <f>IFERROR(__xludf.DUMMYFUNCTION("""COMPUTED_VALUE"""),FALSE)</f>
        <v>0</v>
      </c>
      <c r="BI647" s="763" t="b">
        <f>IFERROR(__xludf.DUMMYFUNCTION("""COMPUTED_VALUE"""),TRUE)</f>
        <v>1</v>
      </c>
      <c r="BJ647" s="763" t="b">
        <f>IFERROR(__xludf.DUMMYFUNCTION("""COMPUTED_VALUE"""),TRUE)</f>
        <v>1</v>
      </c>
    </row>
    <row r="648">
      <c r="A648" s="763">
        <f>IFERROR(__xludf.DUMMYFUNCTION("""COMPUTED_VALUE"""),66444.0)</f>
        <v>66444</v>
      </c>
      <c r="B648" s="763">
        <f>IFERROR(__xludf.DUMMYFUNCTION("""COMPUTED_VALUE"""),66444.0)</f>
        <v>66444</v>
      </c>
      <c r="C648" s="763" t="str">
        <f>IFERROR(__xludf.DUMMYFUNCTION("""COMPUTED_VALUE"""),"2025-11-29 12:22:14")</f>
        <v>2025-11-29 12:22:14</v>
      </c>
      <c r="D648" s="763" t="str">
        <f>IFERROR(__xludf.DUMMYFUNCTION("""COMPUTED_VALUE"""),"completed")</f>
        <v>completed</v>
      </c>
      <c r="E648" s="763" t="str">
        <f>IFERROR(__xludf.DUMMYFUNCTION("""COMPUTED_VALUE"""),"Emanuela emilia")</f>
        <v>Emanuela emilia</v>
      </c>
      <c r="F648" s="763" t="str">
        <f>IFERROR(__xludf.DUMMYFUNCTION("""COMPUTED_VALUE"""),"Meucci")</f>
        <v>Meucci</v>
      </c>
      <c r="G648" s="763" t="str">
        <f>IFERROR(__xludf.DUMMYFUNCTION("""COMPUTED_VALUE"""),"emanuela.meucci@gmail.com")</f>
        <v>emanuela.meucci@gmail.com</v>
      </c>
      <c r="H648" s="763">
        <f>IFERROR(__xludf.DUMMYFUNCTION("""COMPUTED_VALUE"""),3.333544512E9)</f>
        <v>3333544512</v>
      </c>
      <c r="I648" s="763" t="str">
        <f>IFERROR(__xludf.DUMMYFUNCTION("""COMPUTED_VALUE"""),"Milano")</f>
        <v>Milano</v>
      </c>
      <c r="J648" s="763" t="str">
        <f>IFERROR(__xludf.DUMMYFUNCTION("""COMPUTED_VALUE"""),"Via ascanio sforza 21")</f>
        <v>Via ascanio sforza 21</v>
      </c>
      <c r="K648" s="763">
        <f>IFERROR(__xludf.DUMMYFUNCTION("""COMPUTED_VALUE"""),20136.0)</f>
        <v>20136</v>
      </c>
      <c r="L648" s="763" t="str">
        <f>IFERROR(__xludf.DUMMYFUNCTION("""COMPUTED_VALUE"""),"Carte di pagamento")</f>
        <v>Carte di pagamento</v>
      </c>
      <c r="M648" s="763" t="str">
        <f>IFERROR(__xludf.DUMMYFUNCTION("""COMPUTED_VALUE"""),"santo05natale")</f>
        <v>santo05natale</v>
      </c>
      <c r="N648" s="763" t="str">
        <f>IFERROR(__xludf.DUMMYFUNCTION("""COMPUTED_VALUE"""),"66444-1764418958")</f>
        <v>66444-1764418958</v>
      </c>
      <c r="O648" s="763">
        <f>IFERROR(__xludf.DUMMYFUNCTION("""COMPUTED_VALUE"""),0.0)</f>
        <v>0</v>
      </c>
      <c r="P648" s="767">
        <f>IFERROR(__xludf.DUMMYFUNCTION("""COMPUTED_VALUE"""),2.0833333333333335)</f>
        <v>2.083333333</v>
      </c>
      <c r="Q648" s="763" t="str">
        <f>IFERROR(__xludf.DUMMYFUNCTION("""COMPUTED_VALUE"""),"EUR")</f>
        <v>EUR</v>
      </c>
      <c r="R648" s="763">
        <f>IFERROR(__xludf.DUMMYFUNCTION("""COMPUTED_VALUE"""),1196.0)</f>
        <v>1196</v>
      </c>
      <c r="S648" s="763" t="str">
        <f>IFERROR(__xludf.DUMMYFUNCTION("""COMPUTED_VALUE"""),"Festa di Natale 2025 - Festa di natale 2025 lezioni + pizza + serata 55€")</f>
        <v>Festa di Natale 2025 - Festa di natale 2025 lezioni + pizza + serata 55€</v>
      </c>
      <c r="T648" s="763"/>
      <c r="U648" s="763"/>
      <c r="V648" s="763">
        <f>IFERROR(__xludf.DUMMYFUNCTION("""COMPUTED_VALUE"""),1.0)</f>
        <v>1</v>
      </c>
      <c r="W648" s="763">
        <f>IFERROR(__xludf.DUMMYFUNCTION("""COMPUTED_VALUE"""),50.0)</f>
        <v>50</v>
      </c>
      <c r="X648" s="763">
        <f>IFERROR(__xludf.DUMMYFUNCTION("""COMPUTED_VALUE"""),50.0)</f>
        <v>50</v>
      </c>
      <c r="Y648" s="763"/>
      <c r="Z648" s="768" t="str">
        <f>IFERROR(__xludf.DUMMYFUNCTION("""COMPUTED_VALUE"""),"https://studio-gem.it/wp-admin/post.php?post=66444&amp;action=edit")</f>
        <v>https://studio-gem.it/wp-admin/post.php?post=66444&amp;action=edit</v>
      </c>
      <c r="AA648" s="763"/>
      <c r="AB648" s="763"/>
      <c r="AC648" s="763"/>
      <c r="AD648" s="763"/>
      <c r="AE648" s="763"/>
      <c r="AF648" s="763"/>
      <c r="AG648" s="763"/>
      <c r="AH648" s="763"/>
      <c r="AI648" s="763"/>
      <c r="AJ648" s="763"/>
      <c r="AK648" s="763"/>
      <c r="AL648" s="763"/>
      <c r="AM648" s="763"/>
      <c r="AN648" s="763"/>
      <c r="AO648" s="763"/>
      <c r="AP648" s="763"/>
      <c r="AQ648" s="763"/>
      <c r="AR648" s="763"/>
      <c r="AS648" s="763"/>
      <c r="AT648" s="763"/>
      <c r="AU648" s="763"/>
      <c r="AV648" s="763"/>
      <c r="AW648" s="763"/>
      <c r="AX648" s="763"/>
      <c r="AY648" s="763"/>
      <c r="AZ648" s="763"/>
      <c r="BA648" s="763"/>
      <c r="BB648" s="763"/>
      <c r="BC648" s="763"/>
      <c r="BD648" s="763"/>
      <c r="BE648" s="763"/>
      <c r="BF648" s="763"/>
      <c r="BG648" s="763" t="b">
        <f>IFERROR(__xludf.DUMMYFUNCTION("""COMPUTED_VALUE"""),FALSE)</f>
        <v>0</v>
      </c>
      <c r="BH648" s="763" t="b">
        <f>IFERROR(__xludf.DUMMYFUNCTION("""COMPUTED_VALUE"""),FALSE)</f>
        <v>0</v>
      </c>
      <c r="BI648" s="763" t="b">
        <f>IFERROR(__xludf.DUMMYFUNCTION("""COMPUTED_VALUE"""),TRUE)</f>
        <v>1</v>
      </c>
      <c r="BJ648" s="763" t="b">
        <f>IFERROR(__xludf.DUMMYFUNCTION("""COMPUTED_VALUE"""),TRUE)</f>
        <v>1</v>
      </c>
    </row>
    <row r="649">
      <c r="A649" s="763">
        <f>IFERROR(__xludf.DUMMYFUNCTION("""COMPUTED_VALUE"""),66447.0)</f>
        <v>66447</v>
      </c>
      <c r="B649" s="763">
        <f>IFERROR(__xludf.DUMMYFUNCTION("""COMPUTED_VALUE"""),66447.0)</f>
        <v>66447</v>
      </c>
      <c r="C649" s="763" t="str">
        <f>IFERROR(__xludf.DUMMYFUNCTION("""COMPUTED_VALUE"""),"2025-11-29 14:05:16")</f>
        <v>2025-11-29 14:05:16</v>
      </c>
      <c r="D649" s="763" t="str">
        <f>IFERROR(__xludf.DUMMYFUNCTION("""COMPUTED_VALUE"""),"completed")</f>
        <v>completed</v>
      </c>
      <c r="E649" s="763" t="str">
        <f>IFERROR(__xludf.DUMMYFUNCTION("""COMPUTED_VALUE"""),"Alessio")</f>
        <v>Alessio</v>
      </c>
      <c r="F649" s="763" t="str">
        <f>IFERROR(__xludf.DUMMYFUNCTION("""COMPUTED_VALUE"""),"Di Napoli")</f>
        <v>Di Napoli</v>
      </c>
      <c r="G649" s="763" t="str">
        <f>IFERROR(__xludf.DUMMYFUNCTION("""COMPUTED_VALUE"""),"dinapolialessio@gmail.com")</f>
        <v>dinapolialessio@gmail.com</v>
      </c>
      <c r="H649" s="763">
        <f>IFERROR(__xludf.DUMMYFUNCTION("""COMPUTED_VALUE"""),3.385950926E9)</f>
        <v>3385950926</v>
      </c>
      <c r="I649" s="763" t="str">
        <f>IFERROR(__xludf.DUMMYFUNCTION("""COMPUTED_VALUE"""),"Milano")</f>
        <v>Milano</v>
      </c>
      <c r="J649" s="763" t="str">
        <f>IFERROR(__xludf.DUMMYFUNCTION("""COMPUTED_VALUE"""),"via Monte Nevoso 1")</f>
        <v>via Monte Nevoso 1</v>
      </c>
      <c r="K649" s="763">
        <f>IFERROR(__xludf.DUMMYFUNCTION("""COMPUTED_VALUE"""),20131.0)</f>
        <v>20131</v>
      </c>
      <c r="L649" s="763" t="str">
        <f>IFERROR(__xludf.DUMMYFUNCTION("""COMPUTED_VALUE"""),"Carte di pagamento")</f>
        <v>Carte di pagamento</v>
      </c>
      <c r="M649" s="763" t="str">
        <f>IFERROR(__xludf.DUMMYFUNCTION("""COMPUTED_VALUE"""),"santo05natale")</f>
        <v>santo05natale</v>
      </c>
      <c r="N649" s="763" t="str">
        <f>IFERROR(__xludf.DUMMYFUNCTION("""COMPUTED_VALUE"""),"66447-1764425118")</f>
        <v>66447-1764425118</v>
      </c>
      <c r="O649" s="763">
        <f>IFERROR(__xludf.DUMMYFUNCTION("""COMPUTED_VALUE"""),0.0)</f>
        <v>0</v>
      </c>
      <c r="P649" s="767">
        <f>IFERROR(__xludf.DUMMYFUNCTION("""COMPUTED_VALUE"""),2.0833333333333335)</f>
        <v>2.083333333</v>
      </c>
      <c r="Q649" s="763" t="str">
        <f>IFERROR(__xludf.DUMMYFUNCTION("""COMPUTED_VALUE"""),"EUR")</f>
        <v>EUR</v>
      </c>
      <c r="R649" s="763">
        <f>IFERROR(__xludf.DUMMYFUNCTION("""COMPUTED_VALUE"""),1198.0)</f>
        <v>1198</v>
      </c>
      <c r="S649" s="763" t="str">
        <f>IFERROR(__xludf.DUMMYFUNCTION("""COMPUTED_VALUE"""),"Festa di Natale 2025 - Festa di natale 2025 lezioni + pizza + serata 55€")</f>
        <v>Festa di Natale 2025 - Festa di natale 2025 lezioni + pizza + serata 55€</v>
      </c>
      <c r="T649" s="763"/>
      <c r="U649" s="763"/>
      <c r="V649" s="763">
        <f>IFERROR(__xludf.DUMMYFUNCTION("""COMPUTED_VALUE"""),1.0)</f>
        <v>1</v>
      </c>
      <c r="W649" s="763">
        <f>IFERROR(__xludf.DUMMYFUNCTION("""COMPUTED_VALUE"""),50.0)</f>
        <v>50</v>
      </c>
      <c r="X649" s="763">
        <f>IFERROR(__xludf.DUMMYFUNCTION("""COMPUTED_VALUE"""),50.0)</f>
        <v>50</v>
      </c>
      <c r="Y649" s="763"/>
      <c r="Z649" s="768" t="str">
        <f>IFERROR(__xludf.DUMMYFUNCTION("""COMPUTED_VALUE"""),"https://studio-gem.it/wp-admin/post.php?post=66447&amp;action=edit")</f>
        <v>https://studio-gem.it/wp-admin/post.php?post=66447&amp;action=edit</v>
      </c>
      <c r="AA649" s="763"/>
      <c r="AB649" s="763"/>
      <c r="AC649" s="763"/>
      <c r="AD649" s="763"/>
      <c r="AE649" s="763"/>
      <c r="AF649" s="763"/>
      <c r="AG649" s="763"/>
      <c r="AH649" s="763"/>
      <c r="AI649" s="763"/>
      <c r="AJ649" s="763"/>
      <c r="AK649" s="763"/>
      <c r="AL649" s="763"/>
      <c r="AM649" s="763"/>
      <c r="AN649" s="763"/>
      <c r="AO649" s="763"/>
      <c r="AP649" s="763"/>
      <c r="AQ649" s="763"/>
      <c r="AR649" s="763"/>
      <c r="AS649" s="763"/>
      <c r="AT649" s="763"/>
      <c r="AU649" s="763"/>
      <c r="AV649" s="763"/>
      <c r="AW649" s="763"/>
      <c r="AX649" s="763"/>
      <c r="AY649" s="763"/>
      <c r="AZ649" s="763"/>
      <c r="BA649" s="763"/>
      <c r="BB649" s="763"/>
      <c r="BC649" s="763"/>
      <c r="BD649" s="763"/>
      <c r="BE649" s="763"/>
      <c r="BF649" s="763"/>
      <c r="BG649" s="763" t="b">
        <f>IFERROR(__xludf.DUMMYFUNCTION("""COMPUTED_VALUE"""),TRUE)</f>
        <v>1</v>
      </c>
      <c r="BH649" s="763" t="b">
        <f>IFERROR(__xludf.DUMMYFUNCTION("""COMPUTED_VALUE"""),FALSE)</f>
        <v>0</v>
      </c>
      <c r="BI649" s="763" t="b">
        <f>IFERROR(__xludf.DUMMYFUNCTION("""COMPUTED_VALUE"""),TRUE)</f>
        <v>1</v>
      </c>
      <c r="BJ649" s="763" t="b">
        <f>IFERROR(__xludf.DUMMYFUNCTION("""COMPUTED_VALUE"""),TRUE)</f>
        <v>1</v>
      </c>
    </row>
    <row r="650">
      <c r="A650" s="763">
        <f>IFERROR(__xludf.DUMMYFUNCTION("""COMPUTED_VALUE"""),66452.0)</f>
        <v>66452</v>
      </c>
      <c r="B650" s="763">
        <f>IFERROR(__xludf.DUMMYFUNCTION("""COMPUTED_VALUE"""),66452.0)</f>
        <v>66452</v>
      </c>
      <c r="C650" s="763" t="str">
        <f>IFERROR(__xludf.DUMMYFUNCTION("""COMPUTED_VALUE"""),"2025-11-29 18:00:00")</f>
        <v>2025-11-29 18:00:00</v>
      </c>
      <c r="D650" s="763" t="str">
        <f>IFERROR(__xludf.DUMMYFUNCTION("""COMPUTED_VALUE"""),"completed")</f>
        <v>completed</v>
      </c>
      <c r="E650" s="763" t="str">
        <f>IFERROR(__xludf.DUMMYFUNCTION("""COMPUTED_VALUE"""),"FEDERICA")</f>
        <v>FEDERICA</v>
      </c>
      <c r="F650" s="763" t="str">
        <f>IFERROR(__xludf.DUMMYFUNCTION("""COMPUTED_VALUE"""),"MANNARELLI")</f>
        <v>MANNARELLI</v>
      </c>
      <c r="G650" s="763" t="str">
        <f>IFERROR(__xludf.DUMMYFUNCTION("""COMPUTED_VALUE"""),"fede.mannarelli@hotmail.it")</f>
        <v>fede.mannarelli@hotmail.it</v>
      </c>
      <c r="H650" s="763">
        <f>IFERROR(__xludf.DUMMYFUNCTION("""COMPUTED_VALUE"""),3.476965896E9)</f>
        <v>3476965896</v>
      </c>
      <c r="I650" s="763" t="str">
        <f>IFERROR(__xludf.DUMMYFUNCTION("""COMPUTED_VALUE"""),"Milano")</f>
        <v>Milano</v>
      </c>
      <c r="J650" s="763" t="str">
        <f>IFERROR(__xludf.DUMMYFUNCTION("""COMPUTED_VALUE"""),"Via cadibona 10")</f>
        <v>Via cadibona 10</v>
      </c>
      <c r="K650" s="763">
        <f>IFERROR(__xludf.DUMMYFUNCTION("""COMPUTED_VALUE"""),20137.0)</f>
        <v>20137</v>
      </c>
      <c r="L650" s="763" t="str">
        <f>IFERROR(__xludf.DUMMYFUNCTION("""COMPUTED_VALUE"""),"Satispay")</f>
        <v>Satispay</v>
      </c>
      <c r="M650" s="763"/>
      <c r="N650" s="763" t="str">
        <f>IFERROR(__xludf.DUMMYFUNCTION("""COMPUTED_VALUE"""),"019ad0c5-a8b1-756d-9131-98fb0e349f2e")</f>
        <v>019ad0c5-a8b1-756d-9131-98fb0e349f2e</v>
      </c>
      <c r="O650" s="763">
        <f>IFERROR(__xludf.DUMMYFUNCTION("""COMPUTED_VALUE"""),0.0)</f>
        <v>0</v>
      </c>
      <c r="P650" s="767">
        <f>IFERROR(__xludf.DUMMYFUNCTION("""COMPUTED_VALUE"""),1.0416666666666667)</f>
        <v>1.041666667</v>
      </c>
      <c r="Q650" s="763" t="str">
        <f>IFERROR(__xludf.DUMMYFUNCTION("""COMPUTED_VALUE"""),"EUR")</f>
        <v>EUR</v>
      </c>
      <c r="R650" s="763">
        <f>IFERROR(__xludf.DUMMYFUNCTION("""COMPUTED_VALUE"""),1200.0)</f>
        <v>1200</v>
      </c>
      <c r="S650" s="763" t="str">
        <f>IFERROR(__xludf.DUMMYFUNCTION("""COMPUTED_VALUE"""),"Festa di Natale 2025 - Festa di natale 2025 SOLO serata 25€")</f>
        <v>Festa di Natale 2025 - Festa di natale 2025 SOLO serata 25€</v>
      </c>
      <c r="T650" s="763"/>
      <c r="U650" s="763"/>
      <c r="V650" s="763">
        <f>IFERROR(__xludf.DUMMYFUNCTION("""COMPUTED_VALUE"""),1.0)</f>
        <v>1</v>
      </c>
      <c r="W650" s="763">
        <f>IFERROR(__xludf.DUMMYFUNCTION("""COMPUTED_VALUE"""),25.0)</f>
        <v>25</v>
      </c>
      <c r="X650" s="763">
        <f>IFERROR(__xludf.DUMMYFUNCTION("""COMPUTED_VALUE"""),25.0)</f>
        <v>25</v>
      </c>
      <c r="Y650" s="763"/>
      <c r="Z650" s="768" t="str">
        <f>IFERROR(__xludf.DUMMYFUNCTION("""COMPUTED_VALUE"""),"https://studio-gem.it/wp-admin/post.php?post=66452&amp;action=edit")</f>
        <v>https://studio-gem.it/wp-admin/post.php?post=66452&amp;action=edit</v>
      </c>
      <c r="AA650" s="763"/>
      <c r="AB650" s="763"/>
      <c r="AC650" s="763"/>
      <c r="AD650" s="763"/>
      <c r="AE650" s="763"/>
      <c r="AF650" s="763"/>
      <c r="AG650" s="763"/>
      <c r="AH650" s="763"/>
      <c r="AI650" s="763"/>
      <c r="AJ650" s="763"/>
      <c r="AK650" s="763"/>
      <c r="AL650" s="763"/>
      <c r="AM650" s="763"/>
      <c r="AN650" s="763"/>
      <c r="AO650" s="763"/>
      <c r="AP650" s="763"/>
      <c r="AQ650" s="763"/>
      <c r="AR650" s="763"/>
      <c r="AS650" s="763"/>
      <c r="AT650" s="763"/>
      <c r="AU650" s="763"/>
      <c r="AV650" s="763"/>
      <c r="AW650" s="763"/>
      <c r="AX650" s="763"/>
      <c r="AY650" s="763"/>
      <c r="AZ650" s="763"/>
      <c r="BA650" s="763"/>
      <c r="BB650" s="763"/>
      <c r="BC650" s="763"/>
      <c r="BD650" s="763"/>
      <c r="BE650" s="763"/>
      <c r="BF650" s="763"/>
      <c r="BG650" s="763" t="b">
        <f>IFERROR(__xludf.DUMMYFUNCTION("""COMPUTED_VALUE"""),TRUE)</f>
        <v>1</v>
      </c>
      <c r="BH650" s="763" t="b">
        <f>IFERROR(__xludf.DUMMYFUNCTION("""COMPUTED_VALUE"""),FALSE)</f>
        <v>0</v>
      </c>
      <c r="BI650" s="763" t="b">
        <f>IFERROR(__xludf.DUMMYFUNCTION("""COMPUTED_VALUE"""),TRUE)</f>
        <v>1</v>
      </c>
      <c r="BJ650" s="763" t="b">
        <f>IFERROR(__xludf.DUMMYFUNCTION("""COMPUTED_VALUE"""),TRUE)</f>
        <v>1</v>
      </c>
    </row>
    <row r="651">
      <c r="A651" s="763">
        <f>IFERROR(__xludf.DUMMYFUNCTION("""COMPUTED_VALUE"""),66454.0)</f>
        <v>66454</v>
      </c>
      <c r="B651" s="763">
        <f>IFERROR(__xludf.DUMMYFUNCTION("""COMPUTED_VALUE"""),66454.0)</f>
        <v>66454</v>
      </c>
      <c r="C651" s="763" t="str">
        <f>IFERROR(__xludf.DUMMYFUNCTION("""COMPUTED_VALUE"""),"2025-11-29 21:43:05")</f>
        <v>2025-11-29 21:43:05</v>
      </c>
      <c r="D651" s="763" t="str">
        <f>IFERROR(__xludf.DUMMYFUNCTION("""COMPUTED_VALUE"""),"completed")</f>
        <v>completed</v>
      </c>
      <c r="E651" s="763" t="str">
        <f>IFERROR(__xludf.DUMMYFUNCTION("""COMPUTED_VALUE"""),"Gaia")</f>
        <v>Gaia</v>
      </c>
      <c r="F651" s="763" t="str">
        <f>IFERROR(__xludf.DUMMYFUNCTION("""COMPUTED_VALUE"""),"Cappuccino")</f>
        <v>Cappuccino</v>
      </c>
      <c r="G651" s="763" t="str">
        <f>IFERROR(__xludf.DUMMYFUNCTION("""COMPUTED_VALUE"""),"gaia.cappuccino@hotmail.it")</f>
        <v>gaia.cappuccino@hotmail.it</v>
      </c>
      <c r="H651" s="763">
        <f>IFERROR(__xludf.DUMMYFUNCTION("""COMPUTED_VALUE"""),3.496239749E9)</f>
        <v>3496239749</v>
      </c>
      <c r="I651" s="763" t="str">
        <f>IFERROR(__xludf.DUMMYFUNCTION("""COMPUTED_VALUE"""),"Milano")</f>
        <v>Milano</v>
      </c>
      <c r="J651" s="763" t="str">
        <f>IFERROR(__xludf.DUMMYFUNCTION("""COMPUTED_VALUE"""),"Via Crema 2")</f>
        <v>Via Crema 2</v>
      </c>
      <c r="K651" s="763">
        <f>IFERROR(__xludf.DUMMYFUNCTION("""COMPUTED_VALUE"""),20135.0)</f>
        <v>20135</v>
      </c>
      <c r="L651" s="763"/>
      <c r="M651" s="763"/>
      <c r="N651" s="763"/>
      <c r="O651" s="763">
        <f>IFERROR(__xludf.DUMMYFUNCTION("""COMPUTED_VALUE"""),0.0)</f>
        <v>0</v>
      </c>
      <c r="P651" s="767">
        <f>IFERROR(__xludf.DUMMYFUNCTION("""COMPUTED_VALUE"""),0.0)</f>
        <v>0</v>
      </c>
      <c r="Q651" s="763" t="str">
        <f>IFERROR(__xludf.DUMMYFUNCTION("""COMPUTED_VALUE"""),"EUR")</f>
        <v>EUR</v>
      </c>
      <c r="R651" s="763">
        <f>IFERROR(__xludf.DUMMYFUNCTION("""COMPUTED_VALUE"""),1201.0)</f>
        <v>1201</v>
      </c>
      <c r="S651" s="763" t="str">
        <f>IFERROR(__xludf.DUMMYFUNCTION("""COMPUTED_VALUE"""),"Domeniche in movimento - Gratuito per open fitness e open mattino 1 lezione dalle 11 alle 11.50")</f>
        <v>Domeniche in movimento - Gratuito per open fitness e open mattino 1 lezione dalle 11 alle 11.50</v>
      </c>
      <c r="T651" s="763"/>
      <c r="U651" s="763"/>
      <c r="V651" s="763">
        <f>IFERROR(__xludf.DUMMYFUNCTION("""COMPUTED_VALUE"""),1.0)</f>
        <v>1</v>
      </c>
      <c r="W651" s="763">
        <f>IFERROR(__xludf.DUMMYFUNCTION("""COMPUTED_VALUE"""),0.0)</f>
        <v>0</v>
      </c>
      <c r="X651" s="763">
        <f>IFERROR(__xludf.DUMMYFUNCTION("""COMPUTED_VALUE"""),0.0)</f>
        <v>0</v>
      </c>
      <c r="Y651" s="763"/>
      <c r="Z651" s="768" t="str">
        <f>IFERROR(__xludf.DUMMYFUNCTION("""COMPUTED_VALUE"""),"https://studio-gem.it/wp-admin/post.php?post=66454&amp;action=edit")</f>
        <v>https://studio-gem.it/wp-admin/post.php?post=66454&amp;action=edit</v>
      </c>
      <c r="AA651" s="763"/>
      <c r="AB651" s="763"/>
      <c r="AC651" s="763"/>
      <c r="AD651" s="763"/>
      <c r="AE651" s="763"/>
      <c r="AF651" s="763"/>
      <c r="AG651" s="763"/>
      <c r="AH651" s="763"/>
      <c r="AI651" s="763"/>
      <c r="AJ651" s="763"/>
      <c r="AK651" s="763"/>
      <c r="AL651" s="763"/>
      <c r="AM651" s="763"/>
      <c r="AN651" s="763"/>
      <c r="AO651" s="763"/>
      <c r="AP651" s="763"/>
      <c r="AQ651" s="763"/>
      <c r="AR651" s="763"/>
      <c r="AS651" s="763"/>
      <c r="AT651" s="763"/>
      <c r="AU651" s="763"/>
      <c r="AV651" s="763"/>
      <c r="AW651" s="763"/>
      <c r="AX651" s="763"/>
      <c r="AY651" s="763"/>
      <c r="AZ651" s="763"/>
      <c r="BA651" s="763"/>
      <c r="BB651" s="763"/>
      <c r="BC651" s="763"/>
      <c r="BD651" s="763"/>
      <c r="BE651" s="763"/>
      <c r="BF651" s="763"/>
      <c r="BG651" s="763" t="b">
        <f>IFERROR(__xludf.DUMMYFUNCTION("""COMPUTED_VALUE"""),TRUE)</f>
        <v>1</v>
      </c>
      <c r="BH651" s="763" t="b">
        <f>IFERROR(__xludf.DUMMYFUNCTION("""COMPUTED_VALUE"""),FALSE)</f>
        <v>0</v>
      </c>
      <c r="BI651" s="763" t="b">
        <f>IFERROR(__xludf.DUMMYFUNCTION("""COMPUTED_VALUE"""),TRUE)</f>
        <v>1</v>
      </c>
      <c r="BJ651" s="763" t="b">
        <f>IFERROR(__xludf.DUMMYFUNCTION("""COMPUTED_VALUE"""),TRUE)</f>
        <v>1</v>
      </c>
    </row>
    <row r="652">
      <c r="A652" s="763">
        <f>IFERROR(__xludf.DUMMYFUNCTION("""COMPUTED_VALUE"""),66456.0)</f>
        <v>66456</v>
      </c>
      <c r="B652" s="763">
        <f>IFERROR(__xludf.DUMMYFUNCTION("""COMPUTED_VALUE"""),66456.0)</f>
        <v>66456</v>
      </c>
      <c r="C652" s="763" t="str">
        <f>IFERROR(__xludf.DUMMYFUNCTION("""COMPUTED_VALUE"""),"2025-11-30 13:27:59")</f>
        <v>2025-11-30 13:27:59</v>
      </c>
      <c r="D652" s="763" t="str">
        <f>IFERROR(__xludf.DUMMYFUNCTION("""COMPUTED_VALUE"""),"completed")</f>
        <v>completed</v>
      </c>
      <c r="E652" s="763" t="str">
        <f>IFERROR(__xludf.DUMMYFUNCTION("""COMPUTED_VALUE"""),"Matteo")</f>
        <v>Matteo</v>
      </c>
      <c r="F652" s="763" t="str">
        <f>IFERROR(__xludf.DUMMYFUNCTION("""COMPUTED_VALUE"""),"Riccardi")</f>
        <v>Riccardi</v>
      </c>
      <c r="G652" s="763" t="str">
        <f>IFERROR(__xludf.DUMMYFUNCTION("""COMPUTED_VALUE"""),"matteo.riccardi@tin.it")</f>
        <v>matteo.riccardi@tin.it</v>
      </c>
      <c r="H652" s="763">
        <f>IFERROR(__xludf.DUMMYFUNCTION("""COMPUTED_VALUE"""),3.470790676E9)</f>
        <v>3470790676</v>
      </c>
      <c r="I652" s="763" t="str">
        <f>IFERROR(__xludf.DUMMYFUNCTION("""COMPUTED_VALUE"""),"Milano")</f>
        <v>Milano</v>
      </c>
      <c r="J652" s="763" t="str">
        <f>IFERROR(__xludf.DUMMYFUNCTION("""COMPUTED_VALUE"""),"Via Meda 16")</f>
        <v>Via Meda 16</v>
      </c>
      <c r="K652" s="763">
        <f>IFERROR(__xludf.DUMMYFUNCTION("""COMPUTED_VALUE"""),20136.0)</f>
        <v>20136</v>
      </c>
      <c r="L652" s="763" t="str">
        <f>IFERROR(__xludf.DUMMYFUNCTION("""COMPUTED_VALUE"""),"Carte di pagamento")</f>
        <v>Carte di pagamento</v>
      </c>
      <c r="M652" s="763" t="str">
        <f>IFERROR(__xludf.DUMMYFUNCTION("""COMPUTED_VALUE"""),"alexandra05natale")</f>
        <v>alexandra05natale</v>
      </c>
      <c r="N652" s="763" t="str">
        <f>IFERROR(__xludf.DUMMYFUNCTION("""COMPUTED_VALUE"""),"66456-1764509293")</f>
        <v>66456-1764509293</v>
      </c>
      <c r="O652" s="763">
        <f>IFERROR(__xludf.DUMMYFUNCTION("""COMPUTED_VALUE"""),0.0)</f>
        <v>0</v>
      </c>
      <c r="P652" s="767">
        <f>IFERROR(__xludf.DUMMYFUNCTION("""COMPUTED_VALUE"""),2.0833333333333335)</f>
        <v>2.083333333</v>
      </c>
      <c r="Q652" s="763" t="str">
        <f>IFERROR(__xludf.DUMMYFUNCTION("""COMPUTED_VALUE"""),"EUR")</f>
        <v>EUR</v>
      </c>
      <c r="R652" s="763">
        <f>IFERROR(__xludf.DUMMYFUNCTION("""COMPUTED_VALUE"""),1202.0)</f>
        <v>1202</v>
      </c>
      <c r="S652" s="763" t="str">
        <f>IFERROR(__xludf.DUMMYFUNCTION("""COMPUTED_VALUE"""),"Festa di Natale 2025 - Festa di natale 2025 lezioni + pizza + serata 55€")</f>
        <v>Festa di Natale 2025 - Festa di natale 2025 lezioni + pizza + serata 55€</v>
      </c>
      <c r="T652" s="763"/>
      <c r="U652" s="763"/>
      <c r="V652" s="763">
        <f>IFERROR(__xludf.DUMMYFUNCTION("""COMPUTED_VALUE"""),1.0)</f>
        <v>1</v>
      </c>
      <c r="W652" s="763">
        <f>IFERROR(__xludf.DUMMYFUNCTION("""COMPUTED_VALUE"""),50.0)</f>
        <v>50</v>
      </c>
      <c r="X652" s="763">
        <f>IFERROR(__xludf.DUMMYFUNCTION("""COMPUTED_VALUE"""),50.0)</f>
        <v>50</v>
      </c>
      <c r="Y652" s="763"/>
      <c r="Z652" s="768" t="str">
        <f>IFERROR(__xludf.DUMMYFUNCTION("""COMPUTED_VALUE"""),"https://studio-gem.it/wp-admin/post.php?post=66456&amp;action=edit")</f>
        <v>https://studio-gem.it/wp-admin/post.php?post=66456&amp;action=edit</v>
      </c>
      <c r="AA652" s="763"/>
      <c r="AB652" s="763"/>
      <c r="AC652" s="763"/>
      <c r="AD652" s="763"/>
      <c r="AE652" s="763"/>
      <c r="AF652" s="763"/>
      <c r="AG652" s="763"/>
      <c r="AH652" s="763"/>
      <c r="AI652" s="763"/>
      <c r="AJ652" s="763"/>
      <c r="AK652" s="763"/>
      <c r="AL652" s="763"/>
      <c r="AM652" s="763"/>
      <c r="AN652" s="763"/>
      <c r="AO652" s="763"/>
      <c r="AP652" s="763"/>
      <c r="AQ652" s="763"/>
      <c r="AR652" s="763"/>
      <c r="AS652" s="763"/>
      <c r="AT652" s="763"/>
      <c r="AU652" s="763"/>
      <c r="AV652" s="763"/>
      <c r="AW652" s="763"/>
      <c r="AX652" s="763"/>
      <c r="AY652" s="763"/>
      <c r="AZ652" s="763"/>
      <c r="BA652" s="763"/>
      <c r="BB652" s="763"/>
      <c r="BC652" s="763"/>
      <c r="BD652" s="763"/>
      <c r="BE652" s="763"/>
      <c r="BF652" s="763"/>
      <c r="BG652" s="763" t="b">
        <f>IFERROR(__xludf.DUMMYFUNCTION("""COMPUTED_VALUE"""),FALSE)</f>
        <v>0</v>
      </c>
      <c r="BH652" s="763" t="b">
        <f>IFERROR(__xludf.DUMMYFUNCTION("""COMPUTED_VALUE"""),FALSE)</f>
        <v>0</v>
      </c>
      <c r="BI652" s="763" t="b">
        <f>IFERROR(__xludf.DUMMYFUNCTION("""COMPUTED_VALUE"""),TRUE)</f>
        <v>1</v>
      </c>
      <c r="BJ652" s="763" t="b">
        <f>IFERROR(__xludf.DUMMYFUNCTION("""COMPUTED_VALUE"""),TRUE)</f>
        <v>1</v>
      </c>
    </row>
    <row r="653">
      <c r="A653" s="763">
        <f>IFERROR(__xludf.DUMMYFUNCTION("""COMPUTED_VALUE"""),66458.0)</f>
        <v>66458</v>
      </c>
      <c r="B653" s="763">
        <f>IFERROR(__xludf.DUMMYFUNCTION("""COMPUTED_VALUE"""),66458.0)</f>
        <v>66458</v>
      </c>
      <c r="C653" s="763" t="str">
        <f>IFERROR(__xludf.DUMMYFUNCTION("""COMPUTED_VALUE"""),"2025-11-30 14:37:35")</f>
        <v>2025-11-30 14:37:35</v>
      </c>
      <c r="D653" s="763" t="str">
        <f>IFERROR(__xludf.DUMMYFUNCTION("""COMPUTED_VALUE"""),"completed")</f>
        <v>completed</v>
      </c>
      <c r="E653" s="763" t="str">
        <f>IFERROR(__xludf.DUMMYFUNCTION("""COMPUTED_VALUE"""),"Federica")</f>
        <v>Federica</v>
      </c>
      <c r="F653" s="763" t="str">
        <f>IFERROR(__xludf.DUMMYFUNCTION("""COMPUTED_VALUE"""),"Francione")</f>
        <v>Francione</v>
      </c>
      <c r="G653" s="763" t="str">
        <f>IFERROR(__xludf.DUMMYFUNCTION("""COMPUTED_VALUE"""),"thesocialfede@gmail.com")</f>
        <v>thesocialfede@gmail.com</v>
      </c>
      <c r="H653" s="763">
        <f>IFERROR(__xludf.DUMMYFUNCTION("""COMPUTED_VALUE"""),3.47635222E9)</f>
        <v>3476352220</v>
      </c>
      <c r="I653" s="763" t="str">
        <f>IFERROR(__xludf.DUMMYFUNCTION("""COMPUTED_VALUE"""),"Milano")</f>
        <v>Milano</v>
      </c>
      <c r="J653" s="763" t="str">
        <f>IFERROR(__xludf.DUMMYFUNCTION("""COMPUTED_VALUE"""),"Via Privata Giuba n13")</f>
        <v>Via Privata Giuba n13</v>
      </c>
      <c r="K653" s="763">
        <f>IFERROR(__xludf.DUMMYFUNCTION("""COMPUTED_VALUE"""),20128.0)</f>
        <v>20128</v>
      </c>
      <c r="L653" s="763" t="str">
        <f>IFERROR(__xludf.DUMMYFUNCTION("""COMPUTED_VALUE"""),"Carte di pagamento")</f>
        <v>Carte di pagamento</v>
      </c>
      <c r="M653" s="763" t="str">
        <f>IFERROR(__xludf.DUMMYFUNCTION("""COMPUTED_VALUE"""),"santo05natale")</f>
        <v>santo05natale</v>
      </c>
      <c r="N653" s="763" t="str">
        <f>IFERROR(__xludf.DUMMYFUNCTION("""COMPUTED_VALUE"""),"66458-1764513456")</f>
        <v>66458-1764513456</v>
      </c>
      <c r="O653" s="763">
        <f>IFERROR(__xludf.DUMMYFUNCTION("""COMPUTED_VALUE"""),0.0)</f>
        <v>0</v>
      </c>
      <c r="P653" s="767">
        <f>IFERROR(__xludf.DUMMYFUNCTION("""COMPUTED_VALUE"""),0.8333333333333334)</f>
        <v>0.8333333333</v>
      </c>
      <c r="Q653" s="763" t="str">
        <f>IFERROR(__xludf.DUMMYFUNCTION("""COMPUTED_VALUE"""),"EUR")</f>
        <v>EUR</v>
      </c>
      <c r="R653" s="763">
        <f>IFERROR(__xludf.DUMMYFUNCTION("""COMPUTED_VALUE"""),1204.0)</f>
        <v>1204</v>
      </c>
      <c r="S653" s="763" t="str">
        <f>IFERROR(__xludf.DUMMYFUNCTION("""COMPUTED_VALUE"""),"Festa di Natale 2025 - Festa di natale 2025 SOLO serata 25€")</f>
        <v>Festa di Natale 2025 - Festa di natale 2025 SOLO serata 25€</v>
      </c>
      <c r="T653" s="763"/>
      <c r="U653" s="763"/>
      <c r="V653" s="763">
        <f>IFERROR(__xludf.DUMMYFUNCTION("""COMPUTED_VALUE"""),1.0)</f>
        <v>1</v>
      </c>
      <c r="W653" s="763">
        <f>IFERROR(__xludf.DUMMYFUNCTION("""COMPUTED_VALUE"""),20.0)</f>
        <v>20</v>
      </c>
      <c r="X653" s="763">
        <f>IFERROR(__xludf.DUMMYFUNCTION("""COMPUTED_VALUE"""),20.0)</f>
        <v>20</v>
      </c>
      <c r="Y653" s="763"/>
      <c r="Z653" s="768" t="str">
        <f>IFERROR(__xludf.DUMMYFUNCTION("""COMPUTED_VALUE"""),"https://studio-gem.it/wp-admin/post.php?post=66458&amp;action=edit")</f>
        <v>https://studio-gem.it/wp-admin/post.php?post=66458&amp;action=edit</v>
      </c>
      <c r="AA653" s="763"/>
      <c r="AB653" s="763"/>
      <c r="AC653" s="763"/>
      <c r="AD653" s="763"/>
      <c r="AE653" s="763"/>
      <c r="AF653" s="763"/>
      <c r="AG653" s="763"/>
      <c r="AH653" s="763"/>
      <c r="AI653" s="763"/>
      <c r="AJ653" s="763"/>
      <c r="AK653" s="763"/>
      <c r="AL653" s="763"/>
      <c r="AM653" s="763"/>
      <c r="AN653" s="763"/>
      <c r="AO653" s="763"/>
      <c r="AP653" s="763"/>
      <c r="AQ653" s="763"/>
      <c r="AR653" s="763"/>
      <c r="AS653" s="763"/>
      <c r="AT653" s="763"/>
      <c r="AU653" s="763"/>
      <c r="AV653" s="763"/>
      <c r="AW653" s="763"/>
      <c r="AX653" s="763"/>
      <c r="AY653" s="763"/>
      <c r="AZ653" s="763"/>
      <c r="BA653" s="763"/>
      <c r="BB653" s="763"/>
      <c r="BC653" s="763"/>
      <c r="BD653" s="763"/>
      <c r="BE653" s="763"/>
      <c r="BF653" s="763"/>
      <c r="BG653" s="763" t="b">
        <f>IFERROR(__xludf.DUMMYFUNCTION("""COMPUTED_VALUE"""),TRUE)</f>
        <v>1</v>
      </c>
      <c r="BH653" s="763" t="b">
        <f>IFERROR(__xludf.DUMMYFUNCTION("""COMPUTED_VALUE"""),FALSE)</f>
        <v>0</v>
      </c>
      <c r="BI653" s="763" t="b">
        <f>IFERROR(__xludf.DUMMYFUNCTION("""COMPUTED_VALUE"""),TRUE)</f>
        <v>1</v>
      </c>
      <c r="BJ653" s="763" t="b">
        <f>IFERROR(__xludf.DUMMYFUNCTION("""COMPUTED_VALUE"""),TRUE)</f>
        <v>1</v>
      </c>
    </row>
    <row r="654">
      <c r="A654" s="763">
        <f>IFERROR(__xludf.DUMMYFUNCTION("""COMPUTED_VALUE"""),66460.0)</f>
        <v>66460</v>
      </c>
      <c r="B654" s="763">
        <f>IFERROR(__xludf.DUMMYFUNCTION("""COMPUTED_VALUE"""),66460.0)</f>
        <v>66460</v>
      </c>
      <c r="C654" s="763" t="str">
        <f>IFERROR(__xludf.DUMMYFUNCTION("""COMPUTED_VALUE"""),"2025-11-30 14:43:54")</f>
        <v>2025-11-30 14:43:54</v>
      </c>
      <c r="D654" s="763" t="str">
        <f>IFERROR(__xludf.DUMMYFUNCTION("""COMPUTED_VALUE"""),"processing")</f>
        <v>processing</v>
      </c>
      <c r="E654" s="763" t="str">
        <f>IFERROR(__xludf.DUMMYFUNCTION("""COMPUTED_VALUE"""),"Luigi")</f>
        <v>Luigi</v>
      </c>
      <c r="F654" s="763" t="str">
        <f>IFERROR(__xludf.DUMMYFUNCTION("""COMPUTED_VALUE"""),"Giammarruto")</f>
        <v>Giammarruto</v>
      </c>
      <c r="G654" s="763" t="str">
        <f>IFERROR(__xludf.DUMMYFUNCTION("""COMPUTED_VALUE"""),"thesocialfede@gmail.com")</f>
        <v>thesocialfede@gmail.com</v>
      </c>
      <c r="H654" s="763">
        <f>IFERROR(__xludf.DUMMYFUNCTION("""COMPUTED_VALUE"""),3.47635222E9)</f>
        <v>3476352220</v>
      </c>
      <c r="I654" s="763" t="str">
        <f>IFERROR(__xludf.DUMMYFUNCTION("""COMPUTED_VALUE"""),"Milano")</f>
        <v>Milano</v>
      </c>
      <c r="J654" s="763" t="str">
        <f>IFERROR(__xludf.DUMMYFUNCTION("""COMPUTED_VALUE"""),"Via Privata Giuba n13")</f>
        <v>Via Privata Giuba n13</v>
      </c>
      <c r="K654" s="763">
        <f>IFERROR(__xludf.DUMMYFUNCTION("""COMPUTED_VALUE"""),20128.0)</f>
        <v>20128</v>
      </c>
      <c r="L654" s="763" t="str">
        <f>IFERROR(__xludf.DUMMYFUNCTION("""COMPUTED_VALUE"""),"Carte di pagamento")</f>
        <v>Carte di pagamento</v>
      </c>
      <c r="M654" s="763" t="str">
        <f>IFERROR(__xludf.DUMMYFUNCTION("""COMPUTED_VALUE"""),"santo05natale")</f>
        <v>santo05natale</v>
      </c>
      <c r="N654" s="763" t="str">
        <f>IFERROR(__xludf.DUMMYFUNCTION("""COMPUTED_VALUE"""),"66460-1764513836")</f>
        <v>66460-1764513836</v>
      </c>
      <c r="O654" s="763">
        <f>IFERROR(__xludf.DUMMYFUNCTION("""COMPUTED_VALUE"""),0.0)</f>
        <v>0</v>
      </c>
      <c r="P654" s="767">
        <f>IFERROR(__xludf.DUMMYFUNCTION("""COMPUTED_VALUE"""),0.8333333333333334)</f>
        <v>0.8333333333</v>
      </c>
      <c r="Q654" s="763" t="str">
        <f>IFERROR(__xludf.DUMMYFUNCTION("""COMPUTED_VALUE"""),"EUR")</f>
        <v>EUR</v>
      </c>
      <c r="R654" s="763">
        <f>IFERROR(__xludf.DUMMYFUNCTION("""COMPUTED_VALUE"""),1206.0)</f>
        <v>1206</v>
      </c>
      <c r="S654" s="763" t="str">
        <f>IFERROR(__xludf.DUMMYFUNCTION("""COMPUTED_VALUE"""),"Festa di Natale 2025 - Festa di natale 2025 SOLO serata 25€")</f>
        <v>Festa di Natale 2025 - Festa di natale 2025 SOLO serata 25€</v>
      </c>
      <c r="T654" s="763"/>
      <c r="U654" s="763"/>
      <c r="V654" s="763">
        <f>IFERROR(__xludf.DUMMYFUNCTION("""COMPUTED_VALUE"""),1.0)</f>
        <v>1</v>
      </c>
      <c r="W654" s="763">
        <f>IFERROR(__xludf.DUMMYFUNCTION("""COMPUTED_VALUE"""),20.0)</f>
        <v>20</v>
      </c>
      <c r="X654" s="763">
        <f>IFERROR(__xludf.DUMMYFUNCTION("""COMPUTED_VALUE"""),20.0)</f>
        <v>20</v>
      </c>
      <c r="Y654" s="763"/>
      <c r="Z654" s="768" t="str">
        <f>IFERROR(__xludf.DUMMYFUNCTION("""COMPUTED_VALUE"""),"https://studio-gem.it/wp-admin/post.php?post=66460&amp;action=edit")</f>
        <v>https://studio-gem.it/wp-admin/post.php?post=66460&amp;action=edit</v>
      </c>
      <c r="AA654" s="763"/>
      <c r="AB654" s="763"/>
      <c r="AC654" s="763"/>
      <c r="AD654" s="763"/>
      <c r="AE654" s="763"/>
      <c r="AF654" s="763"/>
      <c r="AG654" s="763"/>
      <c r="AH654" s="763"/>
      <c r="AI654" s="763"/>
      <c r="AJ654" s="763"/>
      <c r="AK654" s="763"/>
      <c r="AL654" s="763"/>
      <c r="AM654" s="763"/>
      <c r="AN654" s="763"/>
      <c r="AO654" s="763"/>
      <c r="AP654" s="763"/>
      <c r="AQ654" s="763"/>
      <c r="AR654" s="763"/>
      <c r="AS654" s="763"/>
      <c r="AT654" s="763"/>
      <c r="AU654" s="763"/>
      <c r="AV654" s="763"/>
      <c r="AW654" s="763"/>
      <c r="AX654" s="763"/>
      <c r="AY654" s="763"/>
      <c r="AZ654" s="763"/>
      <c r="BA654" s="763"/>
      <c r="BB654" s="763"/>
      <c r="BC654" s="763"/>
      <c r="BD654" s="763"/>
      <c r="BE654" s="763"/>
      <c r="BF654" s="763"/>
      <c r="BG654" s="763" t="b">
        <f>IFERROR(__xludf.DUMMYFUNCTION("""COMPUTED_VALUE"""),TRUE)</f>
        <v>1</v>
      </c>
      <c r="BH654" s="763" t="b">
        <f>IFERROR(__xludf.DUMMYFUNCTION("""COMPUTED_VALUE"""),FALSE)</f>
        <v>0</v>
      </c>
      <c r="BI654" s="763" t="b">
        <f>IFERROR(__xludf.DUMMYFUNCTION("""COMPUTED_VALUE"""),TRUE)</f>
        <v>1</v>
      </c>
      <c r="BJ654" s="763" t="b">
        <f>IFERROR(__xludf.DUMMYFUNCTION("""COMPUTED_VALUE"""),TRUE)</f>
        <v>1</v>
      </c>
    </row>
    <row r="655">
      <c r="A655" s="763">
        <f>IFERROR(__xludf.DUMMYFUNCTION("""COMPUTED_VALUE"""),66462.0)</f>
        <v>66462</v>
      </c>
      <c r="B655" s="763">
        <f>IFERROR(__xludf.DUMMYFUNCTION("""COMPUTED_VALUE"""),66462.0)</f>
        <v>66462</v>
      </c>
      <c r="C655" s="763" t="str">
        <f>IFERROR(__xludf.DUMMYFUNCTION("""COMPUTED_VALUE"""),"2025-11-30 19:33:02")</f>
        <v>2025-11-30 19:33:02</v>
      </c>
      <c r="D655" s="763" t="str">
        <f>IFERROR(__xludf.DUMMYFUNCTION("""COMPUTED_VALUE"""),"completed")</f>
        <v>completed</v>
      </c>
      <c r="E655" s="763" t="str">
        <f>IFERROR(__xludf.DUMMYFUNCTION("""COMPUTED_VALUE"""),"LUCA")</f>
        <v>LUCA</v>
      </c>
      <c r="F655" s="763" t="str">
        <f>IFERROR(__xludf.DUMMYFUNCTION("""COMPUTED_VALUE"""),"MONTAGNA GRANATO")</f>
        <v>MONTAGNA GRANATO</v>
      </c>
      <c r="G655" s="763" t="str">
        <f>IFERROR(__xludf.DUMMYFUNCTION("""COMPUTED_VALUE"""),"montax89@yahoo.it")</f>
        <v>montax89@yahoo.it</v>
      </c>
      <c r="H655" s="763">
        <f>IFERROR(__xludf.DUMMYFUNCTION("""COMPUTED_VALUE"""),3.299285413E9)</f>
        <v>3299285413</v>
      </c>
      <c r="I655" s="763" t="str">
        <f>IFERROR(__xludf.DUMMYFUNCTION("""COMPUTED_VALUE"""),"Milano")</f>
        <v>Milano</v>
      </c>
      <c r="J655" s="763" t="str">
        <f>IFERROR(__xludf.DUMMYFUNCTION("""COMPUTED_VALUE"""),"via giraud 3")</f>
        <v>via giraud 3</v>
      </c>
      <c r="K655" s="763">
        <f>IFERROR(__xludf.DUMMYFUNCTION("""COMPUTED_VALUE"""),20127.0)</f>
        <v>20127</v>
      </c>
      <c r="L655" s="763" t="str">
        <f>IFERROR(__xludf.DUMMYFUNCTION("""COMPUTED_VALUE"""),"Carte di pagamento")</f>
        <v>Carte di pagamento</v>
      </c>
      <c r="M655" s="763" t="str">
        <f>IFERROR(__xludf.DUMMYFUNCTION("""COMPUTED_VALUE"""),"santo05natale")</f>
        <v>santo05natale</v>
      </c>
      <c r="N655" s="763" t="str">
        <f>IFERROR(__xludf.DUMMYFUNCTION("""COMPUTED_VALUE"""),"66462-1764531185")</f>
        <v>66462-1764531185</v>
      </c>
      <c r="O655" s="763">
        <f>IFERROR(__xludf.DUMMYFUNCTION("""COMPUTED_VALUE"""),0.0)</f>
        <v>0</v>
      </c>
      <c r="P655" s="767">
        <f>IFERROR(__xludf.DUMMYFUNCTION("""COMPUTED_VALUE"""),2.0833333333333335)</f>
        <v>2.083333333</v>
      </c>
      <c r="Q655" s="763" t="str">
        <f>IFERROR(__xludf.DUMMYFUNCTION("""COMPUTED_VALUE"""),"EUR")</f>
        <v>EUR</v>
      </c>
      <c r="R655" s="763">
        <f>IFERROR(__xludf.DUMMYFUNCTION("""COMPUTED_VALUE"""),1208.0)</f>
        <v>1208</v>
      </c>
      <c r="S655" s="763" t="str">
        <f>IFERROR(__xludf.DUMMYFUNCTION("""COMPUTED_VALUE"""),"Festa di Natale 2025 - Festa di natale 2025 lezioni + pizza + serata 55€")</f>
        <v>Festa di Natale 2025 - Festa di natale 2025 lezioni + pizza + serata 55€</v>
      </c>
      <c r="T655" s="763"/>
      <c r="U655" s="763"/>
      <c r="V655" s="763">
        <f>IFERROR(__xludf.DUMMYFUNCTION("""COMPUTED_VALUE"""),1.0)</f>
        <v>1</v>
      </c>
      <c r="W655" s="763">
        <f>IFERROR(__xludf.DUMMYFUNCTION("""COMPUTED_VALUE"""),50.0)</f>
        <v>50</v>
      </c>
      <c r="X655" s="763">
        <f>IFERROR(__xludf.DUMMYFUNCTION("""COMPUTED_VALUE"""),50.0)</f>
        <v>50</v>
      </c>
      <c r="Y655" s="763"/>
      <c r="Z655" s="768" t="str">
        <f>IFERROR(__xludf.DUMMYFUNCTION("""COMPUTED_VALUE"""),"https://studio-gem.it/wp-admin/post.php?post=66462&amp;action=edit")</f>
        <v>https://studio-gem.it/wp-admin/post.php?post=66462&amp;action=edit</v>
      </c>
      <c r="AA655" s="763"/>
      <c r="AB655" s="763"/>
      <c r="AC655" s="763"/>
      <c r="AD655" s="763"/>
      <c r="AE655" s="763"/>
      <c r="AF655" s="763"/>
      <c r="AG655" s="763"/>
      <c r="AH655" s="763"/>
      <c r="AI655" s="763"/>
      <c r="AJ655" s="763"/>
      <c r="AK655" s="763"/>
      <c r="AL655" s="763"/>
      <c r="AM655" s="763"/>
      <c r="AN655" s="763"/>
      <c r="AO655" s="763"/>
      <c r="AP655" s="763"/>
      <c r="AQ655" s="763"/>
      <c r="AR655" s="763"/>
      <c r="AS655" s="763"/>
      <c r="AT655" s="763"/>
      <c r="AU655" s="763"/>
      <c r="AV655" s="763"/>
      <c r="AW655" s="763"/>
      <c r="AX655" s="763"/>
      <c r="AY655" s="763"/>
      <c r="AZ655" s="763"/>
      <c r="BA655" s="763"/>
      <c r="BB655" s="763"/>
      <c r="BC655" s="763"/>
      <c r="BD655" s="763"/>
      <c r="BE655" s="763"/>
      <c r="BF655" s="763"/>
      <c r="BG655" s="763" t="b">
        <f>IFERROR(__xludf.DUMMYFUNCTION("""COMPUTED_VALUE"""),TRUE)</f>
        <v>1</v>
      </c>
      <c r="BH655" s="763" t="b">
        <f>IFERROR(__xludf.DUMMYFUNCTION("""COMPUTED_VALUE"""),FALSE)</f>
        <v>0</v>
      </c>
      <c r="BI655" s="763" t="b">
        <f>IFERROR(__xludf.DUMMYFUNCTION("""COMPUTED_VALUE"""),TRUE)</f>
        <v>1</v>
      </c>
      <c r="BJ655" s="763" t="b">
        <f>IFERROR(__xludf.DUMMYFUNCTION("""COMPUTED_VALUE"""),TRUE)</f>
        <v>1</v>
      </c>
    </row>
    <row r="656">
      <c r="A656" s="763">
        <f>IFERROR(__xludf.DUMMYFUNCTION("""COMPUTED_VALUE"""),66464.0)</f>
        <v>66464</v>
      </c>
      <c r="B656" s="763">
        <f>IFERROR(__xludf.DUMMYFUNCTION("""COMPUTED_VALUE"""),66464.0)</f>
        <v>66464</v>
      </c>
      <c r="C656" s="763" t="str">
        <f>IFERROR(__xludf.DUMMYFUNCTION("""COMPUTED_VALUE"""),"2025-11-30 21:04:30")</f>
        <v>2025-11-30 21:04:30</v>
      </c>
      <c r="D656" s="763" t="str">
        <f>IFERROR(__xludf.DUMMYFUNCTION("""COMPUTED_VALUE"""),"completed")</f>
        <v>completed</v>
      </c>
      <c r="E656" s="763" t="str">
        <f>IFERROR(__xludf.DUMMYFUNCTION("""COMPUTED_VALUE"""),"Maria Giovanna")</f>
        <v>Maria Giovanna</v>
      </c>
      <c r="F656" s="763" t="str">
        <f>IFERROR(__xludf.DUMMYFUNCTION("""COMPUTED_VALUE"""),"Biancofiore")</f>
        <v>Biancofiore</v>
      </c>
      <c r="G656" s="763" t="str">
        <f>IFERROR(__xludf.DUMMYFUNCTION("""COMPUTED_VALUE"""),"mg.biancofiore@hotmail.com")</f>
        <v>mg.biancofiore@hotmail.com</v>
      </c>
      <c r="H656" s="763">
        <f>IFERROR(__xludf.DUMMYFUNCTION("""COMPUTED_VALUE"""),3.467817118E9)</f>
        <v>3467817118</v>
      </c>
      <c r="I656" s="763" t="str">
        <f>IFERROR(__xludf.DUMMYFUNCTION("""COMPUTED_VALUE"""),"Milano")</f>
        <v>Milano</v>
      </c>
      <c r="J656" s="763" t="str">
        <f>IFERROR(__xludf.DUMMYFUNCTION("""COMPUTED_VALUE"""),"Via Bessarione 27")</f>
        <v>Via Bessarione 27</v>
      </c>
      <c r="K656" s="763">
        <f>IFERROR(__xludf.DUMMYFUNCTION("""COMPUTED_VALUE"""),20139.0)</f>
        <v>20139</v>
      </c>
      <c r="L656" s="763" t="str">
        <f>IFERROR(__xludf.DUMMYFUNCTION("""COMPUTED_VALUE"""),"Apple Pay")</f>
        <v>Apple Pay</v>
      </c>
      <c r="M656" s="763" t="str">
        <f>IFERROR(__xludf.DUMMYFUNCTION("""COMPUTED_VALUE"""),"santo05natale")</f>
        <v>santo05natale</v>
      </c>
      <c r="N656" s="763" t="str">
        <f>IFERROR(__xludf.DUMMYFUNCTION("""COMPUTED_VALUE"""),"66464-1764536671")</f>
        <v>66464-1764536671</v>
      </c>
      <c r="O656" s="763">
        <f>IFERROR(__xludf.DUMMYFUNCTION("""COMPUTED_VALUE"""),0.0)</f>
        <v>0</v>
      </c>
      <c r="P656" s="767">
        <f>IFERROR(__xludf.DUMMYFUNCTION("""COMPUTED_VALUE"""),2.0833333333333335)</f>
        <v>2.083333333</v>
      </c>
      <c r="Q656" s="763" t="str">
        <f>IFERROR(__xludf.DUMMYFUNCTION("""COMPUTED_VALUE"""),"EUR")</f>
        <v>EUR</v>
      </c>
      <c r="R656" s="763">
        <f>IFERROR(__xludf.DUMMYFUNCTION("""COMPUTED_VALUE"""),1210.0)</f>
        <v>1210</v>
      </c>
      <c r="S656" s="763" t="str">
        <f>IFERROR(__xludf.DUMMYFUNCTION("""COMPUTED_VALUE"""),"Festa di Natale 2025 - Festa di natale 2025 lezioni + pizza + serata 55€")</f>
        <v>Festa di Natale 2025 - Festa di natale 2025 lezioni + pizza + serata 55€</v>
      </c>
      <c r="T656" s="763"/>
      <c r="U656" s="763"/>
      <c r="V656" s="763">
        <f>IFERROR(__xludf.DUMMYFUNCTION("""COMPUTED_VALUE"""),1.0)</f>
        <v>1</v>
      </c>
      <c r="W656" s="763">
        <f>IFERROR(__xludf.DUMMYFUNCTION("""COMPUTED_VALUE"""),50.0)</f>
        <v>50</v>
      </c>
      <c r="X656" s="763">
        <f>IFERROR(__xludf.DUMMYFUNCTION("""COMPUTED_VALUE"""),50.0)</f>
        <v>50</v>
      </c>
      <c r="Y656" s="763"/>
      <c r="Z656" s="768" t="str">
        <f>IFERROR(__xludf.DUMMYFUNCTION("""COMPUTED_VALUE"""),"https://studio-gem.it/wp-admin/post.php?post=66464&amp;action=edit")</f>
        <v>https://studio-gem.it/wp-admin/post.php?post=66464&amp;action=edit</v>
      </c>
      <c r="AA656" s="763"/>
      <c r="AB656" s="763"/>
      <c r="AC656" s="763"/>
      <c r="AD656" s="763"/>
      <c r="AE656" s="763"/>
      <c r="AF656" s="763"/>
      <c r="AG656" s="763"/>
      <c r="AH656" s="763"/>
      <c r="AI656" s="763"/>
      <c r="AJ656" s="763"/>
      <c r="AK656" s="763"/>
      <c r="AL656" s="763"/>
      <c r="AM656" s="763"/>
      <c r="AN656" s="763"/>
      <c r="AO656" s="763"/>
      <c r="AP656" s="763"/>
      <c r="AQ656" s="763"/>
      <c r="AR656" s="763"/>
      <c r="AS656" s="763"/>
      <c r="AT656" s="763"/>
      <c r="AU656" s="763"/>
      <c r="AV656" s="763"/>
      <c r="AW656" s="763"/>
      <c r="AX656" s="763"/>
      <c r="AY656" s="763"/>
      <c r="AZ656" s="763"/>
      <c r="BA656" s="763"/>
      <c r="BB656" s="763"/>
      <c r="BC656" s="763"/>
      <c r="BD656" s="763"/>
      <c r="BE656" s="763"/>
      <c r="BF656" s="763"/>
      <c r="BG656" s="763" t="b">
        <f>IFERROR(__xludf.DUMMYFUNCTION("""COMPUTED_VALUE"""),TRUE)</f>
        <v>1</v>
      </c>
      <c r="BH656" s="763" t="b">
        <f>IFERROR(__xludf.DUMMYFUNCTION("""COMPUTED_VALUE"""),FALSE)</f>
        <v>0</v>
      </c>
      <c r="BI656" s="763" t="b">
        <f>IFERROR(__xludf.DUMMYFUNCTION("""COMPUTED_VALUE"""),TRUE)</f>
        <v>1</v>
      </c>
      <c r="BJ656" s="763" t="b">
        <f>IFERROR(__xludf.DUMMYFUNCTION("""COMPUTED_VALUE"""),TRUE)</f>
        <v>1</v>
      </c>
    </row>
    <row r="657">
      <c r="A657" s="763">
        <f>IFERROR(__xludf.DUMMYFUNCTION("""COMPUTED_VALUE"""),66466.0)</f>
        <v>66466</v>
      </c>
      <c r="B657" s="763">
        <f>IFERROR(__xludf.DUMMYFUNCTION("""COMPUTED_VALUE"""),66466.0)</f>
        <v>66466</v>
      </c>
      <c r="C657" s="763" t="str">
        <f>IFERROR(__xludf.DUMMYFUNCTION("""COMPUTED_VALUE"""),"2025-12-01 06:45:08")</f>
        <v>2025-12-01 06:45:08</v>
      </c>
      <c r="D657" s="763" t="str">
        <f>IFERROR(__xludf.DUMMYFUNCTION("""COMPUTED_VALUE"""),"processing")</f>
        <v>processing</v>
      </c>
      <c r="E657" s="763" t="str">
        <f>IFERROR(__xludf.DUMMYFUNCTION("""COMPUTED_VALUE"""),"Pyman")</f>
        <v>Pyman</v>
      </c>
      <c r="F657" s="763" t="str">
        <f>IFERROR(__xludf.DUMMYFUNCTION("""COMPUTED_VALUE"""),"Hosseinzadeh")</f>
        <v>Hosseinzadeh</v>
      </c>
      <c r="G657" s="763" t="str">
        <f>IFERROR(__xludf.DUMMYFUNCTION("""COMPUTED_VALUE"""),"pyho1998@gmail.com")</f>
        <v>pyho1998@gmail.com</v>
      </c>
      <c r="H657" s="763">
        <f>IFERROR(__xludf.DUMMYFUNCTION("""COMPUTED_VALUE"""),3.311836977E9)</f>
        <v>3311836977</v>
      </c>
      <c r="I657" s="763" t="str">
        <f>IFERROR(__xludf.DUMMYFUNCTION("""COMPUTED_VALUE"""),"Milano")</f>
        <v>Milano</v>
      </c>
      <c r="J657" s="763" t="str">
        <f>IFERROR(__xludf.DUMMYFUNCTION("""COMPUTED_VALUE"""),"Gerolamo Forni, 72")</f>
        <v>Gerolamo Forni, 72</v>
      </c>
      <c r="K657" s="763">
        <f>IFERROR(__xludf.DUMMYFUNCTION("""COMPUTED_VALUE"""),20161.0)</f>
        <v>20161</v>
      </c>
      <c r="L657" s="763" t="str">
        <f>IFERROR(__xludf.DUMMYFUNCTION("""COMPUTED_VALUE"""),"Carte di pagamento")</f>
        <v>Carte di pagamento</v>
      </c>
      <c r="M657" s="763" t="str">
        <f>IFERROR(__xludf.DUMMYFUNCTION("""COMPUTED_VALUE"""),"santo05natale")</f>
        <v>santo05natale</v>
      </c>
      <c r="N657" s="763" t="str">
        <f>IFERROR(__xludf.DUMMYFUNCTION("""COMPUTED_VALUE"""),"66466-1764571510")</f>
        <v>66466-1764571510</v>
      </c>
      <c r="O657" s="763">
        <f>IFERROR(__xludf.DUMMYFUNCTION("""COMPUTED_VALUE"""),0.0)</f>
        <v>0</v>
      </c>
      <c r="P657" s="767">
        <f>IFERROR(__xludf.DUMMYFUNCTION("""COMPUTED_VALUE"""),2.0833333333333335)</f>
        <v>2.083333333</v>
      </c>
      <c r="Q657" s="763" t="str">
        <f>IFERROR(__xludf.DUMMYFUNCTION("""COMPUTED_VALUE"""),"EUR")</f>
        <v>EUR</v>
      </c>
      <c r="R657" s="763">
        <f>IFERROR(__xludf.DUMMYFUNCTION("""COMPUTED_VALUE"""),1212.0)</f>
        <v>1212</v>
      </c>
      <c r="S657" s="763" t="str">
        <f>IFERROR(__xludf.DUMMYFUNCTION("""COMPUTED_VALUE"""),"Festa di Natale 2025 - Festa di natale 2025 lezioni + pizza + serata 55€")</f>
        <v>Festa di Natale 2025 - Festa di natale 2025 lezioni + pizza + serata 55€</v>
      </c>
      <c r="T657" s="763"/>
      <c r="U657" s="763"/>
      <c r="V657" s="763">
        <f>IFERROR(__xludf.DUMMYFUNCTION("""COMPUTED_VALUE"""),1.0)</f>
        <v>1</v>
      </c>
      <c r="W657" s="763">
        <f>IFERROR(__xludf.DUMMYFUNCTION("""COMPUTED_VALUE"""),50.0)</f>
        <v>50</v>
      </c>
      <c r="X657" s="763">
        <f>IFERROR(__xludf.DUMMYFUNCTION("""COMPUTED_VALUE"""),50.0)</f>
        <v>50</v>
      </c>
      <c r="Y657" s="763"/>
      <c r="Z657" s="768" t="str">
        <f>IFERROR(__xludf.DUMMYFUNCTION("""COMPUTED_VALUE"""),"https://studio-gem.it/wp-admin/post.php?post=66466&amp;action=edit")</f>
        <v>https://studio-gem.it/wp-admin/post.php?post=66466&amp;action=edit</v>
      </c>
      <c r="AA657" s="763"/>
      <c r="AB657" s="763"/>
      <c r="AC657" s="763"/>
      <c r="AD657" s="763"/>
      <c r="AE657" s="763"/>
      <c r="AF657" s="763"/>
      <c r="AG657" s="763"/>
      <c r="AH657" s="763"/>
      <c r="AI657" s="763"/>
      <c r="AJ657" s="763"/>
      <c r="AK657" s="763"/>
      <c r="AL657" s="763"/>
      <c r="AM657" s="763"/>
      <c r="AN657" s="763"/>
      <c r="AO657" s="763"/>
      <c r="AP657" s="763"/>
      <c r="AQ657" s="763"/>
      <c r="AR657" s="763"/>
      <c r="AS657" s="763"/>
      <c r="AT657" s="763"/>
      <c r="AU657" s="763"/>
      <c r="AV657" s="763"/>
      <c r="AW657" s="763"/>
      <c r="AX657" s="763"/>
      <c r="AY657" s="763"/>
      <c r="AZ657" s="763"/>
      <c r="BA657" s="763"/>
      <c r="BB657" s="763"/>
      <c r="BC657" s="763"/>
      <c r="BD657" s="763"/>
      <c r="BE657" s="763"/>
      <c r="BF657" s="763"/>
      <c r="BG657" s="763" t="b">
        <f>IFERROR(__xludf.DUMMYFUNCTION("""COMPUTED_VALUE"""),TRUE)</f>
        <v>1</v>
      </c>
      <c r="BH657" s="763" t="b">
        <f>IFERROR(__xludf.DUMMYFUNCTION("""COMPUTED_VALUE"""),FALSE)</f>
        <v>0</v>
      </c>
      <c r="BI657" s="763" t="b">
        <f>IFERROR(__xludf.DUMMYFUNCTION("""COMPUTED_VALUE"""),TRUE)</f>
        <v>1</v>
      </c>
      <c r="BJ657" s="763" t="b">
        <f>IFERROR(__xludf.DUMMYFUNCTION("""COMPUTED_VALUE"""),TRUE)</f>
        <v>1</v>
      </c>
    </row>
    <row r="658">
      <c r="A658" s="763">
        <f>IFERROR(__xludf.DUMMYFUNCTION("""COMPUTED_VALUE"""),66470.0)</f>
        <v>66470</v>
      </c>
      <c r="B658" s="763">
        <f>IFERROR(__xludf.DUMMYFUNCTION("""COMPUTED_VALUE"""),66470.0)</f>
        <v>66470</v>
      </c>
      <c r="C658" s="763" t="str">
        <f>IFERROR(__xludf.DUMMYFUNCTION("""COMPUTED_VALUE"""),"2025-12-01 10:34:33")</f>
        <v>2025-12-01 10:34:33</v>
      </c>
      <c r="D658" s="763" t="str">
        <f>IFERROR(__xludf.DUMMYFUNCTION("""COMPUTED_VALUE"""),"completed")</f>
        <v>completed</v>
      </c>
      <c r="E658" s="763" t="str">
        <f>IFERROR(__xludf.DUMMYFUNCTION("""COMPUTED_VALUE"""),"Beatrice")</f>
        <v>Beatrice</v>
      </c>
      <c r="F658" s="763" t="str">
        <f>IFERROR(__xludf.DUMMYFUNCTION("""COMPUTED_VALUE"""),"Gobbi")</f>
        <v>Gobbi</v>
      </c>
      <c r="G658" s="763" t="str">
        <f>IFERROR(__xludf.DUMMYFUNCTION("""COMPUTED_VALUE"""),"Beagobbi@gmail.com")</f>
        <v>Beagobbi@gmail.com</v>
      </c>
      <c r="H658" s="763">
        <f>IFERROR(__xludf.DUMMYFUNCTION("""COMPUTED_VALUE"""),3.397648487E9)</f>
        <v>3397648487</v>
      </c>
      <c r="I658" s="763" t="str">
        <f>IFERROR(__xludf.DUMMYFUNCTION("""COMPUTED_VALUE"""),"Milano")</f>
        <v>Milano</v>
      </c>
      <c r="J658" s="763" t="str">
        <f>IFERROR(__xludf.DUMMYFUNCTION("""COMPUTED_VALUE"""),"Via altaguardia 11")</f>
        <v>Via altaguardia 11</v>
      </c>
      <c r="K658" s="763">
        <f>IFERROR(__xludf.DUMMYFUNCTION("""COMPUTED_VALUE"""),20135.0)</f>
        <v>20135</v>
      </c>
      <c r="L658" s="763" t="str">
        <f>IFERROR(__xludf.DUMMYFUNCTION("""COMPUTED_VALUE"""),"Satispay")</f>
        <v>Satispay</v>
      </c>
      <c r="M658" s="763" t="str">
        <f>IFERROR(__xludf.DUMMYFUNCTION("""COMPUTED_VALUE"""),"santo05natale")</f>
        <v>santo05natale</v>
      </c>
      <c r="N658" s="763" t="str">
        <f>IFERROR(__xludf.DUMMYFUNCTION("""COMPUTED_VALUE"""),"019ad97a-78e3-75e2-88ce-a4c872904dd0")</f>
        <v>019ad97a-78e3-75e2-88ce-a4c872904dd0</v>
      </c>
      <c r="O658" s="763">
        <f>IFERROR(__xludf.DUMMYFUNCTION("""COMPUTED_VALUE"""),0.0)</f>
        <v>0</v>
      </c>
      <c r="P658" s="767">
        <f>IFERROR(__xludf.DUMMYFUNCTION("""COMPUTED_VALUE"""),2.0833333333333335)</f>
        <v>2.083333333</v>
      </c>
      <c r="Q658" s="763" t="str">
        <f>IFERROR(__xludf.DUMMYFUNCTION("""COMPUTED_VALUE"""),"EUR")</f>
        <v>EUR</v>
      </c>
      <c r="R658" s="763">
        <f>IFERROR(__xludf.DUMMYFUNCTION("""COMPUTED_VALUE"""),1214.0)</f>
        <v>1214</v>
      </c>
      <c r="S658" s="763" t="str">
        <f>IFERROR(__xludf.DUMMYFUNCTION("""COMPUTED_VALUE"""),"Festa di Natale 2025 - Festa di natale 2025 lezioni + pizza + serata 55€")</f>
        <v>Festa di Natale 2025 - Festa di natale 2025 lezioni + pizza + serata 55€</v>
      </c>
      <c r="T658" s="763"/>
      <c r="U658" s="763"/>
      <c r="V658" s="763">
        <f>IFERROR(__xludf.DUMMYFUNCTION("""COMPUTED_VALUE"""),1.0)</f>
        <v>1</v>
      </c>
      <c r="W658" s="763">
        <f>IFERROR(__xludf.DUMMYFUNCTION("""COMPUTED_VALUE"""),50.0)</f>
        <v>50</v>
      </c>
      <c r="X658" s="763">
        <f>IFERROR(__xludf.DUMMYFUNCTION("""COMPUTED_VALUE"""),50.0)</f>
        <v>50</v>
      </c>
      <c r="Y658" s="763"/>
      <c r="Z658" s="768" t="str">
        <f>IFERROR(__xludf.DUMMYFUNCTION("""COMPUTED_VALUE"""),"https://studio-gem.it/wp-admin/post.php?post=66470&amp;action=edit")</f>
        <v>https://studio-gem.it/wp-admin/post.php?post=66470&amp;action=edit</v>
      </c>
      <c r="AA658" s="763"/>
      <c r="AB658" s="763"/>
      <c r="AC658" s="763"/>
      <c r="AD658" s="763"/>
      <c r="AE658" s="763"/>
      <c r="AF658" s="763"/>
      <c r="AG658" s="763"/>
      <c r="AH658" s="763"/>
      <c r="AI658" s="763"/>
      <c r="AJ658" s="763"/>
      <c r="AK658" s="763"/>
      <c r="AL658" s="763"/>
      <c r="AM658" s="763"/>
      <c r="AN658" s="763"/>
      <c r="AO658" s="763"/>
      <c r="AP658" s="763"/>
      <c r="AQ658" s="763"/>
      <c r="AR658" s="763"/>
      <c r="AS658" s="763"/>
      <c r="AT658" s="763"/>
      <c r="AU658" s="763"/>
      <c r="AV658" s="763"/>
      <c r="AW658" s="763"/>
      <c r="AX658" s="763"/>
      <c r="AY658" s="763"/>
      <c r="AZ658" s="763"/>
      <c r="BA658" s="763"/>
      <c r="BB658" s="763"/>
      <c r="BC658" s="763"/>
      <c r="BD658" s="763"/>
      <c r="BE658" s="763"/>
      <c r="BF658" s="763"/>
      <c r="BG658" s="763" t="b">
        <f>IFERROR(__xludf.DUMMYFUNCTION("""COMPUTED_VALUE"""),TRUE)</f>
        <v>1</v>
      </c>
      <c r="BH658" s="763" t="b">
        <f>IFERROR(__xludf.DUMMYFUNCTION("""COMPUTED_VALUE"""),FALSE)</f>
        <v>0</v>
      </c>
      <c r="BI658" s="763" t="b">
        <f>IFERROR(__xludf.DUMMYFUNCTION("""COMPUTED_VALUE"""),TRUE)</f>
        <v>1</v>
      </c>
      <c r="BJ658" s="763" t="b">
        <f>IFERROR(__xludf.DUMMYFUNCTION("""COMPUTED_VALUE"""),TRUE)</f>
        <v>1</v>
      </c>
    </row>
    <row r="659">
      <c r="A659" s="763">
        <f>IFERROR(__xludf.DUMMYFUNCTION("""COMPUTED_VALUE"""),66472.0)</f>
        <v>66472</v>
      </c>
      <c r="B659" s="763">
        <f>IFERROR(__xludf.DUMMYFUNCTION("""COMPUTED_VALUE"""),66472.0)</f>
        <v>66472</v>
      </c>
      <c r="C659" s="763" t="str">
        <f>IFERROR(__xludf.DUMMYFUNCTION("""COMPUTED_VALUE"""),"2025-12-01 11:06:50")</f>
        <v>2025-12-01 11:06:50</v>
      </c>
      <c r="D659" s="763" t="str">
        <f>IFERROR(__xludf.DUMMYFUNCTION("""COMPUTED_VALUE"""),"pending")</f>
        <v>pending</v>
      </c>
      <c r="E659" s="763" t="str">
        <f>IFERROR(__xludf.DUMMYFUNCTION("""COMPUTED_VALUE"""),"PING")</f>
        <v>PING</v>
      </c>
      <c r="F659" s="763" t="str">
        <f>IFERROR(__xludf.DUMMYFUNCTION("""COMPUTED_VALUE"""),"DAI")</f>
        <v>DAI</v>
      </c>
      <c r="G659" s="763" t="str">
        <f>IFERROR(__xludf.DUMMYFUNCTION("""COMPUTED_VALUE"""),"dpconsultinggroup@gmail.com")</f>
        <v>dpconsultinggroup@gmail.com</v>
      </c>
      <c r="H659" s="763">
        <f>IFERROR(__xludf.DUMMYFUNCTION("""COMPUTED_VALUE"""),3.382233811E9)</f>
        <v>3382233811</v>
      </c>
      <c r="I659" s="763" t="str">
        <f>IFERROR(__xludf.DUMMYFUNCTION("""COMPUTED_VALUE"""),"Milano")</f>
        <v>Milano</v>
      </c>
      <c r="J659" s="763" t="str">
        <f>IFERROR(__xludf.DUMMYFUNCTION("""COMPUTED_VALUE"""),"Via Friulli 19")</f>
        <v>Via Friulli 19</v>
      </c>
      <c r="K659" s="763">
        <f>IFERROR(__xludf.DUMMYFUNCTION("""COMPUTED_VALUE"""),20135.0)</f>
        <v>20135</v>
      </c>
      <c r="L659" s="763" t="str">
        <f>IFERROR(__xludf.DUMMYFUNCTION("""COMPUTED_VALUE"""),"Carte di pagamento")</f>
        <v>Carte di pagamento</v>
      </c>
      <c r="M659" s="763"/>
      <c r="N659" s="763"/>
      <c r="O659" s="763">
        <f>IFERROR(__xludf.DUMMYFUNCTION("""COMPUTED_VALUE"""),0.0)</f>
        <v>0</v>
      </c>
      <c r="P659" s="767">
        <f>IFERROR(__xludf.DUMMYFUNCTION("""COMPUTED_VALUE"""),2.2916666666666665)</f>
        <v>2.291666667</v>
      </c>
      <c r="Q659" s="763" t="str">
        <f>IFERROR(__xludf.DUMMYFUNCTION("""COMPUTED_VALUE"""),"EUR")</f>
        <v>EUR</v>
      </c>
      <c r="R659" s="763">
        <f>IFERROR(__xludf.DUMMYFUNCTION("""COMPUTED_VALUE"""),1216.0)</f>
        <v>1216</v>
      </c>
      <c r="S659" s="763" t="str">
        <f>IFERROR(__xludf.DUMMYFUNCTION("""COMPUTED_VALUE"""),"Festa di Natale 2025 - Festa di natale 2025 lezioni + pizza + serata 55€")</f>
        <v>Festa di Natale 2025 - Festa di natale 2025 lezioni + pizza + serata 55€</v>
      </c>
      <c r="T659" s="763"/>
      <c r="U659" s="763"/>
      <c r="V659" s="763">
        <f>IFERROR(__xludf.DUMMYFUNCTION("""COMPUTED_VALUE"""),1.0)</f>
        <v>1</v>
      </c>
      <c r="W659" s="763">
        <f>IFERROR(__xludf.DUMMYFUNCTION("""COMPUTED_VALUE"""),55.0)</f>
        <v>55</v>
      </c>
      <c r="X659" s="763">
        <f>IFERROR(__xludf.DUMMYFUNCTION("""COMPUTED_VALUE"""),55.0)</f>
        <v>55</v>
      </c>
      <c r="Y659" s="763"/>
      <c r="Z659" s="768" t="str">
        <f>IFERROR(__xludf.DUMMYFUNCTION("""COMPUTED_VALUE"""),"https://studio-gem.it/wp-admin/post.php?post=66472&amp;action=edit")</f>
        <v>https://studio-gem.it/wp-admin/post.php?post=66472&amp;action=edit</v>
      </c>
      <c r="AA659" s="763"/>
      <c r="AB659" s="763"/>
      <c r="AC659" s="763"/>
      <c r="AD659" s="763"/>
      <c r="AE659" s="763"/>
      <c r="AF659" s="763"/>
      <c r="AG659" s="763"/>
      <c r="AH659" s="763"/>
      <c r="AI659" s="763"/>
      <c r="AJ659" s="763"/>
      <c r="AK659" s="763"/>
      <c r="AL659" s="763"/>
      <c r="AM659" s="763"/>
      <c r="AN659" s="763"/>
      <c r="AO659" s="763"/>
      <c r="AP659" s="763"/>
      <c r="AQ659" s="763"/>
      <c r="AR659" s="763"/>
      <c r="AS659" s="763"/>
      <c r="AT659" s="763"/>
      <c r="AU659" s="763"/>
      <c r="AV659" s="763"/>
      <c r="AW659" s="763"/>
      <c r="AX659" s="763"/>
      <c r="AY659" s="763"/>
      <c r="AZ659" s="763"/>
      <c r="BA659" s="763"/>
      <c r="BB659" s="763"/>
      <c r="BC659" s="763"/>
      <c r="BD659" s="763"/>
      <c r="BE659" s="763"/>
      <c r="BF659" s="763"/>
      <c r="BG659" s="763" t="b">
        <f>IFERROR(__xludf.DUMMYFUNCTION("""COMPUTED_VALUE"""),FALSE)</f>
        <v>0</v>
      </c>
      <c r="BH659" s="763" t="b">
        <f>IFERROR(__xludf.DUMMYFUNCTION("""COMPUTED_VALUE"""),FALSE)</f>
        <v>0</v>
      </c>
      <c r="BI659" s="763" t="b">
        <f>IFERROR(__xludf.DUMMYFUNCTION("""COMPUTED_VALUE"""),FALSE)</f>
        <v>0</v>
      </c>
      <c r="BJ659" s="763" t="b">
        <f>IFERROR(__xludf.DUMMYFUNCTION("""COMPUTED_VALUE"""),FALSE)</f>
        <v>0</v>
      </c>
    </row>
    <row r="660">
      <c r="A660" s="763">
        <f>IFERROR(__xludf.DUMMYFUNCTION("""COMPUTED_VALUE"""),66473.0)</f>
        <v>66473</v>
      </c>
      <c r="B660" s="763">
        <f>IFERROR(__xludf.DUMMYFUNCTION("""COMPUTED_VALUE"""),66473.0)</f>
        <v>66473</v>
      </c>
      <c r="C660" s="763" t="str">
        <f>IFERROR(__xludf.DUMMYFUNCTION("""COMPUTED_VALUE"""),"2025-12-01 14:32:36")</f>
        <v>2025-12-01 14:32:36</v>
      </c>
      <c r="D660" s="763" t="str">
        <f>IFERROR(__xludf.DUMMYFUNCTION("""COMPUTED_VALUE"""),"processing")</f>
        <v>processing</v>
      </c>
      <c r="E660" s="763" t="str">
        <f>IFERROR(__xludf.DUMMYFUNCTION("""COMPUTED_VALUE"""),"Marcello")</f>
        <v>Marcello</v>
      </c>
      <c r="F660" s="763" t="str">
        <f>IFERROR(__xludf.DUMMYFUNCTION("""COMPUTED_VALUE"""),"Magnani")</f>
        <v>Magnani</v>
      </c>
      <c r="G660" s="763" t="str">
        <f>IFERROR(__xludf.DUMMYFUNCTION("""COMPUTED_VALUE"""),"marcello.magnani2@gmail.com")</f>
        <v>marcello.magnani2@gmail.com</v>
      </c>
      <c r="H660" s="763">
        <f>IFERROR(__xludf.DUMMYFUNCTION("""COMPUTED_VALUE"""),3.48699283E9)</f>
        <v>3486992830</v>
      </c>
      <c r="I660" s="763" t="str">
        <f>IFERROR(__xludf.DUMMYFUNCTION("""COMPUTED_VALUE"""),"Milano")</f>
        <v>Milano</v>
      </c>
      <c r="J660" s="763" t="str">
        <f>IFERROR(__xludf.DUMMYFUNCTION("""COMPUTED_VALUE"""),"Via Volturno 31")</f>
        <v>Via Volturno 31</v>
      </c>
      <c r="K660" s="763">
        <f>IFERROR(__xludf.DUMMYFUNCTION("""COMPUTED_VALUE"""),20124.0)</f>
        <v>20124</v>
      </c>
      <c r="L660" s="763" t="str">
        <f>IFERROR(__xludf.DUMMYFUNCTION("""COMPUTED_VALUE"""),"Carte di pagamento")</f>
        <v>Carte di pagamento</v>
      </c>
      <c r="M660" s="763"/>
      <c r="N660" s="763" t="str">
        <f>IFERROR(__xludf.DUMMYFUNCTION("""COMPUTED_VALUE"""),"66473-1764599575")</f>
        <v>66473-1764599575</v>
      </c>
      <c r="O660" s="763">
        <f>IFERROR(__xludf.DUMMYFUNCTION("""COMPUTED_VALUE"""),0.0)</f>
        <v>0</v>
      </c>
      <c r="P660" s="767">
        <f>IFERROR(__xludf.DUMMYFUNCTION("""COMPUTED_VALUE"""),1.0416666666666667)</f>
        <v>1.041666667</v>
      </c>
      <c r="Q660" s="763" t="str">
        <f>IFERROR(__xludf.DUMMYFUNCTION("""COMPUTED_VALUE"""),"EUR")</f>
        <v>EUR</v>
      </c>
      <c r="R660" s="763">
        <f>IFERROR(__xludf.DUMMYFUNCTION("""COMPUTED_VALUE"""),1217.0)</f>
        <v>1217</v>
      </c>
      <c r="S660" s="763" t="str">
        <f>IFERROR(__xludf.DUMMYFUNCTION("""COMPUTED_VALUE"""),"Festa di Natale 2025 - Festa di natale 2025 SOLO serata 25€")</f>
        <v>Festa di Natale 2025 - Festa di natale 2025 SOLO serata 25€</v>
      </c>
      <c r="T660" s="763"/>
      <c r="U660" s="763"/>
      <c r="V660" s="763">
        <f>IFERROR(__xludf.DUMMYFUNCTION("""COMPUTED_VALUE"""),1.0)</f>
        <v>1</v>
      </c>
      <c r="W660" s="763">
        <f>IFERROR(__xludf.DUMMYFUNCTION("""COMPUTED_VALUE"""),25.0)</f>
        <v>25</v>
      </c>
      <c r="X660" s="763">
        <f>IFERROR(__xludf.DUMMYFUNCTION("""COMPUTED_VALUE"""),25.0)</f>
        <v>25</v>
      </c>
      <c r="Y660" s="763"/>
      <c r="Z660" s="768" t="str">
        <f>IFERROR(__xludf.DUMMYFUNCTION("""COMPUTED_VALUE"""),"https://studio-gem.it/wp-admin/post.php?post=66473&amp;action=edit")</f>
        <v>https://studio-gem.it/wp-admin/post.php?post=66473&amp;action=edit</v>
      </c>
      <c r="AA660" s="763"/>
      <c r="AB660" s="763"/>
      <c r="AC660" s="763"/>
      <c r="AD660" s="763"/>
      <c r="AE660" s="763"/>
      <c r="AF660" s="763"/>
      <c r="AG660" s="763"/>
      <c r="AH660" s="763"/>
      <c r="AI660" s="763"/>
      <c r="AJ660" s="763"/>
      <c r="AK660" s="763"/>
      <c r="AL660" s="763"/>
      <c r="AM660" s="763"/>
      <c r="AN660" s="763"/>
      <c r="AO660" s="763"/>
      <c r="AP660" s="763"/>
      <c r="AQ660" s="763"/>
      <c r="AR660" s="763"/>
      <c r="AS660" s="763"/>
      <c r="AT660" s="763"/>
      <c r="AU660" s="763"/>
      <c r="AV660" s="763"/>
      <c r="AW660" s="763"/>
      <c r="AX660" s="763"/>
      <c r="AY660" s="763"/>
      <c r="AZ660" s="763"/>
      <c r="BA660" s="763"/>
      <c r="BB660" s="763"/>
      <c r="BC660" s="763"/>
      <c r="BD660" s="763"/>
      <c r="BE660" s="763"/>
      <c r="BF660" s="763"/>
      <c r="BG660" s="763" t="b">
        <f>IFERROR(__xludf.DUMMYFUNCTION("""COMPUTED_VALUE"""),TRUE)</f>
        <v>1</v>
      </c>
      <c r="BH660" s="763" t="b">
        <f>IFERROR(__xludf.DUMMYFUNCTION("""COMPUTED_VALUE"""),FALSE)</f>
        <v>0</v>
      </c>
      <c r="BI660" s="763" t="b">
        <f>IFERROR(__xludf.DUMMYFUNCTION("""COMPUTED_VALUE"""),TRUE)</f>
        <v>1</v>
      </c>
      <c r="BJ660" s="763" t="b">
        <f>IFERROR(__xludf.DUMMYFUNCTION("""COMPUTED_VALUE"""),TRUE)</f>
        <v>1</v>
      </c>
    </row>
    <row r="661">
      <c r="A661" s="763">
        <f>IFERROR(__xludf.DUMMYFUNCTION("""COMPUTED_VALUE"""),66474.0)</f>
        <v>66474</v>
      </c>
      <c r="B661" s="763">
        <f>IFERROR(__xludf.DUMMYFUNCTION("""COMPUTED_VALUE"""),66474.0)</f>
        <v>66474</v>
      </c>
      <c r="C661" s="763" t="str">
        <f>IFERROR(__xludf.DUMMYFUNCTION("""COMPUTED_VALUE"""),"2025-12-01 14:43:34")</f>
        <v>2025-12-01 14:43:34</v>
      </c>
      <c r="D661" s="763" t="str">
        <f>IFERROR(__xludf.DUMMYFUNCTION("""COMPUTED_VALUE"""),"completed")</f>
        <v>completed</v>
      </c>
      <c r="E661" s="763" t="str">
        <f>IFERROR(__xludf.DUMMYFUNCTION("""COMPUTED_VALUE"""),"emanuela")</f>
        <v>emanuela</v>
      </c>
      <c r="F661" s="763" t="str">
        <f>IFERROR(__xludf.DUMMYFUNCTION("""COMPUTED_VALUE"""),"RISI")</f>
        <v>RISI</v>
      </c>
      <c r="G661" s="763" t="str">
        <f>IFERROR(__xludf.DUMMYFUNCTION("""COMPUTED_VALUE"""),"emarisi81@gmail.com")</f>
        <v>emarisi81@gmail.com</v>
      </c>
      <c r="H661" s="763">
        <f>IFERROR(__xludf.DUMMYFUNCTION("""COMPUTED_VALUE"""),3.339681747E9)</f>
        <v>3339681747</v>
      </c>
      <c r="I661" s="763" t="str">
        <f>IFERROR(__xludf.DUMMYFUNCTION("""COMPUTED_VALUE"""),"Milano")</f>
        <v>Milano</v>
      </c>
      <c r="J661" s="763" t="str">
        <f>IFERROR(__xludf.DUMMYFUNCTION("""COMPUTED_VALUE"""),"VIALE ROMAGNA 12")</f>
        <v>VIALE ROMAGNA 12</v>
      </c>
      <c r="K661" s="763">
        <f>IFERROR(__xludf.DUMMYFUNCTION("""COMPUTED_VALUE"""),20133.0)</f>
        <v>20133</v>
      </c>
      <c r="L661" s="763" t="str">
        <f>IFERROR(__xludf.DUMMYFUNCTION("""COMPUTED_VALUE"""),"Carte di pagamento")</f>
        <v>Carte di pagamento</v>
      </c>
      <c r="M661" s="763" t="str">
        <f>IFERROR(__xludf.DUMMYFUNCTION("""COMPUTED_VALUE"""),"santo05natale")</f>
        <v>santo05natale</v>
      </c>
      <c r="N661" s="763" t="str">
        <f>IFERROR(__xludf.DUMMYFUNCTION("""COMPUTED_VALUE"""),"66474-1764600215")</f>
        <v>66474-1764600215</v>
      </c>
      <c r="O661" s="763">
        <f>IFERROR(__xludf.DUMMYFUNCTION("""COMPUTED_VALUE"""),0.0)</f>
        <v>0</v>
      </c>
      <c r="P661" s="767">
        <f>IFERROR(__xludf.DUMMYFUNCTION("""COMPUTED_VALUE"""),2.0833333333333335)</f>
        <v>2.083333333</v>
      </c>
      <c r="Q661" s="763" t="str">
        <f>IFERROR(__xludf.DUMMYFUNCTION("""COMPUTED_VALUE"""),"EUR")</f>
        <v>EUR</v>
      </c>
      <c r="R661" s="763">
        <f>IFERROR(__xludf.DUMMYFUNCTION("""COMPUTED_VALUE"""),1218.0)</f>
        <v>1218</v>
      </c>
      <c r="S661" s="763" t="str">
        <f>IFERROR(__xludf.DUMMYFUNCTION("""COMPUTED_VALUE"""),"Festa di Natale 2025 - Festa di natale 2025 lezioni + pizza + serata 55€")</f>
        <v>Festa di Natale 2025 - Festa di natale 2025 lezioni + pizza + serata 55€</v>
      </c>
      <c r="T661" s="763"/>
      <c r="U661" s="763"/>
      <c r="V661" s="763">
        <f>IFERROR(__xludf.DUMMYFUNCTION("""COMPUTED_VALUE"""),1.0)</f>
        <v>1</v>
      </c>
      <c r="W661" s="763">
        <f>IFERROR(__xludf.DUMMYFUNCTION("""COMPUTED_VALUE"""),50.0)</f>
        <v>50</v>
      </c>
      <c r="X661" s="763">
        <f>IFERROR(__xludf.DUMMYFUNCTION("""COMPUTED_VALUE"""),50.0)</f>
        <v>50</v>
      </c>
      <c r="Y661" s="763"/>
      <c r="Z661" s="768" t="str">
        <f>IFERROR(__xludf.DUMMYFUNCTION("""COMPUTED_VALUE"""),"https://studio-gem.it/wp-admin/post.php?post=66474&amp;action=edit")</f>
        <v>https://studio-gem.it/wp-admin/post.php?post=66474&amp;action=edit</v>
      </c>
      <c r="AA661" s="763"/>
      <c r="AB661" s="763"/>
      <c r="AC661" s="763"/>
      <c r="AD661" s="763"/>
      <c r="AE661" s="763"/>
      <c r="AF661" s="763"/>
      <c r="AG661" s="763"/>
      <c r="AH661" s="763"/>
      <c r="AI661" s="763"/>
      <c r="AJ661" s="763"/>
      <c r="AK661" s="763"/>
      <c r="AL661" s="763"/>
      <c r="AM661" s="763"/>
      <c r="AN661" s="763"/>
      <c r="AO661" s="763"/>
      <c r="AP661" s="763"/>
      <c r="AQ661" s="763"/>
      <c r="AR661" s="763"/>
      <c r="AS661" s="763"/>
      <c r="AT661" s="763"/>
      <c r="AU661" s="763"/>
      <c r="AV661" s="763"/>
      <c r="AW661" s="763"/>
      <c r="AX661" s="763"/>
      <c r="AY661" s="763"/>
      <c r="AZ661" s="763"/>
      <c r="BA661" s="763"/>
      <c r="BB661" s="763"/>
      <c r="BC661" s="763"/>
      <c r="BD661" s="763"/>
      <c r="BE661" s="763"/>
      <c r="BF661" s="763"/>
      <c r="BG661" s="763" t="b">
        <f>IFERROR(__xludf.DUMMYFUNCTION("""COMPUTED_VALUE"""),TRUE)</f>
        <v>1</v>
      </c>
      <c r="BH661" s="763" t="b">
        <f>IFERROR(__xludf.DUMMYFUNCTION("""COMPUTED_VALUE"""),FALSE)</f>
        <v>0</v>
      </c>
      <c r="BI661" s="763" t="b">
        <f>IFERROR(__xludf.DUMMYFUNCTION("""COMPUTED_VALUE"""),TRUE)</f>
        <v>1</v>
      </c>
      <c r="BJ661" s="763" t="b">
        <f>IFERROR(__xludf.DUMMYFUNCTION("""COMPUTED_VALUE"""),TRUE)</f>
        <v>1</v>
      </c>
    </row>
    <row r="662">
      <c r="A662" s="763">
        <f>IFERROR(__xludf.DUMMYFUNCTION("""COMPUTED_VALUE"""),66493.0)</f>
        <v>66493</v>
      </c>
      <c r="B662" s="763">
        <f>IFERROR(__xludf.DUMMYFUNCTION("""COMPUTED_VALUE"""),66493.0)</f>
        <v>66493</v>
      </c>
      <c r="C662" s="763" t="str">
        <f>IFERROR(__xludf.DUMMYFUNCTION("""COMPUTED_VALUE"""),"2025-12-01 18:07:33")</f>
        <v>2025-12-01 18:07:33</v>
      </c>
      <c r="D662" s="763" t="str">
        <f>IFERROR(__xludf.DUMMYFUNCTION("""COMPUTED_VALUE"""),"completed")</f>
        <v>completed</v>
      </c>
      <c r="E662" s="763" t="str">
        <f>IFERROR(__xludf.DUMMYFUNCTION("""COMPUTED_VALUE"""),"Gabriela")</f>
        <v>Gabriela</v>
      </c>
      <c r="F662" s="763" t="str">
        <f>IFERROR(__xludf.DUMMYFUNCTION("""COMPUTED_VALUE"""),"Mendoza")</f>
        <v>Mendoza</v>
      </c>
      <c r="G662" s="763" t="str">
        <f>IFERROR(__xludf.DUMMYFUNCTION("""COMPUTED_VALUE"""),"mendozarohde@gmail.com")</f>
        <v>mendozarohde@gmail.com</v>
      </c>
      <c r="H662" s="763">
        <f>IFERROR(__xludf.DUMMYFUNCTION("""COMPUTED_VALUE"""),3.929975039E9)</f>
        <v>3929975039</v>
      </c>
      <c r="I662" s="763" t="str">
        <f>IFERROR(__xludf.DUMMYFUNCTION("""COMPUTED_VALUE"""),"Milano")</f>
        <v>Milano</v>
      </c>
      <c r="J662" s="763" t="str">
        <f>IFERROR(__xludf.DUMMYFUNCTION("""COMPUTED_VALUE"""),"Muratori")</f>
        <v>Muratori</v>
      </c>
      <c r="K662" s="763">
        <f>IFERROR(__xludf.DUMMYFUNCTION("""COMPUTED_VALUE"""),20135.0)</f>
        <v>20135</v>
      </c>
      <c r="L662" s="763" t="str">
        <f>IFERROR(__xludf.DUMMYFUNCTION("""COMPUTED_VALUE"""),"Apple Pay")</f>
        <v>Apple Pay</v>
      </c>
      <c r="M662" s="763"/>
      <c r="N662" s="763" t="str">
        <f>IFERROR(__xludf.DUMMYFUNCTION("""COMPUTED_VALUE"""),"66493-1764612455")</f>
        <v>66493-1764612455</v>
      </c>
      <c r="O662" s="763">
        <f>IFERROR(__xludf.DUMMYFUNCTION("""COMPUTED_VALUE"""),0.0)</f>
        <v>0</v>
      </c>
      <c r="P662" s="767">
        <f>IFERROR(__xludf.DUMMYFUNCTION("""COMPUTED_VALUE"""),2.0833333333333335)</f>
        <v>2.083333333</v>
      </c>
      <c r="Q662" s="763" t="str">
        <f>IFERROR(__xludf.DUMMYFUNCTION("""COMPUTED_VALUE"""),"EUR")</f>
        <v>EUR</v>
      </c>
      <c r="R662" s="763">
        <f>IFERROR(__xludf.DUMMYFUNCTION("""COMPUTED_VALUE"""),1220.0)</f>
        <v>1220</v>
      </c>
      <c r="S662" s="763" t="str">
        <f>IFERROR(__xludf.DUMMYFUNCTION("""COMPUTED_VALUE"""),"Festa di Natale 2025 - Festa di natale 2025 SOLO serata 25€")</f>
        <v>Festa di Natale 2025 - Festa di natale 2025 SOLO serata 25€</v>
      </c>
      <c r="T662" s="763"/>
      <c r="U662" s="763"/>
      <c r="V662" s="763">
        <f>IFERROR(__xludf.DUMMYFUNCTION("""COMPUTED_VALUE"""),2.0)</f>
        <v>2</v>
      </c>
      <c r="W662" s="763">
        <f>IFERROR(__xludf.DUMMYFUNCTION("""COMPUTED_VALUE"""),25.0)</f>
        <v>25</v>
      </c>
      <c r="X662" s="763">
        <f>IFERROR(__xludf.DUMMYFUNCTION("""COMPUTED_VALUE"""),50.0)</f>
        <v>50</v>
      </c>
      <c r="Y662" s="763"/>
      <c r="Z662" s="768" t="str">
        <f>IFERROR(__xludf.DUMMYFUNCTION("""COMPUTED_VALUE"""),"https://studio-gem.it/wp-admin/post.php?post=66493&amp;action=edit")</f>
        <v>https://studio-gem.it/wp-admin/post.php?post=66493&amp;action=edit</v>
      </c>
      <c r="AA662" s="763"/>
      <c r="AB662" s="763"/>
      <c r="AC662" s="763"/>
      <c r="AD662" s="763"/>
      <c r="AE662" s="763"/>
      <c r="AF662" s="763"/>
      <c r="AG662" s="763"/>
      <c r="AH662" s="763"/>
      <c r="AI662" s="763"/>
      <c r="AJ662" s="763"/>
      <c r="AK662" s="763"/>
      <c r="AL662" s="763"/>
      <c r="AM662" s="763"/>
      <c r="AN662" s="763"/>
      <c r="AO662" s="763"/>
      <c r="AP662" s="763"/>
      <c r="AQ662" s="763"/>
      <c r="AR662" s="763"/>
      <c r="AS662" s="763"/>
      <c r="AT662" s="763"/>
      <c r="AU662" s="763"/>
      <c r="AV662" s="763"/>
      <c r="AW662" s="763"/>
      <c r="AX662" s="763"/>
      <c r="AY662" s="763"/>
      <c r="AZ662" s="763"/>
      <c r="BA662" s="763"/>
      <c r="BB662" s="763"/>
      <c r="BC662" s="763"/>
      <c r="BD662" s="763"/>
      <c r="BE662" s="763"/>
      <c r="BF662" s="763"/>
      <c r="BG662" s="763" t="b">
        <f>IFERROR(__xludf.DUMMYFUNCTION("""COMPUTED_VALUE"""),TRUE)</f>
        <v>1</v>
      </c>
      <c r="BH662" s="763" t="b">
        <f>IFERROR(__xludf.DUMMYFUNCTION("""COMPUTED_VALUE"""),FALSE)</f>
        <v>0</v>
      </c>
      <c r="BI662" s="763" t="b">
        <f>IFERROR(__xludf.DUMMYFUNCTION("""COMPUTED_VALUE"""),TRUE)</f>
        <v>1</v>
      </c>
      <c r="BJ662" s="763" t="b">
        <f>IFERROR(__xludf.DUMMYFUNCTION("""COMPUTED_VALUE"""),TRUE)</f>
        <v>1</v>
      </c>
    </row>
    <row r="663">
      <c r="A663" s="763">
        <f>IFERROR(__xludf.DUMMYFUNCTION("""COMPUTED_VALUE"""),66495.0)</f>
        <v>66495</v>
      </c>
      <c r="B663" s="763">
        <f>IFERROR(__xludf.DUMMYFUNCTION("""COMPUTED_VALUE"""),66495.0)</f>
        <v>66495</v>
      </c>
      <c r="C663" s="763" t="str">
        <f>IFERROR(__xludf.DUMMYFUNCTION("""COMPUTED_VALUE"""),"2025-12-01 18:27:08")</f>
        <v>2025-12-01 18:27:08</v>
      </c>
      <c r="D663" s="763" t="str">
        <f>IFERROR(__xludf.DUMMYFUNCTION("""COMPUTED_VALUE"""),"processing")</f>
        <v>processing</v>
      </c>
      <c r="E663" s="763" t="str">
        <f>IFERROR(__xludf.DUMMYFUNCTION("""COMPUTED_VALUE"""),"Assunta")</f>
        <v>Assunta</v>
      </c>
      <c r="F663" s="763" t="str">
        <f>IFERROR(__xludf.DUMMYFUNCTION("""COMPUTED_VALUE"""),"Corvese")</f>
        <v>Corvese</v>
      </c>
      <c r="G663" s="763" t="str">
        <f>IFERROR(__xludf.DUMMYFUNCTION("""COMPUTED_VALUE"""),"assunta.corvese@gmail.com")</f>
        <v>assunta.corvese@gmail.com</v>
      </c>
      <c r="H663" s="763">
        <f>IFERROR(__xludf.DUMMYFUNCTION("""COMPUTED_VALUE"""),3.289427767E9)</f>
        <v>3289427767</v>
      </c>
      <c r="I663" s="763" t="str">
        <f>IFERROR(__xludf.DUMMYFUNCTION("""COMPUTED_VALUE"""),"milano")</f>
        <v>milano</v>
      </c>
      <c r="J663" s="763" t="str">
        <f>IFERROR(__xludf.DUMMYFUNCTION("""COMPUTED_VALUE"""),"Via Mincio 6")</f>
        <v>Via Mincio 6</v>
      </c>
      <c r="K663" s="763">
        <f>IFERROR(__xludf.DUMMYFUNCTION("""COMPUTED_VALUE"""),20139.0)</f>
        <v>20139</v>
      </c>
      <c r="L663" s="763" t="str">
        <f>IFERROR(__xludf.DUMMYFUNCTION("""COMPUTED_VALUE"""),"Carte di pagamento")</f>
        <v>Carte di pagamento</v>
      </c>
      <c r="M663" s="763" t="str">
        <f>IFERROR(__xludf.DUMMYFUNCTION("""COMPUTED_VALUE"""),"santo05natale")</f>
        <v>santo05natale</v>
      </c>
      <c r="N663" s="763" t="str">
        <f>IFERROR(__xludf.DUMMYFUNCTION("""COMPUTED_VALUE"""),"66495-1764613648")</f>
        <v>66495-1764613648</v>
      </c>
      <c r="O663" s="763">
        <f>IFERROR(__xludf.DUMMYFUNCTION("""COMPUTED_VALUE"""),0.0)</f>
        <v>0</v>
      </c>
      <c r="P663" s="767">
        <f>IFERROR(__xludf.DUMMYFUNCTION("""COMPUTED_VALUE"""),2.0833333333333335)</f>
        <v>2.083333333</v>
      </c>
      <c r="Q663" s="763" t="str">
        <f>IFERROR(__xludf.DUMMYFUNCTION("""COMPUTED_VALUE"""),"EUR")</f>
        <v>EUR</v>
      </c>
      <c r="R663" s="763">
        <f>IFERROR(__xludf.DUMMYFUNCTION("""COMPUTED_VALUE"""),1221.0)</f>
        <v>1221</v>
      </c>
      <c r="S663" s="763" t="str">
        <f>IFERROR(__xludf.DUMMYFUNCTION("""COMPUTED_VALUE"""),"Festa di Natale 2025 - Festa di natale 2025 lezioni + pizza + serata 55€")</f>
        <v>Festa di Natale 2025 - Festa di natale 2025 lezioni + pizza + serata 55€</v>
      </c>
      <c r="T663" s="763"/>
      <c r="U663" s="763"/>
      <c r="V663" s="763">
        <f>IFERROR(__xludf.DUMMYFUNCTION("""COMPUTED_VALUE"""),1.0)</f>
        <v>1</v>
      </c>
      <c r="W663" s="763">
        <f>IFERROR(__xludf.DUMMYFUNCTION("""COMPUTED_VALUE"""),50.0)</f>
        <v>50</v>
      </c>
      <c r="X663" s="763">
        <f>IFERROR(__xludf.DUMMYFUNCTION("""COMPUTED_VALUE"""),50.0)</f>
        <v>50</v>
      </c>
      <c r="Y663" s="763"/>
      <c r="Z663" s="768" t="str">
        <f>IFERROR(__xludf.DUMMYFUNCTION("""COMPUTED_VALUE"""),"https://studio-gem.it/wp-admin/post.php?post=66495&amp;action=edit")</f>
        <v>https://studio-gem.it/wp-admin/post.php?post=66495&amp;action=edit</v>
      </c>
      <c r="AA663" s="763"/>
      <c r="AB663" s="763"/>
      <c r="AC663" s="763"/>
      <c r="AD663" s="763"/>
      <c r="AE663" s="763"/>
      <c r="AF663" s="763"/>
      <c r="AG663" s="763"/>
      <c r="AH663" s="763"/>
      <c r="AI663" s="763"/>
      <c r="AJ663" s="763"/>
      <c r="AK663" s="763"/>
      <c r="AL663" s="763"/>
      <c r="AM663" s="763"/>
      <c r="AN663" s="763"/>
      <c r="AO663" s="763"/>
      <c r="AP663" s="763"/>
      <c r="AQ663" s="763"/>
      <c r="AR663" s="763"/>
      <c r="AS663" s="763"/>
      <c r="AT663" s="763"/>
      <c r="AU663" s="763"/>
      <c r="AV663" s="763"/>
      <c r="AW663" s="763"/>
      <c r="AX663" s="763"/>
      <c r="AY663" s="763"/>
      <c r="AZ663" s="763"/>
      <c r="BA663" s="763"/>
      <c r="BB663" s="763"/>
      <c r="BC663" s="763"/>
      <c r="BD663" s="763"/>
      <c r="BE663" s="763"/>
      <c r="BF663" s="763"/>
      <c r="BG663" s="763" t="b">
        <f>IFERROR(__xludf.DUMMYFUNCTION("""COMPUTED_VALUE"""),TRUE)</f>
        <v>1</v>
      </c>
      <c r="BH663" s="763" t="b">
        <f>IFERROR(__xludf.DUMMYFUNCTION("""COMPUTED_VALUE"""),FALSE)</f>
        <v>0</v>
      </c>
      <c r="BI663" s="763" t="b">
        <f>IFERROR(__xludf.DUMMYFUNCTION("""COMPUTED_VALUE"""),TRUE)</f>
        <v>1</v>
      </c>
      <c r="BJ663" s="763" t="b">
        <f>IFERROR(__xludf.DUMMYFUNCTION("""COMPUTED_VALUE"""),TRUE)</f>
        <v>1</v>
      </c>
    </row>
    <row r="664">
      <c r="A664" s="763">
        <f>IFERROR(__xludf.DUMMYFUNCTION("""COMPUTED_VALUE"""),66496.0)</f>
        <v>66496</v>
      </c>
      <c r="B664" s="763">
        <f>IFERROR(__xludf.DUMMYFUNCTION("""COMPUTED_VALUE"""),66496.0)</f>
        <v>66496</v>
      </c>
      <c r="C664" s="763" t="str">
        <f>IFERROR(__xludf.DUMMYFUNCTION("""COMPUTED_VALUE"""),"2025-12-01 20:14:38")</f>
        <v>2025-12-01 20:14:38</v>
      </c>
      <c r="D664" s="763" t="str">
        <f>IFERROR(__xludf.DUMMYFUNCTION("""COMPUTED_VALUE"""),"processing")</f>
        <v>processing</v>
      </c>
      <c r="E664" s="763" t="str">
        <f>IFERROR(__xludf.DUMMYFUNCTION("""COMPUTED_VALUE"""),"Mattia")</f>
        <v>Mattia</v>
      </c>
      <c r="F664" s="763" t="str">
        <f>IFERROR(__xludf.DUMMYFUNCTION("""COMPUTED_VALUE"""),"Rotunno")</f>
        <v>Rotunno</v>
      </c>
      <c r="G664" s="763" t="str">
        <f>IFERROR(__xludf.DUMMYFUNCTION("""COMPUTED_VALUE"""),"Mattiarotunno97@gmail.com")</f>
        <v>Mattiarotunno97@gmail.com</v>
      </c>
      <c r="H664" s="763">
        <f>IFERROR(__xludf.DUMMYFUNCTION("""COMPUTED_VALUE"""),3.288872005E9)</f>
        <v>3288872005</v>
      </c>
      <c r="I664" s="763" t="str">
        <f>IFERROR(__xludf.DUMMYFUNCTION("""COMPUTED_VALUE"""),"Milano")</f>
        <v>Milano</v>
      </c>
      <c r="J664" s="763" t="str">
        <f>IFERROR(__xludf.DUMMYFUNCTION("""COMPUTED_VALUE"""),"Via crema 16")</f>
        <v>Via crema 16</v>
      </c>
      <c r="K664" s="763">
        <f>IFERROR(__xludf.DUMMYFUNCTION("""COMPUTED_VALUE"""),20135.0)</f>
        <v>20135</v>
      </c>
      <c r="L664" s="763" t="str">
        <f>IFERROR(__xludf.DUMMYFUNCTION("""COMPUTED_VALUE"""),"Carte di pagamento")</f>
        <v>Carte di pagamento</v>
      </c>
      <c r="M664" s="763"/>
      <c r="N664" s="763" t="str">
        <f>IFERROR(__xludf.DUMMYFUNCTION("""COMPUTED_VALUE"""),"66496-1764620113")</f>
        <v>66496-1764620113</v>
      </c>
      <c r="O664" s="763">
        <f>IFERROR(__xludf.DUMMYFUNCTION("""COMPUTED_VALUE"""),0.0)</f>
        <v>0</v>
      </c>
      <c r="P664" s="767">
        <f>IFERROR(__xludf.DUMMYFUNCTION("""COMPUTED_VALUE"""),1.0416666666666667)</f>
        <v>1.041666667</v>
      </c>
      <c r="Q664" s="763" t="str">
        <f>IFERROR(__xludf.DUMMYFUNCTION("""COMPUTED_VALUE"""),"EUR")</f>
        <v>EUR</v>
      </c>
      <c r="R664" s="763">
        <f>IFERROR(__xludf.DUMMYFUNCTION("""COMPUTED_VALUE"""),1223.0)</f>
        <v>1223</v>
      </c>
      <c r="S664" s="763" t="str">
        <f>IFERROR(__xludf.DUMMYFUNCTION("""COMPUTED_VALUE"""),"Festa di Natale 2025 - Festa di natale 2025 SOLO serata 25€")</f>
        <v>Festa di Natale 2025 - Festa di natale 2025 SOLO serata 25€</v>
      </c>
      <c r="T664" s="763"/>
      <c r="U664" s="763"/>
      <c r="V664" s="763">
        <f>IFERROR(__xludf.DUMMYFUNCTION("""COMPUTED_VALUE"""),1.0)</f>
        <v>1</v>
      </c>
      <c r="W664" s="763">
        <f>IFERROR(__xludf.DUMMYFUNCTION("""COMPUTED_VALUE"""),25.0)</f>
        <v>25</v>
      </c>
      <c r="X664" s="763">
        <f>IFERROR(__xludf.DUMMYFUNCTION("""COMPUTED_VALUE"""),25.0)</f>
        <v>25</v>
      </c>
      <c r="Y664" s="763"/>
      <c r="Z664" s="768" t="str">
        <f>IFERROR(__xludf.DUMMYFUNCTION("""COMPUTED_VALUE"""),"https://studio-gem.it/wp-admin/post.php?post=66496&amp;action=edit")</f>
        <v>https://studio-gem.it/wp-admin/post.php?post=66496&amp;action=edit</v>
      </c>
      <c r="AA664" s="763"/>
      <c r="AB664" s="763"/>
      <c r="AC664" s="763"/>
      <c r="AD664" s="763"/>
      <c r="AE664" s="763"/>
      <c r="AF664" s="763"/>
      <c r="AG664" s="763"/>
      <c r="AH664" s="763"/>
      <c r="AI664" s="763"/>
      <c r="AJ664" s="763"/>
      <c r="AK664" s="763"/>
      <c r="AL664" s="763"/>
      <c r="AM664" s="763"/>
      <c r="AN664" s="763"/>
      <c r="AO664" s="763"/>
      <c r="AP664" s="763"/>
      <c r="AQ664" s="763"/>
      <c r="AR664" s="763"/>
      <c r="AS664" s="763"/>
      <c r="AT664" s="763"/>
      <c r="AU664" s="763"/>
      <c r="AV664" s="763"/>
      <c r="AW664" s="763"/>
      <c r="AX664" s="763"/>
      <c r="AY664" s="763"/>
      <c r="AZ664" s="763"/>
      <c r="BA664" s="763"/>
      <c r="BB664" s="763"/>
      <c r="BC664" s="763"/>
      <c r="BD664" s="763"/>
      <c r="BE664" s="763"/>
      <c r="BF664" s="763"/>
      <c r="BG664" s="763" t="b">
        <f>IFERROR(__xludf.DUMMYFUNCTION("""COMPUTED_VALUE"""),TRUE)</f>
        <v>1</v>
      </c>
      <c r="BH664" s="763" t="b">
        <f>IFERROR(__xludf.DUMMYFUNCTION("""COMPUTED_VALUE"""),FALSE)</f>
        <v>0</v>
      </c>
      <c r="BI664" s="763" t="b">
        <f>IFERROR(__xludf.DUMMYFUNCTION("""COMPUTED_VALUE"""),TRUE)</f>
        <v>1</v>
      </c>
      <c r="BJ664" s="763" t="b">
        <f>IFERROR(__xludf.DUMMYFUNCTION("""COMPUTED_VALUE"""),TRUE)</f>
        <v>1</v>
      </c>
    </row>
    <row r="665">
      <c r="A665" s="763">
        <f>IFERROR(__xludf.DUMMYFUNCTION("""COMPUTED_VALUE"""),66499.0)</f>
        <v>66499</v>
      </c>
      <c r="B665" s="763">
        <f>IFERROR(__xludf.DUMMYFUNCTION("""COMPUTED_VALUE"""),66499.0)</f>
        <v>66499</v>
      </c>
      <c r="C665" s="763" t="str">
        <f>IFERROR(__xludf.DUMMYFUNCTION("""COMPUTED_VALUE"""),"2025-12-01 21:40:55")</f>
        <v>2025-12-01 21:40:55</v>
      </c>
      <c r="D665" s="763" t="str">
        <f>IFERROR(__xludf.DUMMYFUNCTION("""COMPUTED_VALUE"""),"completed")</f>
        <v>completed</v>
      </c>
      <c r="E665" s="763" t="str">
        <f>IFERROR(__xludf.DUMMYFUNCTION("""COMPUTED_VALUE"""),"Enrico")</f>
        <v>Enrico</v>
      </c>
      <c r="F665" s="763" t="str">
        <f>IFERROR(__xludf.DUMMYFUNCTION("""COMPUTED_VALUE"""),"Facchini")</f>
        <v>Facchini</v>
      </c>
      <c r="G665" s="763" t="str">
        <f>IFERROR(__xludf.DUMMYFUNCTION("""COMPUTED_VALUE"""),"enricofacchini82@gmail.com")</f>
        <v>enricofacchini82@gmail.com</v>
      </c>
      <c r="H665" s="763">
        <f>IFERROR(__xludf.DUMMYFUNCTION("""COMPUTED_VALUE"""),3.495445908E9)</f>
        <v>3495445908</v>
      </c>
      <c r="I665" s="763" t="str">
        <f>IFERROR(__xludf.DUMMYFUNCTION("""COMPUTED_VALUE"""),"Milano")</f>
        <v>Milano</v>
      </c>
      <c r="J665" s="763" t="str">
        <f>IFERROR(__xludf.DUMMYFUNCTION("""COMPUTED_VALUE"""),"Viale Piceno 6")</f>
        <v>Viale Piceno 6</v>
      </c>
      <c r="K665" s="763">
        <f>IFERROR(__xludf.DUMMYFUNCTION("""COMPUTED_VALUE"""),20129.0)</f>
        <v>20129</v>
      </c>
      <c r="L665" s="763" t="str">
        <f>IFERROR(__xludf.DUMMYFUNCTION("""COMPUTED_VALUE"""),"Apple Pay")</f>
        <v>Apple Pay</v>
      </c>
      <c r="M665" s="763"/>
      <c r="N665" s="763" t="str">
        <f>IFERROR(__xludf.DUMMYFUNCTION("""COMPUTED_VALUE"""),"66499-1764625256")</f>
        <v>66499-1764625256</v>
      </c>
      <c r="O665" s="763">
        <f>IFERROR(__xludf.DUMMYFUNCTION("""COMPUTED_VALUE"""),0.0)</f>
        <v>0</v>
      </c>
      <c r="P665" s="767">
        <f>IFERROR(__xludf.DUMMYFUNCTION("""COMPUTED_VALUE"""),1.0416666666666667)</f>
        <v>1.041666667</v>
      </c>
      <c r="Q665" s="763" t="str">
        <f>IFERROR(__xludf.DUMMYFUNCTION("""COMPUTED_VALUE"""),"EUR")</f>
        <v>EUR</v>
      </c>
      <c r="R665" s="763">
        <f>IFERROR(__xludf.DUMMYFUNCTION("""COMPUTED_VALUE"""),1224.0)</f>
        <v>1224</v>
      </c>
      <c r="S665" s="763" t="str">
        <f>IFERROR(__xludf.DUMMYFUNCTION("""COMPUTED_VALUE"""),"Festa di Natale 2025 - Festa di natale 2025 SOLO serata 25€")</f>
        <v>Festa di Natale 2025 - Festa di natale 2025 SOLO serata 25€</v>
      </c>
      <c r="T665" s="763"/>
      <c r="U665" s="763"/>
      <c r="V665" s="763">
        <f>IFERROR(__xludf.DUMMYFUNCTION("""COMPUTED_VALUE"""),1.0)</f>
        <v>1</v>
      </c>
      <c r="W665" s="763">
        <f>IFERROR(__xludf.DUMMYFUNCTION("""COMPUTED_VALUE"""),25.0)</f>
        <v>25</v>
      </c>
      <c r="X665" s="763">
        <f>IFERROR(__xludf.DUMMYFUNCTION("""COMPUTED_VALUE"""),25.0)</f>
        <v>25</v>
      </c>
      <c r="Y665" s="763"/>
      <c r="Z665" s="768" t="str">
        <f>IFERROR(__xludf.DUMMYFUNCTION("""COMPUTED_VALUE"""),"https://studio-gem.it/wp-admin/post.php?post=66499&amp;action=edit")</f>
        <v>https://studio-gem.it/wp-admin/post.php?post=66499&amp;action=edit</v>
      </c>
      <c r="AA665" s="763"/>
      <c r="AB665" s="763"/>
      <c r="AC665" s="763"/>
      <c r="AD665" s="763"/>
      <c r="AE665" s="763"/>
      <c r="AF665" s="763"/>
      <c r="AG665" s="763"/>
      <c r="AH665" s="763"/>
      <c r="AI665" s="763"/>
      <c r="AJ665" s="763"/>
      <c r="AK665" s="763"/>
      <c r="AL665" s="763"/>
      <c r="AM665" s="763"/>
      <c r="AN665" s="763"/>
      <c r="AO665" s="763"/>
      <c r="AP665" s="763"/>
      <c r="AQ665" s="763"/>
      <c r="AR665" s="763"/>
      <c r="AS665" s="763"/>
      <c r="AT665" s="763"/>
      <c r="AU665" s="763"/>
      <c r="AV665" s="763"/>
      <c r="AW665" s="763"/>
      <c r="AX665" s="763"/>
      <c r="AY665" s="763"/>
      <c r="AZ665" s="763"/>
      <c r="BA665" s="763"/>
      <c r="BB665" s="763"/>
      <c r="BC665" s="763"/>
      <c r="BD665" s="763"/>
      <c r="BE665" s="763"/>
      <c r="BF665" s="763"/>
      <c r="BG665" s="763" t="b">
        <f>IFERROR(__xludf.DUMMYFUNCTION("""COMPUTED_VALUE"""),TRUE)</f>
        <v>1</v>
      </c>
      <c r="BH665" s="763" t="b">
        <f>IFERROR(__xludf.DUMMYFUNCTION("""COMPUTED_VALUE"""),FALSE)</f>
        <v>0</v>
      </c>
      <c r="BI665" s="763" t="b">
        <f>IFERROR(__xludf.DUMMYFUNCTION("""COMPUTED_VALUE"""),TRUE)</f>
        <v>1</v>
      </c>
      <c r="BJ665" s="763" t="b">
        <f>IFERROR(__xludf.DUMMYFUNCTION("""COMPUTED_VALUE"""),TRUE)</f>
        <v>1</v>
      </c>
    </row>
    <row r="666">
      <c r="A666" s="763">
        <f>IFERROR(__xludf.DUMMYFUNCTION("""COMPUTED_VALUE"""),66501.0)</f>
        <v>66501</v>
      </c>
      <c r="B666" s="763">
        <f>IFERROR(__xludf.DUMMYFUNCTION("""COMPUTED_VALUE"""),66501.0)</f>
        <v>66501</v>
      </c>
      <c r="C666" s="763" t="str">
        <f>IFERROR(__xludf.DUMMYFUNCTION("""COMPUTED_VALUE"""),"2025-12-02 07:57:45")</f>
        <v>2025-12-02 07:57:45</v>
      </c>
      <c r="D666" s="763" t="str">
        <f>IFERROR(__xludf.DUMMYFUNCTION("""COMPUTED_VALUE"""),"completed")</f>
        <v>completed</v>
      </c>
      <c r="E666" s="763" t="str">
        <f>IFERROR(__xludf.DUMMYFUNCTION("""COMPUTED_VALUE"""),"Francesca")</f>
        <v>Francesca</v>
      </c>
      <c r="F666" s="763" t="str">
        <f>IFERROR(__xludf.DUMMYFUNCTION("""COMPUTED_VALUE"""),"Pepe")</f>
        <v>Pepe</v>
      </c>
      <c r="G666" s="763" t="str">
        <f>IFERROR(__xludf.DUMMYFUNCTION("""COMPUTED_VALUE"""),"francescapepe0702@gmail.com")</f>
        <v>francescapepe0702@gmail.com</v>
      </c>
      <c r="H666" s="763">
        <f>IFERROR(__xludf.DUMMYFUNCTION("""COMPUTED_VALUE"""),3.20322334E9)</f>
        <v>3203223340</v>
      </c>
      <c r="I666" s="763" t="str">
        <f>IFERROR(__xludf.DUMMYFUNCTION("""COMPUTED_VALUE"""),"Bari")</f>
        <v>Bari</v>
      </c>
      <c r="J666" s="763" t="str">
        <f>IFERROR(__xludf.DUMMYFUNCTION("""COMPUTED_VALUE"""),"Via Sant'Angelo 37A")</f>
        <v>Via Sant'Angelo 37A</v>
      </c>
      <c r="K666" s="763">
        <f>IFERROR(__xludf.DUMMYFUNCTION("""COMPUTED_VALUE"""),70129.0)</f>
        <v>70129</v>
      </c>
      <c r="L666" s="763" t="str">
        <f>IFERROR(__xludf.DUMMYFUNCTION("""COMPUTED_VALUE"""),"Apple Pay")</f>
        <v>Apple Pay</v>
      </c>
      <c r="M666" s="763" t="str">
        <f>IFERROR(__xludf.DUMMYFUNCTION("""COMPUTED_VALUE"""),"santo05natale")</f>
        <v>santo05natale</v>
      </c>
      <c r="N666" s="763" t="str">
        <f>IFERROR(__xludf.DUMMYFUNCTION("""COMPUTED_VALUE"""),"66501-1764662281")</f>
        <v>66501-1764662281</v>
      </c>
      <c r="O666" s="763">
        <f>IFERROR(__xludf.DUMMYFUNCTION("""COMPUTED_VALUE"""),0.0)</f>
        <v>0</v>
      </c>
      <c r="P666" s="767">
        <f>IFERROR(__xludf.DUMMYFUNCTION("""COMPUTED_VALUE"""),0.8333333333333334)</f>
        <v>0.8333333333</v>
      </c>
      <c r="Q666" s="763" t="str">
        <f>IFERROR(__xludf.DUMMYFUNCTION("""COMPUTED_VALUE"""),"EUR")</f>
        <v>EUR</v>
      </c>
      <c r="R666" s="763">
        <f>IFERROR(__xludf.DUMMYFUNCTION("""COMPUTED_VALUE"""),1225.0)</f>
        <v>1225</v>
      </c>
      <c r="S666" s="763" t="str">
        <f>IFERROR(__xludf.DUMMYFUNCTION("""COMPUTED_VALUE"""),"Festa di Natale 2025 - Festa di natale 2025 SOLO serata 25€")</f>
        <v>Festa di Natale 2025 - Festa di natale 2025 SOLO serata 25€</v>
      </c>
      <c r="T666" s="763"/>
      <c r="U666" s="763"/>
      <c r="V666" s="763">
        <f>IFERROR(__xludf.DUMMYFUNCTION("""COMPUTED_VALUE"""),1.0)</f>
        <v>1</v>
      </c>
      <c r="W666" s="763">
        <f>IFERROR(__xludf.DUMMYFUNCTION("""COMPUTED_VALUE"""),20.0)</f>
        <v>20</v>
      </c>
      <c r="X666" s="763">
        <f>IFERROR(__xludf.DUMMYFUNCTION("""COMPUTED_VALUE"""),20.0)</f>
        <v>20</v>
      </c>
      <c r="Y666" s="763"/>
      <c r="Z666" s="768" t="str">
        <f>IFERROR(__xludf.DUMMYFUNCTION("""COMPUTED_VALUE"""),"https://studio-gem.it/wp-admin/post.php?post=66501&amp;action=edit")</f>
        <v>https://studio-gem.it/wp-admin/post.php?post=66501&amp;action=edit</v>
      </c>
      <c r="AA666" s="763"/>
      <c r="AB666" s="763"/>
      <c r="AC666" s="763"/>
      <c r="AD666" s="763"/>
      <c r="AE666" s="763"/>
      <c r="AF666" s="763"/>
      <c r="AG666" s="763"/>
      <c r="AH666" s="763"/>
      <c r="AI666" s="763"/>
      <c r="AJ666" s="763"/>
      <c r="AK666" s="763"/>
      <c r="AL666" s="763"/>
      <c r="AM666" s="763"/>
      <c r="AN666" s="763"/>
      <c r="AO666" s="763"/>
      <c r="AP666" s="763"/>
      <c r="AQ666" s="763"/>
      <c r="AR666" s="763"/>
      <c r="AS666" s="763"/>
      <c r="AT666" s="763"/>
      <c r="AU666" s="763"/>
      <c r="AV666" s="763"/>
      <c r="AW666" s="763"/>
      <c r="AX666" s="763"/>
      <c r="AY666" s="763"/>
      <c r="AZ666" s="763"/>
      <c r="BA666" s="763"/>
      <c r="BB666" s="763"/>
      <c r="BC666" s="763"/>
      <c r="BD666" s="763"/>
      <c r="BE666" s="763"/>
      <c r="BF666" s="763"/>
      <c r="BG666" s="763" t="b">
        <f>IFERROR(__xludf.DUMMYFUNCTION("""COMPUTED_VALUE"""),FALSE)</f>
        <v>0</v>
      </c>
      <c r="BH666" s="763" t="b">
        <f>IFERROR(__xludf.DUMMYFUNCTION("""COMPUTED_VALUE"""),FALSE)</f>
        <v>0</v>
      </c>
      <c r="BI666" s="763" t="b">
        <f>IFERROR(__xludf.DUMMYFUNCTION("""COMPUTED_VALUE"""),TRUE)</f>
        <v>1</v>
      </c>
      <c r="BJ666" s="763" t="b">
        <f>IFERROR(__xludf.DUMMYFUNCTION("""COMPUTED_VALUE"""),TRUE)</f>
        <v>1</v>
      </c>
    </row>
    <row r="667">
      <c r="A667" s="763">
        <f>IFERROR(__xludf.DUMMYFUNCTION("""COMPUTED_VALUE"""),66504.0)</f>
        <v>66504</v>
      </c>
      <c r="B667" s="763">
        <f>IFERROR(__xludf.DUMMYFUNCTION("""COMPUTED_VALUE"""),66504.0)</f>
        <v>66504</v>
      </c>
      <c r="C667" s="763" t="str">
        <f>IFERROR(__xludf.DUMMYFUNCTION("""COMPUTED_VALUE"""),"2025-12-02 09:54:27")</f>
        <v>2025-12-02 09:54:27</v>
      </c>
      <c r="D667" s="763" t="str">
        <f>IFERROR(__xludf.DUMMYFUNCTION("""COMPUTED_VALUE"""),"completed")</f>
        <v>completed</v>
      </c>
      <c r="E667" s="763" t="str">
        <f>IFERROR(__xludf.DUMMYFUNCTION("""COMPUTED_VALUE"""),"Simona")</f>
        <v>Simona</v>
      </c>
      <c r="F667" s="763" t="str">
        <f>IFERROR(__xludf.DUMMYFUNCTION("""COMPUTED_VALUE"""),"Ferrigno")</f>
        <v>Ferrigno</v>
      </c>
      <c r="G667" s="763" t="str">
        <f>IFERROR(__xludf.DUMMYFUNCTION("""COMPUTED_VALUE"""),"simonaferrigno@hotmail.com")</f>
        <v>simonaferrigno@hotmail.com</v>
      </c>
      <c r="H667" s="763">
        <f>IFERROR(__xludf.DUMMYFUNCTION("""COMPUTED_VALUE"""),3.206763639E9)</f>
        <v>3206763639</v>
      </c>
      <c r="I667" s="763" t="str">
        <f>IFERROR(__xludf.DUMMYFUNCTION("""COMPUTED_VALUE"""),"Milano")</f>
        <v>Milano</v>
      </c>
      <c r="J667" s="763" t="str">
        <f>IFERROR(__xludf.DUMMYFUNCTION("""COMPUTED_VALUE"""),"Via Faa' Di Bruno 20")</f>
        <v>Via Faa' Di Bruno 20</v>
      </c>
      <c r="K667" s="763">
        <f>IFERROR(__xludf.DUMMYFUNCTION("""COMPUTED_VALUE"""),20137.0)</f>
        <v>20137</v>
      </c>
      <c r="L667" s="763" t="str">
        <f>IFERROR(__xludf.DUMMYFUNCTION("""COMPUTED_VALUE"""),"Carte di pagamento")</f>
        <v>Carte di pagamento</v>
      </c>
      <c r="M667" s="763" t="str">
        <f>IFERROR(__xludf.DUMMYFUNCTION("""COMPUTED_VALUE"""),"santo05natale")</f>
        <v>santo05natale</v>
      </c>
      <c r="N667" s="763" t="str">
        <f>IFERROR(__xludf.DUMMYFUNCTION("""COMPUTED_VALUE"""),"66504-1764669288")</f>
        <v>66504-1764669288</v>
      </c>
      <c r="O667" s="763">
        <f>IFERROR(__xludf.DUMMYFUNCTION("""COMPUTED_VALUE"""),0.0)</f>
        <v>0</v>
      </c>
      <c r="P667" s="767">
        <f>IFERROR(__xludf.DUMMYFUNCTION("""COMPUTED_VALUE"""),0.8333333333333334)</f>
        <v>0.8333333333</v>
      </c>
      <c r="Q667" s="763" t="str">
        <f>IFERROR(__xludf.DUMMYFUNCTION("""COMPUTED_VALUE"""),"EUR")</f>
        <v>EUR</v>
      </c>
      <c r="R667" s="763">
        <f>IFERROR(__xludf.DUMMYFUNCTION("""COMPUTED_VALUE"""),1227.0)</f>
        <v>1227</v>
      </c>
      <c r="S667" s="763" t="str">
        <f>IFERROR(__xludf.DUMMYFUNCTION("""COMPUTED_VALUE"""),"Festa di Natale 2025 - Festa di natale 2025 SOLO serata 25€")</f>
        <v>Festa di Natale 2025 - Festa di natale 2025 SOLO serata 25€</v>
      </c>
      <c r="T667" s="763"/>
      <c r="U667" s="763"/>
      <c r="V667" s="763">
        <f>IFERROR(__xludf.DUMMYFUNCTION("""COMPUTED_VALUE"""),1.0)</f>
        <v>1</v>
      </c>
      <c r="W667" s="763">
        <f>IFERROR(__xludf.DUMMYFUNCTION("""COMPUTED_VALUE"""),20.0)</f>
        <v>20</v>
      </c>
      <c r="X667" s="763">
        <f>IFERROR(__xludf.DUMMYFUNCTION("""COMPUTED_VALUE"""),20.0)</f>
        <v>20</v>
      </c>
      <c r="Y667" s="763"/>
      <c r="Z667" s="768" t="str">
        <f>IFERROR(__xludf.DUMMYFUNCTION("""COMPUTED_VALUE"""),"https://studio-gem.it/wp-admin/post.php?post=66504&amp;action=edit")</f>
        <v>https://studio-gem.it/wp-admin/post.php?post=66504&amp;action=edit</v>
      </c>
      <c r="AA667" s="763"/>
      <c r="AB667" s="763"/>
      <c r="AC667" s="763"/>
      <c r="AD667" s="763"/>
      <c r="AE667" s="763"/>
      <c r="AF667" s="763"/>
      <c r="AG667" s="763"/>
      <c r="AH667" s="763"/>
      <c r="AI667" s="763"/>
      <c r="AJ667" s="763"/>
      <c r="AK667" s="763"/>
      <c r="AL667" s="763"/>
      <c r="AM667" s="763"/>
      <c r="AN667" s="763"/>
      <c r="AO667" s="763"/>
      <c r="AP667" s="763"/>
      <c r="AQ667" s="763"/>
      <c r="AR667" s="763"/>
      <c r="AS667" s="763"/>
      <c r="AT667" s="763"/>
      <c r="AU667" s="763"/>
      <c r="AV667" s="763"/>
      <c r="AW667" s="763"/>
      <c r="AX667" s="763"/>
      <c r="AY667" s="763"/>
      <c r="AZ667" s="763"/>
      <c r="BA667" s="763"/>
      <c r="BB667" s="763"/>
      <c r="BC667" s="763"/>
      <c r="BD667" s="763"/>
      <c r="BE667" s="763"/>
      <c r="BF667" s="763"/>
      <c r="BG667" s="763" t="b">
        <f>IFERROR(__xludf.DUMMYFUNCTION("""COMPUTED_VALUE"""),FALSE)</f>
        <v>0</v>
      </c>
      <c r="BH667" s="763" t="b">
        <f>IFERROR(__xludf.DUMMYFUNCTION("""COMPUTED_VALUE"""),FALSE)</f>
        <v>0</v>
      </c>
      <c r="BI667" s="763" t="b">
        <f>IFERROR(__xludf.DUMMYFUNCTION("""COMPUTED_VALUE"""),TRUE)</f>
        <v>1</v>
      </c>
      <c r="BJ667" s="763" t="b">
        <f>IFERROR(__xludf.DUMMYFUNCTION("""COMPUTED_VALUE"""),TRUE)</f>
        <v>1</v>
      </c>
    </row>
    <row r="668">
      <c r="A668" s="763">
        <f>IFERROR(__xludf.DUMMYFUNCTION("""COMPUTED_VALUE"""),66531.0)</f>
        <v>66531</v>
      </c>
      <c r="B668" s="763">
        <f>IFERROR(__xludf.DUMMYFUNCTION("""COMPUTED_VALUE"""),66531.0)</f>
        <v>66531</v>
      </c>
      <c r="C668" s="763" t="str">
        <f>IFERROR(__xludf.DUMMYFUNCTION("""COMPUTED_VALUE"""),"2025-12-02 12:29:24")</f>
        <v>2025-12-02 12:29:24</v>
      </c>
      <c r="D668" s="763" t="str">
        <f>IFERROR(__xludf.DUMMYFUNCTION("""COMPUTED_VALUE"""),"pending")</f>
        <v>pending</v>
      </c>
      <c r="E668" s="763" t="str">
        <f>IFERROR(__xludf.DUMMYFUNCTION("""COMPUTED_VALUE"""),"Roberta")</f>
        <v>Roberta</v>
      </c>
      <c r="F668" s="763" t="str">
        <f>IFERROR(__xludf.DUMMYFUNCTION("""COMPUTED_VALUE"""),"Muggeo")</f>
        <v>Muggeo</v>
      </c>
      <c r="G668" s="763" t="str">
        <f>IFERROR(__xludf.DUMMYFUNCTION("""COMPUTED_VALUE"""),"hermionegranger29@virgilio.it")</f>
        <v>hermionegranger29@virgilio.it</v>
      </c>
      <c r="H668" s="763">
        <f>IFERROR(__xludf.DUMMYFUNCTION("""COMPUTED_VALUE"""),3.497454947E9)</f>
        <v>3497454947</v>
      </c>
      <c r="I668" s="763" t="str">
        <f>IFERROR(__xludf.DUMMYFUNCTION("""COMPUTED_VALUE"""),"Milano")</f>
        <v>Milano</v>
      </c>
      <c r="J668" s="763" t="str">
        <f>IFERROR(__xludf.DUMMYFUNCTION("""COMPUTED_VALUE"""),"Via degli astri 26")</f>
        <v>Via degli astri 26</v>
      </c>
      <c r="K668" s="763">
        <f>IFERROR(__xludf.DUMMYFUNCTION("""COMPUTED_VALUE"""),20147.0)</f>
        <v>20147</v>
      </c>
      <c r="L668" s="763" t="str">
        <f>IFERROR(__xludf.DUMMYFUNCTION("""COMPUTED_VALUE"""),"Carte di pagamento")</f>
        <v>Carte di pagamento</v>
      </c>
      <c r="M668" s="763" t="str">
        <f>IFERROR(__xludf.DUMMYFUNCTION("""COMPUTED_VALUE"""),"estefany05natale")</f>
        <v>estefany05natale</v>
      </c>
      <c r="N668" s="763"/>
      <c r="O668" s="763">
        <f>IFERROR(__xludf.DUMMYFUNCTION("""COMPUTED_VALUE"""),0.0)</f>
        <v>0</v>
      </c>
      <c r="P668" s="767">
        <f>IFERROR(__xludf.DUMMYFUNCTION("""COMPUTED_VALUE"""),1.875)</f>
        <v>1.875</v>
      </c>
      <c r="Q668" s="763" t="str">
        <f>IFERROR(__xludf.DUMMYFUNCTION("""COMPUTED_VALUE"""),"EUR")</f>
        <v>EUR</v>
      </c>
      <c r="R668" s="763">
        <f>IFERROR(__xludf.DUMMYFUNCTION("""COMPUTED_VALUE"""),1229.0)</f>
        <v>1229</v>
      </c>
      <c r="S668" s="763" t="str">
        <f>IFERROR(__xludf.DUMMYFUNCTION("""COMPUTED_VALUE"""),"Festa di Natale 2025 - Festa di natale 2025 SOLO serata 25€")</f>
        <v>Festa di Natale 2025 - Festa di natale 2025 SOLO serata 25€</v>
      </c>
      <c r="T668" s="763"/>
      <c r="U668" s="763"/>
      <c r="V668" s="763">
        <f>IFERROR(__xludf.DUMMYFUNCTION("""COMPUTED_VALUE"""),2.0)</f>
        <v>2</v>
      </c>
      <c r="W668" s="763">
        <f>IFERROR(__xludf.DUMMYFUNCTION("""COMPUTED_VALUE"""),22.5)</f>
        <v>22.5</v>
      </c>
      <c r="X668" s="763">
        <f>IFERROR(__xludf.DUMMYFUNCTION("""COMPUTED_VALUE"""),45.0)</f>
        <v>45</v>
      </c>
      <c r="Y668" s="763"/>
      <c r="Z668" s="768" t="str">
        <f>IFERROR(__xludf.DUMMYFUNCTION("""COMPUTED_VALUE"""),"https://studio-gem.it/wp-admin/post.php?post=66531&amp;action=edit")</f>
        <v>https://studio-gem.it/wp-admin/post.php?post=66531&amp;action=edit</v>
      </c>
      <c r="AA668" s="763"/>
      <c r="AB668" s="763"/>
      <c r="AC668" s="763"/>
      <c r="AD668" s="763"/>
      <c r="AE668" s="763"/>
      <c r="AF668" s="763"/>
      <c r="AG668" s="763"/>
      <c r="AH668" s="763"/>
      <c r="AI668" s="763"/>
      <c r="AJ668" s="763"/>
      <c r="AK668" s="763"/>
      <c r="AL668" s="763"/>
      <c r="AM668" s="763"/>
      <c r="AN668" s="763"/>
      <c r="AO668" s="763"/>
      <c r="AP668" s="763"/>
      <c r="AQ668" s="763"/>
      <c r="AR668" s="763"/>
      <c r="AS668" s="763"/>
      <c r="AT668" s="763"/>
      <c r="AU668" s="763"/>
      <c r="AV668" s="763"/>
      <c r="AW668" s="763"/>
      <c r="AX668" s="763"/>
      <c r="AY668" s="763"/>
      <c r="AZ668" s="763"/>
      <c r="BA668" s="763"/>
      <c r="BB668" s="763"/>
      <c r="BC668" s="763"/>
      <c r="BD668" s="763"/>
      <c r="BE668" s="763"/>
      <c r="BF668" s="763"/>
      <c r="BG668" s="763" t="b">
        <f>IFERROR(__xludf.DUMMYFUNCTION("""COMPUTED_VALUE"""),FALSE)</f>
        <v>0</v>
      </c>
      <c r="BH668" s="763" t="b">
        <f>IFERROR(__xludf.DUMMYFUNCTION("""COMPUTED_VALUE"""),FALSE)</f>
        <v>0</v>
      </c>
      <c r="BI668" s="763" t="b">
        <f>IFERROR(__xludf.DUMMYFUNCTION("""COMPUTED_VALUE"""),FALSE)</f>
        <v>0</v>
      </c>
      <c r="BJ668" s="763" t="b">
        <f>IFERROR(__xludf.DUMMYFUNCTION("""COMPUTED_VALUE"""),FALSE)</f>
        <v>0</v>
      </c>
    </row>
    <row r="669">
      <c r="A669" s="763">
        <f>IFERROR(__xludf.DUMMYFUNCTION("""COMPUTED_VALUE"""),66532.0)</f>
        <v>66532</v>
      </c>
      <c r="B669" s="763">
        <f>IFERROR(__xludf.DUMMYFUNCTION("""COMPUTED_VALUE"""),66532.0)</f>
        <v>66532</v>
      </c>
      <c r="C669" s="763" t="str">
        <f>IFERROR(__xludf.DUMMYFUNCTION("""COMPUTED_VALUE"""),"2025-12-02 12:44:11")</f>
        <v>2025-12-02 12:44:11</v>
      </c>
      <c r="D669" s="763" t="str">
        <f>IFERROR(__xludf.DUMMYFUNCTION("""COMPUTED_VALUE"""),"completed")</f>
        <v>completed</v>
      </c>
      <c r="E669" s="763" t="str">
        <f>IFERROR(__xludf.DUMMYFUNCTION("""COMPUTED_VALUE"""),"Carlo")</f>
        <v>Carlo</v>
      </c>
      <c r="F669" s="763" t="str">
        <f>IFERROR(__xludf.DUMMYFUNCTION("""COMPUTED_VALUE"""),"Pirri")</f>
        <v>Pirri</v>
      </c>
      <c r="G669" s="763" t="str">
        <f>IFERROR(__xludf.DUMMYFUNCTION("""COMPUTED_VALUE"""),"carlo_pirri@yahoo.it")</f>
        <v>carlo_pirri@yahoo.it</v>
      </c>
      <c r="H669" s="763">
        <f>IFERROR(__xludf.DUMMYFUNCTION("""COMPUTED_VALUE"""),3.403525626E9)</f>
        <v>3403525626</v>
      </c>
      <c r="I669" s="763" t="str">
        <f>IFERROR(__xludf.DUMMYFUNCTION("""COMPUTED_VALUE"""),"Milano")</f>
        <v>Milano</v>
      </c>
      <c r="J669" s="763" t="str">
        <f>IFERROR(__xludf.DUMMYFUNCTION("""COMPUTED_VALUE"""),"Vi Amedeo d’Aosta 9")</f>
        <v>Vi Amedeo d’Aosta 9</v>
      </c>
      <c r="K669" s="763">
        <f>IFERROR(__xludf.DUMMYFUNCTION("""COMPUTED_VALUE"""),20129.0)</f>
        <v>20129</v>
      </c>
      <c r="L669" s="763" t="str">
        <f>IFERROR(__xludf.DUMMYFUNCTION("""COMPUTED_VALUE"""),"Carte di pagamento")</f>
        <v>Carte di pagamento</v>
      </c>
      <c r="M669" s="763"/>
      <c r="N669" s="763" t="str">
        <f>IFERROR(__xludf.DUMMYFUNCTION("""COMPUTED_VALUE"""),"66532-1764679453")</f>
        <v>66532-1764679453</v>
      </c>
      <c r="O669" s="763">
        <f>IFERROR(__xludf.DUMMYFUNCTION("""COMPUTED_VALUE"""),0.0)</f>
        <v>0</v>
      </c>
      <c r="P669" s="767">
        <f>IFERROR(__xludf.DUMMYFUNCTION("""COMPUTED_VALUE"""),1.0416666666666667)</f>
        <v>1.041666667</v>
      </c>
      <c r="Q669" s="763" t="str">
        <f>IFERROR(__xludf.DUMMYFUNCTION("""COMPUTED_VALUE"""),"EUR")</f>
        <v>EUR</v>
      </c>
      <c r="R669" s="763">
        <f>IFERROR(__xludf.DUMMYFUNCTION("""COMPUTED_VALUE"""),1231.0)</f>
        <v>1231</v>
      </c>
      <c r="S669" s="763" t="str">
        <f>IFERROR(__xludf.DUMMYFUNCTION("""COMPUTED_VALUE"""),"Festa di Natale 2025 - Festa di natale 2025 SOLO serata 25€")</f>
        <v>Festa di Natale 2025 - Festa di natale 2025 SOLO serata 25€</v>
      </c>
      <c r="T669" s="763"/>
      <c r="U669" s="763"/>
      <c r="V669" s="763">
        <f>IFERROR(__xludf.DUMMYFUNCTION("""COMPUTED_VALUE"""),1.0)</f>
        <v>1</v>
      </c>
      <c r="W669" s="763">
        <f>IFERROR(__xludf.DUMMYFUNCTION("""COMPUTED_VALUE"""),25.0)</f>
        <v>25</v>
      </c>
      <c r="X669" s="763">
        <f>IFERROR(__xludf.DUMMYFUNCTION("""COMPUTED_VALUE"""),25.0)</f>
        <v>25</v>
      </c>
      <c r="Y669" s="763"/>
      <c r="Z669" s="768" t="str">
        <f>IFERROR(__xludf.DUMMYFUNCTION("""COMPUTED_VALUE"""),"https://studio-gem.it/wp-admin/post.php?post=66532&amp;action=edit")</f>
        <v>https://studio-gem.it/wp-admin/post.php?post=66532&amp;action=edit</v>
      </c>
      <c r="AA669" s="763"/>
      <c r="AB669" s="763"/>
      <c r="AC669" s="763"/>
      <c r="AD669" s="763"/>
      <c r="AE669" s="763"/>
      <c r="AF669" s="763"/>
      <c r="AG669" s="763"/>
      <c r="AH669" s="763"/>
      <c r="AI669" s="763"/>
      <c r="AJ669" s="763"/>
      <c r="AK669" s="763"/>
      <c r="AL669" s="763"/>
      <c r="AM669" s="763"/>
      <c r="AN669" s="763"/>
      <c r="AO669" s="763"/>
      <c r="AP669" s="763"/>
      <c r="AQ669" s="763"/>
      <c r="AR669" s="763"/>
      <c r="AS669" s="763"/>
      <c r="AT669" s="763"/>
      <c r="AU669" s="763"/>
      <c r="AV669" s="763"/>
      <c r="AW669" s="763"/>
      <c r="AX669" s="763"/>
      <c r="AY669" s="763"/>
      <c r="AZ669" s="763"/>
      <c r="BA669" s="763"/>
      <c r="BB669" s="763"/>
      <c r="BC669" s="763"/>
      <c r="BD669" s="763"/>
      <c r="BE669" s="763"/>
      <c r="BF669" s="763"/>
      <c r="BG669" s="763" t="b">
        <f>IFERROR(__xludf.DUMMYFUNCTION("""COMPUTED_VALUE"""),TRUE)</f>
        <v>1</v>
      </c>
      <c r="BH669" s="763" t="b">
        <f>IFERROR(__xludf.DUMMYFUNCTION("""COMPUTED_VALUE"""),FALSE)</f>
        <v>0</v>
      </c>
      <c r="BI669" s="763" t="b">
        <f>IFERROR(__xludf.DUMMYFUNCTION("""COMPUTED_VALUE"""),TRUE)</f>
        <v>1</v>
      </c>
      <c r="BJ669" s="763" t="b">
        <f>IFERROR(__xludf.DUMMYFUNCTION("""COMPUTED_VALUE"""),TRUE)</f>
        <v>1</v>
      </c>
    </row>
    <row r="670">
      <c r="A670" s="763">
        <f>IFERROR(__xludf.DUMMYFUNCTION("""COMPUTED_VALUE"""),66552.0)</f>
        <v>66552</v>
      </c>
      <c r="B670" s="763">
        <f>IFERROR(__xludf.DUMMYFUNCTION("""COMPUTED_VALUE"""),66552.0)</f>
        <v>66552</v>
      </c>
      <c r="C670" s="763" t="str">
        <f>IFERROR(__xludf.DUMMYFUNCTION("""COMPUTED_VALUE"""),"2025-12-02 15:12:35")</f>
        <v>2025-12-02 15:12:35</v>
      </c>
      <c r="D670" s="763" t="str">
        <f>IFERROR(__xludf.DUMMYFUNCTION("""COMPUTED_VALUE"""),"completed")</f>
        <v>completed</v>
      </c>
      <c r="E670" s="763" t="str">
        <f>IFERROR(__xludf.DUMMYFUNCTION("""COMPUTED_VALUE"""),"Giulia")</f>
        <v>Giulia</v>
      </c>
      <c r="F670" s="763" t="str">
        <f>IFERROR(__xludf.DUMMYFUNCTION("""COMPUTED_VALUE"""),"Zanchetta")</f>
        <v>Zanchetta</v>
      </c>
      <c r="G670" s="763" t="str">
        <f>IFERROR(__xludf.DUMMYFUNCTION("""COMPUTED_VALUE"""),"giulizanchetta@gmail.com")</f>
        <v>giulizanchetta@gmail.com</v>
      </c>
      <c r="H670" s="763">
        <f>IFERROR(__xludf.DUMMYFUNCTION("""COMPUTED_VALUE"""),3.394634402E9)</f>
        <v>3394634402</v>
      </c>
      <c r="I670" s="763" t="str">
        <f>IFERROR(__xludf.DUMMYFUNCTION("""COMPUTED_VALUE"""),"Milano")</f>
        <v>Milano</v>
      </c>
      <c r="J670" s="763" t="str">
        <f>IFERROR(__xludf.DUMMYFUNCTION("""COMPUTED_VALUE"""),"Via Varesina 60")</f>
        <v>Via Varesina 60</v>
      </c>
      <c r="K670" s="763">
        <f>IFERROR(__xludf.DUMMYFUNCTION("""COMPUTED_VALUE"""),20156.0)</f>
        <v>20156</v>
      </c>
      <c r="L670" s="763" t="str">
        <f>IFERROR(__xludf.DUMMYFUNCTION("""COMPUTED_VALUE"""),"Satispay")</f>
        <v>Satispay</v>
      </c>
      <c r="M670" s="763" t="str">
        <f>IFERROR(__xludf.DUMMYFUNCTION("""COMPUTED_VALUE"""),"massi05natale")</f>
        <v>massi05natale</v>
      </c>
      <c r="N670" s="763" t="str">
        <f>IFERROR(__xludf.DUMMYFUNCTION("""COMPUTED_VALUE"""),"019adf9f-6165-7b59-9569-d3e9404bb223")</f>
        <v>019adf9f-6165-7b59-9569-d3e9404bb223</v>
      </c>
      <c r="O670" s="763">
        <f>IFERROR(__xludf.DUMMYFUNCTION("""COMPUTED_VALUE"""),0.0)</f>
        <v>0</v>
      </c>
      <c r="P670" s="767">
        <f>IFERROR(__xludf.DUMMYFUNCTION("""COMPUTED_VALUE"""),0.8333333333333334)</f>
        <v>0.8333333333</v>
      </c>
      <c r="Q670" s="763" t="str">
        <f>IFERROR(__xludf.DUMMYFUNCTION("""COMPUTED_VALUE"""),"EUR")</f>
        <v>EUR</v>
      </c>
      <c r="R670" s="763">
        <f>IFERROR(__xludf.DUMMYFUNCTION("""COMPUTED_VALUE"""),1232.0)</f>
        <v>1232</v>
      </c>
      <c r="S670" s="763" t="str">
        <f>IFERROR(__xludf.DUMMYFUNCTION("""COMPUTED_VALUE"""),"Festa di Natale 2025 - Festa di natale 2025 SOLO serata 25€")</f>
        <v>Festa di Natale 2025 - Festa di natale 2025 SOLO serata 25€</v>
      </c>
      <c r="T670" s="763"/>
      <c r="U670" s="763"/>
      <c r="V670" s="763">
        <f>IFERROR(__xludf.DUMMYFUNCTION("""COMPUTED_VALUE"""),1.0)</f>
        <v>1</v>
      </c>
      <c r="W670" s="763">
        <f>IFERROR(__xludf.DUMMYFUNCTION("""COMPUTED_VALUE"""),20.0)</f>
        <v>20</v>
      </c>
      <c r="X670" s="763">
        <f>IFERROR(__xludf.DUMMYFUNCTION("""COMPUTED_VALUE"""),20.0)</f>
        <v>20</v>
      </c>
      <c r="Y670" s="763"/>
      <c r="Z670" s="768" t="str">
        <f>IFERROR(__xludf.DUMMYFUNCTION("""COMPUTED_VALUE"""),"https://studio-gem.it/wp-admin/post.php?post=66552&amp;action=edit")</f>
        <v>https://studio-gem.it/wp-admin/post.php?post=66552&amp;action=edit</v>
      </c>
      <c r="AA670" s="763"/>
      <c r="AB670" s="763"/>
      <c r="AC670" s="763"/>
      <c r="AD670" s="763"/>
      <c r="AE670" s="763"/>
      <c r="AF670" s="763"/>
      <c r="AG670" s="763"/>
      <c r="AH670" s="763"/>
      <c r="AI670" s="763"/>
      <c r="AJ670" s="763"/>
      <c r="AK670" s="763"/>
      <c r="AL670" s="763"/>
      <c r="AM670" s="763"/>
      <c r="AN670" s="763"/>
      <c r="AO670" s="763"/>
      <c r="AP670" s="763"/>
      <c r="AQ670" s="763"/>
      <c r="AR670" s="763"/>
      <c r="AS670" s="763"/>
      <c r="AT670" s="763"/>
      <c r="AU670" s="763"/>
      <c r="AV670" s="763"/>
      <c r="AW670" s="763"/>
      <c r="AX670" s="763"/>
      <c r="AY670" s="763"/>
      <c r="AZ670" s="763"/>
      <c r="BA670" s="763"/>
      <c r="BB670" s="763"/>
      <c r="BC670" s="763"/>
      <c r="BD670" s="763"/>
      <c r="BE670" s="763"/>
      <c r="BF670" s="763"/>
      <c r="BG670" s="763" t="b">
        <f>IFERROR(__xludf.DUMMYFUNCTION("""COMPUTED_VALUE"""),TRUE)</f>
        <v>1</v>
      </c>
      <c r="BH670" s="763" t="b">
        <f>IFERROR(__xludf.DUMMYFUNCTION("""COMPUTED_VALUE"""),FALSE)</f>
        <v>0</v>
      </c>
      <c r="BI670" s="763" t="b">
        <f>IFERROR(__xludf.DUMMYFUNCTION("""COMPUTED_VALUE"""),TRUE)</f>
        <v>1</v>
      </c>
      <c r="BJ670" s="763" t="b">
        <f>IFERROR(__xludf.DUMMYFUNCTION("""COMPUTED_VALUE"""),TRUE)</f>
        <v>1</v>
      </c>
    </row>
    <row r="671">
      <c r="A671" s="763">
        <f>IFERROR(__xludf.DUMMYFUNCTION("""COMPUTED_VALUE"""),66555.0)</f>
        <v>66555</v>
      </c>
      <c r="B671" s="763">
        <f>IFERROR(__xludf.DUMMYFUNCTION("""COMPUTED_VALUE"""),66555.0)</f>
        <v>66555</v>
      </c>
      <c r="C671" s="763" t="str">
        <f>IFERROR(__xludf.DUMMYFUNCTION("""COMPUTED_VALUE"""),"2025-12-02 22:20:00")</f>
        <v>2025-12-02 22:20:00</v>
      </c>
      <c r="D671" s="763" t="str">
        <f>IFERROR(__xludf.DUMMYFUNCTION("""COMPUTED_VALUE"""),"completed")</f>
        <v>completed</v>
      </c>
      <c r="E671" s="763" t="str">
        <f>IFERROR(__xludf.DUMMYFUNCTION("""COMPUTED_VALUE"""),"Alessia")</f>
        <v>Alessia</v>
      </c>
      <c r="F671" s="763" t="str">
        <f>IFERROR(__xludf.DUMMYFUNCTION("""COMPUTED_VALUE"""),"De Nicola")</f>
        <v>De Nicola</v>
      </c>
      <c r="G671" s="763" t="str">
        <f>IFERROR(__xludf.DUMMYFUNCTION("""COMPUTED_VALUE"""),"dn.alessia00@gmail.com")</f>
        <v>dn.alessia00@gmail.com</v>
      </c>
      <c r="H671" s="763">
        <f>IFERROR(__xludf.DUMMYFUNCTION("""COMPUTED_VALUE"""),3.880718609E9)</f>
        <v>3880718609</v>
      </c>
      <c r="I671" s="763" t="str">
        <f>IFERROR(__xludf.DUMMYFUNCTION("""COMPUTED_VALUE"""),"Nola")</f>
        <v>Nola</v>
      </c>
      <c r="J671" s="763" t="str">
        <f>IFERROR(__xludf.DUMMYFUNCTION("""COMPUTED_VALUE"""),"Via Feudo")</f>
        <v>Via Feudo</v>
      </c>
      <c r="K671" s="763">
        <f>IFERROR(__xludf.DUMMYFUNCTION("""COMPUTED_VALUE"""),80035.0)</f>
        <v>80035</v>
      </c>
      <c r="L671" s="763" t="str">
        <f>IFERROR(__xludf.DUMMYFUNCTION("""COMPUTED_VALUE"""),"Apple Pay")</f>
        <v>Apple Pay</v>
      </c>
      <c r="M671" s="763" t="str">
        <f>IFERROR(__xludf.DUMMYFUNCTION("""COMPUTED_VALUE"""),"alexandra05natale")</f>
        <v>alexandra05natale</v>
      </c>
      <c r="N671" s="763" t="str">
        <f>IFERROR(__xludf.DUMMYFUNCTION("""COMPUTED_VALUE"""),"66555-1764714012")</f>
        <v>66555-1764714012</v>
      </c>
      <c r="O671" s="763">
        <f>IFERROR(__xludf.DUMMYFUNCTION("""COMPUTED_VALUE"""),0.0)</f>
        <v>0</v>
      </c>
      <c r="P671" s="767">
        <f>IFERROR(__xludf.DUMMYFUNCTION("""COMPUTED_VALUE"""),0.8333333333333334)</f>
        <v>0.8333333333</v>
      </c>
      <c r="Q671" s="763" t="str">
        <f>IFERROR(__xludf.DUMMYFUNCTION("""COMPUTED_VALUE"""),"EUR")</f>
        <v>EUR</v>
      </c>
      <c r="R671" s="763">
        <f>IFERROR(__xludf.DUMMYFUNCTION("""COMPUTED_VALUE"""),1234.0)</f>
        <v>1234</v>
      </c>
      <c r="S671" s="763" t="str">
        <f>IFERROR(__xludf.DUMMYFUNCTION("""COMPUTED_VALUE"""),"Festa di Natale 2025 - Festa di natale 2025 SOLO serata 25€")</f>
        <v>Festa di Natale 2025 - Festa di natale 2025 SOLO serata 25€</v>
      </c>
      <c r="T671" s="763"/>
      <c r="U671" s="763"/>
      <c r="V671" s="763">
        <f>IFERROR(__xludf.DUMMYFUNCTION("""COMPUTED_VALUE"""),1.0)</f>
        <v>1</v>
      </c>
      <c r="W671" s="763">
        <f>IFERROR(__xludf.DUMMYFUNCTION("""COMPUTED_VALUE"""),20.0)</f>
        <v>20</v>
      </c>
      <c r="X671" s="763">
        <f>IFERROR(__xludf.DUMMYFUNCTION("""COMPUTED_VALUE"""),20.0)</f>
        <v>20</v>
      </c>
      <c r="Y671" s="763"/>
      <c r="Z671" s="768" t="str">
        <f>IFERROR(__xludf.DUMMYFUNCTION("""COMPUTED_VALUE"""),"https://studio-gem.it/wp-admin/post.php?post=66555&amp;action=edit")</f>
        <v>https://studio-gem.it/wp-admin/post.php?post=66555&amp;action=edit</v>
      </c>
      <c r="AA671" s="763"/>
      <c r="AB671" s="763"/>
      <c r="AC671" s="763"/>
      <c r="AD671" s="763"/>
      <c r="AE671" s="763"/>
      <c r="AF671" s="763"/>
      <c r="AG671" s="763"/>
      <c r="AH671" s="763"/>
      <c r="AI671" s="763"/>
      <c r="AJ671" s="763"/>
      <c r="AK671" s="763"/>
      <c r="AL671" s="763"/>
      <c r="AM671" s="763"/>
      <c r="AN671" s="763"/>
      <c r="AO671" s="763"/>
      <c r="AP671" s="763"/>
      <c r="AQ671" s="763"/>
      <c r="AR671" s="763"/>
      <c r="AS671" s="763"/>
      <c r="AT671" s="763"/>
      <c r="AU671" s="763"/>
      <c r="AV671" s="763"/>
      <c r="AW671" s="763"/>
      <c r="AX671" s="763"/>
      <c r="AY671" s="763"/>
      <c r="AZ671" s="763"/>
      <c r="BA671" s="763"/>
      <c r="BB671" s="763"/>
      <c r="BC671" s="763"/>
      <c r="BD671" s="763"/>
      <c r="BE671" s="763"/>
      <c r="BF671" s="763"/>
      <c r="BG671" s="763" t="b">
        <f>IFERROR(__xludf.DUMMYFUNCTION("""COMPUTED_VALUE"""),TRUE)</f>
        <v>1</v>
      </c>
      <c r="BH671" s="763" t="b">
        <f>IFERROR(__xludf.DUMMYFUNCTION("""COMPUTED_VALUE"""),FALSE)</f>
        <v>0</v>
      </c>
      <c r="BI671" s="763" t="b">
        <f>IFERROR(__xludf.DUMMYFUNCTION("""COMPUTED_VALUE"""),TRUE)</f>
        <v>1</v>
      </c>
      <c r="BJ671" s="763" t="b">
        <f>IFERROR(__xludf.DUMMYFUNCTION("""COMPUTED_VALUE"""),TRUE)</f>
        <v>1</v>
      </c>
    </row>
    <row r="672">
      <c r="A672" s="763">
        <f>IFERROR(__xludf.DUMMYFUNCTION("""COMPUTED_VALUE"""),66557.0)</f>
        <v>66557</v>
      </c>
      <c r="B672" s="763">
        <f>IFERROR(__xludf.DUMMYFUNCTION("""COMPUTED_VALUE"""),66557.0)</f>
        <v>66557</v>
      </c>
      <c r="C672" s="763" t="str">
        <f>IFERROR(__xludf.DUMMYFUNCTION("""COMPUTED_VALUE"""),"2025-12-02 22:55:18")</f>
        <v>2025-12-02 22:55:18</v>
      </c>
      <c r="D672" s="763" t="str">
        <f>IFERROR(__xludf.DUMMYFUNCTION("""COMPUTED_VALUE"""),"completed")</f>
        <v>completed</v>
      </c>
      <c r="E672" s="763" t="str">
        <f>IFERROR(__xludf.DUMMYFUNCTION("""COMPUTED_VALUE"""),"Alberto")</f>
        <v>Alberto</v>
      </c>
      <c r="F672" s="763" t="str">
        <f>IFERROR(__xludf.DUMMYFUNCTION("""COMPUTED_VALUE"""),"Pellegrini")</f>
        <v>Pellegrini</v>
      </c>
      <c r="G672" s="763" t="str">
        <f>IFERROR(__xludf.DUMMYFUNCTION("""COMPUTED_VALUE"""),"albertopellegrini85@gmail.com")</f>
        <v>albertopellegrini85@gmail.com</v>
      </c>
      <c r="H672" s="763">
        <f>IFERROR(__xludf.DUMMYFUNCTION("""COMPUTED_VALUE"""),3.928120803E9)</f>
        <v>3928120803</v>
      </c>
      <c r="I672" s="763" t="str">
        <f>IFERROR(__xludf.DUMMYFUNCTION("""COMPUTED_VALUE"""),"Motta Visconti")</f>
        <v>Motta Visconti</v>
      </c>
      <c r="J672" s="763" t="str">
        <f>IFERROR(__xludf.DUMMYFUNCTION("""COMPUTED_VALUE"""),"Via Roma 15")</f>
        <v>Via Roma 15</v>
      </c>
      <c r="K672" s="763">
        <f>IFERROR(__xludf.DUMMYFUNCTION("""COMPUTED_VALUE"""),20086.0)</f>
        <v>20086</v>
      </c>
      <c r="L672" s="763" t="str">
        <f>IFERROR(__xludf.DUMMYFUNCTION("""COMPUTED_VALUE"""),"Google Pay")</f>
        <v>Google Pay</v>
      </c>
      <c r="M672" s="763"/>
      <c r="N672" s="763" t="str">
        <f>IFERROR(__xludf.DUMMYFUNCTION("""COMPUTED_VALUE"""),"66557-1764716211")</f>
        <v>66557-1764716211</v>
      </c>
      <c r="O672" s="763">
        <f>IFERROR(__xludf.DUMMYFUNCTION("""COMPUTED_VALUE"""),0.0)</f>
        <v>0</v>
      </c>
      <c r="P672" s="767">
        <f>IFERROR(__xludf.DUMMYFUNCTION("""COMPUTED_VALUE"""),1.0416666666666667)</f>
        <v>1.041666667</v>
      </c>
      <c r="Q672" s="763" t="str">
        <f>IFERROR(__xludf.DUMMYFUNCTION("""COMPUTED_VALUE"""),"EUR")</f>
        <v>EUR</v>
      </c>
      <c r="R672" s="763">
        <f>IFERROR(__xludf.DUMMYFUNCTION("""COMPUTED_VALUE"""),1237.0)</f>
        <v>1237</v>
      </c>
      <c r="S672" s="763" t="str">
        <f>IFERROR(__xludf.DUMMYFUNCTION("""COMPUTED_VALUE"""),"Festa di Natale 2025 - Festa di natale 2025 SOLO serata 25€")</f>
        <v>Festa di Natale 2025 - Festa di natale 2025 SOLO serata 25€</v>
      </c>
      <c r="T672" s="763"/>
      <c r="U672" s="763"/>
      <c r="V672" s="763">
        <f>IFERROR(__xludf.DUMMYFUNCTION("""COMPUTED_VALUE"""),1.0)</f>
        <v>1</v>
      </c>
      <c r="W672" s="763">
        <f>IFERROR(__xludf.DUMMYFUNCTION("""COMPUTED_VALUE"""),25.0)</f>
        <v>25</v>
      </c>
      <c r="X672" s="763">
        <f>IFERROR(__xludf.DUMMYFUNCTION("""COMPUTED_VALUE"""),25.0)</f>
        <v>25</v>
      </c>
      <c r="Y672" s="763"/>
      <c r="Z672" s="768" t="str">
        <f>IFERROR(__xludf.DUMMYFUNCTION("""COMPUTED_VALUE"""),"https://studio-gem.it/wp-admin/post.php?post=66557&amp;action=edit")</f>
        <v>https://studio-gem.it/wp-admin/post.php?post=66557&amp;action=edit</v>
      </c>
      <c r="AA672" s="763"/>
      <c r="AB672" s="763"/>
      <c r="AC672" s="763"/>
      <c r="AD672" s="763"/>
      <c r="AE672" s="763"/>
      <c r="AF672" s="763"/>
      <c r="AG672" s="763"/>
      <c r="AH672" s="763"/>
      <c r="AI672" s="763"/>
      <c r="AJ672" s="763"/>
      <c r="AK672" s="763"/>
      <c r="AL672" s="763"/>
      <c r="AM672" s="763"/>
      <c r="AN672" s="763"/>
      <c r="AO672" s="763"/>
      <c r="AP672" s="763"/>
      <c r="AQ672" s="763"/>
      <c r="AR672" s="763"/>
      <c r="AS672" s="763"/>
      <c r="AT672" s="763"/>
      <c r="AU672" s="763"/>
      <c r="AV672" s="763"/>
      <c r="AW672" s="763"/>
      <c r="AX672" s="763"/>
      <c r="AY672" s="763"/>
      <c r="AZ672" s="763"/>
      <c r="BA672" s="763"/>
      <c r="BB672" s="763"/>
      <c r="BC672" s="763"/>
      <c r="BD672" s="763"/>
      <c r="BE672" s="763"/>
      <c r="BF672" s="763"/>
      <c r="BG672" s="763" t="b">
        <f>IFERROR(__xludf.DUMMYFUNCTION("""COMPUTED_VALUE"""),FALSE)</f>
        <v>0</v>
      </c>
      <c r="BH672" s="763" t="b">
        <f>IFERROR(__xludf.DUMMYFUNCTION("""COMPUTED_VALUE"""),FALSE)</f>
        <v>0</v>
      </c>
      <c r="BI672" s="763" t="b">
        <f>IFERROR(__xludf.DUMMYFUNCTION("""COMPUTED_VALUE"""),TRUE)</f>
        <v>1</v>
      </c>
      <c r="BJ672" s="763" t="b">
        <f>IFERROR(__xludf.DUMMYFUNCTION("""COMPUTED_VALUE"""),TRUE)</f>
        <v>1</v>
      </c>
    </row>
    <row r="673">
      <c r="A673" s="763">
        <f>IFERROR(__xludf.DUMMYFUNCTION("""COMPUTED_VALUE"""),66561.0)</f>
        <v>66561</v>
      </c>
      <c r="B673" s="763">
        <f>IFERROR(__xludf.DUMMYFUNCTION("""COMPUTED_VALUE"""),66561.0)</f>
        <v>66561</v>
      </c>
      <c r="C673" s="763" t="str">
        <f>IFERROR(__xludf.DUMMYFUNCTION("""COMPUTED_VALUE"""),"2025-12-03 09:17:11")</f>
        <v>2025-12-03 09:17:11</v>
      </c>
      <c r="D673" s="763" t="str">
        <f>IFERROR(__xludf.DUMMYFUNCTION("""COMPUTED_VALUE"""),"cancelled")</f>
        <v>cancelled</v>
      </c>
      <c r="E673" s="763" t="str">
        <f>IFERROR(__xludf.DUMMYFUNCTION("""COMPUTED_VALUE"""),"ago")</f>
        <v>ago</v>
      </c>
      <c r="F673" s="763" t="str">
        <f>IFERROR(__xludf.DUMMYFUNCTION("""COMPUTED_VALUE"""),"genc")</f>
        <v>genc</v>
      </c>
      <c r="G673" s="763" t="str">
        <f>IFERROR(__xludf.DUMMYFUNCTION("""COMPUTED_VALUE"""),"ago@agogo.it")</f>
        <v>ago@agogo.it</v>
      </c>
      <c r="H673" s="763">
        <f>IFERROR(__xludf.DUMMYFUNCTION("""COMPUTED_VALUE"""),3.356385854E9)</f>
        <v>3356385854</v>
      </c>
      <c r="I673" s="763" t="str">
        <f>IFERROR(__xludf.DUMMYFUNCTION("""COMPUTED_VALUE"""),"Bresso")</f>
        <v>Bresso</v>
      </c>
      <c r="J673" s="763" t="str">
        <f>IFERROR(__xludf.DUMMYFUNCTION("""COMPUTED_VALUE"""),"Via Aldo villa 16")</f>
        <v>Via Aldo villa 16</v>
      </c>
      <c r="K673" s="763">
        <f>IFERROR(__xludf.DUMMYFUNCTION("""COMPUTED_VALUE"""),20900.0)</f>
        <v>20900</v>
      </c>
      <c r="L673" s="763" t="str">
        <f>IFERROR(__xludf.DUMMYFUNCTION("""COMPUTED_VALUE"""),"Carte di pagamento")</f>
        <v>Carte di pagamento</v>
      </c>
      <c r="M673" s="763"/>
      <c r="N673" s="763"/>
      <c r="O673" s="763">
        <f>IFERROR(__xludf.DUMMYFUNCTION("""COMPUTED_VALUE"""),0.0)</f>
        <v>0</v>
      </c>
      <c r="P673" s="767">
        <f>IFERROR(__xludf.DUMMYFUNCTION("""COMPUTED_VALUE"""),11.5)</f>
        <v>11.5</v>
      </c>
      <c r="Q673" s="763" t="str">
        <f>IFERROR(__xludf.DUMMYFUNCTION("""COMPUTED_VALUE"""),"EUR")</f>
        <v>EUR</v>
      </c>
      <c r="R673" s="763">
        <f>IFERROR(__xludf.DUMMYFUNCTION("""COMPUTED_VALUE"""),1238.0)</f>
        <v>1238</v>
      </c>
      <c r="S673" s="763" t="str">
        <f>IFERROR(__xludf.DUMMYFUNCTION("""COMPUTED_VALUE"""),"Domeniche in movimento - 1 lezione - Dalle 10 alle 10.50 con Dorian Kuqi €15")</f>
        <v>Domeniche in movimento - 1 lezione - Dalle 10 alle 10.50 con Dorian Kuqi €15</v>
      </c>
      <c r="T673" s="763"/>
      <c r="U673" s="763"/>
      <c r="V673" s="763">
        <f>IFERROR(__xludf.DUMMYFUNCTION("""COMPUTED_VALUE"""),1.0)</f>
        <v>1</v>
      </c>
      <c r="W673" s="763">
        <f>IFERROR(__xludf.DUMMYFUNCTION("""COMPUTED_VALUE"""),15.0)</f>
        <v>15</v>
      </c>
      <c r="X673" s="763">
        <f>IFERROR(__xludf.DUMMYFUNCTION("""COMPUTED_VALUE"""),15.0)</f>
        <v>15</v>
      </c>
      <c r="Y673" s="763"/>
      <c r="Z673" s="768" t="str">
        <f>IFERROR(__xludf.DUMMYFUNCTION("""COMPUTED_VALUE"""),"https://studio-gem.it/wp-admin/post.php?post=66561&amp;action=edit")</f>
        <v>https://studio-gem.it/wp-admin/post.php?post=66561&amp;action=edit</v>
      </c>
      <c r="AA673" s="763"/>
      <c r="AB673" s="763"/>
      <c r="AC673" s="763"/>
      <c r="AD673" s="763"/>
      <c r="AE673" s="763"/>
      <c r="AF673" s="763"/>
      <c r="AG673" s="763"/>
      <c r="AH673" s="763"/>
      <c r="AI673" s="763"/>
      <c r="AJ673" s="763"/>
      <c r="AK673" s="763"/>
      <c r="AL673" s="763"/>
      <c r="AM673" s="763"/>
      <c r="AN673" s="763"/>
      <c r="AO673" s="763"/>
      <c r="AP673" s="763"/>
      <c r="AQ673" s="763"/>
      <c r="AR673" s="763"/>
      <c r="AS673" s="763"/>
      <c r="AT673" s="763"/>
      <c r="AU673" s="763"/>
      <c r="AV673" s="763"/>
      <c r="AW673" s="763"/>
      <c r="AX673" s="763"/>
      <c r="AY673" s="763"/>
      <c r="AZ673" s="763"/>
      <c r="BA673" s="763"/>
      <c r="BB673" s="763"/>
      <c r="BC673" s="763"/>
      <c r="BD673" s="763"/>
      <c r="BE673" s="763"/>
      <c r="BF673" s="763"/>
      <c r="BG673" s="763" t="b">
        <f>IFERROR(__xludf.DUMMYFUNCTION("""COMPUTED_VALUE"""),FALSE)</f>
        <v>0</v>
      </c>
      <c r="BH673" s="763" t="b">
        <f>IFERROR(__xludf.DUMMYFUNCTION("""COMPUTED_VALUE"""),FALSE)</f>
        <v>0</v>
      </c>
      <c r="BI673" s="763" t="b">
        <f>IFERROR(__xludf.DUMMYFUNCTION("""COMPUTED_VALUE"""),FALSE)</f>
        <v>0</v>
      </c>
      <c r="BJ673" s="763" t="b">
        <f>IFERROR(__xludf.DUMMYFUNCTION("""COMPUTED_VALUE"""),FALSE)</f>
        <v>0</v>
      </c>
    </row>
    <row r="674">
      <c r="A674" s="763">
        <f>IFERROR(__xludf.DUMMYFUNCTION("""COMPUTED_VALUE"""),66561.0)</f>
        <v>66561</v>
      </c>
      <c r="B674" s="763">
        <f>IFERROR(__xludf.DUMMYFUNCTION("""COMPUTED_VALUE"""),66561.0)</f>
        <v>66561</v>
      </c>
      <c r="C674" s="763" t="str">
        <f>IFERROR(__xludf.DUMMYFUNCTION("""COMPUTED_VALUE"""),"2025-12-03 09:17:11")</f>
        <v>2025-12-03 09:17:11</v>
      </c>
      <c r="D674" s="763" t="str">
        <f>IFERROR(__xludf.DUMMYFUNCTION("""COMPUTED_VALUE"""),"cancelled")</f>
        <v>cancelled</v>
      </c>
      <c r="E674" s="763" t="str">
        <f>IFERROR(__xludf.DUMMYFUNCTION("""COMPUTED_VALUE"""),"ago")</f>
        <v>ago</v>
      </c>
      <c r="F674" s="763" t="str">
        <f>IFERROR(__xludf.DUMMYFUNCTION("""COMPUTED_VALUE"""),"genc")</f>
        <v>genc</v>
      </c>
      <c r="G674" s="763" t="str">
        <f>IFERROR(__xludf.DUMMYFUNCTION("""COMPUTED_VALUE"""),"ago@agogo.it")</f>
        <v>ago@agogo.it</v>
      </c>
      <c r="H674" s="763">
        <f>IFERROR(__xludf.DUMMYFUNCTION("""COMPUTED_VALUE"""),3.356385854E9)</f>
        <v>3356385854</v>
      </c>
      <c r="I674" s="763" t="str">
        <f>IFERROR(__xludf.DUMMYFUNCTION("""COMPUTED_VALUE"""),"Bresso")</f>
        <v>Bresso</v>
      </c>
      <c r="J674" s="763" t="str">
        <f>IFERROR(__xludf.DUMMYFUNCTION("""COMPUTED_VALUE"""),"Via Aldo villa 16")</f>
        <v>Via Aldo villa 16</v>
      </c>
      <c r="K674" s="763">
        <f>IFERROR(__xludf.DUMMYFUNCTION("""COMPUTED_VALUE"""),20900.0)</f>
        <v>20900</v>
      </c>
      <c r="L674" s="763" t="str">
        <f>IFERROR(__xludf.DUMMYFUNCTION("""COMPUTED_VALUE"""),"Carte di pagamento")</f>
        <v>Carte di pagamento</v>
      </c>
      <c r="M674" s="763"/>
      <c r="N674" s="763"/>
      <c r="O674" s="763">
        <f>IFERROR(__xludf.DUMMYFUNCTION("""COMPUTED_VALUE"""),0.0)</f>
        <v>0</v>
      </c>
      <c r="P674" s="767">
        <f>IFERROR(__xludf.DUMMYFUNCTION("""COMPUTED_VALUE"""),11.5)</f>
        <v>11.5</v>
      </c>
      <c r="Q674" s="763" t="str">
        <f>IFERROR(__xludf.DUMMYFUNCTION("""COMPUTED_VALUE"""),"EUR")</f>
        <v>EUR</v>
      </c>
      <c r="R674" s="763">
        <f>IFERROR(__xludf.DUMMYFUNCTION("""COMPUTED_VALUE"""),1239.0)</f>
        <v>1239</v>
      </c>
      <c r="S674" s="763" t="str">
        <f>IFERROR(__xludf.DUMMYFUNCTION("""COMPUTED_VALUE"""),"Domeniche in movimento - 1 lezione - Dalle 11 alle 11.50 con Dorian Kuqi €15")</f>
        <v>Domeniche in movimento - 1 lezione - Dalle 11 alle 11.50 con Dorian Kuqi €15</v>
      </c>
      <c r="T674" s="763"/>
      <c r="U674" s="763"/>
      <c r="V674" s="763">
        <f>IFERROR(__xludf.DUMMYFUNCTION("""COMPUTED_VALUE"""),1.0)</f>
        <v>1</v>
      </c>
      <c r="W674" s="763">
        <f>IFERROR(__xludf.DUMMYFUNCTION("""COMPUTED_VALUE"""),15.0)</f>
        <v>15</v>
      </c>
      <c r="X674" s="763">
        <f>IFERROR(__xludf.DUMMYFUNCTION("""COMPUTED_VALUE"""),15.0)</f>
        <v>15</v>
      </c>
      <c r="Y674" s="763"/>
      <c r="Z674" s="768" t="str">
        <f>IFERROR(__xludf.DUMMYFUNCTION("""COMPUTED_VALUE"""),"https://studio-gem.it/wp-admin/post.php?post=66561&amp;action=edit")</f>
        <v>https://studio-gem.it/wp-admin/post.php?post=66561&amp;action=edit</v>
      </c>
      <c r="AA674" s="763"/>
      <c r="AB674" s="763"/>
      <c r="AC674" s="763"/>
      <c r="AD674" s="763"/>
      <c r="AE674" s="763"/>
      <c r="AF674" s="763"/>
      <c r="AG674" s="763"/>
      <c r="AH674" s="763"/>
      <c r="AI674" s="763"/>
      <c r="AJ674" s="763"/>
      <c r="AK674" s="763"/>
      <c r="AL674" s="763"/>
      <c r="AM674" s="763"/>
      <c r="AN674" s="763"/>
      <c r="AO674" s="763"/>
      <c r="AP674" s="763"/>
      <c r="AQ674" s="763"/>
      <c r="AR674" s="763"/>
      <c r="AS674" s="763"/>
      <c r="AT674" s="763"/>
      <c r="AU674" s="763"/>
      <c r="AV674" s="763"/>
      <c r="AW674" s="763"/>
      <c r="AX674" s="763"/>
      <c r="AY674" s="763"/>
      <c r="AZ674" s="763"/>
      <c r="BA674" s="763"/>
      <c r="BB674" s="763"/>
      <c r="BC674" s="763"/>
      <c r="BD674" s="763"/>
      <c r="BE674" s="763"/>
      <c r="BF674" s="763"/>
      <c r="BG674" s="763" t="b">
        <f>IFERROR(__xludf.DUMMYFUNCTION("""COMPUTED_VALUE"""),FALSE)</f>
        <v>0</v>
      </c>
      <c r="BH674" s="763" t="b">
        <f>IFERROR(__xludf.DUMMYFUNCTION("""COMPUTED_VALUE"""),FALSE)</f>
        <v>0</v>
      </c>
      <c r="BI674" s="763" t="b">
        <f>IFERROR(__xludf.DUMMYFUNCTION("""COMPUTED_VALUE"""),FALSE)</f>
        <v>0</v>
      </c>
      <c r="BJ674" s="763" t="b">
        <f>IFERROR(__xludf.DUMMYFUNCTION("""COMPUTED_VALUE"""),FALSE)</f>
        <v>0</v>
      </c>
    </row>
    <row r="675">
      <c r="A675" s="763">
        <f>IFERROR(__xludf.DUMMYFUNCTION("""COMPUTED_VALUE"""),66561.0)</f>
        <v>66561</v>
      </c>
      <c r="B675" s="763">
        <f>IFERROR(__xludf.DUMMYFUNCTION("""COMPUTED_VALUE"""),66561.0)</f>
        <v>66561</v>
      </c>
      <c r="C675" s="763" t="str">
        <f>IFERROR(__xludf.DUMMYFUNCTION("""COMPUTED_VALUE"""),"2025-12-03 09:17:11")</f>
        <v>2025-12-03 09:17:11</v>
      </c>
      <c r="D675" s="763" t="str">
        <f>IFERROR(__xludf.DUMMYFUNCTION("""COMPUTED_VALUE"""),"cancelled")</f>
        <v>cancelled</v>
      </c>
      <c r="E675" s="763" t="str">
        <f>IFERROR(__xludf.DUMMYFUNCTION("""COMPUTED_VALUE"""),"ago")</f>
        <v>ago</v>
      </c>
      <c r="F675" s="763" t="str">
        <f>IFERROR(__xludf.DUMMYFUNCTION("""COMPUTED_VALUE"""),"genc")</f>
        <v>genc</v>
      </c>
      <c r="G675" s="763" t="str">
        <f>IFERROR(__xludf.DUMMYFUNCTION("""COMPUTED_VALUE"""),"ago@agogo.it")</f>
        <v>ago@agogo.it</v>
      </c>
      <c r="H675" s="763">
        <f>IFERROR(__xludf.DUMMYFUNCTION("""COMPUTED_VALUE"""),3.356385854E9)</f>
        <v>3356385854</v>
      </c>
      <c r="I675" s="763" t="str">
        <f>IFERROR(__xludf.DUMMYFUNCTION("""COMPUTED_VALUE"""),"Bresso")</f>
        <v>Bresso</v>
      </c>
      <c r="J675" s="763" t="str">
        <f>IFERROR(__xludf.DUMMYFUNCTION("""COMPUTED_VALUE"""),"Via Aldo villa 16")</f>
        <v>Via Aldo villa 16</v>
      </c>
      <c r="K675" s="763">
        <f>IFERROR(__xludf.DUMMYFUNCTION("""COMPUTED_VALUE"""),20900.0)</f>
        <v>20900</v>
      </c>
      <c r="L675" s="763" t="str">
        <f>IFERROR(__xludf.DUMMYFUNCTION("""COMPUTED_VALUE"""),"Carte di pagamento")</f>
        <v>Carte di pagamento</v>
      </c>
      <c r="M675" s="763"/>
      <c r="N675" s="763"/>
      <c r="O675" s="763">
        <f>IFERROR(__xludf.DUMMYFUNCTION("""COMPUTED_VALUE"""),0.0)</f>
        <v>0</v>
      </c>
      <c r="P675" s="767">
        <f>IFERROR(__xludf.DUMMYFUNCTION("""COMPUTED_VALUE"""),11.5)</f>
        <v>11.5</v>
      </c>
      <c r="Q675" s="763" t="str">
        <f>IFERROR(__xludf.DUMMYFUNCTION("""COMPUTED_VALUE"""),"EUR")</f>
        <v>EUR</v>
      </c>
      <c r="R675" s="763">
        <f>IFERROR(__xludf.DUMMYFUNCTION("""COMPUTED_VALUE"""),1240.0)</f>
        <v>1240</v>
      </c>
      <c r="S675" s="763" t="str">
        <f>IFERROR(__xludf.DUMMYFUNCTION("""COMPUTED_VALUE"""),"Domeniche in movimento - 2 lezioni - Dalle 10 alle 11.50 con Dorian Kuqi €20")</f>
        <v>Domeniche in movimento - 2 lezioni - Dalle 10 alle 11.50 con Dorian Kuqi €20</v>
      </c>
      <c r="T675" s="763"/>
      <c r="U675" s="763"/>
      <c r="V675" s="763">
        <f>IFERROR(__xludf.DUMMYFUNCTION("""COMPUTED_VALUE"""),2.0)</f>
        <v>2</v>
      </c>
      <c r="W675" s="763">
        <f>IFERROR(__xludf.DUMMYFUNCTION("""COMPUTED_VALUE"""),20.0)</f>
        <v>20</v>
      </c>
      <c r="X675" s="763">
        <f>IFERROR(__xludf.DUMMYFUNCTION("""COMPUTED_VALUE"""),40.0)</f>
        <v>40</v>
      </c>
      <c r="Y675" s="763"/>
      <c r="Z675" s="768" t="str">
        <f>IFERROR(__xludf.DUMMYFUNCTION("""COMPUTED_VALUE"""),"https://studio-gem.it/wp-admin/post.php?post=66561&amp;action=edit")</f>
        <v>https://studio-gem.it/wp-admin/post.php?post=66561&amp;action=edit</v>
      </c>
      <c r="AA675" s="763"/>
      <c r="AB675" s="763"/>
      <c r="AC675" s="763"/>
      <c r="AD675" s="763"/>
      <c r="AE675" s="763"/>
      <c r="AF675" s="763"/>
      <c r="AG675" s="763"/>
      <c r="AH675" s="763"/>
      <c r="AI675" s="763"/>
      <c r="AJ675" s="763"/>
      <c r="AK675" s="763"/>
      <c r="AL675" s="763"/>
      <c r="AM675" s="763"/>
      <c r="AN675" s="763"/>
      <c r="AO675" s="763"/>
      <c r="AP675" s="763"/>
      <c r="AQ675" s="763"/>
      <c r="AR675" s="763"/>
      <c r="AS675" s="763"/>
      <c r="AT675" s="763"/>
      <c r="AU675" s="763"/>
      <c r="AV675" s="763"/>
      <c r="AW675" s="763"/>
      <c r="AX675" s="763"/>
      <c r="AY675" s="763"/>
      <c r="AZ675" s="763"/>
      <c r="BA675" s="763"/>
      <c r="BB675" s="763"/>
      <c r="BC675" s="763"/>
      <c r="BD675" s="763"/>
      <c r="BE675" s="763"/>
      <c r="BF675" s="763"/>
      <c r="BG675" s="763" t="b">
        <f>IFERROR(__xludf.DUMMYFUNCTION("""COMPUTED_VALUE"""),FALSE)</f>
        <v>0</v>
      </c>
      <c r="BH675" s="763" t="b">
        <f>IFERROR(__xludf.DUMMYFUNCTION("""COMPUTED_VALUE"""),FALSE)</f>
        <v>0</v>
      </c>
      <c r="BI675" s="763" t="b">
        <f>IFERROR(__xludf.DUMMYFUNCTION("""COMPUTED_VALUE"""),FALSE)</f>
        <v>0</v>
      </c>
      <c r="BJ675" s="763" t="b">
        <f>IFERROR(__xludf.DUMMYFUNCTION("""COMPUTED_VALUE"""),FALSE)</f>
        <v>0</v>
      </c>
    </row>
    <row r="676">
      <c r="A676" s="763">
        <f>IFERROR(__xludf.DUMMYFUNCTION("""COMPUTED_VALUE"""),66561.0)</f>
        <v>66561</v>
      </c>
      <c r="B676" s="763">
        <f>IFERROR(__xludf.DUMMYFUNCTION("""COMPUTED_VALUE"""),66561.0)</f>
        <v>66561</v>
      </c>
      <c r="C676" s="763" t="str">
        <f>IFERROR(__xludf.DUMMYFUNCTION("""COMPUTED_VALUE"""),"2025-12-03 09:17:11")</f>
        <v>2025-12-03 09:17:11</v>
      </c>
      <c r="D676" s="763" t="str">
        <f>IFERROR(__xludf.DUMMYFUNCTION("""COMPUTED_VALUE"""),"cancelled")</f>
        <v>cancelled</v>
      </c>
      <c r="E676" s="763" t="str">
        <f>IFERROR(__xludf.DUMMYFUNCTION("""COMPUTED_VALUE"""),"ago")</f>
        <v>ago</v>
      </c>
      <c r="F676" s="763" t="str">
        <f>IFERROR(__xludf.DUMMYFUNCTION("""COMPUTED_VALUE"""),"genc")</f>
        <v>genc</v>
      </c>
      <c r="G676" s="763" t="str">
        <f>IFERROR(__xludf.DUMMYFUNCTION("""COMPUTED_VALUE"""),"ago@agogo.it")</f>
        <v>ago@agogo.it</v>
      </c>
      <c r="H676" s="763">
        <f>IFERROR(__xludf.DUMMYFUNCTION("""COMPUTED_VALUE"""),3.356385854E9)</f>
        <v>3356385854</v>
      </c>
      <c r="I676" s="763" t="str">
        <f>IFERROR(__xludf.DUMMYFUNCTION("""COMPUTED_VALUE"""),"Bresso")</f>
        <v>Bresso</v>
      </c>
      <c r="J676" s="763" t="str">
        <f>IFERROR(__xludf.DUMMYFUNCTION("""COMPUTED_VALUE"""),"Via Aldo villa 16")</f>
        <v>Via Aldo villa 16</v>
      </c>
      <c r="K676" s="763">
        <f>IFERROR(__xludf.DUMMYFUNCTION("""COMPUTED_VALUE"""),20900.0)</f>
        <v>20900</v>
      </c>
      <c r="L676" s="763" t="str">
        <f>IFERROR(__xludf.DUMMYFUNCTION("""COMPUTED_VALUE"""),"Carte di pagamento")</f>
        <v>Carte di pagamento</v>
      </c>
      <c r="M676" s="763"/>
      <c r="N676" s="763"/>
      <c r="O676" s="763">
        <f>IFERROR(__xludf.DUMMYFUNCTION("""COMPUTED_VALUE"""),0.0)</f>
        <v>0</v>
      </c>
      <c r="P676" s="767">
        <f>IFERROR(__xludf.DUMMYFUNCTION("""COMPUTED_VALUE"""),11.5)</f>
        <v>11.5</v>
      </c>
      <c r="Q676" s="763" t="str">
        <f>IFERROR(__xludf.DUMMYFUNCTION("""COMPUTED_VALUE"""),"EUR")</f>
        <v>EUR</v>
      </c>
      <c r="R676" s="763">
        <f>IFERROR(__xludf.DUMMYFUNCTION("""COMPUTED_VALUE"""),1241.0)</f>
        <v>1241</v>
      </c>
      <c r="S676" s="763" t="str">
        <f>IFERROR(__xludf.DUMMYFUNCTION("""COMPUTED_VALUE"""),"Domeniche in movimento - Gratuito per open fitness e open mattino 2 lezioni dalle 10 alle 11.50")</f>
        <v>Domeniche in movimento - Gratuito per open fitness e open mattino 2 lezioni dalle 10 alle 11.50</v>
      </c>
      <c r="T676" s="763"/>
      <c r="U676" s="763"/>
      <c r="V676" s="763">
        <f>IFERROR(__xludf.DUMMYFUNCTION("""COMPUTED_VALUE"""),1.0)</f>
        <v>1</v>
      </c>
      <c r="W676" s="763">
        <f>IFERROR(__xludf.DUMMYFUNCTION("""COMPUTED_VALUE"""),0.0)</f>
        <v>0</v>
      </c>
      <c r="X676" s="763">
        <f>IFERROR(__xludf.DUMMYFUNCTION("""COMPUTED_VALUE"""),0.0)</f>
        <v>0</v>
      </c>
      <c r="Y676" s="763"/>
      <c r="Z676" s="768" t="str">
        <f>IFERROR(__xludf.DUMMYFUNCTION("""COMPUTED_VALUE"""),"https://studio-gem.it/wp-admin/post.php?post=66561&amp;action=edit")</f>
        <v>https://studio-gem.it/wp-admin/post.php?post=66561&amp;action=edit</v>
      </c>
      <c r="AA676" s="763"/>
      <c r="AB676" s="763"/>
      <c r="AC676" s="763"/>
      <c r="AD676" s="763"/>
      <c r="AE676" s="763"/>
      <c r="AF676" s="763"/>
      <c r="AG676" s="763"/>
      <c r="AH676" s="763"/>
      <c r="AI676" s="763"/>
      <c r="AJ676" s="763"/>
      <c r="AK676" s="763"/>
      <c r="AL676" s="763"/>
      <c r="AM676" s="763"/>
      <c r="AN676" s="763"/>
      <c r="AO676" s="763"/>
      <c r="AP676" s="763"/>
      <c r="AQ676" s="763"/>
      <c r="AR676" s="763"/>
      <c r="AS676" s="763"/>
      <c r="AT676" s="763"/>
      <c r="AU676" s="763"/>
      <c r="AV676" s="763"/>
      <c r="AW676" s="763"/>
      <c r="AX676" s="763"/>
      <c r="AY676" s="763"/>
      <c r="AZ676" s="763"/>
      <c r="BA676" s="763"/>
      <c r="BB676" s="763"/>
      <c r="BC676" s="763"/>
      <c r="BD676" s="763"/>
      <c r="BE676" s="763"/>
      <c r="BF676" s="763"/>
      <c r="BG676" s="763" t="b">
        <f>IFERROR(__xludf.DUMMYFUNCTION("""COMPUTED_VALUE"""),FALSE)</f>
        <v>0</v>
      </c>
      <c r="BH676" s="763" t="b">
        <f>IFERROR(__xludf.DUMMYFUNCTION("""COMPUTED_VALUE"""),FALSE)</f>
        <v>0</v>
      </c>
      <c r="BI676" s="763" t="b">
        <f>IFERROR(__xludf.DUMMYFUNCTION("""COMPUTED_VALUE"""),FALSE)</f>
        <v>0</v>
      </c>
      <c r="BJ676" s="763" t="b">
        <f>IFERROR(__xludf.DUMMYFUNCTION("""COMPUTED_VALUE"""),FALSE)</f>
        <v>0</v>
      </c>
    </row>
    <row r="677">
      <c r="A677" s="763">
        <f>IFERROR(__xludf.DUMMYFUNCTION("""COMPUTED_VALUE"""),66561.0)</f>
        <v>66561</v>
      </c>
      <c r="B677" s="763">
        <f>IFERROR(__xludf.DUMMYFUNCTION("""COMPUTED_VALUE"""),66561.0)</f>
        <v>66561</v>
      </c>
      <c r="C677" s="763" t="str">
        <f>IFERROR(__xludf.DUMMYFUNCTION("""COMPUTED_VALUE"""),"2025-12-03 09:17:11")</f>
        <v>2025-12-03 09:17:11</v>
      </c>
      <c r="D677" s="763" t="str">
        <f>IFERROR(__xludf.DUMMYFUNCTION("""COMPUTED_VALUE"""),"cancelled")</f>
        <v>cancelled</v>
      </c>
      <c r="E677" s="763" t="str">
        <f>IFERROR(__xludf.DUMMYFUNCTION("""COMPUTED_VALUE"""),"ago")</f>
        <v>ago</v>
      </c>
      <c r="F677" s="763" t="str">
        <f>IFERROR(__xludf.DUMMYFUNCTION("""COMPUTED_VALUE"""),"genc")</f>
        <v>genc</v>
      </c>
      <c r="G677" s="763" t="str">
        <f>IFERROR(__xludf.DUMMYFUNCTION("""COMPUTED_VALUE"""),"ago@agogo.it")</f>
        <v>ago@agogo.it</v>
      </c>
      <c r="H677" s="763">
        <f>IFERROR(__xludf.DUMMYFUNCTION("""COMPUTED_VALUE"""),3.356385854E9)</f>
        <v>3356385854</v>
      </c>
      <c r="I677" s="763" t="str">
        <f>IFERROR(__xludf.DUMMYFUNCTION("""COMPUTED_VALUE"""),"Bresso")</f>
        <v>Bresso</v>
      </c>
      <c r="J677" s="763" t="str">
        <f>IFERROR(__xludf.DUMMYFUNCTION("""COMPUTED_VALUE"""),"Via Aldo villa 16")</f>
        <v>Via Aldo villa 16</v>
      </c>
      <c r="K677" s="763">
        <f>IFERROR(__xludf.DUMMYFUNCTION("""COMPUTED_VALUE"""),20900.0)</f>
        <v>20900</v>
      </c>
      <c r="L677" s="763" t="str">
        <f>IFERROR(__xludf.DUMMYFUNCTION("""COMPUTED_VALUE"""),"Carte di pagamento")</f>
        <v>Carte di pagamento</v>
      </c>
      <c r="M677" s="763"/>
      <c r="N677" s="763"/>
      <c r="O677" s="763">
        <f>IFERROR(__xludf.DUMMYFUNCTION("""COMPUTED_VALUE"""),0.0)</f>
        <v>0</v>
      </c>
      <c r="P677" s="767">
        <f>IFERROR(__xludf.DUMMYFUNCTION("""COMPUTED_VALUE"""),11.5)</f>
        <v>11.5</v>
      </c>
      <c r="Q677" s="763" t="str">
        <f>IFERROR(__xludf.DUMMYFUNCTION("""COMPUTED_VALUE"""),"EUR")</f>
        <v>EUR</v>
      </c>
      <c r="R677" s="763">
        <f>IFERROR(__xludf.DUMMYFUNCTION("""COMPUTED_VALUE"""),1242.0)</f>
        <v>1242</v>
      </c>
      <c r="S677" s="763" t="str">
        <f>IFERROR(__xludf.DUMMYFUNCTION("""COMPUTED_VALUE"""),"Workshop Salsa flamenco e pasitos con Nerea Perez - Workshop Nerea Pasitos + pizza e serata festa di natale")</f>
        <v>Workshop Salsa flamenco e pasitos con Nerea Perez - Workshop Nerea Pasitos + pizza e serata festa di natale</v>
      </c>
      <c r="T677" s="763"/>
      <c r="U677" s="763"/>
      <c r="V677" s="763">
        <f>IFERROR(__xludf.DUMMYFUNCTION("""COMPUTED_VALUE"""),2.0)</f>
        <v>2</v>
      </c>
      <c r="W677" s="763">
        <f>IFERROR(__xludf.DUMMYFUNCTION("""COMPUTED_VALUE"""),52.0)</f>
        <v>52</v>
      </c>
      <c r="X677" s="763">
        <f>IFERROR(__xludf.DUMMYFUNCTION("""COMPUTED_VALUE"""),104.0)</f>
        <v>104</v>
      </c>
      <c r="Y677" s="763"/>
      <c r="Z677" s="768" t="str">
        <f>IFERROR(__xludf.DUMMYFUNCTION("""COMPUTED_VALUE"""),"https://studio-gem.it/wp-admin/post.php?post=66561&amp;action=edit")</f>
        <v>https://studio-gem.it/wp-admin/post.php?post=66561&amp;action=edit</v>
      </c>
      <c r="AA677" s="763"/>
      <c r="AB677" s="763"/>
      <c r="AC677" s="763"/>
      <c r="AD677" s="763"/>
      <c r="AE677" s="763"/>
      <c r="AF677" s="763"/>
      <c r="AG677" s="763"/>
      <c r="AH677" s="763"/>
      <c r="AI677" s="763"/>
      <c r="AJ677" s="763"/>
      <c r="AK677" s="763"/>
      <c r="AL677" s="763"/>
      <c r="AM677" s="763"/>
      <c r="AN677" s="763"/>
      <c r="AO677" s="763"/>
      <c r="AP677" s="763"/>
      <c r="AQ677" s="763"/>
      <c r="AR677" s="763"/>
      <c r="AS677" s="763"/>
      <c r="AT677" s="763"/>
      <c r="AU677" s="763"/>
      <c r="AV677" s="763"/>
      <c r="AW677" s="763"/>
      <c r="AX677" s="763"/>
      <c r="AY677" s="763"/>
      <c r="AZ677" s="763"/>
      <c r="BA677" s="763"/>
      <c r="BB677" s="763"/>
      <c r="BC677" s="763"/>
      <c r="BD677" s="763"/>
      <c r="BE677" s="763"/>
      <c r="BF677" s="763"/>
      <c r="BG677" s="763" t="b">
        <f>IFERROR(__xludf.DUMMYFUNCTION("""COMPUTED_VALUE"""),FALSE)</f>
        <v>0</v>
      </c>
      <c r="BH677" s="763" t="b">
        <f>IFERROR(__xludf.DUMMYFUNCTION("""COMPUTED_VALUE"""),FALSE)</f>
        <v>0</v>
      </c>
      <c r="BI677" s="763" t="b">
        <f>IFERROR(__xludf.DUMMYFUNCTION("""COMPUTED_VALUE"""),FALSE)</f>
        <v>0</v>
      </c>
      <c r="BJ677" s="763" t="b">
        <f>IFERROR(__xludf.DUMMYFUNCTION("""COMPUTED_VALUE"""),FALSE)</f>
        <v>0</v>
      </c>
    </row>
    <row r="678">
      <c r="A678" s="763">
        <f>IFERROR(__xludf.DUMMYFUNCTION("""COMPUTED_VALUE"""),66561.0)</f>
        <v>66561</v>
      </c>
      <c r="B678" s="763">
        <f>IFERROR(__xludf.DUMMYFUNCTION("""COMPUTED_VALUE"""),66561.0)</f>
        <v>66561</v>
      </c>
      <c r="C678" s="763" t="str">
        <f>IFERROR(__xludf.DUMMYFUNCTION("""COMPUTED_VALUE"""),"2025-12-03 09:17:11")</f>
        <v>2025-12-03 09:17:11</v>
      </c>
      <c r="D678" s="763" t="str">
        <f>IFERROR(__xludf.DUMMYFUNCTION("""COMPUTED_VALUE"""),"cancelled")</f>
        <v>cancelled</v>
      </c>
      <c r="E678" s="763" t="str">
        <f>IFERROR(__xludf.DUMMYFUNCTION("""COMPUTED_VALUE"""),"ago")</f>
        <v>ago</v>
      </c>
      <c r="F678" s="763" t="str">
        <f>IFERROR(__xludf.DUMMYFUNCTION("""COMPUTED_VALUE"""),"genc")</f>
        <v>genc</v>
      </c>
      <c r="G678" s="763" t="str">
        <f>IFERROR(__xludf.DUMMYFUNCTION("""COMPUTED_VALUE"""),"ago@agogo.it")</f>
        <v>ago@agogo.it</v>
      </c>
      <c r="H678" s="763">
        <f>IFERROR(__xludf.DUMMYFUNCTION("""COMPUTED_VALUE"""),3.356385854E9)</f>
        <v>3356385854</v>
      </c>
      <c r="I678" s="763" t="str">
        <f>IFERROR(__xludf.DUMMYFUNCTION("""COMPUTED_VALUE"""),"Bresso")</f>
        <v>Bresso</v>
      </c>
      <c r="J678" s="763" t="str">
        <f>IFERROR(__xludf.DUMMYFUNCTION("""COMPUTED_VALUE"""),"Via Aldo villa 16")</f>
        <v>Via Aldo villa 16</v>
      </c>
      <c r="K678" s="763">
        <f>IFERROR(__xludf.DUMMYFUNCTION("""COMPUTED_VALUE"""),20900.0)</f>
        <v>20900</v>
      </c>
      <c r="L678" s="763" t="str">
        <f>IFERROR(__xludf.DUMMYFUNCTION("""COMPUTED_VALUE"""),"Carte di pagamento")</f>
        <v>Carte di pagamento</v>
      </c>
      <c r="M678" s="763"/>
      <c r="N678" s="763"/>
      <c r="O678" s="763">
        <f>IFERROR(__xludf.DUMMYFUNCTION("""COMPUTED_VALUE"""),0.0)</f>
        <v>0</v>
      </c>
      <c r="P678" s="767">
        <f>IFERROR(__xludf.DUMMYFUNCTION("""COMPUTED_VALUE"""),11.5)</f>
        <v>11.5</v>
      </c>
      <c r="Q678" s="763" t="str">
        <f>IFERROR(__xludf.DUMMYFUNCTION("""COMPUTED_VALUE"""),"EUR")</f>
        <v>EUR</v>
      </c>
      <c r="R678" s="763">
        <f>IFERROR(__xludf.DUMMYFUNCTION("""COMPUTED_VALUE"""),1243.0)</f>
        <v>1243</v>
      </c>
      <c r="S678" s="763" t="str">
        <f>IFERROR(__xludf.DUMMYFUNCTION("""COMPUTED_VALUE"""),"Workshop Salsa flamenco e pasitos con Nerea Perez - Workshop Nerea Salsa Flamenco + pizza e serata festa di natale")</f>
        <v>Workshop Salsa flamenco e pasitos con Nerea Perez - Workshop Nerea Salsa Flamenco + pizza e serata festa di natale</v>
      </c>
      <c r="T678" s="763"/>
      <c r="U678" s="763"/>
      <c r="V678" s="763">
        <f>IFERROR(__xludf.DUMMYFUNCTION("""COMPUTED_VALUE"""),1.0)</f>
        <v>1</v>
      </c>
      <c r="W678" s="763">
        <f>IFERROR(__xludf.DUMMYFUNCTION("""COMPUTED_VALUE"""),52.0)</f>
        <v>52</v>
      </c>
      <c r="X678" s="763">
        <f>IFERROR(__xludf.DUMMYFUNCTION("""COMPUTED_VALUE"""),52.0)</f>
        <v>52</v>
      </c>
      <c r="Y678" s="763"/>
      <c r="Z678" s="768" t="str">
        <f>IFERROR(__xludf.DUMMYFUNCTION("""COMPUTED_VALUE"""),"https://studio-gem.it/wp-admin/post.php?post=66561&amp;action=edit")</f>
        <v>https://studio-gem.it/wp-admin/post.php?post=66561&amp;action=edit</v>
      </c>
      <c r="AA678" s="763"/>
      <c r="AB678" s="763"/>
      <c r="AC678" s="763"/>
      <c r="AD678" s="763"/>
      <c r="AE678" s="763"/>
      <c r="AF678" s="763"/>
      <c r="AG678" s="763"/>
      <c r="AH678" s="763"/>
      <c r="AI678" s="763"/>
      <c r="AJ678" s="763"/>
      <c r="AK678" s="763"/>
      <c r="AL678" s="763"/>
      <c r="AM678" s="763"/>
      <c r="AN678" s="763"/>
      <c r="AO678" s="763"/>
      <c r="AP678" s="763"/>
      <c r="AQ678" s="763"/>
      <c r="AR678" s="763"/>
      <c r="AS678" s="763"/>
      <c r="AT678" s="763"/>
      <c r="AU678" s="763"/>
      <c r="AV678" s="763"/>
      <c r="AW678" s="763"/>
      <c r="AX678" s="763"/>
      <c r="AY678" s="763"/>
      <c r="AZ678" s="763"/>
      <c r="BA678" s="763"/>
      <c r="BB678" s="763"/>
      <c r="BC678" s="763"/>
      <c r="BD678" s="763"/>
      <c r="BE678" s="763"/>
      <c r="BF678" s="763"/>
      <c r="BG678" s="763" t="b">
        <f>IFERROR(__xludf.DUMMYFUNCTION("""COMPUTED_VALUE"""),FALSE)</f>
        <v>0</v>
      </c>
      <c r="BH678" s="763" t="b">
        <f>IFERROR(__xludf.DUMMYFUNCTION("""COMPUTED_VALUE"""),FALSE)</f>
        <v>0</v>
      </c>
      <c r="BI678" s="763" t="b">
        <f>IFERROR(__xludf.DUMMYFUNCTION("""COMPUTED_VALUE"""),FALSE)</f>
        <v>0</v>
      </c>
      <c r="BJ678" s="763" t="b">
        <f>IFERROR(__xludf.DUMMYFUNCTION("""COMPUTED_VALUE"""),FALSE)</f>
        <v>0</v>
      </c>
    </row>
    <row r="679">
      <c r="A679" s="763">
        <f>IFERROR(__xludf.DUMMYFUNCTION("""COMPUTED_VALUE"""),66561.0)</f>
        <v>66561</v>
      </c>
      <c r="B679" s="763">
        <f>IFERROR(__xludf.DUMMYFUNCTION("""COMPUTED_VALUE"""),66561.0)</f>
        <v>66561</v>
      </c>
      <c r="C679" s="763" t="str">
        <f>IFERROR(__xludf.DUMMYFUNCTION("""COMPUTED_VALUE"""),"2025-12-03 09:17:11")</f>
        <v>2025-12-03 09:17:11</v>
      </c>
      <c r="D679" s="763" t="str">
        <f>IFERROR(__xludf.DUMMYFUNCTION("""COMPUTED_VALUE"""),"cancelled")</f>
        <v>cancelled</v>
      </c>
      <c r="E679" s="763" t="str">
        <f>IFERROR(__xludf.DUMMYFUNCTION("""COMPUTED_VALUE"""),"ago")</f>
        <v>ago</v>
      </c>
      <c r="F679" s="763" t="str">
        <f>IFERROR(__xludf.DUMMYFUNCTION("""COMPUTED_VALUE"""),"genc")</f>
        <v>genc</v>
      </c>
      <c r="G679" s="763" t="str">
        <f>IFERROR(__xludf.DUMMYFUNCTION("""COMPUTED_VALUE"""),"ago@agogo.it")</f>
        <v>ago@agogo.it</v>
      </c>
      <c r="H679" s="763">
        <f>IFERROR(__xludf.DUMMYFUNCTION("""COMPUTED_VALUE"""),3.356385854E9)</f>
        <v>3356385854</v>
      </c>
      <c r="I679" s="763" t="str">
        <f>IFERROR(__xludf.DUMMYFUNCTION("""COMPUTED_VALUE"""),"Bresso")</f>
        <v>Bresso</v>
      </c>
      <c r="J679" s="763" t="str">
        <f>IFERROR(__xludf.DUMMYFUNCTION("""COMPUTED_VALUE"""),"Via Aldo villa 16")</f>
        <v>Via Aldo villa 16</v>
      </c>
      <c r="K679" s="763">
        <f>IFERROR(__xludf.DUMMYFUNCTION("""COMPUTED_VALUE"""),20900.0)</f>
        <v>20900</v>
      </c>
      <c r="L679" s="763" t="str">
        <f>IFERROR(__xludf.DUMMYFUNCTION("""COMPUTED_VALUE"""),"Carte di pagamento")</f>
        <v>Carte di pagamento</v>
      </c>
      <c r="M679" s="763"/>
      <c r="N679" s="763"/>
      <c r="O679" s="763">
        <f>IFERROR(__xludf.DUMMYFUNCTION("""COMPUTED_VALUE"""),0.0)</f>
        <v>0</v>
      </c>
      <c r="P679" s="767">
        <f>IFERROR(__xludf.DUMMYFUNCTION("""COMPUTED_VALUE"""),11.5)</f>
        <v>11.5</v>
      </c>
      <c r="Q679" s="763" t="str">
        <f>IFERROR(__xludf.DUMMYFUNCTION("""COMPUTED_VALUE"""),"EUR")</f>
        <v>EUR</v>
      </c>
      <c r="R679" s="763">
        <f>IFERROR(__xludf.DUMMYFUNCTION("""COMPUTED_VALUE"""),1244.0)</f>
        <v>1244</v>
      </c>
      <c r="S679" s="763" t="str">
        <f>IFERROR(__xludf.DUMMYFUNCTION("""COMPUTED_VALUE"""),"Festa di Natale 2025 - Festa di natale 2025 SOLO serata 25€")</f>
        <v>Festa di Natale 2025 - Festa di natale 2025 SOLO serata 25€</v>
      </c>
      <c r="T679" s="763"/>
      <c r="U679" s="763"/>
      <c r="V679" s="763">
        <f>IFERROR(__xludf.DUMMYFUNCTION("""COMPUTED_VALUE"""),2.0)</f>
        <v>2</v>
      </c>
      <c r="W679" s="763">
        <f>IFERROR(__xludf.DUMMYFUNCTION("""COMPUTED_VALUE"""),25.0)</f>
        <v>25</v>
      </c>
      <c r="X679" s="763">
        <f>IFERROR(__xludf.DUMMYFUNCTION("""COMPUTED_VALUE"""),50.0)</f>
        <v>50</v>
      </c>
      <c r="Y679" s="763"/>
      <c r="Z679" s="768" t="str">
        <f>IFERROR(__xludf.DUMMYFUNCTION("""COMPUTED_VALUE"""),"https://studio-gem.it/wp-admin/post.php?post=66561&amp;action=edit")</f>
        <v>https://studio-gem.it/wp-admin/post.php?post=66561&amp;action=edit</v>
      </c>
      <c r="AA679" s="763"/>
      <c r="AB679" s="763"/>
      <c r="AC679" s="763"/>
      <c r="AD679" s="763"/>
      <c r="AE679" s="763"/>
      <c r="AF679" s="763"/>
      <c r="AG679" s="763"/>
      <c r="AH679" s="763"/>
      <c r="AI679" s="763"/>
      <c r="AJ679" s="763"/>
      <c r="AK679" s="763"/>
      <c r="AL679" s="763"/>
      <c r="AM679" s="763"/>
      <c r="AN679" s="763"/>
      <c r="AO679" s="763"/>
      <c r="AP679" s="763"/>
      <c r="AQ679" s="763"/>
      <c r="AR679" s="763"/>
      <c r="AS679" s="763"/>
      <c r="AT679" s="763"/>
      <c r="AU679" s="763"/>
      <c r="AV679" s="763"/>
      <c r="AW679" s="763"/>
      <c r="AX679" s="763"/>
      <c r="AY679" s="763"/>
      <c r="AZ679" s="763"/>
      <c r="BA679" s="763"/>
      <c r="BB679" s="763"/>
      <c r="BC679" s="763"/>
      <c r="BD679" s="763"/>
      <c r="BE679" s="763"/>
      <c r="BF679" s="763"/>
      <c r="BG679" s="763" t="b">
        <f>IFERROR(__xludf.DUMMYFUNCTION("""COMPUTED_VALUE"""),FALSE)</f>
        <v>0</v>
      </c>
      <c r="BH679" s="763" t="b">
        <f>IFERROR(__xludf.DUMMYFUNCTION("""COMPUTED_VALUE"""),FALSE)</f>
        <v>0</v>
      </c>
      <c r="BI679" s="763" t="b">
        <f>IFERROR(__xludf.DUMMYFUNCTION("""COMPUTED_VALUE"""),FALSE)</f>
        <v>0</v>
      </c>
      <c r="BJ679" s="763" t="b">
        <f>IFERROR(__xludf.DUMMYFUNCTION("""COMPUTED_VALUE"""),FALSE)</f>
        <v>0</v>
      </c>
    </row>
    <row r="680">
      <c r="A680" s="763">
        <f>IFERROR(__xludf.DUMMYFUNCTION("""COMPUTED_VALUE"""),66562.0)</f>
        <v>66562</v>
      </c>
      <c r="B680" s="763">
        <f>IFERROR(__xludf.DUMMYFUNCTION("""COMPUTED_VALUE"""),66562.0)</f>
        <v>66562</v>
      </c>
      <c r="C680" s="763" t="str">
        <f>IFERROR(__xludf.DUMMYFUNCTION("""COMPUTED_VALUE"""),"2025-12-03 10:39:03")</f>
        <v>2025-12-03 10:39:03</v>
      </c>
      <c r="D680" s="763" t="str">
        <f>IFERROR(__xludf.DUMMYFUNCTION("""COMPUTED_VALUE"""),"completed")</f>
        <v>completed</v>
      </c>
      <c r="E680" s="763" t="str">
        <f>IFERROR(__xludf.DUMMYFUNCTION("""COMPUTED_VALUE"""),"Roberto")</f>
        <v>Roberto</v>
      </c>
      <c r="F680" s="763" t="str">
        <f>IFERROR(__xludf.DUMMYFUNCTION("""COMPUTED_VALUE"""),"Vadala'")</f>
        <v>Vadala'</v>
      </c>
      <c r="G680" s="763" t="str">
        <f>IFERROR(__xludf.DUMMYFUNCTION("""COMPUTED_VALUE"""),"r.vadal76@gmail.com")</f>
        <v>r.vadal76@gmail.com</v>
      </c>
      <c r="H680" s="763">
        <f>IFERROR(__xludf.DUMMYFUNCTION("""COMPUTED_VALUE"""),3.494305901E9)</f>
        <v>3494305901</v>
      </c>
      <c r="I680" s="763" t="str">
        <f>IFERROR(__xludf.DUMMYFUNCTION("""COMPUTED_VALUE"""),"San Donato Milanese")</f>
        <v>San Donato Milanese</v>
      </c>
      <c r="J680" s="763" t="str">
        <f>IFERROR(__xludf.DUMMYFUNCTION("""COMPUTED_VALUE"""),"via Rodolfo Morandi 2B")</f>
        <v>via Rodolfo Morandi 2B</v>
      </c>
      <c r="K680" s="763">
        <f>IFERROR(__xludf.DUMMYFUNCTION("""COMPUTED_VALUE"""),20097.0)</f>
        <v>20097</v>
      </c>
      <c r="L680" s="763" t="str">
        <f>IFERROR(__xludf.DUMMYFUNCTION("""COMPUTED_VALUE"""),"Carte di pagamento")</f>
        <v>Carte di pagamento</v>
      </c>
      <c r="M680" s="763"/>
      <c r="N680" s="763" t="str">
        <f>IFERROR(__xludf.DUMMYFUNCTION("""COMPUTED_VALUE"""),"66562-1764758344")</f>
        <v>66562-1764758344</v>
      </c>
      <c r="O680" s="763">
        <f>IFERROR(__xludf.DUMMYFUNCTION("""COMPUTED_VALUE"""),0.0)</f>
        <v>0</v>
      </c>
      <c r="P680" s="767">
        <f>IFERROR(__xludf.DUMMYFUNCTION("""COMPUTED_VALUE"""),1.0416666666666667)</f>
        <v>1.041666667</v>
      </c>
      <c r="Q680" s="763" t="str">
        <f>IFERROR(__xludf.DUMMYFUNCTION("""COMPUTED_VALUE"""),"EUR")</f>
        <v>EUR</v>
      </c>
      <c r="R680" s="763">
        <f>IFERROR(__xludf.DUMMYFUNCTION("""COMPUTED_VALUE"""),1245.0)</f>
        <v>1245</v>
      </c>
      <c r="S680" s="763" t="str">
        <f>IFERROR(__xludf.DUMMYFUNCTION("""COMPUTED_VALUE"""),"Festa di Natale 2025 - Festa di natale 2025 SOLO serata 25€")</f>
        <v>Festa di Natale 2025 - Festa di natale 2025 SOLO serata 25€</v>
      </c>
      <c r="T680" s="763"/>
      <c r="U680" s="763"/>
      <c r="V680" s="763">
        <f>IFERROR(__xludf.DUMMYFUNCTION("""COMPUTED_VALUE"""),1.0)</f>
        <v>1</v>
      </c>
      <c r="W680" s="763">
        <f>IFERROR(__xludf.DUMMYFUNCTION("""COMPUTED_VALUE"""),25.0)</f>
        <v>25</v>
      </c>
      <c r="X680" s="763">
        <f>IFERROR(__xludf.DUMMYFUNCTION("""COMPUTED_VALUE"""),25.0)</f>
        <v>25</v>
      </c>
      <c r="Y680" s="763"/>
      <c r="Z680" s="768" t="str">
        <f>IFERROR(__xludf.DUMMYFUNCTION("""COMPUTED_VALUE"""),"https://studio-gem.it/wp-admin/post.php?post=66562&amp;action=edit")</f>
        <v>https://studio-gem.it/wp-admin/post.php?post=66562&amp;action=edit</v>
      </c>
      <c r="AA680" s="763"/>
      <c r="AB680" s="763"/>
      <c r="AC680" s="763"/>
      <c r="AD680" s="763"/>
      <c r="AE680" s="763"/>
      <c r="AF680" s="763"/>
      <c r="AG680" s="763"/>
      <c r="AH680" s="763"/>
      <c r="AI680" s="763"/>
      <c r="AJ680" s="763"/>
      <c r="AK680" s="763"/>
      <c r="AL680" s="763"/>
      <c r="AM680" s="763"/>
      <c r="AN680" s="763"/>
      <c r="AO680" s="763"/>
      <c r="AP680" s="763"/>
      <c r="AQ680" s="763"/>
      <c r="AR680" s="763"/>
      <c r="AS680" s="763"/>
      <c r="AT680" s="763"/>
      <c r="AU680" s="763"/>
      <c r="AV680" s="763"/>
      <c r="AW680" s="763"/>
      <c r="AX680" s="763"/>
      <c r="AY680" s="763"/>
      <c r="AZ680" s="763"/>
      <c r="BA680" s="763"/>
      <c r="BB680" s="763"/>
      <c r="BC680" s="763"/>
      <c r="BD680" s="763"/>
      <c r="BE680" s="763"/>
      <c r="BF680" s="763"/>
      <c r="BG680" s="763" t="b">
        <f>IFERROR(__xludf.DUMMYFUNCTION("""COMPUTED_VALUE"""),TRUE)</f>
        <v>1</v>
      </c>
      <c r="BH680" s="763" t="b">
        <f>IFERROR(__xludf.DUMMYFUNCTION("""COMPUTED_VALUE"""),FALSE)</f>
        <v>0</v>
      </c>
      <c r="BI680" s="763" t="b">
        <f>IFERROR(__xludf.DUMMYFUNCTION("""COMPUTED_VALUE"""),TRUE)</f>
        <v>1</v>
      </c>
      <c r="BJ680" s="763" t="b">
        <f>IFERROR(__xludf.DUMMYFUNCTION("""COMPUTED_VALUE"""),TRUE)</f>
        <v>1</v>
      </c>
    </row>
    <row r="681">
      <c r="A681" s="763">
        <f>IFERROR(__xludf.DUMMYFUNCTION("""COMPUTED_VALUE"""),66564.0)</f>
        <v>66564</v>
      </c>
      <c r="B681" s="763">
        <f>IFERROR(__xludf.DUMMYFUNCTION("""COMPUTED_VALUE"""),66564.0)</f>
        <v>66564</v>
      </c>
      <c r="C681" s="763" t="str">
        <f>IFERROR(__xludf.DUMMYFUNCTION("""COMPUTED_VALUE"""),"2025-12-03 10:45:47")</f>
        <v>2025-12-03 10:45:47</v>
      </c>
      <c r="D681" s="763" t="str">
        <f>IFERROR(__xludf.DUMMYFUNCTION("""COMPUTED_VALUE"""),"completed")</f>
        <v>completed</v>
      </c>
      <c r="E681" s="763" t="str">
        <f>IFERROR(__xludf.DUMMYFUNCTION("""COMPUTED_VALUE"""),"Cecilia")</f>
        <v>Cecilia</v>
      </c>
      <c r="F681" s="763" t="str">
        <f>IFERROR(__xludf.DUMMYFUNCTION("""COMPUTED_VALUE"""),"Maraldo")</f>
        <v>Maraldo</v>
      </c>
      <c r="G681" s="763" t="str">
        <f>IFERROR(__xludf.DUMMYFUNCTION("""COMPUTED_VALUE"""),"cecilia.maraldo@gmail.com")</f>
        <v>cecilia.maraldo@gmail.com</v>
      </c>
      <c r="H681" s="763">
        <f>IFERROR(__xludf.DUMMYFUNCTION("""COMPUTED_VALUE"""),3.49131917E9)</f>
        <v>3491319170</v>
      </c>
      <c r="I681" s="763" t="str">
        <f>IFERROR(__xludf.DUMMYFUNCTION("""COMPUTED_VALUE"""),"Milano")</f>
        <v>Milano</v>
      </c>
      <c r="J681" s="763" t="str">
        <f>IFERROR(__xludf.DUMMYFUNCTION("""COMPUTED_VALUE"""),"Via Decembrio 3")</f>
        <v>Via Decembrio 3</v>
      </c>
      <c r="K681" s="763">
        <f>IFERROR(__xludf.DUMMYFUNCTION("""COMPUTED_VALUE"""),20137.0)</f>
        <v>20137</v>
      </c>
      <c r="L681" s="763" t="str">
        <f>IFERROR(__xludf.DUMMYFUNCTION("""COMPUTED_VALUE"""),"Satispay")</f>
        <v>Satispay</v>
      </c>
      <c r="M681" s="763" t="str">
        <f>IFERROR(__xludf.DUMMYFUNCTION("""COMPUTED_VALUE"""),"alexandra05natale")</f>
        <v>alexandra05natale</v>
      </c>
      <c r="N681" s="763" t="str">
        <f>IFERROR(__xludf.DUMMYFUNCTION("""COMPUTED_VALUE"""),"019ae3d1-7c17-7300-856c-0c8672a6dc1e")</f>
        <v>019ae3d1-7c17-7300-856c-0c8672a6dc1e</v>
      </c>
      <c r="O681" s="763">
        <f>IFERROR(__xludf.DUMMYFUNCTION("""COMPUTED_VALUE"""),0.0)</f>
        <v>0</v>
      </c>
      <c r="P681" s="767">
        <f>IFERROR(__xludf.DUMMYFUNCTION("""COMPUTED_VALUE"""),1.875)</f>
        <v>1.875</v>
      </c>
      <c r="Q681" s="763" t="str">
        <f>IFERROR(__xludf.DUMMYFUNCTION("""COMPUTED_VALUE"""),"EUR")</f>
        <v>EUR</v>
      </c>
      <c r="R681" s="763">
        <f>IFERROR(__xludf.DUMMYFUNCTION("""COMPUTED_VALUE"""),1246.0)</f>
        <v>1246</v>
      </c>
      <c r="S681" s="763" t="str">
        <f>IFERROR(__xludf.DUMMYFUNCTION("""COMPUTED_VALUE"""),"Festa di Natale 2025 - Festa di natale 2025 SOLO serata 25€")</f>
        <v>Festa di Natale 2025 - Festa di natale 2025 SOLO serata 25€</v>
      </c>
      <c r="T681" s="763"/>
      <c r="U681" s="763"/>
      <c r="V681" s="763">
        <f>IFERROR(__xludf.DUMMYFUNCTION("""COMPUTED_VALUE"""),2.0)</f>
        <v>2</v>
      </c>
      <c r="W681" s="763">
        <f>IFERROR(__xludf.DUMMYFUNCTION("""COMPUTED_VALUE"""),22.5)</f>
        <v>22.5</v>
      </c>
      <c r="X681" s="763">
        <f>IFERROR(__xludf.DUMMYFUNCTION("""COMPUTED_VALUE"""),45.0)</f>
        <v>45</v>
      </c>
      <c r="Y681" s="763"/>
      <c r="Z681" s="768" t="str">
        <f>IFERROR(__xludf.DUMMYFUNCTION("""COMPUTED_VALUE"""),"https://studio-gem.it/wp-admin/post.php?post=66564&amp;action=edit")</f>
        <v>https://studio-gem.it/wp-admin/post.php?post=66564&amp;action=edit</v>
      </c>
      <c r="AA681" s="763"/>
      <c r="AB681" s="763"/>
      <c r="AC681" s="763"/>
      <c r="AD681" s="763"/>
      <c r="AE681" s="763"/>
      <c r="AF681" s="763"/>
      <c r="AG681" s="763"/>
      <c r="AH681" s="763"/>
      <c r="AI681" s="763"/>
      <c r="AJ681" s="763"/>
      <c r="AK681" s="763"/>
      <c r="AL681" s="763"/>
      <c r="AM681" s="763"/>
      <c r="AN681" s="763"/>
      <c r="AO681" s="763"/>
      <c r="AP681" s="763"/>
      <c r="AQ681" s="763"/>
      <c r="AR681" s="763"/>
      <c r="AS681" s="763"/>
      <c r="AT681" s="763"/>
      <c r="AU681" s="763"/>
      <c r="AV681" s="763"/>
      <c r="AW681" s="763"/>
      <c r="AX681" s="763"/>
      <c r="AY681" s="763"/>
      <c r="AZ681" s="763"/>
      <c r="BA681" s="763"/>
      <c r="BB681" s="763"/>
      <c r="BC681" s="763"/>
      <c r="BD681" s="763"/>
      <c r="BE681" s="763"/>
      <c r="BF681" s="763"/>
      <c r="BG681" s="763" t="b">
        <f>IFERROR(__xludf.DUMMYFUNCTION("""COMPUTED_VALUE"""),TRUE)</f>
        <v>1</v>
      </c>
      <c r="BH681" s="763" t="b">
        <f>IFERROR(__xludf.DUMMYFUNCTION("""COMPUTED_VALUE"""),FALSE)</f>
        <v>0</v>
      </c>
      <c r="BI681" s="763" t="b">
        <f>IFERROR(__xludf.DUMMYFUNCTION("""COMPUTED_VALUE"""),TRUE)</f>
        <v>1</v>
      </c>
      <c r="BJ681" s="763" t="b">
        <f>IFERROR(__xludf.DUMMYFUNCTION("""COMPUTED_VALUE"""),TRUE)</f>
        <v>1</v>
      </c>
    </row>
    <row r="682">
      <c r="A682" s="763">
        <f>IFERROR(__xludf.DUMMYFUNCTION("""COMPUTED_VALUE"""),66567.0)</f>
        <v>66567</v>
      </c>
      <c r="B682" s="763">
        <f>IFERROR(__xludf.DUMMYFUNCTION("""COMPUTED_VALUE"""),66567.0)</f>
        <v>66567</v>
      </c>
      <c r="C682" s="763" t="str">
        <f>IFERROR(__xludf.DUMMYFUNCTION("""COMPUTED_VALUE"""),"2025-12-03 13:33:44")</f>
        <v>2025-12-03 13:33:44</v>
      </c>
      <c r="D682" s="763" t="str">
        <f>IFERROR(__xludf.DUMMYFUNCTION("""COMPUTED_VALUE"""),"processing")</f>
        <v>processing</v>
      </c>
      <c r="E682" s="763" t="str">
        <f>IFERROR(__xludf.DUMMYFUNCTION("""COMPUTED_VALUE"""),"cassandra")</f>
        <v>cassandra</v>
      </c>
      <c r="F682" s="763" t="str">
        <f>IFERROR(__xludf.DUMMYFUNCTION("""COMPUTED_VALUE"""),"Barbiano di Belgioioso")</f>
        <v>Barbiano di Belgioioso</v>
      </c>
      <c r="G682" s="763" t="str">
        <f>IFERROR(__xludf.DUMMYFUNCTION("""COMPUTED_VALUE"""),"cassy90@live.it")</f>
        <v>cassy90@live.it</v>
      </c>
      <c r="H682" s="763">
        <f>IFERROR(__xludf.DUMMYFUNCTION("""COMPUTED_VALUE"""),3.389903626E9)</f>
        <v>3389903626</v>
      </c>
      <c r="I682" s="763" t="str">
        <f>IFERROR(__xludf.DUMMYFUNCTION("""COMPUTED_VALUE"""),"Milano")</f>
        <v>Milano</v>
      </c>
      <c r="J682" s="763" t="str">
        <f>IFERROR(__xludf.DUMMYFUNCTION("""COMPUTED_VALUE"""),"VIALE EMILIO CALDARA 46")</f>
        <v>VIALE EMILIO CALDARA 46</v>
      </c>
      <c r="K682" s="763">
        <f>IFERROR(__xludf.DUMMYFUNCTION("""COMPUTED_VALUE"""),20122.0)</f>
        <v>20122</v>
      </c>
      <c r="L682" s="763" t="str">
        <f>IFERROR(__xludf.DUMMYFUNCTION("""COMPUTED_VALUE"""),"Carte di pagamento")</f>
        <v>Carte di pagamento</v>
      </c>
      <c r="M682" s="763" t="str">
        <f>IFERROR(__xludf.DUMMYFUNCTION("""COMPUTED_VALUE"""),"santo05natale")</f>
        <v>santo05natale</v>
      </c>
      <c r="N682" s="763" t="str">
        <f>IFERROR(__xludf.DUMMYFUNCTION("""COMPUTED_VALUE"""),"66567-1764768832")</f>
        <v>66567-1764768832</v>
      </c>
      <c r="O682" s="763">
        <f>IFERROR(__xludf.DUMMYFUNCTION("""COMPUTED_VALUE"""),0.0)</f>
        <v>0</v>
      </c>
      <c r="P682" s="767">
        <f>IFERROR(__xludf.DUMMYFUNCTION("""COMPUTED_VALUE"""),1.875)</f>
        <v>1.875</v>
      </c>
      <c r="Q682" s="763" t="str">
        <f>IFERROR(__xludf.DUMMYFUNCTION("""COMPUTED_VALUE"""),"EUR")</f>
        <v>EUR</v>
      </c>
      <c r="R682" s="763">
        <f>IFERROR(__xludf.DUMMYFUNCTION("""COMPUTED_VALUE"""),1248.0)</f>
        <v>1248</v>
      </c>
      <c r="S682" s="763" t="str">
        <f>IFERROR(__xludf.DUMMYFUNCTION("""COMPUTED_VALUE"""),"Festa di Natale 2025 - Festa di natale 2025 SOLO serata 25€")</f>
        <v>Festa di Natale 2025 - Festa di natale 2025 SOLO serata 25€</v>
      </c>
      <c r="T682" s="763"/>
      <c r="U682" s="763"/>
      <c r="V682" s="763">
        <f>IFERROR(__xludf.DUMMYFUNCTION("""COMPUTED_VALUE"""),2.0)</f>
        <v>2</v>
      </c>
      <c r="W682" s="763">
        <f>IFERROR(__xludf.DUMMYFUNCTION("""COMPUTED_VALUE"""),22.5)</f>
        <v>22.5</v>
      </c>
      <c r="X682" s="763">
        <f>IFERROR(__xludf.DUMMYFUNCTION("""COMPUTED_VALUE"""),45.0)</f>
        <v>45</v>
      </c>
      <c r="Y682" s="763"/>
      <c r="Z682" s="768" t="str">
        <f>IFERROR(__xludf.DUMMYFUNCTION("""COMPUTED_VALUE"""),"https://studio-gem.it/wp-admin/post.php?post=66567&amp;action=edit")</f>
        <v>https://studio-gem.it/wp-admin/post.php?post=66567&amp;action=edit</v>
      </c>
      <c r="AA682" s="763"/>
      <c r="AB682" s="763"/>
      <c r="AC682" s="763"/>
      <c r="AD682" s="763"/>
      <c r="AE682" s="763"/>
      <c r="AF682" s="763"/>
      <c r="AG682" s="763"/>
      <c r="AH682" s="763"/>
      <c r="AI682" s="763"/>
      <c r="AJ682" s="763"/>
      <c r="AK682" s="763"/>
      <c r="AL682" s="763"/>
      <c r="AM682" s="763"/>
      <c r="AN682" s="763"/>
      <c r="AO682" s="763"/>
      <c r="AP682" s="763"/>
      <c r="AQ682" s="763"/>
      <c r="AR682" s="763"/>
      <c r="AS682" s="763"/>
      <c r="AT682" s="763"/>
      <c r="AU682" s="763"/>
      <c r="AV682" s="763"/>
      <c r="AW682" s="763"/>
      <c r="AX682" s="763"/>
      <c r="AY682" s="763"/>
      <c r="AZ682" s="763"/>
      <c r="BA682" s="763"/>
      <c r="BB682" s="763"/>
      <c r="BC682" s="763"/>
      <c r="BD682" s="763"/>
      <c r="BE682" s="763"/>
      <c r="BF682" s="763"/>
      <c r="BG682" s="763" t="b">
        <f>IFERROR(__xludf.DUMMYFUNCTION("""COMPUTED_VALUE"""),TRUE)</f>
        <v>1</v>
      </c>
      <c r="BH682" s="763" t="b">
        <f>IFERROR(__xludf.DUMMYFUNCTION("""COMPUTED_VALUE"""),FALSE)</f>
        <v>0</v>
      </c>
      <c r="BI682" s="763" t="b">
        <f>IFERROR(__xludf.DUMMYFUNCTION("""COMPUTED_VALUE"""),TRUE)</f>
        <v>1</v>
      </c>
      <c r="BJ682" s="763" t="b">
        <f>IFERROR(__xludf.DUMMYFUNCTION("""COMPUTED_VALUE"""),TRUE)</f>
        <v>1</v>
      </c>
    </row>
    <row r="683">
      <c r="A683" s="763">
        <f>IFERROR(__xludf.DUMMYFUNCTION("""COMPUTED_VALUE"""),66568.0)</f>
        <v>66568</v>
      </c>
      <c r="B683" s="763">
        <f>IFERROR(__xludf.DUMMYFUNCTION("""COMPUTED_VALUE"""),66568.0)</f>
        <v>66568</v>
      </c>
      <c r="C683" s="763" t="str">
        <f>IFERROR(__xludf.DUMMYFUNCTION("""COMPUTED_VALUE"""),"2025-12-03 13:36:44")</f>
        <v>2025-12-03 13:36:44</v>
      </c>
      <c r="D683" s="763" t="str">
        <f>IFERROR(__xludf.DUMMYFUNCTION("""COMPUTED_VALUE"""),"completed")</f>
        <v>completed</v>
      </c>
      <c r="E683" s="763" t="str">
        <f>IFERROR(__xludf.DUMMYFUNCTION("""COMPUTED_VALUE"""),"MATTEO")</f>
        <v>MATTEO</v>
      </c>
      <c r="F683" s="763" t="str">
        <f>IFERROR(__xludf.DUMMYFUNCTION("""COMPUTED_VALUE"""),"TESSARI")</f>
        <v>TESSARI</v>
      </c>
      <c r="G683" s="763" t="str">
        <f>IFERROR(__xludf.DUMMYFUNCTION("""COMPUTED_VALUE"""),"tessari_matteo@hotmail.it")</f>
        <v>tessari_matteo@hotmail.it</v>
      </c>
      <c r="H683" s="763">
        <f>IFERROR(__xludf.DUMMYFUNCTION("""COMPUTED_VALUE"""),3.313502372E9)</f>
        <v>3313502372</v>
      </c>
      <c r="I683" s="763" t="str">
        <f>IFERROR(__xludf.DUMMYFUNCTION("""COMPUTED_VALUE"""),"MILANO")</f>
        <v>MILANO</v>
      </c>
      <c r="J683" s="763" t="str">
        <f>IFERROR(__xludf.DUMMYFUNCTION("""COMPUTED_VALUE"""),"VIA AUGUSTO OSIMO, 1")</f>
        <v>VIA AUGUSTO OSIMO, 1</v>
      </c>
      <c r="K683" s="763">
        <f>IFERROR(__xludf.DUMMYFUNCTION("""COMPUTED_VALUE"""),20134.0)</f>
        <v>20134</v>
      </c>
      <c r="L683" s="763" t="str">
        <f>IFERROR(__xludf.DUMMYFUNCTION("""COMPUTED_VALUE"""),"Carte di pagamento")</f>
        <v>Carte di pagamento</v>
      </c>
      <c r="M683" s="763" t="str">
        <f>IFERROR(__xludf.DUMMYFUNCTION("""COMPUTED_VALUE"""),"alexandra05natale")</f>
        <v>alexandra05natale</v>
      </c>
      <c r="N683" s="763" t="str">
        <f>IFERROR(__xludf.DUMMYFUNCTION("""COMPUTED_VALUE"""),"66568-1764769005")</f>
        <v>66568-1764769005</v>
      </c>
      <c r="O683" s="763">
        <f>IFERROR(__xludf.DUMMYFUNCTION("""COMPUTED_VALUE"""),0.0)</f>
        <v>0</v>
      </c>
      <c r="P683" s="767">
        <f>IFERROR(__xludf.DUMMYFUNCTION("""COMPUTED_VALUE"""),0.8333333333333334)</f>
        <v>0.8333333333</v>
      </c>
      <c r="Q683" s="763" t="str">
        <f>IFERROR(__xludf.DUMMYFUNCTION("""COMPUTED_VALUE"""),"EUR")</f>
        <v>EUR</v>
      </c>
      <c r="R683" s="763">
        <f>IFERROR(__xludf.DUMMYFUNCTION("""COMPUTED_VALUE"""),1250.0)</f>
        <v>1250</v>
      </c>
      <c r="S683" s="763" t="str">
        <f>IFERROR(__xludf.DUMMYFUNCTION("""COMPUTED_VALUE"""),"Festa di Natale 2025 - Festa di natale 2025 SOLO serata 25€")</f>
        <v>Festa di Natale 2025 - Festa di natale 2025 SOLO serata 25€</v>
      </c>
      <c r="T683" s="763"/>
      <c r="U683" s="763"/>
      <c r="V683" s="763">
        <f>IFERROR(__xludf.DUMMYFUNCTION("""COMPUTED_VALUE"""),1.0)</f>
        <v>1</v>
      </c>
      <c r="W683" s="763">
        <f>IFERROR(__xludf.DUMMYFUNCTION("""COMPUTED_VALUE"""),20.0)</f>
        <v>20</v>
      </c>
      <c r="X683" s="763">
        <f>IFERROR(__xludf.DUMMYFUNCTION("""COMPUTED_VALUE"""),20.0)</f>
        <v>20</v>
      </c>
      <c r="Y683" s="763"/>
      <c r="Z683" s="768" t="str">
        <f>IFERROR(__xludf.DUMMYFUNCTION("""COMPUTED_VALUE"""),"https://studio-gem.it/wp-admin/post.php?post=66568&amp;action=edit")</f>
        <v>https://studio-gem.it/wp-admin/post.php?post=66568&amp;action=edit</v>
      </c>
      <c r="AA683" s="763"/>
      <c r="AB683" s="763"/>
      <c r="AC683" s="763"/>
      <c r="AD683" s="763"/>
      <c r="AE683" s="763"/>
      <c r="AF683" s="763"/>
      <c r="AG683" s="763"/>
      <c r="AH683" s="763"/>
      <c r="AI683" s="763"/>
      <c r="AJ683" s="763"/>
      <c r="AK683" s="763"/>
      <c r="AL683" s="763"/>
      <c r="AM683" s="763"/>
      <c r="AN683" s="763"/>
      <c r="AO683" s="763"/>
      <c r="AP683" s="763"/>
      <c r="AQ683" s="763"/>
      <c r="AR683" s="763"/>
      <c r="AS683" s="763"/>
      <c r="AT683" s="763"/>
      <c r="AU683" s="763"/>
      <c r="AV683" s="763"/>
      <c r="AW683" s="763"/>
      <c r="AX683" s="763"/>
      <c r="AY683" s="763"/>
      <c r="AZ683" s="763"/>
      <c r="BA683" s="763"/>
      <c r="BB683" s="763"/>
      <c r="BC683" s="763"/>
      <c r="BD683" s="763"/>
      <c r="BE683" s="763"/>
      <c r="BF683" s="763"/>
      <c r="BG683" s="763" t="b">
        <f>IFERROR(__xludf.DUMMYFUNCTION("""COMPUTED_VALUE"""),TRUE)</f>
        <v>1</v>
      </c>
      <c r="BH683" s="763" t="b">
        <f>IFERROR(__xludf.DUMMYFUNCTION("""COMPUTED_VALUE"""),FALSE)</f>
        <v>0</v>
      </c>
      <c r="BI683" s="763" t="b">
        <f>IFERROR(__xludf.DUMMYFUNCTION("""COMPUTED_VALUE"""),TRUE)</f>
        <v>1</v>
      </c>
      <c r="BJ683" s="763" t="b">
        <f>IFERROR(__xludf.DUMMYFUNCTION("""COMPUTED_VALUE"""),TRUE)</f>
        <v>1</v>
      </c>
    </row>
    <row r="684">
      <c r="A684" s="763">
        <f>IFERROR(__xludf.DUMMYFUNCTION("""COMPUTED_VALUE"""),66570.0)</f>
        <v>66570</v>
      </c>
      <c r="B684" s="763">
        <f>IFERROR(__xludf.DUMMYFUNCTION("""COMPUTED_VALUE"""),66570.0)</f>
        <v>66570</v>
      </c>
      <c r="C684" s="763" t="str">
        <f>IFERROR(__xludf.DUMMYFUNCTION("""COMPUTED_VALUE"""),"2025-12-03 13:44:41")</f>
        <v>2025-12-03 13:44:41</v>
      </c>
      <c r="D684" s="763" t="str">
        <f>IFERROR(__xludf.DUMMYFUNCTION("""COMPUTED_VALUE"""),"failed")</f>
        <v>failed</v>
      </c>
      <c r="E684" s="763" t="str">
        <f>IFERROR(__xludf.DUMMYFUNCTION("""COMPUTED_VALUE"""),"Roberta")</f>
        <v>Roberta</v>
      </c>
      <c r="F684" s="763" t="str">
        <f>IFERROR(__xludf.DUMMYFUNCTION("""COMPUTED_VALUE"""),"Muggeo")</f>
        <v>Muggeo</v>
      </c>
      <c r="G684" s="763" t="str">
        <f>IFERROR(__xludf.DUMMYFUNCTION("""COMPUTED_VALUE"""),"hermionegranger29@virgilio.it")</f>
        <v>hermionegranger29@virgilio.it</v>
      </c>
      <c r="H684" s="763">
        <f>IFERROR(__xludf.DUMMYFUNCTION("""COMPUTED_VALUE"""),3.497454947E9)</f>
        <v>3497454947</v>
      </c>
      <c r="I684" s="763" t="str">
        <f>IFERROR(__xludf.DUMMYFUNCTION("""COMPUTED_VALUE"""),"Milano")</f>
        <v>Milano</v>
      </c>
      <c r="J684" s="763" t="str">
        <f>IFERROR(__xludf.DUMMYFUNCTION("""COMPUTED_VALUE"""),"Via Degli Astri 26")</f>
        <v>Via Degli Astri 26</v>
      </c>
      <c r="K684" s="763">
        <f>IFERROR(__xludf.DUMMYFUNCTION("""COMPUTED_VALUE"""),20147.0)</f>
        <v>20147</v>
      </c>
      <c r="L684" s="763" t="str">
        <f>IFERROR(__xludf.DUMMYFUNCTION("""COMPUTED_VALUE"""),"Carte di pagamento")</f>
        <v>Carte di pagamento</v>
      </c>
      <c r="M684" s="763" t="str">
        <f>IFERROR(__xludf.DUMMYFUNCTION("""COMPUTED_VALUE"""),"estefany05natale")</f>
        <v>estefany05natale</v>
      </c>
      <c r="N684" s="763"/>
      <c r="O684" s="763">
        <f>IFERROR(__xludf.DUMMYFUNCTION("""COMPUTED_VALUE"""),0.0)</f>
        <v>0</v>
      </c>
      <c r="P684" s="767">
        <f>IFERROR(__xludf.DUMMYFUNCTION("""COMPUTED_VALUE"""),0.8333333333333334)</f>
        <v>0.8333333333</v>
      </c>
      <c r="Q684" s="763" t="str">
        <f>IFERROR(__xludf.DUMMYFUNCTION("""COMPUTED_VALUE"""),"EUR")</f>
        <v>EUR</v>
      </c>
      <c r="R684" s="763">
        <f>IFERROR(__xludf.DUMMYFUNCTION("""COMPUTED_VALUE"""),1252.0)</f>
        <v>1252</v>
      </c>
      <c r="S684" s="763" t="str">
        <f>IFERROR(__xludf.DUMMYFUNCTION("""COMPUTED_VALUE"""),"Festa di Natale 2025 - Festa di natale 2025 SOLO serata 25€")</f>
        <v>Festa di Natale 2025 - Festa di natale 2025 SOLO serata 25€</v>
      </c>
      <c r="T684" s="763"/>
      <c r="U684" s="763"/>
      <c r="V684" s="763">
        <f>IFERROR(__xludf.DUMMYFUNCTION("""COMPUTED_VALUE"""),1.0)</f>
        <v>1</v>
      </c>
      <c r="W684" s="763">
        <f>IFERROR(__xludf.DUMMYFUNCTION("""COMPUTED_VALUE"""),20.0)</f>
        <v>20</v>
      </c>
      <c r="X684" s="763">
        <f>IFERROR(__xludf.DUMMYFUNCTION("""COMPUTED_VALUE"""),20.0)</f>
        <v>20</v>
      </c>
      <c r="Y684" s="763"/>
      <c r="Z684" s="768" t="str">
        <f>IFERROR(__xludf.DUMMYFUNCTION("""COMPUTED_VALUE"""),"https://studio-gem.it/wp-admin/post.php?post=66570&amp;action=edit")</f>
        <v>https://studio-gem.it/wp-admin/post.php?post=66570&amp;action=edit</v>
      </c>
      <c r="AA684" s="763"/>
      <c r="AB684" s="763"/>
      <c r="AC684" s="763"/>
      <c r="AD684" s="763"/>
      <c r="AE684" s="763"/>
      <c r="AF684" s="763"/>
      <c r="AG684" s="763"/>
      <c r="AH684" s="763"/>
      <c r="AI684" s="763"/>
      <c r="AJ684" s="763"/>
      <c r="AK684" s="763"/>
      <c r="AL684" s="763"/>
      <c r="AM684" s="763"/>
      <c r="AN684" s="763"/>
      <c r="AO684" s="763"/>
      <c r="AP684" s="763"/>
      <c r="AQ684" s="763"/>
      <c r="AR684" s="763"/>
      <c r="AS684" s="763"/>
      <c r="AT684" s="763"/>
      <c r="AU684" s="763"/>
      <c r="AV684" s="763"/>
      <c r="AW684" s="763"/>
      <c r="AX684" s="763"/>
      <c r="AY684" s="763"/>
      <c r="AZ684" s="763"/>
      <c r="BA684" s="763"/>
      <c r="BB684" s="763"/>
      <c r="BC684" s="763"/>
      <c r="BD684" s="763"/>
      <c r="BE684" s="763"/>
      <c r="BF684" s="763"/>
      <c r="BG684" s="763" t="b">
        <f>IFERROR(__xludf.DUMMYFUNCTION("""COMPUTED_VALUE"""),FALSE)</f>
        <v>0</v>
      </c>
      <c r="BH684" s="763" t="b">
        <f>IFERROR(__xludf.DUMMYFUNCTION("""COMPUTED_VALUE"""),FALSE)</f>
        <v>0</v>
      </c>
      <c r="BI684" s="763" t="b">
        <f>IFERROR(__xludf.DUMMYFUNCTION("""COMPUTED_VALUE"""),FALSE)</f>
        <v>0</v>
      </c>
      <c r="BJ684" s="763" t="b">
        <f>IFERROR(__xludf.DUMMYFUNCTION("""COMPUTED_VALUE"""),FALSE)</f>
        <v>0</v>
      </c>
    </row>
    <row r="685">
      <c r="A685" s="763">
        <f>IFERROR(__xludf.DUMMYFUNCTION("""COMPUTED_VALUE"""),66571.0)</f>
        <v>66571</v>
      </c>
      <c r="B685" s="763">
        <f>IFERROR(__xludf.DUMMYFUNCTION("""COMPUTED_VALUE"""),66571.0)</f>
        <v>66571</v>
      </c>
      <c r="C685" s="763" t="str">
        <f>IFERROR(__xludf.DUMMYFUNCTION("""COMPUTED_VALUE"""),"2025-12-03 14:54:41")</f>
        <v>2025-12-03 14:54:41</v>
      </c>
      <c r="D685" s="763" t="str">
        <f>IFERROR(__xludf.DUMMYFUNCTION("""COMPUTED_VALUE"""),"pending")</f>
        <v>pending</v>
      </c>
      <c r="E685" s="763" t="str">
        <f>IFERROR(__xludf.DUMMYFUNCTION("""COMPUTED_VALUE"""),"Simone")</f>
        <v>Simone</v>
      </c>
      <c r="F685" s="763" t="str">
        <f>IFERROR(__xludf.DUMMYFUNCTION("""COMPUTED_VALUE"""),"Piangerelli")</f>
        <v>Piangerelli</v>
      </c>
      <c r="G685" s="763" t="str">
        <f>IFERROR(__xludf.DUMMYFUNCTION("""COMPUTED_VALUE"""),"simonepiangerelli@libero.it")</f>
        <v>simonepiangerelli@libero.it</v>
      </c>
      <c r="H685" s="763">
        <f>IFERROR(__xludf.DUMMYFUNCTION("""COMPUTED_VALUE"""),3.518042662E9)</f>
        <v>3518042662</v>
      </c>
      <c r="I685" s="763" t="str">
        <f>IFERROR(__xludf.DUMMYFUNCTION("""COMPUTED_VALUE"""),"Milano")</f>
        <v>Milano</v>
      </c>
      <c r="J685" s="763" t="str">
        <f>IFERROR(__xludf.DUMMYFUNCTION("""COMPUTED_VALUE"""),"Viale Bligny 54")</f>
        <v>Viale Bligny 54</v>
      </c>
      <c r="K685" s="763">
        <f>IFERROR(__xludf.DUMMYFUNCTION("""COMPUTED_VALUE"""),20136.0)</f>
        <v>20136</v>
      </c>
      <c r="L685" s="763" t="str">
        <f>IFERROR(__xludf.DUMMYFUNCTION("""COMPUTED_VALUE"""),"Google Pay")</f>
        <v>Google Pay</v>
      </c>
      <c r="M685" s="763"/>
      <c r="N685" s="763"/>
      <c r="O685" s="763">
        <f>IFERROR(__xludf.DUMMYFUNCTION("""COMPUTED_VALUE"""),0.0)</f>
        <v>0</v>
      </c>
      <c r="P685" s="767">
        <f>IFERROR(__xludf.DUMMYFUNCTION("""COMPUTED_VALUE"""),1.0416666666666667)</f>
        <v>1.041666667</v>
      </c>
      <c r="Q685" s="763" t="str">
        <f>IFERROR(__xludf.DUMMYFUNCTION("""COMPUTED_VALUE"""),"EUR")</f>
        <v>EUR</v>
      </c>
      <c r="R685" s="763">
        <f>IFERROR(__xludf.DUMMYFUNCTION("""COMPUTED_VALUE"""),1254.0)</f>
        <v>1254</v>
      </c>
      <c r="S685" s="763" t="str">
        <f>IFERROR(__xludf.DUMMYFUNCTION("""COMPUTED_VALUE"""),"Festa di Natale 2025 - Festa di natale 2025 SOLO serata 25€")</f>
        <v>Festa di Natale 2025 - Festa di natale 2025 SOLO serata 25€</v>
      </c>
      <c r="T685" s="763"/>
      <c r="U685" s="763"/>
      <c r="V685" s="763">
        <f>IFERROR(__xludf.DUMMYFUNCTION("""COMPUTED_VALUE"""),1.0)</f>
        <v>1</v>
      </c>
      <c r="W685" s="763">
        <f>IFERROR(__xludf.DUMMYFUNCTION("""COMPUTED_VALUE"""),25.0)</f>
        <v>25</v>
      </c>
      <c r="X685" s="763">
        <f>IFERROR(__xludf.DUMMYFUNCTION("""COMPUTED_VALUE"""),25.0)</f>
        <v>25</v>
      </c>
      <c r="Y685" s="763"/>
      <c r="Z685" s="768" t="str">
        <f>IFERROR(__xludf.DUMMYFUNCTION("""COMPUTED_VALUE"""),"https://studio-gem.it/wp-admin/post.php?post=66571&amp;action=edit")</f>
        <v>https://studio-gem.it/wp-admin/post.php?post=66571&amp;action=edit</v>
      </c>
      <c r="AA685" s="763"/>
      <c r="AB685" s="763"/>
      <c r="AC685" s="763"/>
      <c r="AD685" s="763"/>
      <c r="AE685" s="763"/>
      <c r="AF685" s="763"/>
      <c r="AG685" s="763"/>
      <c r="AH685" s="763"/>
      <c r="AI685" s="763"/>
      <c r="AJ685" s="763"/>
      <c r="AK685" s="763"/>
      <c r="AL685" s="763"/>
      <c r="AM685" s="763"/>
      <c r="AN685" s="763"/>
      <c r="AO685" s="763"/>
      <c r="AP685" s="763"/>
      <c r="AQ685" s="763"/>
      <c r="AR685" s="763"/>
      <c r="AS685" s="763"/>
      <c r="AT685" s="763"/>
      <c r="AU685" s="763"/>
      <c r="AV685" s="763"/>
      <c r="AW685" s="763"/>
      <c r="AX685" s="763"/>
      <c r="AY685" s="763"/>
      <c r="AZ685" s="763"/>
      <c r="BA685" s="763"/>
      <c r="BB685" s="763"/>
      <c r="BC685" s="763"/>
      <c r="BD685" s="763"/>
      <c r="BE685" s="763"/>
      <c r="BF685" s="763"/>
      <c r="BG685" s="763" t="b">
        <f>IFERROR(__xludf.DUMMYFUNCTION("""COMPUTED_VALUE"""),FALSE)</f>
        <v>0</v>
      </c>
      <c r="BH685" s="763" t="b">
        <f>IFERROR(__xludf.DUMMYFUNCTION("""COMPUTED_VALUE"""),FALSE)</f>
        <v>0</v>
      </c>
      <c r="BI685" s="763" t="b">
        <f>IFERROR(__xludf.DUMMYFUNCTION("""COMPUTED_VALUE"""),FALSE)</f>
        <v>0</v>
      </c>
      <c r="BJ685" s="763" t="b">
        <f>IFERROR(__xludf.DUMMYFUNCTION("""COMPUTED_VALUE"""),FALSE)</f>
        <v>0</v>
      </c>
    </row>
    <row r="686">
      <c r="A686" s="763">
        <f>IFERROR(__xludf.DUMMYFUNCTION("""COMPUTED_VALUE"""),66573.0)</f>
        <v>66573</v>
      </c>
      <c r="B686" s="763">
        <f>IFERROR(__xludf.DUMMYFUNCTION("""COMPUTED_VALUE"""),66573.0)</f>
        <v>66573</v>
      </c>
      <c r="C686" s="763" t="str">
        <f>IFERROR(__xludf.DUMMYFUNCTION("""COMPUTED_VALUE"""),"2025-12-03 15:45:32")</f>
        <v>2025-12-03 15:45:32</v>
      </c>
      <c r="D686" s="763" t="str">
        <f>IFERROR(__xludf.DUMMYFUNCTION("""COMPUTED_VALUE"""),"completed")</f>
        <v>completed</v>
      </c>
      <c r="E686" s="763" t="str">
        <f>IFERROR(__xludf.DUMMYFUNCTION("""COMPUTED_VALUE"""),"Lilia")</f>
        <v>Lilia</v>
      </c>
      <c r="F686" s="763" t="str">
        <f>IFERROR(__xludf.DUMMYFUNCTION("""COMPUTED_VALUE"""),"Castania")</f>
        <v>Castania</v>
      </c>
      <c r="G686" s="763" t="str">
        <f>IFERROR(__xludf.DUMMYFUNCTION("""COMPUTED_VALUE"""),"lilia.castania@gmail.com")</f>
        <v>lilia.castania@gmail.com</v>
      </c>
      <c r="H686" s="763">
        <f>IFERROR(__xludf.DUMMYFUNCTION("""COMPUTED_VALUE"""),3.48530575E9)</f>
        <v>3485305750</v>
      </c>
      <c r="I686" s="763" t="str">
        <f>IFERROR(__xludf.DUMMYFUNCTION("""COMPUTED_VALUE"""),"Milano")</f>
        <v>Milano</v>
      </c>
      <c r="J686" s="763" t="str">
        <f>IFERROR(__xludf.DUMMYFUNCTION("""COMPUTED_VALUE"""),"Via Orti 12")</f>
        <v>Via Orti 12</v>
      </c>
      <c r="K686" s="763">
        <f>IFERROR(__xludf.DUMMYFUNCTION("""COMPUTED_VALUE"""),20122.0)</f>
        <v>20122</v>
      </c>
      <c r="L686" s="763" t="str">
        <f>IFERROR(__xludf.DUMMYFUNCTION("""COMPUTED_VALUE"""),"Apple Pay")</f>
        <v>Apple Pay</v>
      </c>
      <c r="M686" s="763" t="str">
        <f>IFERROR(__xludf.DUMMYFUNCTION("""COMPUTED_VALUE"""),"santo05natale")</f>
        <v>santo05natale</v>
      </c>
      <c r="N686" s="763" t="str">
        <f>IFERROR(__xludf.DUMMYFUNCTION("""COMPUTED_VALUE"""),"66573-1764776733")</f>
        <v>66573-1764776733</v>
      </c>
      <c r="O686" s="763">
        <f>IFERROR(__xludf.DUMMYFUNCTION("""COMPUTED_VALUE"""),0.0)</f>
        <v>0</v>
      </c>
      <c r="P686" s="767">
        <f>IFERROR(__xludf.DUMMYFUNCTION("""COMPUTED_VALUE"""),0.8333333333333334)</f>
        <v>0.8333333333</v>
      </c>
      <c r="Q686" s="763" t="str">
        <f>IFERROR(__xludf.DUMMYFUNCTION("""COMPUTED_VALUE"""),"EUR")</f>
        <v>EUR</v>
      </c>
      <c r="R686" s="763">
        <f>IFERROR(__xludf.DUMMYFUNCTION("""COMPUTED_VALUE"""),1255.0)</f>
        <v>1255</v>
      </c>
      <c r="S686" s="763" t="str">
        <f>IFERROR(__xludf.DUMMYFUNCTION("""COMPUTED_VALUE"""),"Festa di Natale 2025 - Festa di natale 2025 SOLO serata 25€")</f>
        <v>Festa di Natale 2025 - Festa di natale 2025 SOLO serata 25€</v>
      </c>
      <c r="T686" s="763"/>
      <c r="U686" s="763"/>
      <c r="V686" s="763">
        <f>IFERROR(__xludf.DUMMYFUNCTION("""COMPUTED_VALUE"""),1.0)</f>
        <v>1</v>
      </c>
      <c r="W686" s="763">
        <f>IFERROR(__xludf.DUMMYFUNCTION("""COMPUTED_VALUE"""),20.0)</f>
        <v>20</v>
      </c>
      <c r="X686" s="763">
        <f>IFERROR(__xludf.DUMMYFUNCTION("""COMPUTED_VALUE"""),20.0)</f>
        <v>20</v>
      </c>
      <c r="Y686" s="763"/>
      <c r="Z686" s="768" t="str">
        <f>IFERROR(__xludf.DUMMYFUNCTION("""COMPUTED_VALUE"""),"https://studio-gem.it/wp-admin/post.php?post=66573&amp;action=edit")</f>
        <v>https://studio-gem.it/wp-admin/post.php?post=66573&amp;action=edit</v>
      </c>
      <c r="AA686" s="763"/>
      <c r="AB686" s="763"/>
      <c r="AC686" s="763"/>
      <c r="AD686" s="763"/>
      <c r="AE686" s="763"/>
      <c r="AF686" s="763"/>
      <c r="AG686" s="763"/>
      <c r="AH686" s="763"/>
      <c r="AI686" s="763"/>
      <c r="AJ686" s="763"/>
      <c r="AK686" s="763"/>
      <c r="AL686" s="763"/>
      <c r="AM686" s="763"/>
      <c r="AN686" s="763"/>
      <c r="AO686" s="763"/>
      <c r="AP686" s="763"/>
      <c r="AQ686" s="763"/>
      <c r="AR686" s="763"/>
      <c r="AS686" s="763"/>
      <c r="AT686" s="763"/>
      <c r="AU686" s="763"/>
      <c r="AV686" s="763"/>
      <c r="AW686" s="763"/>
      <c r="AX686" s="763"/>
      <c r="AY686" s="763"/>
      <c r="AZ686" s="763"/>
      <c r="BA686" s="763"/>
      <c r="BB686" s="763"/>
      <c r="BC686" s="763"/>
      <c r="BD686" s="763"/>
      <c r="BE686" s="763"/>
      <c r="BF686" s="763"/>
      <c r="BG686" s="763" t="b">
        <f>IFERROR(__xludf.DUMMYFUNCTION("""COMPUTED_VALUE"""),TRUE)</f>
        <v>1</v>
      </c>
      <c r="BH686" s="763" t="b">
        <f>IFERROR(__xludf.DUMMYFUNCTION("""COMPUTED_VALUE"""),FALSE)</f>
        <v>0</v>
      </c>
      <c r="BI686" s="763" t="b">
        <f>IFERROR(__xludf.DUMMYFUNCTION("""COMPUTED_VALUE"""),TRUE)</f>
        <v>1</v>
      </c>
      <c r="BJ686" s="763" t="b">
        <f>IFERROR(__xludf.DUMMYFUNCTION("""COMPUTED_VALUE"""),TRUE)</f>
        <v>1</v>
      </c>
    </row>
    <row r="687">
      <c r="A687" s="763">
        <f>IFERROR(__xludf.DUMMYFUNCTION("""COMPUTED_VALUE"""),66575.0)</f>
        <v>66575</v>
      </c>
      <c r="B687" s="763">
        <f>IFERROR(__xludf.DUMMYFUNCTION("""COMPUTED_VALUE"""),66575.0)</f>
        <v>66575</v>
      </c>
      <c r="C687" s="763" t="str">
        <f>IFERROR(__xludf.DUMMYFUNCTION("""COMPUTED_VALUE"""),"2025-12-03 17:35:24")</f>
        <v>2025-12-03 17:35:24</v>
      </c>
      <c r="D687" s="763" t="str">
        <f>IFERROR(__xludf.DUMMYFUNCTION("""COMPUTED_VALUE"""),"completed")</f>
        <v>completed</v>
      </c>
      <c r="E687" s="763" t="str">
        <f>IFERROR(__xludf.DUMMYFUNCTION("""COMPUTED_VALUE"""),"Merve")</f>
        <v>Merve</v>
      </c>
      <c r="F687" s="763" t="str">
        <f>IFERROR(__xludf.DUMMYFUNCTION("""COMPUTED_VALUE"""),"Huyuk")</f>
        <v>Huyuk</v>
      </c>
      <c r="G687" s="763" t="str">
        <f>IFERROR(__xludf.DUMMYFUNCTION("""COMPUTED_VALUE"""),"merve.huyuk@gmail.com")</f>
        <v>merve.huyuk@gmail.com</v>
      </c>
      <c r="H687" s="763">
        <f>IFERROR(__xludf.DUMMYFUNCTION("""COMPUTED_VALUE"""),3.899391017E9)</f>
        <v>3899391017</v>
      </c>
      <c r="I687" s="763" t="str">
        <f>IFERROR(__xludf.DUMMYFUNCTION("""COMPUTED_VALUE"""),"Milano")</f>
        <v>Milano</v>
      </c>
      <c r="J687" s="763" t="str">
        <f>IFERROR(__xludf.DUMMYFUNCTION("""COMPUTED_VALUE"""),"Via Azzo Carbonera")</f>
        <v>Via Azzo Carbonera</v>
      </c>
      <c r="K687" s="763">
        <f>IFERROR(__xludf.DUMMYFUNCTION("""COMPUTED_VALUE"""),20137.0)</f>
        <v>20137</v>
      </c>
      <c r="L687" s="763" t="str">
        <f>IFERROR(__xludf.DUMMYFUNCTION("""COMPUTED_VALUE"""),"Apple Pay")</f>
        <v>Apple Pay</v>
      </c>
      <c r="M687" s="763" t="str">
        <f>IFERROR(__xludf.DUMMYFUNCTION("""COMPUTED_VALUE"""),"alexandra05natale")</f>
        <v>alexandra05natale</v>
      </c>
      <c r="N687" s="763" t="str">
        <f>IFERROR(__xludf.DUMMYFUNCTION("""COMPUTED_VALUE"""),"66575-1764783326")</f>
        <v>66575-1764783326</v>
      </c>
      <c r="O687" s="763">
        <f>IFERROR(__xludf.DUMMYFUNCTION("""COMPUTED_VALUE"""),0.0)</f>
        <v>0</v>
      </c>
      <c r="P687" s="767">
        <f>IFERROR(__xludf.DUMMYFUNCTION("""COMPUTED_VALUE"""),0.8333333333333334)</f>
        <v>0.8333333333</v>
      </c>
      <c r="Q687" s="763" t="str">
        <f>IFERROR(__xludf.DUMMYFUNCTION("""COMPUTED_VALUE"""),"EUR")</f>
        <v>EUR</v>
      </c>
      <c r="R687" s="763">
        <f>IFERROR(__xludf.DUMMYFUNCTION("""COMPUTED_VALUE"""),1257.0)</f>
        <v>1257</v>
      </c>
      <c r="S687" s="763" t="str">
        <f>IFERROR(__xludf.DUMMYFUNCTION("""COMPUTED_VALUE"""),"Festa di Natale 2025 - Festa di natale 2025 SOLO serata 25€")</f>
        <v>Festa di Natale 2025 - Festa di natale 2025 SOLO serata 25€</v>
      </c>
      <c r="T687" s="763"/>
      <c r="U687" s="763"/>
      <c r="V687" s="763">
        <f>IFERROR(__xludf.DUMMYFUNCTION("""COMPUTED_VALUE"""),1.0)</f>
        <v>1</v>
      </c>
      <c r="W687" s="763">
        <f>IFERROR(__xludf.DUMMYFUNCTION("""COMPUTED_VALUE"""),20.0)</f>
        <v>20</v>
      </c>
      <c r="X687" s="763">
        <f>IFERROR(__xludf.DUMMYFUNCTION("""COMPUTED_VALUE"""),20.0)</f>
        <v>20</v>
      </c>
      <c r="Y687" s="763"/>
      <c r="Z687" s="768" t="str">
        <f>IFERROR(__xludf.DUMMYFUNCTION("""COMPUTED_VALUE"""),"https://studio-gem.it/wp-admin/post.php?post=66575&amp;action=edit")</f>
        <v>https://studio-gem.it/wp-admin/post.php?post=66575&amp;action=edit</v>
      </c>
      <c r="AA687" s="763"/>
      <c r="AB687" s="763"/>
      <c r="AC687" s="763"/>
      <c r="AD687" s="763"/>
      <c r="AE687" s="763"/>
      <c r="AF687" s="763"/>
      <c r="AG687" s="763"/>
      <c r="AH687" s="763"/>
      <c r="AI687" s="763"/>
      <c r="AJ687" s="763"/>
      <c r="AK687" s="763"/>
      <c r="AL687" s="763"/>
      <c r="AM687" s="763"/>
      <c r="AN687" s="763"/>
      <c r="AO687" s="763"/>
      <c r="AP687" s="763"/>
      <c r="AQ687" s="763"/>
      <c r="AR687" s="763"/>
      <c r="AS687" s="763"/>
      <c r="AT687" s="763"/>
      <c r="AU687" s="763"/>
      <c r="AV687" s="763"/>
      <c r="AW687" s="763"/>
      <c r="AX687" s="763"/>
      <c r="AY687" s="763"/>
      <c r="AZ687" s="763"/>
      <c r="BA687" s="763"/>
      <c r="BB687" s="763"/>
      <c r="BC687" s="763"/>
      <c r="BD687" s="763"/>
      <c r="BE687" s="763"/>
      <c r="BF687" s="763"/>
      <c r="BG687" s="763" t="b">
        <f>IFERROR(__xludf.DUMMYFUNCTION("""COMPUTED_VALUE"""),TRUE)</f>
        <v>1</v>
      </c>
      <c r="BH687" s="763" t="b">
        <f>IFERROR(__xludf.DUMMYFUNCTION("""COMPUTED_VALUE"""),FALSE)</f>
        <v>0</v>
      </c>
      <c r="BI687" s="763" t="b">
        <f>IFERROR(__xludf.DUMMYFUNCTION("""COMPUTED_VALUE"""),TRUE)</f>
        <v>1</v>
      </c>
      <c r="BJ687" s="763" t="b">
        <f>IFERROR(__xludf.DUMMYFUNCTION("""COMPUTED_VALUE"""),TRUE)</f>
        <v>1</v>
      </c>
    </row>
    <row r="688">
      <c r="A688" s="763">
        <f>IFERROR(__xludf.DUMMYFUNCTION("""COMPUTED_VALUE"""),66577.0)</f>
        <v>66577</v>
      </c>
      <c r="B688" s="763">
        <f>IFERROR(__xludf.DUMMYFUNCTION("""COMPUTED_VALUE"""),66577.0)</f>
        <v>66577</v>
      </c>
      <c r="C688" s="763" t="str">
        <f>IFERROR(__xludf.DUMMYFUNCTION("""COMPUTED_VALUE"""),"2025-12-03 18:02:33")</f>
        <v>2025-12-03 18:02:33</v>
      </c>
      <c r="D688" s="763" t="str">
        <f>IFERROR(__xludf.DUMMYFUNCTION("""COMPUTED_VALUE"""),"processing")</f>
        <v>processing</v>
      </c>
      <c r="E688" s="763" t="str">
        <f>IFERROR(__xludf.DUMMYFUNCTION("""COMPUTED_VALUE"""),"Caterina")</f>
        <v>Caterina</v>
      </c>
      <c r="F688" s="763" t="str">
        <f>IFERROR(__xludf.DUMMYFUNCTION("""COMPUTED_VALUE"""),"Pisani")</f>
        <v>Pisani</v>
      </c>
      <c r="G688" s="763" t="str">
        <f>IFERROR(__xludf.DUMMYFUNCTION("""COMPUTED_VALUE"""),"catepisani@gmail.com")</f>
        <v>catepisani@gmail.com</v>
      </c>
      <c r="H688" s="763">
        <f>IFERROR(__xludf.DUMMYFUNCTION("""COMPUTED_VALUE"""),3.333442384E9)</f>
        <v>3333442384</v>
      </c>
      <c r="I688" s="763" t="str">
        <f>IFERROR(__xludf.DUMMYFUNCTION("""COMPUTED_VALUE"""),"Milano")</f>
        <v>Milano</v>
      </c>
      <c r="J688" s="763" t="str">
        <f>IFERROR(__xludf.DUMMYFUNCTION("""COMPUTED_VALUE"""),"Viale dei Mille")</f>
        <v>Viale dei Mille</v>
      </c>
      <c r="K688" s="763">
        <f>IFERROR(__xludf.DUMMYFUNCTION("""COMPUTED_VALUE"""),20129.0)</f>
        <v>20129</v>
      </c>
      <c r="L688" s="763" t="str">
        <f>IFERROR(__xludf.DUMMYFUNCTION("""COMPUTED_VALUE"""),"Apple Pay")</f>
        <v>Apple Pay</v>
      </c>
      <c r="M688" s="763" t="str">
        <f>IFERROR(__xludf.DUMMYFUNCTION("""COMPUTED_VALUE"""),"santo05natale")</f>
        <v>santo05natale</v>
      </c>
      <c r="N688" s="763" t="str">
        <f>IFERROR(__xludf.DUMMYFUNCTION("""COMPUTED_VALUE"""),"66577-1764784971")</f>
        <v>66577-1764784971</v>
      </c>
      <c r="O688" s="763">
        <f>IFERROR(__xludf.DUMMYFUNCTION("""COMPUTED_VALUE"""),0.0)</f>
        <v>0</v>
      </c>
      <c r="P688" s="767">
        <f>IFERROR(__xludf.DUMMYFUNCTION("""COMPUTED_VALUE"""),0.8333333333333334)</f>
        <v>0.8333333333</v>
      </c>
      <c r="Q688" s="763" t="str">
        <f>IFERROR(__xludf.DUMMYFUNCTION("""COMPUTED_VALUE"""),"EUR")</f>
        <v>EUR</v>
      </c>
      <c r="R688" s="763">
        <f>IFERROR(__xludf.DUMMYFUNCTION("""COMPUTED_VALUE"""),1259.0)</f>
        <v>1259</v>
      </c>
      <c r="S688" s="763" t="str">
        <f>IFERROR(__xludf.DUMMYFUNCTION("""COMPUTED_VALUE"""),"Festa di Natale 2025 - Festa di natale 2025 SOLO serata 25€")</f>
        <v>Festa di Natale 2025 - Festa di natale 2025 SOLO serata 25€</v>
      </c>
      <c r="T688" s="763"/>
      <c r="U688" s="763"/>
      <c r="V688" s="763">
        <f>IFERROR(__xludf.DUMMYFUNCTION("""COMPUTED_VALUE"""),1.0)</f>
        <v>1</v>
      </c>
      <c r="W688" s="763">
        <f>IFERROR(__xludf.DUMMYFUNCTION("""COMPUTED_VALUE"""),20.0)</f>
        <v>20</v>
      </c>
      <c r="X688" s="763">
        <f>IFERROR(__xludf.DUMMYFUNCTION("""COMPUTED_VALUE"""),20.0)</f>
        <v>20</v>
      </c>
      <c r="Y688" s="763"/>
      <c r="Z688" s="768" t="str">
        <f>IFERROR(__xludf.DUMMYFUNCTION("""COMPUTED_VALUE"""),"https://studio-gem.it/wp-admin/post.php?post=66577&amp;action=edit")</f>
        <v>https://studio-gem.it/wp-admin/post.php?post=66577&amp;action=edit</v>
      </c>
      <c r="AA688" s="763"/>
      <c r="AB688" s="763"/>
      <c r="AC688" s="763"/>
      <c r="AD688" s="763"/>
      <c r="AE688" s="763"/>
      <c r="AF688" s="763"/>
      <c r="AG688" s="763"/>
      <c r="AH688" s="763"/>
      <c r="AI688" s="763"/>
      <c r="AJ688" s="763"/>
      <c r="AK688" s="763"/>
      <c r="AL688" s="763"/>
      <c r="AM688" s="763"/>
      <c r="AN688" s="763"/>
      <c r="AO688" s="763"/>
      <c r="AP688" s="763"/>
      <c r="AQ688" s="763"/>
      <c r="AR688" s="763"/>
      <c r="AS688" s="763"/>
      <c r="AT688" s="763"/>
      <c r="AU688" s="763"/>
      <c r="AV688" s="763"/>
      <c r="AW688" s="763"/>
      <c r="AX688" s="763"/>
      <c r="AY688" s="763"/>
      <c r="AZ688" s="763"/>
      <c r="BA688" s="763"/>
      <c r="BB688" s="763"/>
      <c r="BC688" s="763"/>
      <c r="BD688" s="763"/>
      <c r="BE688" s="763"/>
      <c r="BF688" s="763"/>
      <c r="BG688" s="763" t="b">
        <f>IFERROR(__xludf.DUMMYFUNCTION("""COMPUTED_VALUE"""),FALSE)</f>
        <v>0</v>
      </c>
      <c r="BH688" s="763" t="b">
        <f>IFERROR(__xludf.DUMMYFUNCTION("""COMPUTED_VALUE"""),FALSE)</f>
        <v>0</v>
      </c>
      <c r="BI688" s="763" t="b">
        <f>IFERROR(__xludf.DUMMYFUNCTION("""COMPUTED_VALUE"""),TRUE)</f>
        <v>1</v>
      </c>
      <c r="BJ688" s="763" t="b">
        <f>IFERROR(__xludf.DUMMYFUNCTION("""COMPUTED_VALUE"""),TRUE)</f>
        <v>1</v>
      </c>
    </row>
    <row r="689">
      <c r="A689" s="763">
        <f>IFERROR(__xludf.DUMMYFUNCTION("""COMPUTED_VALUE"""),66578.0)</f>
        <v>66578</v>
      </c>
      <c r="B689" s="763">
        <f>IFERROR(__xludf.DUMMYFUNCTION("""COMPUTED_VALUE"""),66578.0)</f>
        <v>66578</v>
      </c>
      <c r="C689" s="763" t="str">
        <f>IFERROR(__xludf.DUMMYFUNCTION("""COMPUTED_VALUE"""),"2025-12-03 18:05:38")</f>
        <v>2025-12-03 18:05:38</v>
      </c>
      <c r="D689" s="763" t="str">
        <f>IFERROR(__xludf.DUMMYFUNCTION("""COMPUTED_VALUE"""),"completed")</f>
        <v>completed</v>
      </c>
      <c r="E689" s="763" t="str">
        <f>IFERROR(__xludf.DUMMYFUNCTION("""COMPUTED_VALUE"""),"Jade")</f>
        <v>Jade</v>
      </c>
      <c r="F689" s="763" t="str">
        <f>IFERROR(__xludf.DUMMYFUNCTION("""COMPUTED_VALUE"""),"Redern")</f>
        <v>Redern</v>
      </c>
      <c r="G689" s="763" t="str">
        <f>IFERROR(__xludf.DUMMYFUNCTION("""COMPUTED_VALUE"""),"jadelisaredfern@gmail.com")</f>
        <v>jadelisaredfern@gmail.com</v>
      </c>
      <c r="H689" s="763" t="str">
        <f>IFERROR(__xludf.DUMMYFUNCTION("""COMPUTED_VALUE"""),"+447497200127")</f>
        <v>+447497200127</v>
      </c>
      <c r="I689" s="763" t="str">
        <f>IFERROR(__xludf.DUMMYFUNCTION("""COMPUTED_VALUE"""),"Milano")</f>
        <v>Milano</v>
      </c>
      <c r="J689" s="763" t="str">
        <f>IFERROR(__xludf.DUMMYFUNCTION("""COMPUTED_VALUE"""),"Viale Emilio Caldara 22")</f>
        <v>Viale Emilio Caldara 22</v>
      </c>
      <c r="K689" s="763">
        <f>IFERROR(__xludf.DUMMYFUNCTION("""COMPUTED_VALUE"""),20122.0)</f>
        <v>20122</v>
      </c>
      <c r="L689" s="763" t="str">
        <f>IFERROR(__xludf.DUMMYFUNCTION("""COMPUTED_VALUE"""),"Apple Pay")</f>
        <v>Apple Pay</v>
      </c>
      <c r="M689" s="763" t="str">
        <f>IFERROR(__xludf.DUMMYFUNCTION("""COMPUTED_VALUE"""),"santo05natale")</f>
        <v>santo05natale</v>
      </c>
      <c r="N689" s="763" t="str">
        <f>IFERROR(__xludf.DUMMYFUNCTION("""COMPUTED_VALUE"""),"66578-1764785453")</f>
        <v>66578-1764785453</v>
      </c>
      <c r="O689" s="763">
        <f>IFERROR(__xludf.DUMMYFUNCTION("""COMPUTED_VALUE"""),0.0)</f>
        <v>0</v>
      </c>
      <c r="P689" s="767">
        <f>IFERROR(__xludf.DUMMYFUNCTION("""COMPUTED_VALUE"""),0.8333333333333334)</f>
        <v>0.8333333333</v>
      </c>
      <c r="Q689" s="763" t="str">
        <f>IFERROR(__xludf.DUMMYFUNCTION("""COMPUTED_VALUE"""),"EUR")</f>
        <v>EUR</v>
      </c>
      <c r="R689" s="763">
        <f>IFERROR(__xludf.DUMMYFUNCTION("""COMPUTED_VALUE"""),1263.0)</f>
        <v>1263</v>
      </c>
      <c r="S689" s="763" t="str">
        <f>IFERROR(__xludf.DUMMYFUNCTION("""COMPUTED_VALUE"""),"Festa di Natale 2025 - Festa di natale 2025 SOLO serata 25€")</f>
        <v>Festa di Natale 2025 - Festa di natale 2025 SOLO serata 25€</v>
      </c>
      <c r="T689" s="763"/>
      <c r="U689" s="763"/>
      <c r="V689" s="763">
        <f>IFERROR(__xludf.DUMMYFUNCTION("""COMPUTED_VALUE"""),1.0)</f>
        <v>1</v>
      </c>
      <c r="W689" s="763">
        <f>IFERROR(__xludf.DUMMYFUNCTION("""COMPUTED_VALUE"""),20.0)</f>
        <v>20</v>
      </c>
      <c r="X689" s="763">
        <f>IFERROR(__xludf.DUMMYFUNCTION("""COMPUTED_VALUE"""),20.0)</f>
        <v>20</v>
      </c>
      <c r="Y689" s="763"/>
      <c r="Z689" s="768" t="str">
        <f>IFERROR(__xludf.DUMMYFUNCTION("""COMPUTED_VALUE"""),"https://studio-gem.it/wp-admin/post.php?post=66578&amp;action=edit")</f>
        <v>https://studio-gem.it/wp-admin/post.php?post=66578&amp;action=edit</v>
      </c>
      <c r="AA689" s="763"/>
      <c r="AB689" s="763"/>
      <c r="AC689" s="763"/>
      <c r="AD689" s="763"/>
      <c r="AE689" s="763"/>
      <c r="AF689" s="763"/>
      <c r="AG689" s="763"/>
      <c r="AH689" s="763"/>
      <c r="AI689" s="763"/>
      <c r="AJ689" s="763"/>
      <c r="AK689" s="763"/>
      <c r="AL689" s="763"/>
      <c r="AM689" s="763"/>
      <c r="AN689" s="763"/>
      <c r="AO689" s="763"/>
      <c r="AP689" s="763"/>
      <c r="AQ689" s="763"/>
      <c r="AR689" s="763"/>
      <c r="AS689" s="763"/>
      <c r="AT689" s="763"/>
      <c r="AU689" s="763"/>
      <c r="AV689" s="763"/>
      <c r="AW689" s="763"/>
      <c r="AX689" s="763"/>
      <c r="AY689" s="763"/>
      <c r="AZ689" s="763"/>
      <c r="BA689" s="763"/>
      <c r="BB689" s="763"/>
      <c r="BC689" s="763"/>
      <c r="BD689" s="763"/>
      <c r="BE689" s="763"/>
      <c r="BF689" s="763"/>
      <c r="BG689" s="763" t="b">
        <f>IFERROR(__xludf.DUMMYFUNCTION("""COMPUTED_VALUE"""),TRUE)</f>
        <v>1</v>
      </c>
      <c r="BH689" s="763" t="b">
        <f>IFERROR(__xludf.DUMMYFUNCTION("""COMPUTED_VALUE"""),FALSE)</f>
        <v>0</v>
      </c>
      <c r="BI689" s="763" t="b">
        <f>IFERROR(__xludf.DUMMYFUNCTION("""COMPUTED_VALUE"""),TRUE)</f>
        <v>1</v>
      </c>
      <c r="BJ689" s="763" t="b">
        <f>IFERROR(__xludf.DUMMYFUNCTION("""COMPUTED_VALUE"""),TRUE)</f>
        <v>1</v>
      </c>
    </row>
    <row r="690">
      <c r="A690" s="763">
        <f>IFERROR(__xludf.DUMMYFUNCTION("""COMPUTED_VALUE"""),66580.0)</f>
        <v>66580</v>
      </c>
      <c r="B690" s="763">
        <f>IFERROR(__xludf.DUMMYFUNCTION("""COMPUTED_VALUE"""),66580.0)</f>
        <v>66580</v>
      </c>
      <c r="C690" s="763" t="str">
        <f>IFERROR(__xludf.DUMMYFUNCTION("""COMPUTED_VALUE"""),"2025-12-03 18:13:29")</f>
        <v>2025-12-03 18:13:29</v>
      </c>
      <c r="D690" s="763" t="str">
        <f>IFERROR(__xludf.DUMMYFUNCTION("""COMPUTED_VALUE"""),"completed")</f>
        <v>completed</v>
      </c>
      <c r="E690" s="763" t="str">
        <f>IFERROR(__xludf.DUMMYFUNCTION("""COMPUTED_VALUE"""),"Alex Matthew")</f>
        <v>Alex Matthew</v>
      </c>
      <c r="F690" s="763" t="str">
        <f>IFERROR(__xludf.DUMMYFUNCTION("""COMPUTED_VALUE"""),"Shavick")</f>
        <v>Shavick</v>
      </c>
      <c r="G690" s="763" t="str">
        <f>IFERROR(__xludf.DUMMYFUNCTION("""COMPUTED_VALUE"""),"alex.shavick@gmail.com")</f>
        <v>alex.shavick@gmail.com</v>
      </c>
      <c r="H690" s="763" t="str">
        <f>IFERROR(__xludf.DUMMYFUNCTION("""COMPUTED_VALUE"""),"+393514012826")</f>
        <v>+393514012826</v>
      </c>
      <c r="I690" s="763" t="str">
        <f>IFERROR(__xludf.DUMMYFUNCTION("""COMPUTED_VALUE"""),"Milano")</f>
        <v>Milano</v>
      </c>
      <c r="J690" s="763" t="str">
        <f>IFERROR(__xludf.DUMMYFUNCTION("""COMPUTED_VALUE"""),"Domenico Cimarosa 13")</f>
        <v>Domenico Cimarosa 13</v>
      </c>
      <c r="K690" s="763">
        <f>IFERROR(__xludf.DUMMYFUNCTION("""COMPUTED_VALUE"""),20144.0)</f>
        <v>20144</v>
      </c>
      <c r="L690" s="763" t="str">
        <f>IFERROR(__xludf.DUMMYFUNCTION("""COMPUTED_VALUE"""),"Apple Pay")</f>
        <v>Apple Pay</v>
      </c>
      <c r="M690" s="763"/>
      <c r="N690" s="763" t="str">
        <f>IFERROR(__xludf.DUMMYFUNCTION("""COMPUTED_VALUE"""),"66580-1764785611")</f>
        <v>66580-1764785611</v>
      </c>
      <c r="O690" s="763">
        <f>IFERROR(__xludf.DUMMYFUNCTION("""COMPUTED_VALUE"""),0.0)</f>
        <v>0</v>
      </c>
      <c r="P690" s="767">
        <f>IFERROR(__xludf.DUMMYFUNCTION("""COMPUTED_VALUE"""),1.0416666666666667)</f>
        <v>1.041666667</v>
      </c>
      <c r="Q690" s="763" t="str">
        <f>IFERROR(__xludf.DUMMYFUNCTION("""COMPUTED_VALUE"""),"EUR")</f>
        <v>EUR</v>
      </c>
      <c r="R690" s="763">
        <f>IFERROR(__xludf.DUMMYFUNCTION("""COMPUTED_VALUE"""),1265.0)</f>
        <v>1265</v>
      </c>
      <c r="S690" s="763" t="str">
        <f>IFERROR(__xludf.DUMMYFUNCTION("""COMPUTED_VALUE"""),"Festa di Natale 2025 - Festa di natale 2025 SOLO serata 25€")</f>
        <v>Festa di Natale 2025 - Festa di natale 2025 SOLO serata 25€</v>
      </c>
      <c r="T690" s="763"/>
      <c r="U690" s="763"/>
      <c r="V690" s="763">
        <f>IFERROR(__xludf.DUMMYFUNCTION("""COMPUTED_VALUE"""),1.0)</f>
        <v>1</v>
      </c>
      <c r="W690" s="763">
        <f>IFERROR(__xludf.DUMMYFUNCTION("""COMPUTED_VALUE"""),25.0)</f>
        <v>25</v>
      </c>
      <c r="X690" s="763">
        <f>IFERROR(__xludf.DUMMYFUNCTION("""COMPUTED_VALUE"""),25.0)</f>
        <v>25</v>
      </c>
      <c r="Y690" s="763"/>
      <c r="Z690" s="768" t="str">
        <f>IFERROR(__xludf.DUMMYFUNCTION("""COMPUTED_VALUE"""),"https://studio-gem.it/wp-admin/post.php?post=66580&amp;action=edit")</f>
        <v>https://studio-gem.it/wp-admin/post.php?post=66580&amp;action=edit</v>
      </c>
      <c r="AA690" s="763"/>
      <c r="AB690" s="763"/>
      <c r="AC690" s="763"/>
      <c r="AD690" s="763"/>
      <c r="AE690" s="763"/>
      <c r="AF690" s="763"/>
      <c r="AG690" s="763"/>
      <c r="AH690" s="763"/>
      <c r="AI690" s="763"/>
      <c r="AJ690" s="763"/>
      <c r="AK690" s="763"/>
      <c r="AL690" s="763"/>
      <c r="AM690" s="763"/>
      <c r="AN690" s="763"/>
      <c r="AO690" s="763"/>
      <c r="AP690" s="763"/>
      <c r="AQ690" s="763"/>
      <c r="AR690" s="763"/>
      <c r="AS690" s="763"/>
      <c r="AT690" s="763"/>
      <c r="AU690" s="763"/>
      <c r="AV690" s="763"/>
      <c r="AW690" s="763"/>
      <c r="AX690" s="763"/>
      <c r="AY690" s="763"/>
      <c r="AZ690" s="763"/>
      <c r="BA690" s="763"/>
      <c r="BB690" s="763"/>
      <c r="BC690" s="763"/>
      <c r="BD690" s="763"/>
      <c r="BE690" s="763"/>
      <c r="BF690" s="763"/>
      <c r="BG690" s="763" t="b">
        <f>IFERROR(__xludf.DUMMYFUNCTION("""COMPUTED_VALUE"""),TRUE)</f>
        <v>1</v>
      </c>
      <c r="BH690" s="763" t="b">
        <f>IFERROR(__xludf.DUMMYFUNCTION("""COMPUTED_VALUE"""),FALSE)</f>
        <v>0</v>
      </c>
      <c r="BI690" s="763" t="b">
        <f>IFERROR(__xludf.DUMMYFUNCTION("""COMPUTED_VALUE"""),TRUE)</f>
        <v>1</v>
      </c>
      <c r="BJ690" s="763" t="b">
        <f>IFERROR(__xludf.DUMMYFUNCTION("""COMPUTED_VALUE"""),TRUE)</f>
        <v>1</v>
      </c>
    </row>
    <row r="691">
      <c r="A691" s="763">
        <f>IFERROR(__xludf.DUMMYFUNCTION("""COMPUTED_VALUE"""),66582.0)</f>
        <v>66582</v>
      </c>
      <c r="B691" s="763">
        <f>IFERROR(__xludf.DUMMYFUNCTION("""COMPUTED_VALUE"""),66582.0)</f>
        <v>66582</v>
      </c>
      <c r="C691" s="763" t="str">
        <f>IFERROR(__xludf.DUMMYFUNCTION("""COMPUTED_VALUE"""),"2025-12-03 18:15:11")</f>
        <v>2025-12-03 18:15:11</v>
      </c>
      <c r="D691" s="763" t="str">
        <f>IFERROR(__xludf.DUMMYFUNCTION("""COMPUTED_VALUE"""),"completed")</f>
        <v>completed</v>
      </c>
      <c r="E691" s="763" t="str">
        <f>IFERROR(__xludf.DUMMYFUNCTION("""COMPUTED_VALUE"""),"Gianluca")</f>
        <v>Gianluca</v>
      </c>
      <c r="F691" s="763" t="str">
        <f>IFERROR(__xludf.DUMMYFUNCTION("""COMPUTED_VALUE"""),"pantaloni")</f>
        <v>pantaloni</v>
      </c>
      <c r="G691" s="763" t="str">
        <f>IFERROR(__xludf.DUMMYFUNCTION("""COMPUTED_VALUE"""),"gianlucapantaloni96@gmail.com")</f>
        <v>gianlucapantaloni96@gmail.com</v>
      </c>
      <c r="H691" s="763">
        <f>IFERROR(__xludf.DUMMYFUNCTION("""COMPUTED_VALUE"""),3.314738725E9)</f>
        <v>3314738725</v>
      </c>
      <c r="I691" s="763" t="str">
        <f>IFERROR(__xludf.DUMMYFUNCTION("""COMPUTED_VALUE"""),"Milano")</f>
        <v>Milano</v>
      </c>
      <c r="J691" s="763" t="str">
        <f>IFERROR(__xludf.DUMMYFUNCTION("""COMPUTED_VALUE"""),"via adelina patti, 1")</f>
        <v>via adelina patti, 1</v>
      </c>
      <c r="K691" s="763">
        <f>IFERROR(__xludf.DUMMYFUNCTION("""COMPUTED_VALUE"""),20158.0)</f>
        <v>20158</v>
      </c>
      <c r="L691" s="763" t="str">
        <f>IFERROR(__xludf.DUMMYFUNCTION("""COMPUTED_VALUE"""),"Google Pay")</f>
        <v>Google Pay</v>
      </c>
      <c r="M691" s="763"/>
      <c r="N691" s="763" t="str">
        <f>IFERROR(__xludf.DUMMYFUNCTION("""COMPUTED_VALUE"""),"66582-1764785713")</f>
        <v>66582-1764785713</v>
      </c>
      <c r="O691" s="763">
        <f>IFERROR(__xludf.DUMMYFUNCTION("""COMPUTED_VALUE"""),0.0)</f>
        <v>0</v>
      </c>
      <c r="P691" s="767">
        <f>IFERROR(__xludf.DUMMYFUNCTION("""COMPUTED_VALUE"""),1.0416666666666667)</f>
        <v>1.041666667</v>
      </c>
      <c r="Q691" s="763" t="str">
        <f>IFERROR(__xludf.DUMMYFUNCTION("""COMPUTED_VALUE"""),"EUR")</f>
        <v>EUR</v>
      </c>
      <c r="R691" s="763">
        <f>IFERROR(__xludf.DUMMYFUNCTION("""COMPUTED_VALUE"""),1266.0)</f>
        <v>1266</v>
      </c>
      <c r="S691" s="763" t="str">
        <f>IFERROR(__xludf.DUMMYFUNCTION("""COMPUTED_VALUE"""),"Festa di Natale 2025 - Festa di natale 2025 SOLO serata 25€")</f>
        <v>Festa di Natale 2025 - Festa di natale 2025 SOLO serata 25€</v>
      </c>
      <c r="T691" s="763"/>
      <c r="U691" s="763"/>
      <c r="V691" s="763">
        <f>IFERROR(__xludf.DUMMYFUNCTION("""COMPUTED_VALUE"""),1.0)</f>
        <v>1</v>
      </c>
      <c r="W691" s="763">
        <f>IFERROR(__xludf.DUMMYFUNCTION("""COMPUTED_VALUE"""),25.0)</f>
        <v>25</v>
      </c>
      <c r="X691" s="763">
        <f>IFERROR(__xludf.DUMMYFUNCTION("""COMPUTED_VALUE"""),25.0)</f>
        <v>25</v>
      </c>
      <c r="Y691" s="763"/>
      <c r="Z691" s="768" t="str">
        <f>IFERROR(__xludf.DUMMYFUNCTION("""COMPUTED_VALUE"""),"https://studio-gem.it/wp-admin/post.php?post=66582&amp;action=edit")</f>
        <v>https://studio-gem.it/wp-admin/post.php?post=66582&amp;action=edit</v>
      </c>
      <c r="AA691" s="763"/>
      <c r="AB691" s="763"/>
      <c r="AC691" s="763"/>
      <c r="AD691" s="763"/>
      <c r="AE691" s="763"/>
      <c r="AF691" s="763"/>
      <c r="AG691" s="763"/>
      <c r="AH691" s="763"/>
      <c r="AI691" s="763"/>
      <c r="AJ691" s="763"/>
      <c r="AK691" s="763"/>
      <c r="AL691" s="763"/>
      <c r="AM691" s="763"/>
      <c r="AN691" s="763"/>
      <c r="AO691" s="763"/>
      <c r="AP691" s="763"/>
      <c r="AQ691" s="763"/>
      <c r="AR691" s="763"/>
      <c r="AS691" s="763"/>
      <c r="AT691" s="763"/>
      <c r="AU691" s="763"/>
      <c r="AV691" s="763"/>
      <c r="AW691" s="763"/>
      <c r="AX691" s="763"/>
      <c r="AY691" s="763"/>
      <c r="AZ691" s="763"/>
      <c r="BA691" s="763"/>
      <c r="BB691" s="763"/>
      <c r="BC691" s="763"/>
      <c r="BD691" s="763"/>
      <c r="BE691" s="763"/>
      <c r="BF691" s="763"/>
      <c r="BG691" s="763" t="b">
        <f>IFERROR(__xludf.DUMMYFUNCTION("""COMPUTED_VALUE"""),TRUE)</f>
        <v>1</v>
      </c>
      <c r="BH691" s="763" t="b">
        <f>IFERROR(__xludf.DUMMYFUNCTION("""COMPUTED_VALUE"""),FALSE)</f>
        <v>0</v>
      </c>
      <c r="BI691" s="763" t="b">
        <f>IFERROR(__xludf.DUMMYFUNCTION("""COMPUTED_VALUE"""),TRUE)</f>
        <v>1</v>
      </c>
      <c r="BJ691" s="763" t="b">
        <f>IFERROR(__xludf.DUMMYFUNCTION("""COMPUTED_VALUE"""),TRUE)</f>
        <v>1</v>
      </c>
    </row>
    <row r="692">
      <c r="A692" s="763">
        <f>IFERROR(__xludf.DUMMYFUNCTION("""COMPUTED_VALUE"""),66585.0)</f>
        <v>66585</v>
      </c>
      <c r="B692" s="763">
        <f>IFERROR(__xludf.DUMMYFUNCTION("""COMPUTED_VALUE"""),66585.0)</f>
        <v>66585</v>
      </c>
      <c r="C692" s="763" t="str">
        <f>IFERROR(__xludf.DUMMYFUNCTION("""COMPUTED_VALUE"""),"2025-12-03 18:24:36")</f>
        <v>2025-12-03 18:24:36</v>
      </c>
      <c r="D692" s="763" t="str">
        <f>IFERROR(__xludf.DUMMYFUNCTION("""COMPUTED_VALUE"""),"pending")</f>
        <v>pending</v>
      </c>
      <c r="E692" s="763" t="str">
        <f>IFERROR(__xludf.DUMMYFUNCTION("""COMPUTED_VALUE"""),"Elena")</f>
        <v>Elena</v>
      </c>
      <c r="F692" s="763" t="str">
        <f>IFERROR(__xludf.DUMMYFUNCTION("""COMPUTED_VALUE"""),"Gallo")</f>
        <v>Gallo</v>
      </c>
      <c r="G692" s="763" t="str">
        <f>IFERROR(__xludf.DUMMYFUNCTION("""COMPUTED_VALUE"""),"elegaar@gmail.com")</f>
        <v>elegaar@gmail.com</v>
      </c>
      <c r="H692" s="763">
        <f>IFERROR(__xludf.DUMMYFUNCTION("""COMPUTED_VALUE"""),3.51472281E9)</f>
        <v>3514722810</v>
      </c>
      <c r="I692" s="763" t="str">
        <f>IFERROR(__xludf.DUMMYFUNCTION("""COMPUTED_VALUE"""),"Milano")</f>
        <v>Milano</v>
      </c>
      <c r="J692" s="763" t="str">
        <f>IFERROR(__xludf.DUMMYFUNCTION("""COMPUTED_VALUE"""),"Via Negroli 28")</f>
        <v>Via Negroli 28</v>
      </c>
      <c r="K692" s="763">
        <f>IFERROR(__xludf.DUMMYFUNCTION("""COMPUTED_VALUE"""),20133.0)</f>
        <v>20133</v>
      </c>
      <c r="L692" s="763" t="str">
        <f>IFERROR(__xludf.DUMMYFUNCTION("""COMPUTED_VALUE"""),"Carte di pagamento")</f>
        <v>Carte di pagamento</v>
      </c>
      <c r="M692" s="763"/>
      <c r="N692" s="763"/>
      <c r="O692" s="763">
        <f>IFERROR(__xludf.DUMMYFUNCTION("""COMPUTED_VALUE"""),0.0)</f>
        <v>0</v>
      </c>
      <c r="P692" s="767">
        <f>IFERROR(__xludf.DUMMYFUNCTION("""COMPUTED_VALUE"""),1.0416666666666667)</f>
        <v>1.041666667</v>
      </c>
      <c r="Q692" s="763" t="str">
        <f>IFERROR(__xludf.DUMMYFUNCTION("""COMPUTED_VALUE"""),"EUR")</f>
        <v>EUR</v>
      </c>
      <c r="R692" s="763">
        <f>IFERROR(__xludf.DUMMYFUNCTION("""COMPUTED_VALUE"""),1267.0)</f>
        <v>1267</v>
      </c>
      <c r="S692" s="763" t="str">
        <f>IFERROR(__xludf.DUMMYFUNCTION("""COMPUTED_VALUE"""),"Festa di Natale 2025 - Festa di natale 2025 SOLO serata 25€")</f>
        <v>Festa di Natale 2025 - Festa di natale 2025 SOLO serata 25€</v>
      </c>
      <c r="T692" s="763"/>
      <c r="U692" s="763"/>
      <c r="V692" s="763">
        <f>IFERROR(__xludf.DUMMYFUNCTION("""COMPUTED_VALUE"""),1.0)</f>
        <v>1</v>
      </c>
      <c r="W692" s="763">
        <f>IFERROR(__xludf.DUMMYFUNCTION("""COMPUTED_VALUE"""),25.0)</f>
        <v>25</v>
      </c>
      <c r="X692" s="763">
        <f>IFERROR(__xludf.DUMMYFUNCTION("""COMPUTED_VALUE"""),25.0)</f>
        <v>25</v>
      </c>
      <c r="Y692" s="763"/>
      <c r="Z692" s="768" t="str">
        <f>IFERROR(__xludf.DUMMYFUNCTION("""COMPUTED_VALUE"""),"https://studio-gem.it/wp-admin/post.php?post=66585&amp;action=edit")</f>
        <v>https://studio-gem.it/wp-admin/post.php?post=66585&amp;action=edit</v>
      </c>
      <c r="AA692" s="763"/>
      <c r="AB692" s="763"/>
      <c r="AC692" s="763"/>
      <c r="AD692" s="763"/>
      <c r="AE692" s="763"/>
      <c r="AF692" s="763"/>
      <c r="AG692" s="763"/>
      <c r="AH692" s="763"/>
      <c r="AI692" s="763"/>
      <c r="AJ692" s="763"/>
      <c r="AK692" s="763"/>
      <c r="AL692" s="763"/>
      <c r="AM692" s="763"/>
      <c r="AN692" s="763"/>
      <c r="AO692" s="763"/>
      <c r="AP692" s="763"/>
      <c r="AQ692" s="763"/>
      <c r="AR692" s="763"/>
      <c r="AS692" s="763"/>
      <c r="AT692" s="763"/>
      <c r="AU692" s="763"/>
      <c r="AV692" s="763"/>
      <c r="AW692" s="763"/>
      <c r="AX692" s="763"/>
      <c r="AY692" s="763"/>
      <c r="AZ692" s="763"/>
      <c r="BA692" s="763"/>
      <c r="BB692" s="763"/>
      <c r="BC692" s="763"/>
      <c r="BD692" s="763"/>
      <c r="BE692" s="763"/>
      <c r="BF692" s="763"/>
      <c r="BG692" s="763" t="b">
        <f>IFERROR(__xludf.DUMMYFUNCTION("""COMPUTED_VALUE"""),FALSE)</f>
        <v>0</v>
      </c>
      <c r="BH692" s="763" t="b">
        <f>IFERROR(__xludf.DUMMYFUNCTION("""COMPUTED_VALUE"""),FALSE)</f>
        <v>0</v>
      </c>
      <c r="BI692" s="763" t="b">
        <f>IFERROR(__xludf.DUMMYFUNCTION("""COMPUTED_VALUE"""),FALSE)</f>
        <v>0</v>
      </c>
      <c r="BJ692" s="763" t="b">
        <f>IFERROR(__xludf.DUMMYFUNCTION("""COMPUTED_VALUE"""),FALSE)</f>
        <v>0</v>
      </c>
    </row>
    <row r="693">
      <c r="A693" s="763">
        <f>IFERROR(__xludf.DUMMYFUNCTION("""COMPUTED_VALUE"""),66586.0)</f>
        <v>66586</v>
      </c>
      <c r="B693" s="763">
        <f>IFERROR(__xludf.DUMMYFUNCTION("""COMPUTED_VALUE"""),66586.0)</f>
        <v>66586</v>
      </c>
      <c r="C693" s="763" t="str">
        <f>IFERROR(__xludf.DUMMYFUNCTION("""COMPUTED_VALUE"""),"2025-12-03 18:26:23")</f>
        <v>2025-12-03 18:26:23</v>
      </c>
      <c r="D693" s="763" t="str">
        <f>IFERROR(__xludf.DUMMYFUNCTION("""COMPUTED_VALUE"""),"processing")</f>
        <v>processing</v>
      </c>
      <c r="E693" s="763" t="str">
        <f>IFERROR(__xludf.DUMMYFUNCTION("""COMPUTED_VALUE"""),"Elena")</f>
        <v>Elena</v>
      </c>
      <c r="F693" s="763" t="str">
        <f>IFERROR(__xludf.DUMMYFUNCTION("""COMPUTED_VALUE"""),"Gallo")</f>
        <v>Gallo</v>
      </c>
      <c r="G693" s="763" t="str">
        <f>IFERROR(__xludf.DUMMYFUNCTION("""COMPUTED_VALUE"""),"elegaar@gmail.com")</f>
        <v>elegaar@gmail.com</v>
      </c>
      <c r="H693" s="763">
        <f>IFERROR(__xludf.DUMMYFUNCTION("""COMPUTED_VALUE"""),3.51472281E9)</f>
        <v>3514722810</v>
      </c>
      <c r="I693" s="763" t="str">
        <f>IFERROR(__xludf.DUMMYFUNCTION("""COMPUTED_VALUE"""),"Milano")</f>
        <v>Milano</v>
      </c>
      <c r="J693" s="763" t="str">
        <f>IFERROR(__xludf.DUMMYFUNCTION("""COMPUTED_VALUE"""),"Via Negroli 28")</f>
        <v>Via Negroli 28</v>
      </c>
      <c r="K693" s="763">
        <f>IFERROR(__xludf.DUMMYFUNCTION("""COMPUTED_VALUE"""),20133.0)</f>
        <v>20133</v>
      </c>
      <c r="L693" s="763" t="str">
        <f>IFERROR(__xludf.DUMMYFUNCTION("""COMPUTED_VALUE"""),"Carte di pagamento")</f>
        <v>Carte di pagamento</v>
      </c>
      <c r="M693" s="763" t="str">
        <f>IFERROR(__xludf.DUMMYFUNCTION("""COMPUTED_VALUE"""),"santo05natale")</f>
        <v>santo05natale</v>
      </c>
      <c r="N693" s="763" t="str">
        <f>IFERROR(__xludf.DUMMYFUNCTION("""COMPUTED_VALUE"""),"66586-1764786394")</f>
        <v>66586-1764786394</v>
      </c>
      <c r="O693" s="763">
        <f>IFERROR(__xludf.DUMMYFUNCTION("""COMPUTED_VALUE"""),0.0)</f>
        <v>0</v>
      </c>
      <c r="P693" s="767">
        <f>IFERROR(__xludf.DUMMYFUNCTION("""COMPUTED_VALUE"""),0.8333333333333334)</f>
        <v>0.8333333333</v>
      </c>
      <c r="Q693" s="763" t="str">
        <f>IFERROR(__xludf.DUMMYFUNCTION("""COMPUTED_VALUE"""),"EUR")</f>
        <v>EUR</v>
      </c>
      <c r="R693" s="763">
        <f>IFERROR(__xludf.DUMMYFUNCTION("""COMPUTED_VALUE"""),1268.0)</f>
        <v>1268</v>
      </c>
      <c r="S693" s="763" t="str">
        <f>IFERROR(__xludf.DUMMYFUNCTION("""COMPUTED_VALUE"""),"Festa di Natale 2025 - Festa di natale 2025 SOLO serata 25€")</f>
        <v>Festa di Natale 2025 - Festa di natale 2025 SOLO serata 25€</v>
      </c>
      <c r="T693" s="763"/>
      <c r="U693" s="763"/>
      <c r="V693" s="763">
        <f>IFERROR(__xludf.DUMMYFUNCTION("""COMPUTED_VALUE"""),1.0)</f>
        <v>1</v>
      </c>
      <c r="W693" s="763">
        <f>IFERROR(__xludf.DUMMYFUNCTION("""COMPUTED_VALUE"""),20.0)</f>
        <v>20</v>
      </c>
      <c r="X693" s="763">
        <f>IFERROR(__xludf.DUMMYFUNCTION("""COMPUTED_VALUE"""),20.0)</f>
        <v>20</v>
      </c>
      <c r="Y693" s="763"/>
      <c r="Z693" s="768" t="str">
        <f>IFERROR(__xludf.DUMMYFUNCTION("""COMPUTED_VALUE"""),"https://studio-gem.it/wp-admin/post.php?post=66586&amp;action=edit")</f>
        <v>https://studio-gem.it/wp-admin/post.php?post=66586&amp;action=edit</v>
      </c>
      <c r="AA693" s="763"/>
      <c r="AB693" s="763"/>
      <c r="AC693" s="763"/>
      <c r="AD693" s="763"/>
      <c r="AE693" s="763"/>
      <c r="AF693" s="763"/>
      <c r="AG693" s="763"/>
      <c r="AH693" s="763"/>
      <c r="AI693" s="763"/>
      <c r="AJ693" s="763"/>
      <c r="AK693" s="763"/>
      <c r="AL693" s="763"/>
      <c r="AM693" s="763"/>
      <c r="AN693" s="763"/>
      <c r="AO693" s="763"/>
      <c r="AP693" s="763"/>
      <c r="AQ693" s="763"/>
      <c r="AR693" s="763"/>
      <c r="AS693" s="763"/>
      <c r="AT693" s="763"/>
      <c r="AU693" s="763"/>
      <c r="AV693" s="763"/>
      <c r="AW693" s="763"/>
      <c r="AX693" s="763"/>
      <c r="AY693" s="763"/>
      <c r="AZ693" s="763"/>
      <c r="BA693" s="763"/>
      <c r="BB693" s="763"/>
      <c r="BC693" s="763"/>
      <c r="BD693" s="763"/>
      <c r="BE693" s="763"/>
      <c r="BF693" s="763"/>
      <c r="BG693" s="763" t="b">
        <f>IFERROR(__xludf.DUMMYFUNCTION("""COMPUTED_VALUE"""),FALSE)</f>
        <v>0</v>
      </c>
      <c r="BH693" s="763" t="b">
        <f>IFERROR(__xludf.DUMMYFUNCTION("""COMPUTED_VALUE"""),FALSE)</f>
        <v>0</v>
      </c>
      <c r="BI693" s="763" t="b">
        <f>IFERROR(__xludf.DUMMYFUNCTION("""COMPUTED_VALUE"""),TRUE)</f>
        <v>1</v>
      </c>
      <c r="BJ693" s="763" t="b">
        <f>IFERROR(__xludf.DUMMYFUNCTION("""COMPUTED_VALUE"""),TRUE)</f>
        <v>1</v>
      </c>
    </row>
    <row r="694">
      <c r="A694" s="763">
        <f>IFERROR(__xludf.DUMMYFUNCTION("""COMPUTED_VALUE"""),66587.0)</f>
        <v>66587</v>
      </c>
      <c r="B694" s="763">
        <f>IFERROR(__xludf.DUMMYFUNCTION("""COMPUTED_VALUE"""),66587.0)</f>
        <v>66587</v>
      </c>
      <c r="C694" s="763" t="str">
        <f>IFERROR(__xludf.DUMMYFUNCTION("""COMPUTED_VALUE"""),"2025-12-03 18:31:32")</f>
        <v>2025-12-03 18:31:32</v>
      </c>
      <c r="D694" s="763" t="str">
        <f>IFERROR(__xludf.DUMMYFUNCTION("""COMPUTED_VALUE"""),"completed")</f>
        <v>completed</v>
      </c>
      <c r="E694" s="763" t="str">
        <f>IFERROR(__xludf.DUMMYFUNCTION("""COMPUTED_VALUE"""),"Giuseppe")</f>
        <v>Giuseppe</v>
      </c>
      <c r="F694" s="763" t="str">
        <f>IFERROR(__xludf.DUMMYFUNCTION("""COMPUTED_VALUE"""),"Barretta")</f>
        <v>Barretta</v>
      </c>
      <c r="G694" s="763" t="str">
        <f>IFERROR(__xludf.DUMMYFUNCTION("""COMPUTED_VALUE"""),"giuseppe.barretta@studbocconi.it")</f>
        <v>giuseppe.barretta@studbocconi.it</v>
      </c>
      <c r="H694" s="763">
        <f>IFERROR(__xludf.DUMMYFUNCTION("""COMPUTED_VALUE"""),3.7552493E9)</f>
        <v>3755249300</v>
      </c>
      <c r="I694" s="763" t="str">
        <f>IFERROR(__xludf.DUMMYFUNCTION("""COMPUTED_VALUE"""),"Milano")</f>
        <v>Milano</v>
      </c>
      <c r="J694" s="763" t="str">
        <f>IFERROR(__xludf.DUMMYFUNCTION("""COMPUTED_VALUE"""),"Via Balilla 40")</f>
        <v>Via Balilla 40</v>
      </c>
      <c r="K694" s="763">
        <f>IFERROR(__xludf.DUMMYFUNCTION("""COMPUTED_VALUE"""),20136.0)</f>
        <v>20136</v>
      </c>
      <c r="L694" s="763" t="str">
        <f>IFERROR(__xludf.DUMMYFUNCTION("""COMPUTED_VALUE"""),"Carte di pagamento")</f>
        <v>Carte di pagamento</v>
      </c>
      <c r="M694" s="763" t="str">
        <f>IFERROR(__xludf.DUMMYFUNCTION("""COMPUTED_VALUE"""),"santo05natale")</f>
        <v>santo05natale</v>
      </c>
      <c r="N694" s="763" t="str">
        <f>IFERROR(__xludf.DUMMYFUNCTION("""COMPUTED_VALUE"""),"66587-1764786705")</f>
        <v>66587-1764786705</v>
      </c>
      <c r="O694" s="763">
        <f>IFERROR(__xludf.DUMMYFUNCTION("""COMPUTED_VALUE"""),0.0)</f>
        <v>0</v>
      </c>
      <c r="P694" s="767">
        <f>IFERROR(__xludf.DUMMYFUNCTION("""COMPUTED_VALUE"""),0.8333333333333334)</f>
        <v>0.8333333333</v>
      </c>
      <c r="Q694" s="763" t="str">
        <f>IFERROR(__xludf.DUMMYFUNCTION("""COMPUTED_VALUE"""),"EUR")</f>
        <v>EUR</v>
      </c>
      <c r="R694" s="763">
        <f>IFERROR(__xludf.DUMMYFUNCTION("""COMPUTED_VALUE"""),1270.0)</f>
        <v>1270</v>
      </c>
      <c r="S694" s="763" t="str">
        <f>IFERROR(__xludf.DUMMYFUNCTION("""COMPUTED_VALUE"""),"Festa di Natale 2025 - Festa di natale 2025 SOLO serata 25€")</f>
        <v>Festa di Natale 2025 - Festa di natale 2025 SOLO serata 25€</v>
      </c>
      <c r="T694" s="763"/>
      <c r="U694" s="763"/>
      <c r="V694" s="763">
        <f>IFERROR(__xludf.DUMMYFUNCTION("""COMPUTED_VALUE"""),1.0)</f>
        <v>1</v>
      </c>
      <c r="W694" s="763">
        <f>IFERROR(__xludf.DUMMYFUNCTION("""COMPUTED_VALUE"""),20.0)</f>
        <v>20</v>
      </c>
      <c r="X694" s="763">
        <f>IFERROR(__xludf.DUMMYFUNCTION("""COMPUTED_VALUE"""),20.0)</f>
        <v>20</v>
      </c>
      <c r="Y694" s="763"/>
      <c r="Z694" s="768" t="str">
        <f>IFERROR(__xludf.DUMMYFUNCTION("""COMPUTED_VALUE"""),"https://studio-gem.it/wp-admin/post.php?post=66587&amp;action=edit")</f>
        <v>https://studio-gem.it/wp-admin/post.php?post=66587&amp;action=edit</v>
      </c>
      <c r="AA694" s="763"/>
      <c r="AB694" s="763"/>
      <c r="AC694" s="763"/>
      <c r="AD694" s="763"/>
      <c r="AE694" s="763"/>
      <c r="AF694" s="763"/>
      <c r="AG694" s="763"/>
      <c r="AH694" s="763"/>
      <c r="AI694" s="763"/>
      <c r="AJ694" s="763"/>
      <c r="AK694" s="763"/>
      <c r="AL694" s="763"/>
      <c r="AM694" s="763"/>
      <c r="AN694" s="763"/>
      <c r="AO694" s="763"/>
      <c r="AP694" s="763"/>
      <c r="AQ694" s="763"/>
      <c r="AR694" s="763"/>
      <c r="AS694" s="763"/>
      <c r="AT694" s="763"/>
      <c r="AU694" s="763"/>
      <c r="AV694" s="763"/>
      <c r="AW694" s="763"/>
      <c r="AX694" s="763"/>
      <c r="AY694" s="763"/>
      <c r="AZ694" s="763"/>
      <c r="BA694" s="763"/>
      <c r="BB694" s="763"/>
      <c r="BC694" s="763"/>
      <c r="BD694" s="763"/>
      <c r="BE694" s="763"/>
      <c r="BF694" s="763"/>
      <c r="BG694" s="763" t="b">
        <f>IFERROR(__xludf.DUMMYFUNCTION("""COMPUTED_VALUE"""),TRUE)</f>
        <v>1</v>
      </c>
      <c r="BH694" s="763" t="b">
        <f>IFERROR(__xludf.DUMMYFUNCTION("""COMPUTED_VALUE"""),FALSE)</f>
        <v>0</v>
      </c>
      <c r="BI694" s="763" t="b">
        <f>IFERROR(__xludf.DUMMYFUNCTION("""COMPUTED_VALUE"""),TRUE)</f>
        <v>1</v>
      </c>
      <c r="BJ694" s="763" t="b">
        <f>IFERROR(__xludf.DUMMYFUNCTION("""COMPUTED_VALUE"""),TRUE)</f>
        <v>1</v>
      </c>
    </row>
    <row r="695">
      <c r="A695" s="763">
        <f>IFERROR(__xludf.DUMMYFUNCTION("""COMPUTED_VALUE"""),66589.0)</f>
        <v>66589</v>
      </c>
      <c r="B695" s="763">
        <f>IFERROR(__xludf.DUMMYFUNCTION("""COMPUTED_VALUE"""),66589.0)</f>
        <v>66589</v>
      </c>
      <c r="C695" s="763" t="str">
        <f>IFERROR(__xludf.DUMMYFUNCTION("""COMPUTED_VALUE"""),"2025-12-03 18:35:47")</f>
        <v>2025-12-03 18:35:47</v>
      </c>
      <c r="D695" s="763" t="str">
        <f>IFERROR(__xludf.DUMMYFUNCTION("""COMPUTED_VALUE"""),"completed")</f>
        <v>completed</v>
      </c>
      <c r="E695" s="763" t="str">
        <f>IFERROR(__xludf.DUMMYFUNCTION("""COMPUTED_VALUE"""),"Xhesika")</f>
        <v>Xhesika</v>
      </c>
      <c r="F695" s="763" t="str">
        <f>IFERROR(__xludf.DUMMYFUNCTION("""COMPUTED_VALUE"""),"Memollari")</f>
        <v>Memollari</v>
      </c>
      <c r="G695" s="763" t="str">
        <f>IFERROR(__xludf.DUMMYFUNCTION("""COMPUTED_VALUE"""),"jessica.memollari11@gmail.com")</f>
        <v>jessica.memollari11@gmail.com</v>
      </c>
      <c r="H695" s="763">
        <f>IFERROR(__xludf.DUMMYFUNCTION("""COMPUTED_VALUE"""),3.891509017E9)</f>
        <v>3891509017</v>
      </c>
      <c r="I695" s="763" t="str">
        <f>IFERROR(__xludf.DUMMYFUNCTION("""COMPUTED_VALUE"""),"Milano")</f>
        <v>Milano</v>
      </c>
      <c r="J695" s="763" t="str">
        <f>IFERROR(__xludf.DUMMYFUNCTION("""COMPUTED_VALUE"""),"Via Breno, 7")</f>
        <v>Via Breno, 7</v>
      </c>
      <c r="K695" s="763">
        <f>IFERROR(__xludf.DUMMYFUNCTION("""COMPUTED_VALUE"""),20139.0)</f>
        <v>20139</v>
      </c>
      <c r="L695" s="763" t="str">
        <f>IFERROR(__xludf.DUMMYFUNCTION("""COMPUTED_VALUE"""),"Apple Pay")</f>
        <v>Apple Pay</v>
      </c>
      <c r="M695" s="763" t="str">
        <f>IFERROR(__xludf.DUMMYFUNCTION("""COMPUTED_VALUE"""),"santo05natale")</f>
        <v>santo05natale</v>
      </c>
      <c r="N695" s="763" t="str">
        <f>IFERROR(__xludf.DUMMYFUNCTION("""COMPUTED_VALUE"""),"66589-1764786948")</f>
        <v>66589-1764786948</v>
      </c>
      <c r="O695" s="763">
        <f>IFERROR(__xludf.DUMMYFUNCTION("""COMPUTED_VALUE"""),0.0)</f>
        <v>0</v>
      </c>
      <c r="P695" s="767">
        <f>IFERROR(__xludf.DUMMYFUNCTION("""COMPUTED_VALUE"""),0.8333333333333334)</f>
        <v>0.8333333333</v>
      </c>
      <c r="Q695" s="763" t="str">
        <f>IFERROR(__xludf.DUMMYFUNCTION("""COMPUTED_VALUE"""),"EUR")</f>
        <v>EUR</v>
      </c>
      <c r="R695" s="763">
        <f>IFERROR(__xludf.DUMMYFUNCTION("""COMPUTED_VALUE"""),1272.0)</f>
        <v>1272</v>
      </c>
      <c r="S695" s="763" t="str">
        <f>IFERROR(__xludf.DUMMYFUNCTION("""COMPUTED_VALUE"""),"Festa di Natale 2025 - Festa di natale 2025 SOLO serata 25€")</f>
        <v>Festa di Natale 2025 - Festa di natale 2025 SOLO serata 25€</v>
      </c>
      <c r="T695" s="763"/>
      <c r="U695" s="763"/>
      <c r="V695" s="763">
        <f>IFERROR(__xludf.DUMMYFUNCTION("""COMPUTED_VALUE"""),1.0)</f>
        <v>1</v>
      </c>
      <c r="W695" s="763">
        <f>IFERROR(__xludf.DUMMYFUNCTION("""COMPUTED_VALUE"""),20.0)</f>
        <v>20</v>
      </c>
      <c r="X695" s="763">
        <f>IFERROR(__xludf.DUMMYFUNCTION("""COMPUTED_VALUE"""),20.0)</f>
        <v>20</v>
      </c>
      <c r="Y695" s="763"/>
      <c r="Z695" s="768" t="str">
        <f>IFERROR(__xludf.DUMMYFUNCTION("""COMPUTED_VALUE"""),"https://studio-gem.it/wp-admin/post.php?post=66589&amp;action=edit")</f>
        <v>https://studio-gem.it/wp-admin/post.php?post=66589&amp;action=edit</v>
      </c>
      <c r="AA695" s="763"/>
      <c r="AB695" s="763"/>
      <c r="AC695" s="763"/>
      <c r="AD695" s="763"/>
      <c r="AE695" s="763"/>
      <c r="AF695" s="763"/>
      <c r="AG695" s="763"/>
      <c r="AH695" s="763"/>
      <c r="AI695" s="763"/>
      <c r="AJ695" s="763"/>
      <c r="AK695" s="763"/>
      <c r="AL695" s="763"/>
      <c r="AM695" s="763"/>
      <c r="AN695" s="763"/>
      <c r="AO695" s="763"/>
      <c r="AP695" s="763"/>
      <c r="AQ695" s="763"/>
      <c r="AR695" s="763"/>
      <c r="AS695" s="763"/>
      <c r="AT695" s="763"/>
      <c r="AU695" s="763"/>
      <c r="AV695" s="763"/>
      <c r="AW695" s="763"/>
      <c r="AX695" s="763"/>
      <c r="AY695" s="763"/>
      <c r="AZ695" s="763"/>
      <c r="BA695" s="763"/>
      <c r="BB695" s="763"/>
      <c r="BC695" s="763"/>
      <c r="BD695" s="763"/>
      <c r="BE695" s="763"/>
      <c r="BF695" s="763"/>
      <c r="BG695" s="763" t="b">
        <f>IFERROR(__xludf.DUMMYFUNCTION("""COMPUTED_VALUE"""),TRUE)</f>
        <v>1</v>
      </c>
      <c r="BH695" s="763" t="b">
        <f>IFERROR(__xludf.DUMMYFUNCTION("""COMPUTED_VALUE"""),FALSE)</f>
        <v>0</v>
      </c>
      <c r="BI695" s="763" t="b">
        <f>IFERROR(__xludf.DUMMYFUNCTION("""COMPUTED_VALUE"""),TRUE)</f>
        <v>1</v>
      </c>
      <c r="BJ695" s="763" t="b">
        <f>IFERROR(__xludf.DUMMYFUNCTION("""COMPUTED_VALUE"""),TRUE)</f>
        <v>1</v>
      </c>
    </row>
    <row r="696">
      <c r="A696" s="763">
        <f>IFERROR(__xludf.DUMMYFUNCTION("""COMPUTED_VALUE"""),66591.0)</f>
        <v>66591</v>
      </c>
      <c r="B696" s="763">
        <f>IFERROR(__xludf.DUMMYFUNCTION("""COMPUTED_VALUE"""),66591.0)</f>
        <v>66591</v>
      </c>
      <c r="C696" s="763" t="str">
        <f>IFERROR(__xludf.DUMMYFUNCTION("""COMPUTED_VALUE"""),"2025-12-03 18:37:46")</f>
        <v>2025-12-03 18:37:46</v>
      </c>
      <c r="D696" s="763" t="str">
        <f>IFERROR(__xludf.DUMMYFUNCTION("""COMPUTED_VALUE"""),"failed")</f>
        <v>failed</v>
      </c>
      <c r="E696" s="763" t="str">
        <f>IFERROR(__xludf.DUMMYFUNCTION("""COMPUTED_VALUE"""),"Simone")</f>
        <v>Simone</v>
      </c>
      <c r="F696" s="763" t="str">
        <f>IFERROR(__xludf.DUMMYFUNCTION("""COMPUTED_VALUE"""),"Hong")</f>
        <v>Hong</v>
      </c>
      <c r="G696" s="763" t="str">
        <f>IFERROR(__xludf.DUMMYFUNCTION("""COMPUTED_VALUE"""),"simone.hong28@gmail.com")</f>
        <v>simone.hong28@gmail.com</v>
      </c>
      <c r="H696" s="763">
        <f>IFERROR(__xludf.DUMMYFUNCTION("""COMPUTED_VALUE"""),3.34969249E9)</f>
        <v>3349692490</v>
      </c>
      <c r="I696" s="763" t="str">
        <f>IFERROR(__xludf.DUMMYFUNCTION("""COMPUTED_VALUE"""),"Milano")</f>
        <v>Milano</v>
      </c>
      <c r="J696" s="763" t="str">
        <f>IFERROR(__xludf.DUMMYFUNCTION("""COMPUTED_VALUE"""),"Corso garibaldi 12")</f>
        <v>Corso garibaldi 12</v>
      </c>
      <c r="K696" s="763">
        <f>IFERROR(__xludf.DUMMYFUNCTION("""COMPUTED_VALUE"""),20121.0)</f>
        <v>20121</v>
      </c>
      <c r="L696" s="763" t="str">
        <f>IFERROR(__xludf.DUMMYFUNCTION("""COMPUTED_VALUE"""),"Apple Pay")</f>
        <v>Apple Pay</v>
      </c>
      <c r="M696" s="763" t="str">
        <f>IFERROR(__xludf.DUMMYFUNCTION("""COMPUTED_VALUE"""),"santo05natale")</f>
        <v>santo05natale</v>
      </c>
      <c r="N696" s="763"/>
      <c r="O696" s="763">
        <f>IFERROR(__xludf.DUMMYFUNCTION("""COMPUTED_VALUE"""),0.0)</f>
        <v>0</v>
      </c>
      <c r="P696" s="767">
        <f>IFERROR(__xludf.DUMMYFUNCTION("""COMPUTED_VALUE"""),0.8333333333333334)</f>
        <v>0.8333333333</v>
      </c>
      <c r="Q696" s="763" t="str">
        <f>IFERROR(__xludf.DUMMYFUNCTION("""COMPUTED_VALUE"""),"EUR")</f>
        <v>EUR</v>
      </c>
      <c r="R696" s="763">
        <f>IFERROR(__xludf.DUMMYFUNCTION("""COMPUTED_VALUE"""),1274.0)</f>
        <v>1274</v>
      </c>
      <c r="S696" s="763" t="str">
        <f>IFERROR(__xludf.DUMMYFUNCTION("""COMPUTED_VALUE"""),"Festa di Natale 2025 - Festa di natale 2025 SOLO serata 25€")</f>
        <v>Festa di Natale 2025 - Festa di natale 2025 SOLO serata 25€</v>
      </c>
      <c r="T696" s="763"/>
      <c r="U696" s="763"/>
      <c r="V696" s="763">
        <f>IFERROR(__xludf.DUMMYFUNCTION("""COMPUTED_VALUE"""),1.0)</f>
        <v>1</v>
      </c>
      <c r="W696" s="763">
        <f>IFERROR(__xludf.DUMMYFUNCTION("""COMPUTED_VALUE"""),20.0)</f>
        <v>20</v>
      </c>
      <c r="X696" s="763">
        <f>IFERROR(__xludf.DUMMYFUNCTION("""COMPUTED_VALUE"""),20.0)</f>
        <v>20</v>
      </c>
      <c r="Y696" s="763"/>
      <c r="Z696" s="768" t="str">
        <f>IFERROR(__xludf.DUMMYFUNCTION("""COMPUTED_VALUE"""),"https://studio-gem.it/wp-admin/post.php?post=66591&amp;action=edit")</f>
        <v>https://studio-gem.it/wp-admin/post.php?post=66591&amp;action=edit</v>
      </c>
      <c r="AA696" s="763"/>
      <c r="AB696" s="763"/>
      <c r="AC696" s="763"/>
      <c r="AD696" s="763"/>
      <c r="AE696" s="763"/>
      <c r="AF696" s="763"/>
      <c r="AG696" s="763"/>
      <c r="AH696" s="763"/>
      <c r="AI696" s="763"/>
      <c r="AJ696" s="763"/>
      <c r="AK696" s="763"/>
      <c r="AL696" s="763"/>
      <c r="AM696" s="763"/>
      <c r="AN696" s="763"/>
      <c r="AO696" s="763"/>
      <c r="AP696" s="763"/>
      <c r="AQ696" s="763"/>
      <c r="AR696" s="763"/>
      <c r="AS696" s="763"/>
      <c r="AT696" s="763"/>
      <c r="AU696" s="763"/>
      <c r="AV696" s="763"/>
      <c r="AW696" s="763"/>
      <c r="AX696" s="763"/>
      <c r="AY696" s="763"/>
      <c r="AZ696" s="763"/>
      <c r="BA696" s="763"/>
      <c r="BB696" s="763"/>
      <c r="BC696" s="763"/>
      <c r="BD696" s="763"/>
      <c r="BE696" s="763"/>
      <c r="BF696" s="763"/>
      <c r="BG696" s="763" t="b">
        <f>IFERROR(__xludf.DUMMYFUNCTION("""COMPUTED_VALUE"""),FALSE)</f>
        <v>0</v>
      </c>
      <c r="BH696" s="763" t="b">
        <f>IFERROR(__xludf.DUMMYFUNCTION("""COMPUTED_VALUE"""),FALSE)</f>
        <v>0</v>
      </c>
      <c r="BI696" s="763" t="b">
        <f>IFERROR(__xludf.DUMMYFUNCTION("""COMPUTED_VALUE"""),FALSE)</f>
        <v>0</v>
      </c>
      <c r="BJ696" s="763" t="b">
        <f>IFERROR(__xludf.DUMMYFUNCTION("""COMPUTED_VALUE"""),FALSE)</f>
        <v>0</v>
      </c>
    </row>
    <row r="697">
      <c r="A697" s="763">
        <f>IFERROR(__xludf.DUMMYFUNCTION("""COMPUTED_VALUE"""),66593.0)</f>
        <v>66593</v>
      </c>
      <c r="B697" s="763">
        <f>IFERROR(__xludf.DUMMYFUNCTION("""COMPUTED_VALUE"""),66593.0)</f>
        <v>66593</v>
      </c>
      <c r="C697" s="763" t="str">
        <f>IFERROR(__xludf.DUMMYFUNCTION("""COMPUTED_VALUE"""),"2025-12-03 19:03:54")</f>
        <v>2025-12-03 19:03:54</v>
      </c>
      <c r="D697" s="763" t="str">
        <f>IFERROR(__xludf.DUMMYFUNCTION("""COMPUTED_VALUE"""),"cancelled")</f>
        <v>cancelled</v>
      </c>
      <c r="E697" s="763" t="str">
        <f>IFERROR(__xludf.DUMMYFUNCTION("""COMPUTED_VALUE"""),"Danilo")</f>
        <v>Danilo</v>
      </c>
      <c r="F697" s="763" t="str">
        <f>IFERROR(__xludf.DUMMYFUNCTION("""COMPUTED_VALUE"""),"Mancino")</f>
        <v>Mancino</v>
      </c>
      <c r="G697" s="763" t="str">
        <f>IFERROR(__xludf.DUMMYFUNCTION("""COMPUTED_VALUE"""),"danilomancino6@gmail.com")</f>
        <v>danilomancino6@gmail.com</v>
      </c>
      <c r="H697" s="763">
        <f>IFERROR(__xludf.DUMMYFUNCTION("""COMPUTED_VALUE"""),3.313393324E9)</f>
        <v>3313393324</v>
      </c>
      <c r="I697" s="763" t="str">
        <f>IFERROR(__xludf.DUMMYFUNCTION("""COMPUTED_VALUE"""),"Rho")</f>
        <v>Rho</v>
      </c>
      <c r="J697" s="763" t="str">
        <f>IFERROR(__xludf.DUMMYFUNCTION("""COMPUTED_VALUE"""),"Via statuto 1")</f>
        <v>Via statuto 1</v>
      </c>
      <c r="K697" s="763">
        <f>IFERROR(__xludf.DUMMYFUNCTION("""COMPUTED_VALUE"""),20017.0)</f>
        <v>20017</v>
      </c>
      <c r="L697" s="763" t="str">
        <f>IFERROR(__xludf.DUMMYFUNCTION("""COMPUTED_VALUE"""),"Satispay")</f>
        <v>Satispay</v>
      </c>
      <c r="M697" s="763" t="str">
        <f>IFERROR(__xludf.DUMMYFUNCTION("""COMPUTED_VALUE"""),"giuditta05natale")</f>
        <v>giuditta05natale</v>
      </c>
      <c r="N697" s="763" t="str">
        <f>IFERROR(__xludf.DUMMYFUNCTION("""COMPUTED_VALUE"""),"019ae599-8663-7762-94fc-1524bd38533d")</f>
        <v>019ae599-8663-7762-94fc-1524bd38533d</v>
      </c>
      <c r="O697" s="763">
        <f>IFERROR(__xludf.DUMMYFUNCTION("""COMPUTED_VALUE"""),0.0)</f>
        <v>0</v>
      </c>
      <c r="P697" s="767">
        <f>IFERROR(__xludf.DUMMYFUNCTION("""COMPUTED_VALUE"""),0.8333333333333334)</f>
        <v>0.8333333333</v>
      </c>
      <c r="Q697" s="763" t="str">
        <f>IFERROR(__xludf.DUMMYFUNCTION("""COMPUTED_VALUE"""),"EUR")</f>
        <v>EUR</v>
      </c>
      <c r="R697" s="763">
        <f>IFERROR(__xludf.DUMMYFUNCTION("""COMPUTED_VALUE"""),1276.0)</f>
        <v>1276</v>
      </c>
      <c r="S697" s="763" t="str">
        <f>IFERROR(__xludf.DUMMYFUNCTION("""COMPUTED_VALUE"""),"Festa di Natale 2025 - Festa di natale 2025 SOLO serata 25€")</f>
        <v>Festa di Natale 2025 - Festa di natale 2025 SOLO serata 25€</v>
      </c>
      <c r="T697" s="763"/>
      <c r="U697" s="763"/>
      <c r="V697" s="763">
        <f>IFERROR(__xludf.DUMMYFUNCTION("""COMPUTED_VALUE"""),1.0)</f>
        <v>1</v>
      </c>
      <c r="W697" s="763">
        <f>IFERROR(__xludf.DUMMYFUNCTION("""COMPUTED_VALUE"""),20.0)</f>
        <v>20</v>
      </c>
      <c r="X697" s="763">
        <f>IFERROR(__xludf.DUMMYFUNCTION("""COMPUTED_VALUE"""),20.0)</f>
        <v>20</v>
      </c>
      <c r="Y697" s="763"/>
      <c r="Z697" s="768" t="str">
        <f>IFERROR(__xludf.DUMMYFUNCTION("""COMPUTED_VALUE"""),"https://studio-gem.it/wp-admin/post.php?post=66593&amp;action=edit")</f>
        <v>https://studio-gem.it/wp-admin/post.php?post=66593&amp;action=edit</v>
      </c>
      <c r="AA697" s="763"/>
      <c r="AB697" s="763"/>
      <c r="AC697" s="763"/>
      <c r="AD697" s="763"/>
      <c r="AE697" s="763"/>
      <c r="AF697" s="763"/>
      <c r="AG697" s="763"/>
      <c r="AH697" s="763"/>
      <c r="AI697" s="763"/>
      <c r="AJ697" s="763"/>
      <c r="AK697" s="763"/>
      <c r="AL697" s="763"/>
      <c r="AM697" s="763"/>
      <c r="AN697" s="763"/>
      <c r="AO697" s="763"/>
      <c r="AP697" s="763"/>
      <c r="AQ697" s="763"/>
      <c r="AR697" s="763"/>
      <c r="AS697" s="763"/>
      <c r="AT697" s="763"/>
      <c r="AU697" s="763"/>
      <c r="AV697" s="763"/>
      <c r="AW697" s="763"/>
      <c r="AX697" s="763"/>
      <c r="AY697" s="763"/>
      <c r="AZ697" s="763"/>
      <c r="BA697" s="763"/>
      <c r="BB697" s="763"/>
      <c r="BC697" s="763"/>
      <c r="BD697" s="763"/>
      <c r="BE697" s="763"/>
      <c r="BF697" s="763"/>
      <c r="BG697" s="763" t="b">
        <f>IFERROR(__xludf.DUMMYFUNCTION("""COMPUTED_VALUE"""),FALSE)</f>
        <v>0</v>
      </c>
      <c r="BH697" s="763" t="b">
        <f>IFERROR(__xludf.DUMMYFUNCTION("""COMPUTED_VALUE"""),FALSE)</f>
        <v>0</v>
      </c>
      <c r="BI697" s="763" t="b">
        <f>IFERROR(__xludf.DUMMYFUNCTION("""COMPUTED_VALUE"""),FALSE)</f>
        <v>0</v>
      </c>
      <c r="BJ697" s="763" t="b">
        <f>IFERROR(__xludf.DUMMYFUNCTION("""COMPUTED_VALUE"""),FALSE)</f>
        <v>0</v>
      </c>
    </row>
    <row r="698">
      <c r="A698" s="763">
        <f>IFERROR(__xludf.DUMMYFUNCTION("""COMPUTED_VALUE"""),66594.0)</f>
        <v>66594</v>
      </c>
      <c r="B698" s="763">
        <f>IFERROR(__xludf.DUMMYFUNCTION("""COMPUTED_VALUE"""),66594.0)</f>
        <v>66594</v>
      </c>
      <c r="C698" s="763" t="str">
        <f>IFERROR(__xludf.DUMMYFUNCTION("""COMPUTED_VALUE"""),"2025-12-03 19:04:37")</f>
        <v>2025-12-03 19:04:37</v>
      </c>
      <c r="D698" s="763" t="str">
        <f>IFERROR(__xludf.DUMMYFUNCTION("""COMPUTED_VALUE"""),"completed")</f>
        <v>completed</v>
      </c>
      <c r="E698" s="763" t="str">
        <f>IFERROR(__xludf.DUMMYFUNCTION("""COMPUTED_VALUE"""),"Danilo")</f>
        <v>Danilo</v>
      </c>
      <c r="F698" s="763" t="str">
        <f>IFERROR(__xludf.DUMMYFUNCTION("""COMPUTED_VALUE"""),"Mancino")</f>
        <v>Mancino</v>
      </c>
      <c r="G698" s="763" t="str">
        <f>IFERROR(__xludf.DUMMYFUNCTION("""COMPUTED_VALUE"""),"danilomancino6@gmail.com")</f>
        <v>danilomancino6@gmail.com</v>
      </c>
      <c r="H698" s="763">
        <f>IFERROR(__xludf.DUMMYFUNCTION("""COMPUTED_VALUE"""),3.313393324E9)</f>
        <v>3313393324</v>
      </c>
      <c r="I698" s="763" t="str">
        <f>IFERROR(__xludf.DUMMYFUNCTION("""COMPUTED_VALUE"""),"Rho")</f>
        <v>Rho</v>
      </c>
      <c r="J698" s="763" t="str">
        <f>IFERROR(__xludf.DUMMYFUNCTION("""COMPUTED_VALUE"""),"Via statuto 1")</f>
        <v>Via statuto 1</v>
      </c>
      <c r="K698" s="763">
        <f>IFERROR(__xludf.DUMMYFUNCTION("""COMPUTED_VALUE"""),20017.0)</f>
        <v>20017</v>
      </c>
      <c r="L698" s="763" t="str">
        <f>IFERROR(__xludf.DUMMYFUNCTION("""COMPUTED_VALUE"""),"Apple Pay")</f>
        <v>Apple Pay</v>
      </c>
      <c r="M698" s="763" t="str">
        <f>IFERROR(__xludf.DUMMYFUNCTION("""COMPUTED_VALUE"""),"giuditta05natale")</f>
        <v>giuditta05natale</v>
      </c>
      <c r="N698" s="763" t="str">
        <f>IFERROR(__xludf.DUMMYFUNCTION("""COMPUTED_VALUE"""),"66594-1764788681")</f>
        <v>66594-1764788681</v>
      </c>
      <c r="O698" s="763">
        <f>IFERROR(__xludf.DUMMYFUNCTION("""COMPUTED_VALUE"""),0.0)</f>
        <v>0</v>
      </c>
      <c r="P698" s="767">
        <f>IFERROR(__xludf.DUMMYFUNCTION("""COMPUTED_VALUE"""),0.8333333333333334)</f>
        <v>0.8333333333</v>
      </c>
      <c r="Q698" s="763" t="str">
        <f>IFERROR(__xludf.DUMMYFUNCTION("""COMPUTED_VALUE"""),"EUR")</f>
        <v>EUR</v>
      </c>
      <c r="R698" s="763">
        <f>IFERROR(__xludf.DUMMYFUNCTION("""COMPUTED_VALUE"""),1278.0)</f>
        <v>1278</v>
      </c>
      <c r="S698" s="763" t="str">
        <f>IFERROR(__xludf.DUMMYFUNCTION("""COMPUTED_VALUE"""),"Festa di Natale 2025 - Festa di natale 2025 SOLO serata 25€")</f>
        <v>Festa di Natale 2025 - Festa di natale 2025 SOLO serata 25€</v>
      </c>
      <c r="T698" s="763"/>
      <c r="U698" s="763"/>
      <c r="V698" s="763">
        <f>IFERROR(__xludf.DUMMYFUNCTION("""COMPUTED_VALUE"""),1.0)</f>
        <v>1</v>
      </c>
      <c r="W698" s="763">
        <f>IFERROR(__xludf.DUMMYFUNCTION("""COMPUTED_VALUE"""),20.0)</f>
        <v>20</v>
      </c>
      <c r="X698" s="763">
        <f>IFERROR(__xludf.DUMMYFUNCTION("""COMPUTED_VALUE"""),20.0)</f>
        <v>20</v>
      </c>
      <c r="Y698" s="763"/>
      <c r="Z698" s="768" t="str">
        <f>IFERROR(__xludf.DUMMYFUNCTION("""COMPUTED_VALUE"""),"https://studio-gem.it/wp-admin/post.php?post=66594&amp;action=edit")</f>
        <v>https://studio-gem.it/wp-admin/post.php?post=66594&amp;action=edit</v>
      </c>
      <c r="AA698" s="763"/>
      <c r="AB698" s="763"/>
      <c r="AC698" s="763"/>
      <c r="AD698" s="763"/>
      <c r="AE698" s="763"/>
      <c r="AF698" s="763"/>
      <c r="AG698" s="763"/>
      <c r="AH698" s="763"/>
      <c r="AI698" s="763"/>
      <c r="AJ698" s="763"/>
      <c r="AK698" s="763"/>
      <c r="AL698" s="763"/>
      <c r="AM698" s="763"/>
      <c r="AN698" s="763"/>
      <c r="AO698" s="763"/>
      <c r="AP698" s="763"/>
      <c r="AQ698" s="763"/>
      <c r="AR698" s="763"/>
      <c r="AS698" s="763"/>
      <c r="AT698" s="763"/>
      <c r="AU698" s="763"/>
      <c r="AV698" s="763"/>
      <c r="AW698" s="763"/>
      <c r="AX698" s="763"/>
      <c r="AY698" s="763"/>
      <c r="AZ698" s="763"/>
      <c r="BA698" s="763"/>
      <c r="BB698" s="763"/>
      <c r="BC698" s="763"/>
      <c r="BD698" s="763"/>
      <c r="BE698" s="763"/>
      <c r="BF698" s="763"/>
      <c r="BG698" s="763" t="b">
        <f>IFERROR(__xludf.DUMMYFUNCTION("""COMPUTED_VALUE"""),TRUE)</f>
        <v>1</v>
      </c>
      <c r="BH698" s="763" t="b">
        <f>IFERROR(__xludf.DUMMYFUNCTION("""COMPUTED_VALUE"""),FALSE)</f>
        <v>0</v>
      </c>
      <c r="BI698" s="763" t="b">
        <f>IFERROR(__xludf.DUMMYFUNCTION("""COMPUTED_VALUE"""),TRUE)</f>
        <v>1</v>
      </c>
      <c r="BJ698" s="763" t="b">
        <f>IFERROR(__xludf.DUMMYFUNCTION("""COMPUTED_VALUE"""),TRUE)</f>
        <v>1</v>
      </c>
    </row>
    <row r="699">
      <c r="A699" s="763">
        <f>IFERROR(__xludf.DUMMYFUNCTION("""COMPUTED_VALUE"""),66596.0)</f>
        <v>66596</v>
      </c>
      <c r="B699" s="763">
        <f>IFERROR(__xludf.DUMMYFUNCTION("""COMPUTED_VALUE"""),66596.0)</f>
        <v>66596</v>
      </c>
      <c r="C699" s="763" t="str">
        <f>IFERROR(__xludf.DUMMYFUNCTION("""COMPUTED_VALUE"""),"2025-12-03 20:30:50")</f>
        <v>2025-12-03 20:30:50</v>
      </c>
      <c r="D699" s="763" t="str">
        <f>IFERROR(__xludf.DUMMYFUNCTION("""COMPUTED_VALUE"""),"completed")</f>
        <v>completed</v>
      </c>
      <c r="E699" s="763" t="str">
        <f>IFERROR(__xludf.DUMMYFUNCTION("""COMPUTED_VALUE"""),"Linda")</f>
        <v>Linda</v>
      </c>
      <c r="F699" s="763" t="str">
        <f>IFERROR(__xludf.DUMMYFUNCTION("""COMPUTED_VALUE"""),"Bertin")</f>
        <v>Bertin</v>
      </c>
      <c r="G699" s="763" t="str">
        <f>IFERROR(__xludf.DUMMYFUNCTION("""COMPUTED_VALUE"""),"lindabertin7@gmail.com")</f>
        <v>lindabertin7@gmail.com</v>
      </c>
      <c r="H699" s="763">
        <f>IFERROR(__xludf.DUMMYFUNCTION("""COMPUTED_VALUE"""),3.407692791E9)</f>
        <v>3407692791</v>
      </c>
      <c r="I699" s="763" t="str">
        <f>IFERROR(__xludf.DUMMYFUNCTION("""COMPUTED_VALUE"""),"Milano")</f>
        <v>Milano</v>
      </c>
      <c r="J699" s="763" t="str">
        <f>IFERROR(__xludf.DUMMYFUNCTION("""COMPUTED_VALUE"""),"Vía giambellino")</f>
        <v>Vía giambellino</v>
      </c>
      <c r="K699" s="763">
        <f>IFERROR(__xludf.DUMMYFUNCTION("""COMPUTED_VALUE"""),20146.0)</f>
        <v>20146</v>
      </c>
      <c r="L699" s="763" t="str">
        <f>IFERROR(__xludf.DUMMYFUNCTION("""COMPUTED_VALUE"""),"Apple Pay")</f>
        <v>Apple Pay</v>
      </c>
      <c r="M699" s="763" t="str">
        <f>IFERROR(__xludf.DUMMYFUNCTION("""COMPUTED_VALUE"""),"santo05natale")</f>
        <v>santo05natale</v>
      </c>
      <c r="N699" s="763" t="str">
        <f>IFERROR(__xludf.DUMMYFUNCTION("""COMPUTED_VALUE"""),"66596-1764793860")</f>
        <v>66596-1764793860</v>
      </c>
      <c r="O699" s="763">
        <f>IFERROR(__xludf.DUMMYFUNCTION("""COMPUTED_VALUE"""),0.0)</f>
        <v>0</v>
      </c>
      <c r="P699" s="767">
        <f>IFERROR(__xludf.DUMMYFUNCTION("""COMPUTED_VALUE"""),0.8333333333333334)</f>
        <v>0.8333333333</v>
      </c>
      <c r="Q699" s="763" t="str">
        <f>IFERROR(__xludf.DUMMYFUNCTION("""COMPUTED_VALUE"""),"EUR")</f>
        <v>EUR</v>
      </c>
      <c r="R699" s="763">
        <f>IFERROR(__xludf.DUMMYFUNCTION("""COMPUTED_VALUE"""),1280.0)</f>
        <v>1280</v>
      </c>
      <c r="S699" s="763" t="str">
        <f>IFERROR(__xludf.DUMMYFUNCTION("""COMPUTED_VALUE"""),"Festa di Natale 2025 - Festa di natale 2025 SOLO serata 25€")</f>
        <v>Festa di Natale 2025 - Festa di natale 2025 SOLO serata 25€</v>
      </c>
      <c r="T699" s="763"/>
      <c r="U699" s="763"/>
      <c r="V699" s="763">
        <f>IFERROR(__xludf.DUMMYFUNCTION("""COMPUTED_VALUE"""),1.0)</f>
        <v>1</v>
      </c>
      <c r="W699" s="763">
        <f>IFERROR(__xludf.DUMMYFUNCTION("""COMPUTED_VALUE"""),20.0)</f>
        <v>20</v>
      </c>
      <c r="X699" s="763">
        <f>IFERROR(__xludf.DUMMYFUNCTION("""COMPUTED_VALUE"""),20.0)</f>
        <v>20</v>
      </c>
      <c r="Y699" s="763"/>
      <c r="Z699" s="768" t="str">
        <f>IFERROR(__xludf.DUMMYFUNCTION("""COMPUTED_VALUE"""),"https://studio-gem.it/wp-admin/post.php?post=66596&amp;action=edit")</f>
        <v>https://studio-gem.it/wp-admin/post.php?post=66596&amp;action=edit</v>
      </c>
      <c r="AA699" s="763"/>
      <c r="AB699" s="763"/>
      <c r="AC699" s="763"/>
      <c r="AD699" s="763"/>
      <c r="AE699" s="763"/>
      <c r="AF699" s="763"/>
      <c r="AG699" s="763"/>
      <c r="AH699" s="763"/>
      <c r="AI699" s="763"/>
      <c r="AJ699" s="763"/>
      <c r="AK699" s="763"/>
      <c r="AL699" s="763"/>
      <c r="AM699" s="763"/>
      <c r="AN699" s="763"/>
      <c r="AO699" s="763"/>
      <c r="AP699" s="763"/>
      <c r="AQ699" s="763"/>
      <c r="AR699" s="763"/>
      <c r="AS699" s="763"/>
      <c r="AT699" s="763"/>
      <c r="AU699" s="763"/>
      <c r="AV699" s="763"/>
      <c r="AW699" s="763"/>
      <c r="AX699" s="763"/>
      <c r="AY699" s="763"/>
      <c r="AZ699" s="763"/>
      <c r="BA699" s="763"/>
      <c r="BB699" s="763"/>
      <c r="BC699" s="763"/>
      <c r="BD699" s="763"/>
      <c r="BE699" s="763"/>
      <c r="BF699" s="763"/>
      <c r="BG699" s="763" t="b">
        <f>IFERROR(__xludf.DUMMYFUNCTION("""COMPUTED_VALUE"""),FALSE)</f>
        <v>0</v>
      </c>
      <c r="BH699" s="763" t="b">
        <f>IFERROR(__xludf.DUMMYFUNCTION("""COMPUTED_VALUE"""),FALSE)</f>
        <v>0</v>
      </c>
      <c r="BI699" s="763" t="b">
        <f>IFERROR(__xludf.DUMMYFUNCTION("""COMPUTED_VALUE"""),TRUE)</f>
        <v>1</v>
      </c>
      <c r="BJ699" s="763" t="b">
        <f>IFERROR(__xludf.DUMMYFUNCTION("""COMPUTED_VALUE"""),TRUE)</f>
        <v>1</v>
      </c>
    </row>
    <row r="700">
      <c r="A700" s="763">
        <f>IFERROR(__xludf.DUMMYFUNCTION("""COMPUTED_VALUE"""),66598.0)</f>
        <v>66598</v>
      </c>
      <c r="B700" s="763">
        <f>IFERROR(__xludf.DUMMYFUNCTION("""COMPUTED_VALUE"""),66598.0)</f>
        <v>66598</v>
      </c>
      <c r="C700" s="763" t="str">
        <f>IFERROR(__xludf.DUMMYFUNCTION("""COMPUTED_VALUE"""),"2025-12-03 22:09:03")</f>
        <v>2025-12-03 22:09:03</v>
      </c>
      <c r="D700" s="763" t="str">
        <f>IFERROR(__xludf.DUMMYFUNCTION("""COMPUTED_VALUE"""),"completed")</f>
        <v>completed</v>
      </c>
      <c r="E700" s="763" t="str">
        <f>IFERROR(__xludf.DUMMYFUNCTION("""COMPUTED_VALUE"""),"Roberta")</f>
        <v>Roberta</v>
      </c>
      <c r="F700" s="763" t="str">
        <f>IFERROR(__xludf.DUMMYFUNCTION("""COMPUTED_VALUE"""),"Rosati")</f>
        <v>Rosati</v>
      </c>
      <c r="G700" s="763" t="str">
        <f>IFERROR(__xludf.DUMMYFUNCTION("""COMPUTED_VALUE"""),"rosatiroberta86@gmail.com")</f>
        <v>rosatiroberta86@gmail.com</v>
      </c>
      <c r="H700" s="763">
        <f>IFERROR(__xludf.DUMMYFUNCTION("""COMPUTED_VALUE"""),3.663676892E9)</f>
        <v>3663676892</v>
      </c>
      <c r="I700" s="763" t="str">
        <f>IFERROR(__xludf.DUMMYFUNCTION("""COMPUTED_VALUE"""),"Milano")</f>
        <v>Milano</v>
      </c>
      <c r="J700" s="763" t="str">
        <f>IFERROR(__xludf.DUMMYFUNCTION("""COMPUTED_VALUE"""),"Via Paolo Mantegazza 35")</f>
        <v>Via Paolo Mantegazza 35</v>
      </c>
      <c r="K700" s="763">
        <f>IFERROR(__xludf.DUMMYFUNCTION("""COMPUTED_VALUE"""),20156.0)</f>
        <v>20156</v>
      </c>
      <c r="L700" s="763" t="str">
        <f>IFERROR(__xludf.DUMMYFUNCTION("""COMPUTED_VALUE"""),"Carte di pagamento")</f>
        <v>Carte di pagamento</v>
      </c>
      <c r="M700" s="763" t="str">
        <f>IFERROR(__xludf.DUMMYFUNCTION("""COMPUTED_VALUE"""),"alexandra05natale")</f>
        <v>alexandra05natale</v>
      </c>
      <c r="N700" s="763" t="str">
        <f>IFERROR(__xludf.DUMMYFUNCTION("""COMPUTED_VALUE"""),"66598-1764799744")</f>
        <v>66598-1764799744</v>
      </c>
      <c r="O700" s="763">
        <f>IFERROR(__xludf.DUMMYFUNCTION("""COMPUTED_VALUE"""),0.0)</f>
        <v>0</v>
      </c>
      <c r="P700" s="767">
        <f>IFERROR(__xludf.DUMMYFUNCTION("""COMPUTED_VALUE"""),0.8333333333333334)</f>
        <v>0.8333333333</v>
      </c>
      <c r="Q700" s="763" t="str">
        <f>IFERROR(__xludf.DUMMYFUNCTION("""COMPUTED_VALUE"""),"EUR")</f>
        <v>EUR</v>
      </c>
      <c r="R700" s="763">
        <f>IFERROR(__xludf.DUMMYFUNCTION("""COMPUTED_VALUE"""),1282.0)</f>
        <v>1282</v>
      </c>
      <c r="S700" s="763" t="str">
        <f>IFERROR(__xludf.DUMMYFUNCTION("""COMPUTED_VALUE"""),"Festa di Natale 2025 - Festa di natale 2025 SOLO serata 25€")</f>
        <v>Festa di Natale 2025 - Festa di natale 2025 SOLO serata 25€</v>
      </c>
      <c r="T700" s="763"/>
      <c r="U700" s="763"/>
      <c r="V700" s="763">
        <f>IFERROR(__xludf.DUMMYFUNCTION("""COMPUTED_VALUE"""),1.0)</f>
        <v>1</v>
      </c>
      <c r="W700" s="763">
        <f>IFERROR(__xludf.DUMMYFUNCTION("""COMPUTED_VALUE"""),20.0)</f>
        <v>20</v>
      </c>
      <c r="X700" s="763">
        <f>IFERROR(__xludf.DUMMYFUNCTION("""COMPUTED_VALUE"""),20.0)</f>
        <v>20</v>
      </c>
      <c r="Y700" s="763"/>
      <c r="Z700" s="768" t="str">
        <f>IFERROR(__xludf.DUMMYFUNCTION("""COMPUTED_VALUE"""),"https://studio-gem.it/wp-admin/post.php?post=66598&amp;action=edit")</f>
        <v>https://studio-gem.it/wp-admin/post.php?post=66598&amp;action=edit</v>
      </c>
      <c r="AA700" s="763"/>
      <c r="AB700" s="763"/>
      <c r="AC700" s="763"/>
      <c r="AD700" s="763"/>
      <c r="AE700" s="763"/>
      <c r="AF700" s="763"/>
      <c r="AG700" s="763"/>
      <c r="AH700" s="763"/>
      <c r="AI700" s="763"/>
      <c r="AJ700" s="763"/>
      <c r="AK700" s="763"/>
      <c r="AL700" s="763"/>
      <c r="AM700" s="763"/>
      <c r="AN700" s="763"/>
      <c r="AO700" s="763"/>
      <c r="AP700" s="763"/>
      <c r="AQ700" s="763"/>
      <c r="AR700" s="763"/>
      <c r="AS700" s="763"/>
      <c r="AT700" s="763"/>
      <c r="AU700" s="763"/>
      <c r="AV700" s="763"/>
      <c r="AW700" s="763"/>
      <c r="AX700" s="763"/>
      <c r="AY700" s="763"/>
      <c r="AZ700" s="763"/>
      <c r="BA700" s="763"/>
      <c r="BB700" s="763"/>
      <c r="BC700" s="763"/>
      <c r="BD700" s="763"/>
      <c r="BE700" s="763"/>
      <c r="BF700" s="763"/>
      <c r="BG700" s="763" t="b">
        <f>IFERROR(__xludf.DUMMYFUNCTION("""COMPUTED_VALUE"""),TRUE)</f>
        <v>1</v>
      </c>
      <c r="BH700" s="763" t="b">
        <f>IFERROR(__xludf.DUMMYFUNCTION("""COMPUTED_VALUE"""),FALSE)</f>
        <v>0</v>
      </c>
      <c r="BI700" s="763" t="b">
        <f>IFERROR(__xludf.DUMMYFUNCTION("""COMPUTED_VALUE"""),TRUE)</f>
        <v>1</v>
      </c>
      <c r="BJ700" s="763" t="b">
        <f>IFERROR(__xludf.DUMMYFUNCTION("""COMPUTED_VALUE"""),TRUE)</f>
        <v>1</v>
      </c>
    </row>
    <row r="701">
      <c r="A701" s="763">
        <f>IFERROR(__xludf.DUMMYFUNCTION("""COMPUTED_VALUE"""),66600.0)</f>
        <v>66600</v>
      </c>
      <c r="B701" s="763">
        <f>IFERROR(__xludf.DUMMYFUNCTION("""COMPUTED_VALUE"""),66600.0)</f>
        <v>66600</v>
      </c>
      <c r="C701" s="763" t="str">
        <f>IFERROR(__xludf.DUMMYFUNCTION("""COMPUTED_VALUE"""),"2025-12-04 00:45:07")</f>
        <v>2025-12-04 00:45:07</v>
      </c>
      <c r="D701" s="763" t="str">
        <f>IFERROR(__xludf.DUMMYFUNCTION("""COMPUTED_VALUE"""),"completed")</f>
        <v>completed</v>
      </c>
      <c r="E701" s="763" t="str">
        <f>IFERROR(__xludf.DUMMYFUNCTION("""COMPUTED_VALUE"""),"Alessandro")</f>
        <v>Alessandro</v>
      </c>
      <c r="F701" s="763" t="str">
        <f>IFERROR(__xludf.DUMMYFUNCTION("""COMPUTED_VALUE"""),"Veneruso")</f>
        <v>Veneruso</v>
      </c>
      <c r="G701" s="763" t="str">
        <f>IFERROR(__xludf.DUMMYFUNCTION("""COMPUTED_VALUE"""),"veneruso.alessandro@gmail.com")</f>
        <v>veneruso.alessandro@gmail.com</v>
      </c>
      <c r="H701" s="763">
        <f>IFERROR(__xludf.DUMMYFUNCTION("""COMPUTED_VALUE"""),3.397471878E9)</f>
        <v>3397471878</v>
      </c>
      <c r="I701" s="763" t="str">
        <f>IFERROR(__xludf.DUMMYFUNCTION("""COMPUTED_VALUE"""),"Milano")</f>
        <v>Milano</v>
      </c>
      <c r="J701" s="763" t="str">
        <f>IFERROR(__xludf.DUMMYFUNCTION("""COMPUTED_VALUE"""),"Via barzilai 6")</f>
        <v>Via barzilai 6</v>
      </c>
      <c r="K701" s="763">
        <f>IFERROR(__xludf.DUMMYFUNCTION("""COMPUTED_VALUE"""),20146.0)</f>
        <v>20146</v>
      </c>
      <c r="L701" s="763" t="str">
        <f>IFERROR(__xludf.DUMMYFUNCTION("""COMPUTED_VALUE"""),"Apple Pay")</f>
        <v>Apple Pay</v>
      </c>
      <c r="M701" s="763" t="str">
        <f>IFERROR(__xludf.DUMMYFUNCTION("""COMPUTED_VALUE"""),"santo05natale")</f>
        <v>santo05natale</v>
      </c>
      <c r="N701" s="763" t="str">
        <f>IFERROR(__xludf.DUMMYFUNCTION("""COMPUTED_VALUE"""),"66600-1764809109")</f>
        <v>66600-1764809109</v>
      </c>
      <c r="O701" s="763">
        <f>IFERROR(__xludf.DUMMYFUNCTION("""COMPUTED_VALUE"""),0.0)</f>
        <v>0</v>
      </c>
      <c r="P701" s="767">
        <f>IFERROR(__xludf.DUMMYFUNCTION("""COMPUTED_VALUE"""),0.8333333333333334)</f>
        <v>0.8333333333</v>
      </c>
      <c r="Q701" s="763" t="str">
        <f>IFERROR(__xludf.DUMMYFUNCTION("""COMPUTED_VALUE"""),"EUR")</f>
        <v>EUR</v>
      </c>
      <c r="R701" s="763">
        <f>IFERROR(__xludf.DUMMYFUNCTION("""COMPUTED_VALUE"""),1284.0)</f>
        <v>1284</v>
      </c>
      <c r="S701" s="763" t="str">
        <f>IFERROR(__xludf.DUMMYFUNCTION("""COMPUTED_VALUE"""),"Festa di Natale 2025 - Festa di natale 2025 SOLO serata 25€")</f>
        <v>Festa di Natale 2025 - Festa di natale 2025 SOLO serata 25€</v>
      </c>
      <c r="T701" s="763"/>
      <c r="U701" s="763"/>
      <c r="V701" s="763">
        <f>IFERROR(__xludf.DUMMYFUNCTION("""COMPUTED_VALUE"""),1.0)</f>
        <v>1</v>
      </c>
      <c r="W701" s="763">
        <f>IFERROR(__xludf.DUMMYFUNCTION("""COMPUTED_VALUE"""),20.0)</f>
        <v>20</v>
      </c>
      <c r="X701" s="763">
        <f>IFERROR(__xludf.DUMMYFUNCTION("""COMPUTED_VALUE"""),20.0)</f>
        <v>20</v>
      </c>
      <c r="Y701" s="763"/>
      <c r="Z701" s="768" t="str">
        <f>IFERROR(__xludf.DUMMYFUNCTION("""COMPUTED_VALUE"""),"https://studio-gem.it/wp-admin/post.php?post=66600&amp;action=edit")</f>
        <v>https://studio-gem.it/wp-admin/post.php?post=66600&amp;action=edit</v>
      </c>
      <c r="AA701" s="763"/>
      <c r="AB701" s="763"/>
      <c r="AC701" s="763"/>
      <c r="AD701" s="763"/>
      <c r="AE701" s="763"/>
      <c r="AF701" s="763"/>
      <c r="AG701" s="763"/>
      <c r="AH701" s="763"/>
      <c r="AI701" s="763"/>
      <c r="AJ701" s="763"/>
      <c r="AK701" s="763"/>
      <c r="AL701" s="763"/>
      <c r="AM701" s="763"/>
      <c r="AN701" s="763"/>
      <c r="AO701" s="763"/>
      <c r="AP701" s="763"/>
      <c r="AQ701" s="763"/>
      <c r="AR701" s="763"/>
      <c r="AS701" s="763"/>
      <c r="AT701" s="763"/>
      <c r="AU701" s="763"/>
      <c r="AV701" s="763"/>
      <c r="AW701" s="763"/>
      <c r="AX701" s="763"/>
      <c r="AY701" s="763"/>
      <c r="AZ701" s="763"/>
      <c r="BA701" s="763"/>
      <c r="BB701" s="763"/>
      <c r="BC701" s="763"/>
      <c r="BD701" s="763"/>
      <c r="BE701" s="763"/>
      <c r="BF701" s="763"/>
      <c r="BG701" s="763" t="b">
        <f>IFERROR(__xludf.DUMMYFUNCTION("""COMPUTED_VALUE"""),TRUE)</f>
        <v>1</v>
      </c>
      <c r="BH701" s="763" t="b">
        <f>IFERROR(__xludf.DUMMYFUNCTION("""COMPUTED_VALUE"""),FALSE)</f>
        <v>0</v>
      </c>
      <c r="BI701" s="763" t="b">
        <f>IFERROR(__xludf.DUMMYFUNCTION("""COMPUTED_VALUE"""),TRUE)</f>
        <v>1</v>
      </c>
      <c r="BJ701" s="763" t="b">
        <f>IFERROR(__xludf.DUMMYFUNCTION("""COMPUTED_VALUE"""),TRUE)</f>
        <v>1</v>
      </c>
    </row>
    <row r="702">
      <c r="A702" s="763">
        <f>IFERROR(__xludf.DUMMYFUNCTION("""COMPUTED_VALUE"""),66602.0)</f>
        <v>66602</v>
      </c>
      <c r="B702" s="763">
        <f>IFERROR(__xludf.DUMMYFUNCTION("""COMPUTED_VALUE"""),66602.0)</f>
        <v>66602</v>
      </c>
      <c r="C702" s="763" t="str">
        <f>IFERROR(__xludf.DUMMYFUNCTION("""COMPUTED_VALUE"""),"2025-12-04 07:39:35")</f>
        <v>2025-12-04 07:39:35</v>
      </c>
      <c r="D702" s="763" t="str">
        <f>IFERROR(__xludf.DUMMYFUNCTION("""COMPUTED_VALUE"""),"completed")</f>
        <v>completed</v>
      </c>
      <c r="E702" s="763" t="str">
        <f>IFERROR(__xludf.DUMMYFUNCTION("""COMPUTED_VALUE"""),"Clarissa")</f>
        <v>Clarissa</v>
      </c>
      <c r="F702" s="763" t="str">
        <f>IFERROR(__xludf.DUMMYFUNCTION("""COMPUTED_VALUE"""),"Petringa")</f>
        <v>Petringa</v>
      </c>
      <c r="G702" s="763" t="str">
        <f>IFERROR(__xludf.DUMMYFUNCTION("""COMPUTED_VALUE"""),"clarissapetringa@gmail.com")</f>
        <v>clarissapetringa@gmail.com</v>
      </c>
      <c r="H702" s="763">
        <f>IFERROR(__xludf.DUMMYFUNCTION("""COMPUTED_VALUE"""),3.394604051E9)</f>
        <v>3394604051</v>
      </c>
      <c r="I702" s="763" t="str">
        <f>IFERROR(__xludf.DUMMYFUNCTION("""COMPUTED_VALUE"""),"Milano")</f>
        <v>Milano</v>
      </c>
      <c r="J702" s="763" t="str">
        <f>IFERROR(__xludf.DUMMYFUNCTION("""COMPUTED_VALUE"""),"Tito Livio 8/A")</f>
        <v>Tito Livio 8/A</v>
      </c>
      <c r="K702" s="763">
        <f>IFERROR(__xludf.DUMMYFUNCTION("""COMPUTED_VALUE"""),20137.0)</f>
        <v>20137</v>
      </c>
      <c r="L702" s="763" t="str">
        <f>IFERROR(__xludf.DUMMYFUNCTION("""COMPUTED_VALUE"""),"Apple Pay")</f>
        <v>Apple Pay</v>
      </c>
      <c r="M702" s="763" t="str">
        <f>IFERROR(__xludf.DUMMYFUNCTION("""COMPUTED_VALUE"""),"santo05natale")</f>
        <v>santo05natale</v>
      </c>
      <c r="N702" s="763" t="str">
        <f>IFERROR(__xludf.DUMMYFUNCTION("""COMPUTED_VALUE"""),"66602-1764833977")</f>
        <v>66602-1764833977</v>
      </c>
      <c r="O702" s="763">
        <f>IFERROR(__xludf.DUMMYFUNCTION("""COMPUTED_VALUE"""),0.0)</f>
        <v>0</v>
      </c>
      <c r="P702" s="767">
        <f>IFERROR(__xludf.DUMMYFUNCTION("""COMPUTED_VALUE"""),0.8333333333333334)</f>
        <v>0.8333333333</v>
      </c>
      <c r="Q702" s="763" t="str">
        <f>IFERROR(__xludf.DUMMYFUNCTION("""COMPUTED_VALUE"""),"EUR")</f>
        <v>EUR</v>
      </c>
      <c r="R702" s="763">
        <f>IFERROR(__xludf.DUMMYFUNCTION("""COMPUTED_VALUE"""),1286.0)</f>
        <v>1286</v>
      </c>
      <c r="S702" s="763" t="str">
        <f>IFERROR(__xludf.DUMMYFUNCTION("""COMPUTED_VALUE"""),"Festa di Natale 2025 - Festa di natale 2025 SOLO serata 25€")</f>
        <v>Festa di Natale 2025 - Festa di natale 2025 SOLO serata 25€</v>
      </c>
      <c r="T702" s="763"/>
      <c r="U702" s="763"/>
      <c r="V702" s="763">
        <f>IFERROR(__xludf.DUMMYFUNCTION("""COMPUTED_VALUE"""),1.0)</f>
        <v>1</v>
      </c>
      <c r="W702" s="763">
        <f>IFERROR(__xludf.DUMMYFUNCTION("""COMPUTED_VALUE"""),20.0)</f>
        <v>20</v>
      </c>
      <c r="X702" s="763">
        <f>IFERROR(__xludf.DUMMYFUNCTION("""COMPUTED_VALUE"""),20.0)</f>
        <v>20</v>
      </c>
      <c r="Y702" s="763"/>
      <c r="Z702" s="768" t="str">
        <f>IFERROR(__xludf.DUMMYFUNCTION("""COMPUTED_VALUE"""),"https://studio-gem.it/wp-admin/post.php?post=66602&amp;action=edit")</f>
        <v>https://studio-gem.it/wp-admin/post.php?post=66602&amp;action=edit</v>
      </c>
      <c r="AA702" s="763"/>
      <c r="AB702" s="763"/>
      <c r="AC702" s="763"/>
      <c r="AD702" s="763"/>
      <c r="AE702" s="763"/>
      <c r="AF702" s="763"/>
      <c r="AG702" s="763"/>
      <c r="AH702" s="763"/>
      <c r="AI702" s="763"/>
      <c r="AJ702" s="763"/>
      <c r="AK702" s="763"/>
      <c r="AL702" s="763"/>
      <c r="AM702" s="763"/>
      <c r="AN702" s="763"/>
      <c r="AO702" s="763"/>
      <c r="AP702" s="763"/>
      <c r="AQ702" s="763"/>
      <c r="AR702" s="763"/>
      <c r="AS702" s="763"/>
      <c r="AT702" s="763"/>
      <c r="AU702" s="763"/>
      <c r="AV702" s="763"/>
      <c r="AW702" s="763"/>
      <c r="AX702" s="763"/>
      <c r="AY702" s="763"/>
      <c r="AZ702" s="763"/>
      <c r="BA702" s="763"/>
      <c r="BB702" s="763"/>
      <c r="BC702" s="763"/>
      <c r="BD702" s="763"/>
      <c r="BE702" s="763"/>
      <c r="BF702" s="763"/>
      <c r="BG702" s="763" t="b">
        <f>IFERROR(__xludf.DUMMYFUNCTION("""COMPUTED_VALUE"""),TRUE)</f>
        <v>1</v>
      </c>
      <c r="BH702" s="763" t="b">
        <f>IFERROR(__xludf.DUMMYFUNCTION("""COMPUTED_VALUE"""),FALSE)</f>
        <v>0</v>
      </c>
      <c r="BI702" s="763" t="b">
        <f>IFERROR(__xludf.DUMMYFUNCTION("""COMPUTED_VALUE"""),TRUE)</f>
        <v>1</v>
      </c>
      <c r="BJ702" s="763" t="b">
        <f>IFERROR(__xludf.DUMMYFUNCTION("""COMPUTED_VALUE"""),TRUE)</f>
        <v>1</v>
      </c>
    </row>
    <row r="703">
      <c r="A703" s="763">
        <f>IFERROR(__xludf.DUMMYFUNCTION("""COMPUTED_VALUE"""),66604.0)</f>
        <v>66604</v>
      </c>
      <c r="B703" s="763">
        <f>IFERROR(__xludf.DUMMYFUNCTION("""COMPUTED_VALUE"""),66604.0)</f>
        <v>66604</v>
      </c>
      <c r="C703" s="763" t="str">
        <f>IFERROR(__xludf.DUMMYFUNCTION("""COMPUTED_VALUE"""),"2025-12-04 09:09:03")</f>
        <v>2025-12-04 09:09:03</v>
      </c>
      <c r="D703" s="763" t="str">
        <f>IFERROR(__xludf.DUMMYFUNCTION("""COMPUTED_VALUE"""),"completed")</f>
        <v>completed</v>
      </c>
      <c r="E703" s="763" t="str">
        <f>IFERROR(__xludf.DUMMYFUNCTION("""COMPUTED_VALUE"""),"Rui Hui")</f>
        <v>Rui Hui</v>
      </c>
      <c r="F703" s="763" t="str">
        <f>IFERROR(__xludf.DUMMYFUNCTION("""COMPUTED_VALUE"""),"Hong")</f>
        <v>Hong</v>
      </c>
      <c r="G703" s="763" t="str">
        <f>IFERROR(__xludf.DUMMYFUNCTION("""COMPUTED_VALUE"""),"simone.hong28@gmail.com")</f>
        <v>simone.hong28@gmail.com</v>
      </c>
      <c r="H703" s="763">
        <f>IFERROR(__xludf.DUMMYFUNCTION("""COMPUTED_VALUE"""),3.34969249E9)</f>
        <v>3349692490</v>
      </c>
      <c r="I703" s="763" t="str">
        <f>IFERROR(__xludf.DUMMYFUNCTION("""COMPUTED_VALUE"""),"Milano")</f>
        <v>Milano</v>
      </c>
      <c r="J703" s="763" t="str">
        <f>IFERROR(__xludf.DUMMYFUNCTION("""COMPUTED_VALUE"""),"Corso Garibaldi 12")</f>
        <v>Corso Garibaldi 12</v>
      </c>
      <c r="K703" s="763">
        <f>IFERROR(__xludf.DUMMYFUNCTION("""COMPUTED_VALUE"""),20121.0)</f>
        <v>20121</v>
      </c>
      <c r="L703" s="763" t="str">
        <f>IFERROR(__xludf.DUMMYFUNCTION("""COMPUTED_VALUE"""),"Carte di pagamento")</f>
        <v>Carte di pagamento</v>
      </c>
      <c r="M703" s="763" t="str">
        <f>IFERROR(__xludf.DUMMYFUNCTION("""COMPUTED_VALUE"""),"santo05natale")</f>
        <v>santo05natale</v>
      </c>
      <c r="N703" s="763" t="str">
        <f>IFERROR(__xludf.DUMMYFUNCTION("""COMPUTED_VALUE"""),"66604-1764839345")</f>
        <v>66604-1764839345</v>
      </c>
      <c r="O703" s="763">
        <f>IFERROR(__xludf.DUMMYFUNCTION("""COMPUTED_VALUE"""),0.0)</f>
        <v>0</v>
      </c>
      <c r="P703" s="767">
        <f>IFERROR(__xludf.DUMMYFUNCTION("""COMPUTED_VALUE"""),0.8333333333333334)</f>
        <v>0.8333333333</v>
      </c>
      <c r="Q703" s="763" t="str">
        <f>IFERROR(__xludf.DUMMYFUNCTION("""COMPUTED_VALUE"""),"EUR")</f>
        <v>EUR</v>
      </c>
      <c r="R703" s="763">
        <f>IFERROR(__xludf.DUMMYFUNCTION("""COMPUTED_VALUE"""),1288.0)</f>
        <v>1288</v>
      </c>
      <c r="S703" s="763" t="str">
        <f>IFERROR(__xludf.DUMMYFUNCTION("""COMPUTED_VALUE"""),"Festa di Natale 2025 - Festa di natale 2025 SOLO serata 25€")</f>
        <v>Festa di Natale 2025 - Festa di natale 2025 SOLO serata 25€</v>
      </c>
      <c r="T703" s="763"/>
      <c r="U703" s="763"/>
      <c r="V703" s="763">
        <f>IFERROR(__xludf.DUMMYFUNCTION("""COMPUTED_VALUE"""),1.0)</f>
        <v>1</v>
      </c>
      <c r="W703" s="763">
        <f>IFERROR(__xludf.DUMMYFUNCTION("""COMPUTED_VALUE"""),20.0)</f>
        <v>20</v>
      </c>
      <c r="X703" s="763">
        <f>IFERROR(__xludf.DUMMYFUNCTION("""COMPUTED_VALUE"""),20.0)</f>
        <v>20</v>
      </c>
      <c r="Y703" s="763"/>
      <c r="Z703" s="768" t="str">
        <f>IFERROR(__xludf.DUMMYFUNCTION("""COMPUTED_VALUE"""),"https://studio-gem.it/wp-admin/post.php?post=66604&amp;action=edit")</f>
        <v>https://studio-gem.it/wp-admin/post.php?post=66604&amp;action=edit</v>
      </c>
      <c r="AA703" s="763"/>
      <c r="AB703" s="763"/>
      <c r="AC703" s="763"/>
      <c r="AD703" s="763"/>
      <c r="AE703" s="763"/>
      <c r="AF703" s="763"/>
      <c r="AG703" s="763"/>
      <c r="AH703" s="763"/>
      <c r="AI703" s="763"/>
      <c r="AJ703" s="763"/>
      <c r="AK703" s="763"/>
      <c r="AL703" s="763"/>
      <c r="AM703" s="763"/>
      <c r="AN703" s="763"/>
      <c r="AO703" s="763"/>
      <c r="AP703" s="763"/>
      <c r="AQ703" s="763"/>
      <c r="AR703" s="763"/>
      <c r="AS703" s="763"/>
      <c r="AT703" s="763"/>
      <c r="AU703" s="763"/>
      <c r="AV703" s="763"/>
      <c r="AW703" s="763"/>
      <c r="AX703" s="763"/>
      <c r="AY703" s="763"/>
      <c r="AZ703" s="763"/>
      <c r="BA703" s="763"/>
      <c r="BB703" s="763"/>
      <c r="BC703" s="763"/>
      <c r="BD703" s="763"/>
      <c r="BE703" s="763"/>
      <c r="BF703" s="763"/>
      <c r="BG703" s="763" t="b">
        <f>IFERROR(__xludf.DUMMYFUNCTION("""COMPUTED_VALUE"""),TRUE)</f>
        <v>1</v>
      </c>
      <c r="BH703" s="763" t="b">
        <f>IFERROR(__xludf.DUMMYFUNCTION("""COMPUTED_VALUE"""),FALSE)</f>
        <v>0</v>
      </c>
      <c r="BI703" s="763" t="b">
        <f>IFERROR(__xludf.DUMMYFUNCTION("""COMPUTED_VALUE"""),TRUE)</f>
        <v>1</v>
      </c>
      <c r="BJ703" s="763" t="b">
        <f>IFERROR(__xludf.DUMMYFUNCTION("""COMPUTED_VALUE"""),TRUE)</f>
        <v>1</v>
      </c>
    </row>
    <row r="704">
      <c r="A704" s="763">
        <f>IFERROR(__xludf.DUMMYFUNCTION("""COMPUTED_VALUE"""),66607.0)</f>
        <v>66607</v>
      </c>
      <c r="B704" s="763">
        <f>IFERROR(__xludf.DUMMYFUNCTION("""COMPUTED_VALUE"""),66607.0)</f>
        <v>66607</v>
      </c>
      <c r="C704" s="763" t="str">
        <f>IFERROR(__xludf.DUMMYFUNCTION("""COMPUTED_VALUE"""),"2025-12-04 12:07:37")</f>
        <v>2025-12-04 12:07:37</v>
      </c>
      <c r="D704" s="763" t="str">
        <f>IFERROR(__xludf.DUMMYFUNCTION("""COMPUTED_VALUE"""),"completed")</f>
        <v>completed</v>
      </c>
      <c r="E704" s="763" t="str">
        <f>IFERROR(__xludf.DUMMYFUNCTION("""COMPUTED_VALUE"""),"Sara")</f>
        <v>Sara</v>
      </c>
      <c r="F704" s="763" t="str">
        <f>IFERROR(__xludf.DUMMYFUNCTION("""COMPUTED_VALUE"""),"Severoni")</f>
        <v>Severoni</v>
      </c>
      <c r="G704" s="763" t="str">
        <f>IFERROR(__xludf.DUMMYFUNCTION("""COMPUTED_VALUE"""),"sara.severoni@hotmail.it")</f>
        <v>sara.severoni@hotmail.it</v>
      </c>
      <c r="H704" s="763">
        <f>IFERROR(__xludf.DUMMYFUNCTION("""COMPUTED_VALUE"""),3.318572598E9)</f>
        <v>3318572598</v>
      </c>
      <c r="I704" s="763" t="str">
        <f>IFERROR(__xludf.DUMMYFUNCTION("""COMPUTED_VALUE"""),"Rapallo")</f>
        <v>Rapallo</v>
      </c>
      <c r="J704" s="763" t="str">
        <f>IFERROR(__xludf.DUMMYFUNCTION("""COMPUTED_VALUE"""),"Via Fioria 18")</f>
        <v>Via Fioria 18</v>
      </c>
      <c r="K704" s="763">
        <f>IFERROR(__xludf.DUMMYFUNCTION("""COMPUTED_VALUE"""),16035.0)</f>
        <v>16035</v>
      </c>
      <c r="L704" s="763" t="str">
        <f>IFERROR(__xludf.DUMMYFUNCTION("""COMPUTED_VALUE"""),"Satispay")</f>
        <v>Satispay</v>
      </c>
      <c r="M704" s="763" t="str">
        <f>IFERROR(__xludf.DUMMYFUNCTION("""COMPUTED_VALUE"""),"giuditta05natale")</f>
        <v>giuditta05natale</v>
      </c>
      <c r="N704" s="763" t="str">
        <f>IFERROR(__xludf.DUMMYFUNCTION("""COMPUTED_VALUE"""),"019ae942-c455-707d-981a-7617fb078564")</f>
        <v>019ae942-c455-707d-981a-7617fb078564</v>
      </c>
      <c r="O704" s="763">
        <f>IFERROR(__xludf.DUMMYFUNCTION("""COMPUTED_VALUE"""),0.0)</f>
        <v>0</v>
      </c>
      <c r="P704" s="767">
        <f>IFERROR(__xludf.DUMMYFUNCTION("""COMPUTED_VALUE"""),0.8333333333333334)</f>
        <v>0.8333333333</v>
      </c>
      <c r="Q704" s="763" t="str">
        <f>IFERROR(__xludf.DUMMYFUNCTION("""COMPUTED_VALUE"""),"EUR")</f>
        <v>EUR</v>
      </c>
      <c r="R704" s="763">
        <f>IFERROR(__xludf.DUMMYFUNCTION("""COMPUTED_VALUE"""),1290.0)</f>
        <v>1290</v>
      </c>
      <c r="S704" s="763" t="str">
        <f>IFERROR(__xludf.DUMMYFUNCTION("""COMPUTED_VALUE"""),"Festa di Natale 2025 - Festa di natale 2025 SOLO serata 25€")</f>
        <v>Festa di Natale 2025 - Festa di natale 2025 SOLO serata 25€</v>
      </c>
      <c r="T704" s="763"/>
      <c r="U704" s="763"/>
      <c r="V704" s="763">
        <f>IFERROR(__xludf.DUMMYFUNCTION("""COMPUTED_VALUE"""),1.0)</f>
        <v>1</v>
      </c>
      <c r="W704" s="763">
        <f>IFERROR(__xludf.DUMMYFUNCTION("""COMPUTED_VALUE"""),20.0)</f>
        <v>20</v>
      </c>
      <c r="X704" s="763">
        <f>IFERROR(__xludf.DUMMYFUNCTION("""COMPUTED_VALUE"""),20.0)</f>
        <v>20</v>
      </c>
      <c r="Y704" s="763"/>
      <c r="Z704" s="768" t="str">
        <f>IFERROR(__xludf.DUMMYFUNCTION("""COMPUTED_VALUE"""),"https://studio-gem.it/wp-admin/post.php?post=66607&amp;action=edit")</f>
        <v>https://studio-gem.it/wp-admin/post.php?post=66607&amp;action=edit</v>
      </c>
      <c r="AA704" s="763"/>
      <c r="AB704" s="763"/>
      <c r="AC704" s="763"/>
      <c r="AD704" s="763"/>
      <c r="AE704" s="763"/>
      <c r="AF704" s="763"/>
      <c r="AG704" s="763"/>
      <c r="AH704" s="763"/>
      <c r="AI704" s="763"/>
      <c r="AJ704" s="763"/>
      <c r="AK704" s="763"/>
      <c r="AL704" s="763"/>
      <c r="AM704" s="763"/>
      <c r="AN704" s="763"/>
      <c r="AO704" s="763"/>
      <c r="AP704" s="763"/>
      <c r="AQ704" s="763"/>
      <c r="AR704" s="763"/>
      <c r="AS704" s="763"/>
      <c r="AT704" s="763"/>
      <c r="AU704" s="763"/>
      <c r="AV704" s="763"/>
      <c r="AW704" s="763"/>
      <c r="AX704" s="763"/>
      <c r="AY704" s="763"/>
      <c r="AZ704" s="763"/>
      <c r="BA704" s="763"/>
      <c r="BB704" s="763"/>
      <c r="BC704" s="763"/>
      <c r="BD704" s="763"/>
      <c r="BE704" s="763"/>
      <c r="BF704" s="763"/>
      <c r="BG704" s="763" t="b">
        <f>IFERROR(__xludf.DUMMYFUNCTION("""COMPUTED_VALUE"""),TRUE)</f>
        <v>1</v>
      </c>
      <c r="BH704" s="763" t="b">
        <f>IFERROR(__xludf.DUMMYFUNCTION("""COMPUTED_VALUE"""),FALSE)</f>
        <v>0</v>
      </c>
      <c r="BI704" s="763" t="b">
        <f>IFERROR(__xludf.DUMMYFUNCTION("""COMPUTED_VALUE"""),TRUE)</f>
        <v>1</v>
      </c>
      <c r="BJ704" s="763" t="b">
        <f>IFERROR(__xludf.DUMMYFUNCTION("""COMPUTED_VALUE"""),TRUE)</f>
        <v>1</v>
      </c>
    </row>
    <row r="705">
      <c r="A705" s="763">
        <f>IFERROR(__xludf.DUMMYFUNCTION("""COMPUTED_VALUE"""),66609.0)</f>
        <v>66609</v>
      </c>
      <c r="B705" s="763">
        <f>IFERROR(__xludf.DUMMYFUNCTION("""COMPUTED_VALUE"""),66609.0)</f>
        <v>66609</v>
      </c>
      <c r="C705" s="763" t="str">
        <f>IFERROR(__xludf.DUMMYFUNCTION("""COMPUTED_VALUE"""),"2025-12-04 12:14:17")</f>
        <v>2025-12-04 12:14:17</v>
      </c>
      <c r="D705" s="763" t="str">
        <f>IFERROR(__xludf.DUMMYFUNCTION("""COMPUTED_VALUE"""),"completed")</f>
        <v>completed</v>
      </c>
      <c r="E705" s="763" t="str">
        <f>IFERROR(__xludf.DUMMYFUNCTION("""COMPUTED_VALUE"""),"Federica")</f>
        <v>Federica</v>
      </c>
      <c r="F705" s="763" t="str">
        <f>IFERROR(__xludf.DUMMYFUNCTION("""COMPUTED_VALUE"""),"Scrofani")</f>
        <v>Scrofani</v>
      </c>
      <c r="G705" s="763" t="str">
        <f>IFERROR(__xludf.DUMMYFUNCTION("""COMPUTED_VALUE"""),"federica.scrofani@gmail.com")</f>
        <v>federica.scrofani@gmail.com</v>
      </c>
      <c r="H705" s="763">
        <f>IFERROR(__xludf.DUMMYFUNCTION("""COMPUTED_VALUE"""),3.460690347E9)</f>
        <v>3460690347</v>
      </c>
      <c r="I705" s="763" t="str">
        <f>IFERROR(__xludf.DUMMYFUNCTION("""COMPUTED_VALUE"""),"Milano")</f>
        <v>Milano</v>
      </c>
      <c r="J705" s="763" t="str">
        <f>IFERROR(__xludf.DUMMYFUNCTION("""COMPUTED_VALUE"""),"Via Carlo d'Adda 11")</f>
        <v>Via Carlo d'Adda 11</v>
      </c>
      <c r="K705" s="763">
        <f>IFERROR(__xludf.DUMMYFUNCTION("""COMPUTED_VALUE"""),20143.0)</f>
        <v>20143</v>
      </c>
      <c r="L705" s="763" t="str">
        <f>IFERROR(__xludf.DUMMYFUNCTION("""COMPUTED_VALUE"""),"Satispay")</f>
        <v>Satispay</v>
      </c>
      <c r="M705" s="763" t="str">
        <f>IFERROR(__xludf.DUMMYFUNCTION("""COMPUTED_VALUE"""),"giuditta05natale")</f>
        <v>giuditta05natale</v>
      </c>
      <c r="N705" s="763" t="str">
        <f>IFERROR(__xludf.DUMMYFUNCTION("""COMPUTED_VALUE"""),"019ae948-ddd2-7bfb-901e-14ce5dabbcf8")</f>
        <v>019ae948-ddd2-7bfb-901e-14ce5dabbcf8</v>
      </c>
      <c r="O705" s="763">
        <f>IFERROR(__xludf.DUMMYFUNCTION("""COMPUTED_VALUE"""),0.0)</f>
        <v>0</v>
      </c>
      <c r="P705" s="767">
        <f>IFERROR(__xludf.DUMMYFUNCTION("""COMPUTED_VALUE"""),0.8333333333333334)</f>
        <v>0.8333333333</v>
      </c>
      <c r="Q705" s="763" t="str">
        <f>IFERROR(__xludf.DUMMYFUNCTION("""COMPUTED_VALUE"""),"EUR")</f>
        <v>EUR</v>
      </c>
      <c r="R705" s="763">
        <f>IFERROR(__xludf.DUMMYFUNCTION("""COMPUTED_VALUE"""),1292.0)</f>
        <v>1292</v>
      </c>
      <c r="S705" s="763" t="str">
        <f>IFERROR(__xludf.DUMMYFUNCTION("""COMPUTED_VALUE"""),"Festa di Natale 2025 - Festa di natale 2025 SOLO serata 25€")</f>
        <v>Festa di Natale 2025 - Festa di natale 2025 SOLO serata 25€</v>
      </c>
      <c r="T705" s="763"/>
      <c r="U705" s="763"/>
      <c r="V705" s="763">
        <f>IFERROR(__xludf.DUMMYFUNCTION("""COMPUTED_VALUE"""),1.0)</f>
        <v>1</v>
      </c>
      <c r="W705" s="763">
        <f>IFERROR(__xludf.DUMMYFUNCTION("""COMPUTED_VALUE"""),20.0)</f>
        <v>20</v>
      </c>
      <c r="X705" s="763">
        <f>IFERROR(__xludf.DUMMYFUNCTION("""COMPUTED_VALUE"""),20.0)</f>
        <v>20</v>
      </c>
      <c r="Y705" s="763"/>
      <c r="Z705" s="768" t="str">
        <f>IFERROR(__xludf.DUMMYFUNCTION("""COMPUTED_VALUE"""),"https://studio-gem.it/wp-admin/post.php?post=66609&amp;action=edit")</f>
        <v>https://studio-gem.it/wp-admin/post.php?post=66609&amp;action=edit</v>
      </c>
      <c r="AA705" s="763"/>
      <c r="AB705" s="763"/>
      <c r="AC705" s="763"/>
      <c r="AD705" s="763"/>
      <c r="AE705" s="763"/>
      <c r="AF705" s="763"/>
      <c r="AG705" s="763"/>
      <c r="AH705" s="763"/>
      <c r="AI705" s="763"/>
      <c r="AJ705" s="763"/>
      <c r="AK705" s="763"/>
      <c r="AL705" s="763"/>
      <c r="AM705" s="763"/>
      <c r="AN705" s="763"/>
      <c r="AO705" s="763"/>
      <c r="AP705" s="763"/>
      <c r="AQ705" s="763"/>
      <c r="AR705" s="763"/>
      <c r="AS705" s="763"/>
      <c r="AT705" s="763"/>
      <c r="AU705" s="763"/>
      <c r="AV705" s="763"/>
      <c r="AW705" s="763"/>
      <c r="AX705" s="763"/>
      <c r="AY705" s="763"/>
      <c r="AZ705" s="763"/>
      <c r="BA705" s="763"/>
      <c r="BB705" s="763"/>
      <c r="BC705" s="763"/>
      <c r="BD705" s="763"/>
      <c r="BE705" s="763"/>
      <c r="BF705" s="763"/>
      <c r="BG705" s="763" t="b">
        <f>IFERROR(__xludf.DUMMYFUNCTION("""COMPUTED_VALUE"""),TRUE)</f>
        <v>1</v>
      </c>
      <c r="BH705" s="763" t="b">
        <f>IFERROR(__xludf.DUMMYFUNCTION("""COMPUTED_VALUE"""),FALSE)</f>
        <v>0</v>
      </c>
      <c r="BI705" s="763" t="b">
        <f>IFERROR(__xludf.DUMMYFUNCTION("""COMPUTED_VALUE"""),TRUE)</f>
        <v>1</v>
      </c>
      <c r="BJ705" s="763" t="b">
        <f>IFERROR(__xludf.DUMMYFUNCTION("""COMPUTED_VALUE"""),TRUE)</f>
        <v>1</v>
      </c>
    </row>
    <row r="706">
      <c r="A706" s="763">
        <f>IFERROR(__xludf.DUMMYFUNCTION("""COMPUTED_VALUE"""),66611.0)</f>
        <v>66611</v>
      </c>
      <c r="B706" s="763">
        <f>IFERROR(__xludf.DUMMYFUNCTION("""COMPUTED_VALUE"""),66611.0)</f>
        <v>66611</v>
      </c>
      <c r="C706" s="763" t="str">
        <f>IFERROR(__xludf.DUMMYFUNCTION("""COMPUTED_VALUE"""),"2025-12-04 13:07:38")</f>
        <v>2025-12-04 13:07:38</v>
      </c>
      <c r="D706" s="763" t="str">
        <f>IFERROR(__xludf.DUMMYFUNCTION("""COMPUTED_VALUE"""),"completed")</f>
        <v>completed</v>
      </c>
      <c r="E706" s="763" t="str">
        <f>IFERROR(__xludf.DUMMYFUNCTION("""COMPUTED_VALUE"""),"Alessia")</f>
        <v>Alessia</v>
      </c>
      <c r="F706" s="763" t="str">
        <f>IFERROR(__xludf.DUMMYFUNCTION("""COMPUTED_VALUE"""),"Aiello")</f>
        <v>Aiello</v>
      </c>
      <c r="G706" s="763" t="str">
        <f>IFERROR(__xludf.DUMMYFUNCTION("""COMPUTED_VALUE"""),"alessia.aiello911@gmail.com")</f>
        <v>alessia.aiello911@gmail.com</v>
      </c>
      <c r="H706" s="763">
        <f>IFERROR(__xludf.DUMMYFUNCTION("""COMPUTED_VALUE"""),3.296469107E9)</f>
        <v>3296469107</v>
      </c>
      <c r="I706" s="763" t="str">
        <f>IFERROR(__xludf.DUMMYFUNCTION("""COMPUTED_VALUE"""),"Milano")</f>
        <v>Milano</v>
      </c>
      <c r="J706" s="763" t="str">
        <f>IFERROR(__xludf.DUMMYFUNCTION("""COMPUTED_VALUE"""),"Via Fratelli Bronzetti 16")</f>
        <v>Via Fratelli Bronzetti 16</v>
      </c>
      <c r="K706" s="763">
        <f>IFERROR(__xludf.DUMMYFUNCTION("""COMPUTED_VALUE"""),20129.0)</f>
        <v>20129</v>
      </c>
      <c r="L706" s="763" t="str">
        <f>IFERROR(__xludf.DUMMYFUNCTION("""COMPUTED_VALUE"""),"Google Pay")</f>
        <v>Google Pay</v>
      </c>
      <c r="M706" s="763"/>
      <c r="N706" s="763" t="str">
        <f>IFERROR(__xludf.DUMMYFUNCTION("""COMPUTED_VALUE"""),"66611-1764853660")</f>
        <v>66611-1764853660</v>
      </c>
      <c r="O706" s="763">
        <f>IFERROR(__xludf.DUMMYFUNCTION("""COMPUTED_VALUE"""),0.0)</f>
        <v>0</v>
      </c>
      <c r="P706" s="767">
        <f>IFERROR(__xludf.DUMMYFUNCTION("""COMPUTED_VALUE"""),2.1666666666666665)</f>
        <v>2.166666667</v>
      </c>
      <c r="Q706" s="763" t="str">
        <f>IFERROR(__xludf.DUMMYFUNCTION("""COMPUTED_VALUE"""),"EUR")</f>
        <v>EUR</v>
      </c>
      <c r="R706" s="763">
        <f>IFERROR(__xludf.DUMMYFUNCTION("""COMPUTED_VALUE"""),1294.0)</f>
        <v>1294</v>
      </c>
      <c r="S706" s="763" t="str">
        <f>IFERROR(__xludf.DUMMYFUNCTION("""COMPUTED_VALUE"""),"Workshop Salsa flamenco e pasitos con Nerea Perez - Workshop Nerea Pasitos + pizza e serata festa di natale")</f>
        <v>Workshop Salsa flamenco e pasitos con Nerea Perez - Workshop Nerea Pasitos + pizza e serata festa di natale</v>
      </c>
      <c r="T706" s="763"/>
      <c r="U706" s="763"/>
      <c r="V706" s="763">
        <f>IFERROR(__xludf.DUMMYFUNCTION("""COMPUTED_VALUE"""),1.0)</f>
        <v>1</v>
      </c>
      <c r="W706" s="763">
        <f>IFERROR(__xludf.DUMMYFUNCTION("""COMPUTED_VALUE"""),52.0)</f>
        <v>52</v>
      </c>
      <c r="X706" s="763">
        <f>IFERROR(__xludf.DUMMYFUNCTION("""COMPUTED_VALUE"""),52.0)</f>
        <v>52</v>
      </c>
      <c r="Y706" s="763"/>
      <c r="Z706" s="768" t="str">
        <f>IFERROR(__xludf.DUMMYFUNCTION("""COMPUTED_VALUE"""),"https://studio-gem.it/wp-admin/post.php?post=66611&amp;action=edit")</f>
        <v>https://studio-gem.it/wp-admin/post.php?post=66611&amp;action=edit</v>
      </c>
      <c r="AA706" s="763"/>
      <c r="AB706" s="763"/>
      <c r="AC706" s="763"/>
      <c r="AD706" s="763"/>
      <c r="AE706" s="763"/>
      <c r="AF706" s="763"/>
      <c r="AG706" s="763"/>
      <c r="AH706" s="763"/>
      <c r="AI706" s="763"/>
      <c r="AJ706" s="763"/>
      <c r="AK706" s="763"/>
      <c r="AL706" s="763"/>
      <c r="AM706" s="763"/>
      <c r="AN706" s="763"/>
      <c r="AO706" s="763"/>
      <c r="AP706" s="763"/>
      <c r="AQ706" s="763"/>
      <c r="AR706" s="763"/>
      <c r="AS706" s="763"/>
      <c r="AT706" s="763"/>
      <c r="AU706" s="763"/>
      <c r="AV706" s="763"/>
      <c r="AW706" s="763"/>
      <c r="AX706" s="763"/>
      <c r="AY706" s="763"/>
      <c r="AZ706" s="763"/>
      <c r="BA706" s="763"/>
      <c r="BB706" s="763"/>
      <c r="BC706" s="763"/>
      <c r="BD706" s="763"/>
      <c r="BE706" s="763"/>
      <c r="BF706" s="763"/>
      <c r="BG706" s="763" t="b">
        <f>IFERROR(__xludf.DUMMYFUNCTION("""COMPUTED_VALUE"""),TRUE)</f>
        <v>1</v>
      </c>
      <c r="BH706" s="763" t="b">
        <f>IFERROR(__xludf.DUMMYFUNCTION("""COMPUTED_VALUE"""),FALSE)</f>
        <v>0</v>
      </c>
      <c r="BI706" s="763" t="b">
        <f>IFERROR(__xludf.DUMMYFUNCTION("""COMPUTED_VALUE"""),TRUE)</f>
        <v>1</v>
      </c>
      <c r="BJ706" s="763" t="b">
        <f>IFERROR(__xludf.DUMMYFUNCTION("""COMPUTED_VALUE"""),TRUE)</f>
        <v>1</v>
      </c>
    </row>
    <row r="707">
      <c r="A707" s="763">
        <f>IFERROR(__xludf.DUMMYFUNCTION("""COMPUTED_VALUE"""),66641.0)</f>
        <v>66641</v>
      </c>
      <c r="B707" s="763">
        <f>IFERROR(__xludf.DUMMYFUNCTION("""COMPUTED_VALUE"""),66641.0)</f>
        <v>66641</v>
      </c>
      <c r="C707" s="763" t="str">
        <f>IFERROR(__xludf.DUMMYFUNCTION("""COMPUTED_VALUE"""),"2025-12-04 17:41:10")</f>
        <v>2025-12-04 17:41:10</v>
      </c>
      <c r="D707" s="763" t="str">
        <f>IFERROR(__xludf.DUMMYFUNCTION("""COMPUTED_VALUE"""),"processing")</f>
        <v>processing</v>
      </c>
      <c r="E707" s="763" t="str">
        <f>IFERROR(__xludf.DUMMYFUNCTION("""COMPUTED_VALUE"""),"Roberta")</f>
        <v>Roberta</v>
      </c>
      <c r="F707" s="763" t="str">
        <f>IFERROR(__xludf.DUMMYFUNCTION("""COMPUTED_VALUE"""),"Rosati")</f>
        <v>Rosati</v>
      </c>
      <c r="G707" s="763" t="str">
        <f>IFERROR(__xludf.DUMMYFUNCTION("""COMPUTED_VALUE"""),"rosatiroberta86@gmail.com")</f>
        <v>rosatiroberta86@gmail.com</v>
      </c>
      <c r="H707" s="763">
        <f>IFERROR(__xludf.DUMMYFUNCTION("""COMPUTED_VALUE"""),3.663676892E9)</f>
        <v>3663676892</v>
      </c>
      <c r="I707" s="763" t="str">
        <f>IFERROR(__xludf.DUMMYFUNCTION("""COMPUTED_VALUE"""),"Milano")</f>
        <v>Milano</v>
      </c>
      <c r="J707" s="763" t="str">
        <f>IFERROR(__xludf.DUMMYFUNCTION("""COMPUTED_VALUE"""),"Via Paolo Mantegazza 35")</f>
        <v>Via Paolo Mantegazza 35</v>
      </c>
      <c r="K707" s="763">
        <f>IFERROR(__xludf.DUMMYFUNCTION("""COMPUTED_VALUE"""),20156.0)</f>
        <v>20156</v>
      </c>
      <c r="L707" s="763" t="str">
        <f>IFERROR(__xludf.DUMMYFUNCTION("""COMPUTED_VALUE"""),"Carte di pagamento")</f>
        <v>Carte di pagamento</v>
      </c>
      <c r="M707" s="763" t="str">
        <f>IFERROR(__xludf.DUMMYFUNCTION("""COMPUTED_VALUE"""),"alexandra05natale")</f>
        <v>alexandra05natale</v>
      </c>
      <c r="N707" s="763" t="str">
        <f>IFERROR(__xludf.DUMMYFUNCTION("""COMPUTED_VALUE"""),"66641-1764870072")</f>
        <v>66641-1764870072</v>
      </c>
      <c r="O707" s="763">
        <f>IFERROR(__xludf.DUMMYFUNCTION("""COMPUTED_VALUE"""),0.0)</f>
        <v>0</v>
      </c>
      <c r="P707" s="767">
        <f>IFERROR(__xludf.DUMMYFUNCTION("""COMPUTED_VALUE"""),0.8333333333333334)</f>
        <v>0.8333333333</v>
      </c>
      <c r="Q707" s="763" t="str">
        <f>IFERROR(__xludf.DUMMYFUNCTION("""COMPUTED_VALUE"""),"EUR")</f>
        <v>EUR</v>
      </c>
      <c r="R707" s="763">
        <f>IFERROR(__xludf.DUMMYFUNCTION("""COMPUTED_VALUE"""),1295.0)</f>
        <v>1295</v>
      </c>
      <c r="S707" s="763" t="str">
        <f>IFERROR(__xludf.DUMMYFUNCTION("""COMPUTED_VALUE"""),"Festa di Natale 2025 - Festa di natale 2025 SOLO serata 25€")</f>
        <v>Festa di Natale 2025 - Festa di natale 2025 SOLO serata 25€</v>
      </c>
      <c r="T707" s="763"/>
      <c r="U707" s="763"/>
      <c r="V707" s="763">
        <f>IFERROR(__xludf.DUMMYFUNCTION("""COMPUTED_VALUE"""),1.0)</f>
        <v>1</v>
      </c>
      <c r="W707" s="763">
        <f>IFERROR(__xludf.DUMMYFUNCTION("""COMPUTED_VALUE"""),20.0)</f>
        <v>20</v>
      </c>
      <c r="X707" s="763">
        <f>IFERROR(__xludf.DUMMYFUNCTION("""COMPUTED_VALUE"""),20.0)</f>
        <v>20</v>
      </c>
      <c r="Y707" s="763"/>
      <c r="Z707" s="768" t="str">
        <f>IFERROR(__xludf.DUMMYFUNCTION("""COMPUTED_VALUE"""),"https://studio-gem.it/wp-admin/post.php?post=66641&amp;action=edit")</f>
        <v>https://studio-gem.it/wp-admin/post.php?post=66641&amp;action=edit</v>
      </c>
      <c r="AA707" s="763"/>
      <c r="AB707" s="763"/>
      <c r="AC707" s="763"/>
      <c r="AD707" s="763"/>
      <c r="AE707" s="763"/>
      <c r="AF707" s="763"/>
      <c r="AG707" s="763"/>
      <c r="AH707" s="763"/>
      <c r="AI707" s="763"/>
      <c r="AJ707" s="763"/>
      <c r="AK707" s="763"/>
      <c r="AL707" s="763"/>
      <c r="AM707" s="763"/>
      <c r="AN707" s="763"/>
      <c r="AO707" s="763"/>
      <c r="AP707" s="763"/>
      <c r="AQ707" s="763"/>
      <c r="AR707" s="763"/>
      <c r="AS707" s="763"/>
      <c r="AT707" s="763"/>
      <c r="AU707" s="763"/>
      <c r="AV707" s="763"/>
      <c r="AW707" s="763"/>
      <c r="AX707" s="763"/>
      <c r="AY707" s="763"/>
      <c r="AZ707" s="763"/>
      <c r="BA707" s="763"/>
      <c r="BB707" s="763"/>
      <c r="BC707" s="763"/>
      <c r="BD707" s="763"/>
      <c r="BE707" s="763"/>
      <c r="BF707" s="763"/>
      <c r="BG707" s="763" t="b">
        <f>IFERROR(__xludf.DUMMYFUNCTION("""COMPUTED_VALUE"""),TRUE)</f>
        <v>1</v>
      </c>
      <c r="BH707" s="763" t="b">
        <f>IFERROR(__xludf.DUMMYFUNCTION("""COMPUTED_VALUE"""),FALSE)</f>
        <v>0</v>
      </c>
      <c r="BI707" s="763" t="b">
        <f>IFERROR(__xludf.DUMMYFUNCTION("""COMPUTED_VALUE"""),TRUE)</f>
        <v>1</v>
      </c>
      <c r="BJ707" s="763" t="b">
        <f>IFERROR(__xludf.DUMMYFUNCTION("""COMPUTED_VALUE"""),TRUE)</f>
        <v>1</v>
      </c>
    </row>
    <row r="708">
      <c r="A708" s="763">
        <f>IFERROR(__xludf.DUMMYFUNCTION("""COMPUTED_VALUE"""),66642.0)</f>
        <v>66642</v>
      </c>
      <c r="B708" s="763">
        <f>IFERROR(__xludf.DUMMYFUNCTION("""COMPUTED_VALUE"""),66642.0)</f>
        <v>66642</v>
      </c>
      <c r="C708" s="763" t="str">
        <f>IFERROR(__xludf.DUMMYFUNCTION("""COMPUTED_VALUE"""),"2025-12-04 18:39:01")</f>
        <v>2025-12-04 18:39:01</v>
      </c>
      <c r="D708" s="763" t="str">
        <f>IFERROR(__xludf.DUMMYFUNCTION("""COMPUTED_VALUE"""),"completed")</f>
        <v>completed</v>
      </c>
      <c r="E708" s="763" t="str">
        <f>IFERROR(__xludf.DUMMYFUNCTION("""COMPUTED_VALUE"""),"federico")</f>
        <v>federico</v>
      </c>
      <c r="F708" s="763" t="str">
        <f>IFERROR(__xludf.DUMMYFUNCTION("""COMPUTED_VALUE"""),"sapienza")</f>
        <v>sapienza</v>
      </c>
      <c r="G708" s="763" t="str">
        <f>IFERROR(__xludf.DUMMYFUNCTION("""COMPUTED_VALUE"""),"fesap95@gmail.com")</f>
        <v>fesap95@gmail.com</v>
      </c>
      <c r="H708" s="763">
        <f>IFERROR(__xludf.DUMMYFUNCTION("""COMPUTED_VALUE"""),3.349116313E9)</f>
        <v>3349116313</v>
      </c>
      <c r="I708" s="763" t="str">
        <f>IFERROR(__xludf.DUMMYFUNCTION("""COMPUTED_VALUE"""),"Lissone")</f>
        <v>Lissone</v>
      </c>
      <c r="J708" s="763" t="str">
        <f>IFERROR(__xludf.DUMMYFUNCTION("""COMPUTED_VALUE"""),"Solferino 84")</f>
        <v>Solferino 84</v>
      </c>
      <c r="K708" s="763">
        <f>IFERROR(__xludf.DUMMYFUNCTION("""COMPUTED_VALUE"""),20851.0)</f>
        <v>20851</v>
      </c>
      <c r="L708" s="763" t="str">
        <f>IFERROR(__xludf.DUMMYFUNCTION("""COMPUTED_VALUE"""),"Google Pay")</f>
        <v>Google Pay</v>
      </c>
      <c r="M708" s="763" t="str">
        <f>IFERROR(__xludf.DUMMYFUNCTION("""COMPUTED_VALUE"""),"alexandra05natale")</f>
        <v>alexandra05natale</v>
      </c>
      <c r="N708" s="763" t="str">
        <f>IFERROR(__xludf.DUMMYFUNCTION("""COMPUTED_VALUE"""),"66642-1764873543")</f>
        <v>66642-1764873543</v>
      </c>
      <c r="O708" s="763">
        <f>IFERROR(__xludf.DUMMYFUNCTION("""COMPUTED_VALUE"""),0.0)</f>
        <v>0</v>
      </c>
      <c r="P708" s="767">
        <f>IFERROR(__xludf.DUMMYFUNCTION("""COMPUTED_VALUE"""),0.8333333333333334)</f>
        <v>0.8333333333</v>
      </c>
      <c r="Q708" s="763" t="str">
        <f>IFERROR(__xludf.DUMMYFUNCTION("""COMPUTED_VALUE"""),"EUR")</f>
        <v>EUR</v>
      </c>
      <c r="R708" s="763">
        <f>IFERROR(__xludf.DUMMYFUNCTION("""COMPUTED_VALUE"""),1297.0)</f>
        <v>1297</v>
      </c>
      <c r="S708" s="763" t="str">
        <f>IFERROR(__xludf.DUMMYFUNCTION("""COMPUTED_VALUE"""),"Festa di Natale 2025 - Festa di natale 2025 SOLO serata 25€")</f>
        <v>Festa di Natale 2025 - Festa di natale 2025 SOLO serata 25€</v>
      </c>
      <c r="T708" s="763"/>
      <c r="U708" s="763"/>
      <c r="V708" s="763">
        <f>IFERROR(__xludf.DUMMYFUNCTION("""COMPUTED_VALUE"""),1.0)</f>
        <v>1</v>
      </c>
      <c r="W708" s="763">
        <f>IFERROR(__xludf.DUMMYFUNCTION("""COMPUTED_VALUE"""),20.0)</f>
        <v>20</v>
      </c>
      <c r="X708" s="763">
        <f>IFERROR(__xludf.DUMMYFUNCTION("""COMPUTED_VALUE"""),20.0)</f>
        <v>20</v>
      </c>
      <c r="Y708" s="763"/>
      <c r="Z708" s="768" t="str">
        <f>IFERROR(__xludf.DUMMYFUNCTION("""COMPUTED_VALUE"""),"https://studio-gem.it/wp-admin/post.php?post=66642&amp;action=edit")</f>
        <v>https://studio-gem.it/wp-admin/post.php?post=66642&amp;action=edit</v>
      </c>
      <c r="AA708" s="763"/>
      <c r="AB708" s="763"/>
      <c r="AC708" s="763"/>
      <c r="AD708" s="763"/>
      <c r="AE708" s="763"/>
      <c r="AF708" s="763"/>
      <c r="AG708" s="763"/>
      <c r="AH708" s="763"/>
      <c r="AI708" s="763"/>
      <c r="AJ708" s="763"/>
      <c r="AK708" s="763"/>
      <c r="AL708" s="763"/>
      <c r="AM708" s="763"/>
      <c r="AN708" s="763"/>
      <c r="AO708" s="763"/>
      <c r="AP708" s="763"/>
      <c r="AQ708" s="763"/>
      <c r="AR708" s="763"/>
      <c r="AS708" s="763"/>
      <c r="AT708" s="763"/>
      <c r="AU708" s="763"/>
      <c r="AV708" s="763"/>
      <c r="AW708" s="763"/>
      <c r="AX708" s="763"/>
      <c r="AY708" s="763"/>
      <c r="AZ708" s="763"/>
      <c r="BA708" s="763"/>
      <c r="BB708" s="763"/>
      <c r="BC708" s="763"/>
      <c r="BD708" s="763"/>
      <c r="BE708" s="763"/>
      <c r="BF708" s="763"/>
      <c r="BG708" s="763" t="b">
        <f>IFERROR(__xludf.DUMMYFUNCTION("""COMPUTED_VALUE"""),TRUE)</f>
        <v>1</v>
      </c>
      <c r="BH708" s="763" t="b">
        <f>IFERROR(__xludf.DUMMYFUNCTION("""COMPUTED_VALUE"""),FALSE)</f>
        <v>0</v>
      </c>
      <c r="BI708" s="763" t="b">
        <f>IFERROR(__xludf.DUMMYFUNCTION("""COMPUTED_VALUE"""),TRUE)</f>
        <v>1</v>
      </c>
      <c r="BJ708" s="763" t="b">
        <f>IFERROR(__xludf.DUMMYFUNCTION("""COMPUTED_VALUE"""),TRUE)</f>
        <v>1</v>
      </c>
    </row>
    <row r="709">
      <c r="A709" s="763">
        <f>IFERROR(__xludf.DUMMYFUNCTION("""COMPUTED_VALUE"""),66644.0)</f>
        <v>66644</v>
      </c>
      <c r="B709" s="763">
        <f>IFERROR(__xludf.DUMMYFUNCTION("""COMPUTED_VALUE"""),66644.0)</f>
        <v>66644</v>
      </c>
      <c r="C709" s="763" t="str">
        <f>IFERROR(__xludf.DUMMYFUNCTION("""COMPUTED_VALUE"""),"2025-12-04 19:08:51")</f>
        <v>2025-12-04 19:08:51</v>
      </c>
      <c r="D709" s="763" t="str">
        <f>IFERROR(__xludf.DUMMYFUNCTION("""COMPUTED_VALUE"""),"completed")</f>
        <v>completed</v>
      </c>
      <c r="E709" s="763" t="str">
        <f>IFERROR(__xludf.DUMMYFUNCTION("""COMPUTED_VALUE"""),"Melina")</f>
        <v>Melina</v>
      </c>
      <c r="F709" s="763" t="str">
        <f>IFERROR(__xludf.DUMMYFUNCTION("""COMPUTED_VALUE"""),"De la Cruz")</f>
        <v>De la Cruz</v>
      </c>
      <c r="G709" s="763" t="str">
        <f>IFERROR(__xludf.DUMMYFUNCTION("""COMPUTED_VALUE"""),"m.dlacruzr@gmail.com")</f>
        <v>m.dlacruzr@gmail.com</v>
      </c>
      <c r="H709" s="763">
        <f>IFERROR(__xludf.DUMMYFUNCTION("""COMPUTED_VALUE"""),3.273652309E9)</f>
        <v>3273652309</v>
      </c>
      <c r="I709" s="763" t="str">
        <f>IFERROR(__xludf.DUMMYFUNCTION("""COMPUTED_VALUE"""),"Milano")</f>
        <v>Milano</v>
      </c>
      <c r="J709" s="763" t="str">
        <f>IFERROR(__xludf.DUMMYFUNCTION("""COMPUTED_VALUE"""),"Giovanni Pezzotti, 59")</f>
        <v>Giovanni Pezzotti, 59</v>
      </c>
      <c r="K709" s="763">
        <f>IFERROR(__xludf.DUMMYFUNCTION("""COMPUTED_VALUE"""),20142.0)</f>
        <v>20142</v>
      </c>
      <c r="L709" s="763" t="str">
        <f>IFERROR(__xludf.DUMMYFUNCTION("""COMPUTED_VALUE"""),"Carte di pagamento")</f>
        <v>Carte di pagamento</v>
      </c>
      <c r="M709" s="763" t="str">
        <f>IFERROR(__xludf.DUMMYFUNCTION("""COMPUTED_VALUE"""),"nura02ws")</f>
        <v>nura02ws</v>
      </c>
      <c r="N709" s="763" t="str">
        <f>IFERROR(__xludf.DUMMYFUNCTION("""COMPUTED_VALUE"""),"66644-1764875333")</f>
        <v>66644-1764875333</v>
      </c>
      <c r="O709" s="763">
        <f>IFERROR(__xludf.DUMMYFUNCTION("""COMPUTED_VALUE"""),0.0)</f>
        <v>0</v>
      </c>
      <c r="P709" s="767">
        <f>IFERROR(__xludf.DUMMYFUNCTION("""COMPUTED_VALUE"""),1.25)</f>
        <v>1.25</v>
      </c>
      <c r="Q709" s="763" t="str">
        <f>IFERROR(__xludf.DUMMYFUNCTION("""COMPUTED_VALUE"""),"EUR")</f>
        <v>EUR</v>
      </c>
      <c r="R709" s="763">
        <f>IFERROR(__xludf.DUMMYFUNCTION("""COMPUTED_VALUE"""),1299.0)</f>
        <v>1299</v>
      </c>
      <c r="S709" s="763" t="str">
        <f>IFERROR(__xludf.DUMMYFUNCTION("""COMPUTED_VALUE"""),"Workshop Salsa flamenco e pasitos con Nerea Perez - Workshop Nerea Salsa Flamenco")</f>
        <v>Workshop Salsa flamenco e pasitos con Nerea Perez - Workshop Nerea Salsa Flamenco</v>
      </c>
      <c r="T709" s="763"/>
      <c r="U709" s="763"/>
      <c r="V709" s="763">
        <f>IFERROR(__xludf.DUMMYFUNCTION("""COMPUTED_VALUE"""),1.0)</f>
        <v>1</v>
      </c>
      <c r="W709" s="763">
        <f>IFERROR(__xludf.DUMMYFUNCTION("""COMPUTED_VALUE"""),30.0)</f>
        <v>30</v>
      </c>
      <c r="X709" s="763">
        <f>IFERROR(__xludf.DUMMYFUNCTION("""COMPUTED_VALUE"""),30.0)</f>
        <v>30</v>
      </c>
      <c r="Y709" s="763"/>
      <c r="Z709" s="768" t="str">
        <f>IFERROR(__xludf.DUMMYFUNCTION("""COMPUTED_VALUE"""),"https://studio-gem.it/wp-admin/post.php?post=66644&amp;action=edit")</f>
        <v>https://studio-gem.it/wp-admin/post.php?post=66644&amp;action=edit</v>
      </c>
      <c r="AA709" s="763"/>
      <c r="AB709" s="763"/>
      <c r="AC709" s="763"/>
      <c r="AD709" s="763"/>
      <c r="AE709" s="763"/>
      <c r="AF709" s="763"/>
      <c r="AG709" s="763"/>
      <c r="AH709" s="763"/>
      <c r="AI709" s="763"/>
      <c r="AJ709" s="763"/>
      <c r="AK709" s="763"/>
      <c r="AL709" s="763"/>
      <c r="AM709" s="763"/>
      <c r="AN709" s="763"/>
      <c r="AO709" s="763"/>
      <c r="AP709" s="763"/>
      <c r="AQ709" s="763"/>
      <c r="AR709" s="763"/>
      <c r="AS709" s="763"/>
      <c r="AT709" s="763"/>
      <c r="AU709" s="763"/>
      <c r="AV709" s="763"/>
      <c r="AW709" s="763"/>
      <c r="AX709" s="763"/>
      <c r="AY709" s="763"/>
      <c r="AZ709" s="763"/>
      <c r="BA709" s="763"/>
      <c r="BB709" s="763"/>
      <c r="BC709" s="763"/>
      <c r="BD709" s="763"/>
      <c r="BE709" s="763"/>
      <c r="BF709" s="763"/>
      <c r="BG709" s="763" t="b">
        <f>IFERROR(__xludf.DUMMYFUNCTION("""COMPUTED_VALUE"""),TRUE)</f>
        <v>1</v>
      </c>
      <c r="BH709" s="763" t="b">
        <f>IFERROR(__xludf.DUMMYFUNCTION("""COMPUTED_VALUE"""),FALSE)</f>
        <v>0</v>
      </c>
      <c r="BI709" s="763" t="b">
        <f>IFERROR(__xludf.DUMMYFUNCTION("""COMPUTED_VALUE"""),TRUE)</f>
        <v>1</v>
      </c>
      <c r="BJ709" s="763" t="b">
        <f>IFERROR(__xludf.DUMMYFUNCTION("""COMPUTED_VALUE"""),TRUE)</f>
        <v>1</v>
      </c>
    </row>
    <row r="710">
      <c r="A710" s="763">
        <f>IFERROR(__xludf.DUMMYFUNCTION("""COMPUTED_VALUE"""),66652.0)</f>
        <v>66652</v>
      </c>
      <c r="B710" s="763">
        <f>IFERROR(__xludf.DUMMYFUNCTION("""COMPUTED_VALUE"""),66652.0)</f>
        <v>66652</v>
      </c>
      <c r="C710" s="763" t="str">
        <f>IFERROR(__xludf.DUMMYFUNCTION("""COMPUTED_VALUE"""),"2025-12-05 08:44:20")</f>
        <v>2025-12-05 08:44:20</v>
      </c>
      <c r="D710" s="763" t="str">
        <f>IFERROR(__xludf.DUMMYFUNCTION("""COMPUTED_VALUE"""),"completed")</f>
        <v>completed</v>
      </c>
      <c r="E710" s="763" t="str">
        <f>IFERROR(__xludf.DUMMYFUNCTION("""COMPUTED_VALUE"""),"Katia")</f>
        <v>Katia</v>
      </c>
      <c r="F710" s="763" t="str">
        <f>IFERROR(__xludf.DUMMYFUNCTION("""COMPUTED_VALUE"""),"Carriero")</f>
        <v>Carriero</v>
      </c>
      <c r="G710" s="763" t="str">
        <f>IFERROR(__xludf.DUMMYFUNCTION("""COMPUTED_VALUE"""),"katcarriero@me.com")</f>
        <v>katcarriero@me.com</v>
      </c>
      <c r="H710" s="763">
        <f>IFERROR(__xludf.DUMMYFUNCTION("""COMPUTED_VALUE"""),3.388937024E9)</f>
        <v>3388937024</v>
      </c>
      <c r="I710" s="763" t="str">
        <f>IFERROR(__xludf.DUMMYFUNCTION("""COMPUTED_VALUE"""),"Milano")</f>
        <v>Milano</v>
      </c>
      <c r="J710" s="763" t="str">
        <f>IFERROR(__xludf.DUMMYFUNCTION("""COMPUTED_VALUE"""),"Corso di porta romana 78/a")</f>
        <v>Corso di porta romana 78/a</v>
      </c>
      <c r="K710" s="763">
        <f>IFERROR(__xludf.DUMMYFUNCTION("""COMPUTED_VALUE"""),20122.0)</f>
        <v>20122</v>
      </c>
      <c r="L710" s="763" t="str">
        <f>IFERROR(__xludf.DUMMYFUNCTION("""COMPUTED_VALUE"""),"Apple Pay")</f>
        <v>Apple Pay</v>
      </c>
      <c r="M710" s="763" t="str">
        <f>IFERROR(__xludf.DUMMYFUNCTION("""COMPUTED_VALUE"""),"santo05natale")</f>
        <v>santo05natale</v>
      </c>
      <c r="N710" s="763" t="str">
        <f>IFERROR(__xludf.DUMMYFUNCTION("""COMPUTED_VALUE"""),"66652-1764924408")</f>
        <v>66652-1764924408</v>
      </c>
      <c r="O710" s="763">
        <f>IFERROR(__xludf.DUMMYFUNCTION("""COMPUTED_VALUE"""),0.0)</f>
        <v>0</v>
      </c>
      <c r="P710" s="767">
        <f>IFERROR(__xludf.DUMMYFUNCTION("""COMPUTED_VALUE"""),0.8333333333333334)</f>
        <v>0.8333333333</v>
      </c>
      <c r="Q710" s="763" t="str">
        <f>IFERROR(__xludf.DUMMYFUNCTION("""COMPUTED_VALUE"""),"EUR")</f>
        <v>EUR</v>
      </c>
      <c r="R710" s="763">
        <f>IFERROR(__xludf.DUMMYFUNCTION("""COMPUTED_VALUE"""),1303.0)</f>
        <v>1303</v>
      </c>
      <c r="S710" s="763" t="str">
        <f>IFERROR(__xludf.DUMMYFUNCTION("""COMPUTED_VALUE"""),"Festa di Natale 2025 - Festa di natale 2025 SOLO serata 25€")</f>
        <v>Festa di Natale 2025 - Festa di natale 2025 SOLO serata 25€</v>
      </c>
      <c r="T710" s="763"/>
      <c r="U710" s="763"/>
      <c r="V710" s="763">
        <f>IFERROR(__xludf.DUMMYFUNCTION("""COMPUTED_VALUE"""),1.0)</f>
        <v>1</v>
      </c>
      <c r="W710" s="763">
        <f>IFERROR(__xludf.DUMMYFUNCTION("""COMPUTED_VALUE"""),20.0)</f>
        <v>20</v>
      </c>
      <c r="X710" s="763">
        <f>IFERROR(__xludf.DUMMYFUNCTION("""COMPUTED_VALUE"""),20.0)</f>
        <v>20</v>
      </c>
      <c r="Y710" s="763"/>
      <c r="Z710" s="768" t="str">
        <f>IFERROR(__xludf.DUMMYFUNCTION("""COMPUTED_VALUE"""),"https://studio-gem.it/wp-admin/post.php?post=66652&amp;action=edit")</f>
        <v>https://studio-gem.it/wp-admin/post.php?post=66652&amp;action=edit</v>
      </c>
      <c r="AA710" s="763"/>
      <c r="AB710" s="763"/>
      <c r="AC710" s="763"/>
      <c r="AD710" s="763"/>
      <c r="AE710" s="763"/>
      <c r="AF710" s="763"/>
      <c r="AG710" s="763"/>
      <c r="AH710" s="763"/>
      <c r="AI710" s="763"/>
      <c r="AJ710" s="763"/>
      <c r="AK710" s="763"/>
      <c r="AL710" s="763"/>
      <c r="AM710" s="763"/>
      <c r="AN710" s="763"/>
      <c r="AO710" s="763"/>
      <c r="AP710" s="763"/>
      <c r="AQ710" s="763"/>
      <c r="AR710" s="763"/>
      <c r="AS710" s="763"/>
      <c r="AT710" s="763"/>
      <c r="AU710" s="763"/>
      <c r="AV710" s="763"/>
      <c r="AW710" s="763"/>
      <c r="AX710" s="763"/>
      <c r="AY710" s="763"/>
      <c r="AZ710" s="763"/>
      <c r="BA710" s="763"/>
      <c r="BB710" s="763"/>
      <c r="BC710" s="763"/>
      <c r="BD710" s="763"/>
      <c r="BE710" s="763"/>
      <c r="BF710" s="763"/>
      <c r="BG710" s="763" t="b">
        <f>IFERROR(__xludf.DUMMYFUNCTION("""COMPUTED_VALUE"""),TRUE)</f>
        <v>1</v>
      </c>
      <c r="BH710" s="763" t="b">
        <f>IFERROR(__xludf.DUMMYFUNCTION("""COMPUTED_VALUE"""),FALSE)</f>
        <v>0</v>
      </c>
      <c r="BI710" s="763" t="b">
        <f>IFERROR(__xludf.DUMMYFUNCTION("""COMPUTED_VALUE"""),TRUE)</f>
        <v>1</v>
      </c>
      <c r="BJ710" s="763" t="b">
        <f>IFERROR(__xludf.DUMMYFUNCTION("""COMPUTED_VALUE"""),TRUE)</f>
        <v>1</v>
      </c>
    </row>
    <row r="711">
      <c r="A711" s="763">
        <f>IFERROR(__xludf.DUMMYFUNCTION("""COMPUTED_VALUE"""),66655.0)</f>
        <v>66655</v>
      </c>
      <c r="B711" s="763">
        <f>IFERROR(__xludf.DUMMYFUNCTION("""COMPUTED_VALUE"""),66655.0)</f>
        <v>66655</v>
      </c>
      <c r="C711" s="763" t="str">
        <f>IFERROR(__xludf.DUMMYFUNCTION("""COMPUTED_VALUE"""),"2025-12-05 10:09:46")</f>
        <v>2025-12-05 10:09:46</v>
      </c>
      <c r="D711" s="763" t="str">
        <f>IFERROR(__xludf.DUMMYFUNCTION("""COMPUTED_VALUE"""),"failed")</f>
        <v>failed</v>
      </c>
      <c r="E711" s="763" t="str">
        <f>IFERROR(__xludf.DUMMYFUNCTION("""COMPUTED_VALUE"""),"SILVIA")</f>
        <v>SILVIA</v>
      </c>
      <c r="F711" s="763" t="str">
        <f>IFERROR(__xludf.DUMMYFUNCTION("""COMPUTED_VALUE"""),"ALBERGONI")</f>
        <v>ALBERGONI</v>
      </c>
      <c r="G711" s="763" t="str">
        <f>IFERROR(__xludf.DUMMYFUNCTION("""COMPUTED_VALUE"""),"albergoni.silvia@gmail.com")</f>
        <v>albergoni.silvia@gmail.com</v>
      </c>
      <c r="H711" s="763">
        <f>IFERROR(__xludf.DUMMYFUNCTION("""COMPUTED_VALUE"""),3.453389422E9)</f>
        <v>3453389422</v>
      </c>
      <c r="I711" s="763" t="str">
        <f>IFERROR(__xludf.DUMMYFUNCTION("""COMPUTED_VALUE"""),"TREVIGLIO")</f>
        <v>TREVIGLIO</v>
      </c>
      <c r="J711" s="763" t="str">
        <f>IFERROR(__xludf.DUMMYFUNCTION("""COMPUTED_VALUE"""),"Via Vasco de gamma 4")</f>
        <v>Via Vasco de gamma 4</v>
      </c>
      <c r="K711" s="763">
        <f>IFERROR(__xludf.DUMMYFUNCTION("""COMPUTED_VALUE"""),24047.0)</f>
        <v>24047</v>
      </c>
      <c r="L711" s="763" t="str">
        <f>IFERROR(__xludf.DUMMYFUNCTION("""COMPUTED_VALUE"""),"Carte di pagamento")</f>
        <v>Carte di pagamento</v>
      </c>
      <c r="M711" s="763" t="str">
        <f>IFERROR(__xludf.DUMMYFUNCTION("""COMPUTED_VALUE"""),"santo05natale")</f>
        <v>santo05natale</v>
      </c>
      <c r="N711" s="763"/>
      <c r="O711" s="763">
        <f>IFERROR(__xludf.DUMMYFUNCTION("""COMPUTED_VALUE"""),0.0)</f>
        <v>0</v>
      </c>
      <c r="P711" s="767">
        <f>IFERROR(__xludf.DUMMYFUNCTION("""COMPUTED_VALUE"""),0.8333333333333334)</f>
        <v>0.8333333333</v>
      </c>
      <c r="Q711" s="763" t="str">
        <f>IFERROR(__xludf.DUMMYFUNCTION("""COMPUTED_VALUE"""),"EUR")</f>
        <v>EUR</v>
      </c>
      <c r="R711" s="763">
        <f>IFERROR(__xludf.DUMMYFUNCTION("""COMPUTED_VALUE"""),1307.0)</f>
        <v>1307</v>
      </c>
      <c r="S711" s="763" t="str">
        <f>IFERROR(__xludf.DUMMYFUNCTION("""COMPUTED_VALUE"""),"Festa di Natale 2025 - Festa di natale 2025 SOLO serata 25€")</f>
        <v>Festa di Natale 2025 - Festa di natale 2025 SOLO serata 25€</v>
      </c>
      <c r="T711" s="763"/>
      <c r="U711" s="763"/>
      <c r="V711" s="763">
        <f>IFERROR(__xludf.DUMMYFUNCTION("""COMPUTED_VALUE"""),1.0)</f>
        <v>1</v>
      </c>
      <c r="W711" s="763">
        <f>IFERROR(__xludf.DUMMYFUNCTION("""COMPUTED_VALUE"""),20.0)</f>
        <v>20</v>
      </c>
      <c r="X711" s="763">
        <f>IFERROR(__xludf.DUMMYFUNCTION("""COMPUTED_VALUE"""),20.0)</f>
        <v>20</v>
      </c>
      <c r="Y711" s="763"/>
      <c r="Z711" s="768" t="str">
        <f>IFERROR(__xludf.DUMMYFUNCTION("""COMPUTED_VALUE"""),"https://studio-gem.it/wp-admin/post.php?post=66655&amp;action=edit")</f>
        <v>https://studio-gem.it/wp-admin/post.php?post=66655&amp;action=edit</v>
      </c>
      <c r="AA711" s="763"/>
      <c r="AB711" s="763"/>
      <c r="AC711" s="763"/>
      <c r="AD711" s="763"/>
      <c r="AE711" s="763"/>
      <c r="AF711" s="763"/>
      <c r="AG711" s="763"/>
      <c r="AH711" s="763"/>
      <c r="AI711" s="763"/>
      <c r="AJ711" s="763"/>
      <c r="AK711" s="763"/>
      <c r="AL711" s="763"/>
      <c r="AM711" s="763"/>
      <c r="AN711" s="763"/>
      <c r="AO711" s="763"/>
      <c r="AP711" s="763"/>
      <c r="AQ711" s="763"/>
      <c r="AR711" s="763"/>
      <c r="AS711" s="763"/>
      <c r="AT711" s="763"/>
      <c r="AU711" s="763"/>
      <c r="AV711" s="763"/>
      <c r="AW711" s="763"/>
      <c r="AX711" s="763"/>
      <c r="AY711" s="763"/>
      <c r="AZ711" s="763"/>
      <c r="BA711" s="763"/>
      <c r="BB711" s="763"/>
      <c r="BC711" s="763"/>
      <c r="BD711" s="763"/>
      <c r="BE711" s="763"/>
      <c r="BF711" s="763"/>
      <c r="BG711" s="763" t="b">
        <f>IFERROR(__xludf.DUMMYFUNCTION("""COMPUTED_VALUE"""),TRUE)</f>
        <v>1</v>
      </c>
      <c r="BH711" s="763" t="b">
        <f>IFERROR(__xludf.DUMMYFUNCTION("""COMPUTED_VALUE"""),FALSE)</f>
        <v>0</v>
      </c>
      <c r="BI711" s="763" t="b">
        <f>IFERROR(__xludf.DUMMYFUNCTION("""COMPUTED_VALUE"""),TRUE)</f>
        <v>1</v>
      </c>
      <c r="BJ711" s="763" t="b">
        <f>IFERROR(__xludf.DUMMYFUNCTION("""COMPUTED_VALUE"""),TRUE)</f>
        <v>1</v>
      </c>
    </row>
    <row r="712">
      <c r="A712" s="763">
        <f>IFERROR(__xludf.DUMMYFUNCTION("""COMPUTED_VALUE"""),66712.0)</f>
        <v>66712</v>
      </c>
      <c r="B712" s="763">
        <f>IFERROR(__xludf.DUMMYFUNCTION("""COMPUTED_VALUE"""),66712.0)</f>
        <v>66712</v>
      </c>
      <c r="C712" s="763" t="str">
        <f>IFERROR(__xludf.DUMMYFUNCTION("""COMPUTED_VALUE"""),"2025-12-05 13:36:53")</f>
        <v>2025-12-05 13:36:53</v>
      </c>
      <c r="D712" s="763" t="str">
        <f>IFERROR(__xludf.DUMMYFUNCTION("""COMPUTED_VALUE"""),"completed")</f>
        <v>completed</v>
      </c>
      <c r="E712" s="763" t="str">
        <f>IFERROR(__xludf.DUMMYFUNCTION("""COMPUTED_VALUE"""),"Luca")</f>
        <v>Luca</v>
      </c>
      <c r="F712" s="763" t="str">
        <f>IFERROR(__xludf.DUMMYFUNCTION("""COMPUTED_VALUE"""),"Guglielmini")</f>
        <v>Guglielmini</v>
      </c>
      <c r="G712" s="763" t="str">
        <f>IFERROR(__xludf.DUMMYFUNCTION("""COMPUTED_VALUE"""),"guglie98@gmail.com")</f>
        <v>guglie98@gmail.com</v>
      </c>
      <c r="H712" s="763">
        <f>IFERROR(__xludf.DUMMYFUNCTION("""COMPUTED_VALUE"""),3.341831546E9)</f>
        <v>3341831546</v>
      </c>
      <c r="I712" s="763" t="str">
        <f>IFERROR(__xludf.DUMMYFUNCTION("""COMPUTED_VALUE"""),"Milano")</f>
        <v>Milano</v>
      </c>
      <c r="J712" s="763" t="str">
        <f>IFERROR(__xludf.DUMMYFUNCTION("""COMPUTED_VALUE"""),"Via don carlo gnocchi 28")</f>
        <v>Via don carlo gnocchi 28</v>
      </c>
      <c r="K712" s="763">
        <f>IFERROR(__xludf.DUMMYFUNCTION("""COMPUTED_VALUE"""),20148.0)</f>
        <v>20148</v>
      </c>
      <c r="L712" s="763" t="str">
        <f>IFERROR(__xludf.DUMMYFUNCTION("""COMPUTED_VALUE"""),"Google Pay")</f>
        <v>Google Pay</v>
      </c>
      <c r="M712" s="763" t="str">
        <f>IFERROR(__xludf.DUMMYFUNCTION("""COMPUTED_VALUE"""),"santo05natale")</f>
        <v>santo05natale</v>
      </c>
      <c r="N712" s="763" t="str">
        <f>IFERROR(__xludf.DUMMYFUNCTION("""COMPUTED_VALUE"""),"66712-1764941815")</f>
        <v>66712-1764941815</v>
      </c>
      <c r="O712" s="763">
        <f>IFERROR(__xludf.DUMMYFUNCTION("""COMPUTED_VALUE"""),0.0)</f>
        <v>0</v>
      </c>
      <c r="P712" s="767">
        <f>IFERROR(__xludf.DUMMYFUNCTION("""COMPUTED_VALUE"""),0.8333333333333334)</f>
        <v>0.8333333333</v>
      </c>
      <c r="Q712" s="763" t="str">
        <f>IFERROR(__xludf.DUMMYFUNCTION("""COMPUTED_VALUE"""),"EUR")</f>
        <v>EUR</v>
      </c>
      <c r="R712" s="763">
        <f>IFERROR(__xludf.DUMMYFUNCTION("""COMPUTED_VALUE"""),1309.0)</f>
        <v>1309</v>
      </c>
      <c r="S712" s="763" t="str">
        <f>IFERROR(__xludf.DUMMYFUNCTION("""COMPUTED_VALUE"""),"Festa di Natale 2025 - Festa di natale 2025 SOLO serata 25€")</f>
        <v>Festa di Natale 2025 - Festa di natale 2025 SOLO serata 25€</v>
      </c>
      <c r="T712" s="763"/>
      <c r="U712" s="763"/>
      <c r="V712" s="763">
        <f>IFERROR(__xludf.DUMMYFUNCTION("""COMPUTED_VALUE"""),1.0)</f>
        <v>1</v>
      </c>
      <c r="W712" s="763">
        <f>IFERROR(__xludf.DUMMYFUNCTION("""COMPUTED_VALUE"""),20.0)</f>
        <v>20</v>
      </c>
      <c r="X712" s="763">
        <f>IFERROR(__xludf.DUMMYFUNCTION("""COMPUTED_VALUE"""),20.0)</f>
        <v>20</v>
      </c>
      <c r="Y712" s="763"/>
      <c r="Z712" s="768" t="str">
        <f>IFERROR(__xludf.DUMMYFUNCTION("""COMPUTED_VALUE"""),"https://studio-gem.it/wp-admin/post.php?post=66712&amp;action=edit")</f>
        <v>https://studio-gem.it/wp-admin/post.php?post=66712&amp;action=edit</v>
      </c>
      <c r="AA712" s="763"/>
      <c r="AB712" s="763"/>
      <c r="AC712" s="763"/>
      <c r="AD712" s="763"/>
      <c r="AE712" s="763"/>
      <c r="AF712" s="763"/>
      <c r="AG712" s="763"/>
      <c r="AH712" s="763"/>
      <c r="AI712" s="763"/>
      <c r="AJ712" s="763"/>
      <c r="AK712" s="763"/>
      <c r="AL712" s="763"/>
      <c r="AM712" s="763"/>
      <c r="AN712" s="763"/>
      <c r="AO712" s="763"/>
      <c r="AP712" s="763"/>
      <c r="AQ712" s="763"/>
      <c r="AR712" s="763"/>
      <c r="AS712" s="763"/>
      <c r="AT712" s="763"/>
      <c r="AU712" s="763"/>
      <c r="AV712" s="763"/>
      <c r="AW712" s="763"/>
      <c r="AX712" s="763"/>
      <c r="AY712" s="763"/>
      <c r="AZ712" s="763"/>
      <c r="BA712" s="763"/>
      <c r="BB712" s="763"/>
      <c r="BC712" s="763"/>
      <c r="BD712" s="763"/>
      <c r="BE712" s="763"/>
      <c r="BF712" s="763"/>
      <c r="BG712" s="763" t="b">
        <f>IFERROR(__xludf.DUMMYFUNCTION("""COMPUTED_VALUE"""),TRUE)</f>
        <v>1</v>
      </c>
      <c r="BH712" s="763" t="b">
        <f>IFERROR(__xludf.DUMMYFUNCTION("""COMPUTED_VALUE"""),FALSE)</f>
        <v>0</v>
      </c>
      <c r="BI712" s="763" t="b">
        <f>IFERROR(__xludf.DUMMYFUNCTION("""COMPUTED_VALUE"""),TRUE)</f>
        <v>1</v>
      </c>
      <c r="BJ712" s="763" t="b">
        <f>IFERROR(__xludf.DUMMYFUNCTION("""COMPUTED_VALUE"""),TRUE)</f>
        <v>1</v>
      </c>
    </row>
    <row r="713">
      <c r="A713" s="763">
        <f>IFERROR(__xludf.DUMMYFUNCTION("""COMPUTED_VALUE"""),66714.0)</f>
        <v>66714</v>
      </c>
      <c r="B713" s="763">
        <f>IFERROR(__xludf.DUMMYFUNCTION("""COMPUTED_VALUE"""),66714.0)</f>
        <v>66714</v>
      </c>
      <c r="C713" s="763" t="str">
        <f>IFERROR(__xludf.DUMMYFUNCTION("""COMPUTED_VALUE"""),"2025-12-05 14:11:45")</f>
        <v>2025-12-05 14:11:45</v>
      </c>
      <c r="D713" s="763" t="str">
        <f>IFERROR(__xludf.DUMMYFUNCTION("""COMPUTED_VALUE"""),"completed")</f>
        <v>completed</v>
      </c>
      <c r="E713" s="763" t="str">
        <f>IFERROR(__xludf.DUMMYFUNCTION("""COMPUTED_VALUE"""),"Veronica")</f>
        <v>Veronica</v>
      </c>
      <c r="F713" s="763" t="str">
        <f>IFERROR(__xludf.DUMMYFUNCTION("""COMPUTED_VALUE"""),"Cundari")</f>
        <v>Cundari</v>
      </c>
      <c r="G713" s="763" t="str">
        <f>IFERROR(__xludf.DUMMYFUNCTION("""COMPUTED_VALUE"""),"veronica.cundari@gmail.com")</f>
        <v>veronica.cundari@gmail.com</v>
      </c>
      <c r="H713" s="763">
        <f>IFERROR(__xludf.DUMMYFUNCTION("""COMPUTED_VALUE"""),3.475946515E9)</f>
        <v>3475946515</v>
      </c>
      <c r="I713" s="763" t="str">
        <f>IFERROR(__xludf.DUMMYFUNCTION("""COMPUTED_VALUE"""),"Milano")</f>
        <v>Milano</v>
      </c>
      <c r="J713" s="763" t="str">
        <f>IFERROR(__xludf.DUMMYFUNCTION("""COMPUTED_VALUE"""),"Viale Lunigiana 25")</f>
        <v>Viale Lunigiana 25</v>
      </c>
      <c r="K713" s="763">
        <f>IFERROR(__xludf.DUMMYFUNCTION("""COMPUTED_VALUE"""),20125.0)</f>
        <v>20125</v>
      </c>
      <c r="L713" s="763" t="str">
        <f>IFERROR(__xludf.DUMMYFUNCTION("""COMPUTED_VALUE"""),"Apple Pay")</f>
        <v>Apple Pay</v>
      </c>
      <c r="M713" s="763" t="str">
        <f>IFERROR(__xludf.DUMMYFUNCTION("""COMPUTED_VALUE"""),"santo05natale")</f>
        <v>santo05natale</v>
      </c>
      <c r="N713" s="763" t="str">
        <f>IFERROR(__xludf.DUMMYFUNCTION("""COMPUTED_VALUE"""),"66714-1764943906")</f>
        <v>66714-1764943906</v>
      </c>
      <c r="O713" s="763">
        <f>IFERROR(__xludf.DUMMYFUNCTION("""COMPUTED_VALUE"""),0.0)</f>
        <v>0</v>
      </c>
      <c r="P713" s="767">
        <f>IFERROR(__xludf.DUMMYFUNCTION("""COMPUTED_VALUE"""),0.8333333333333334)</f>
        <v>0.8333333333</v>
      </c>
      <c r="Q713" s="763" t="str">
        <f>IFERROR(__xludf.DUMMYFUNCTION("""COMPUTED_VALUE"""),"EUR")</f>
        <v>EUR</v>
      </c>
      <c r="R713" s="763">
        <f>IFERROR(__xludf.DUMMYFUNCTION("""COMPUTED_VALUE"""),1311.0)</f>
        <v>1311</v>
      </c>
      <c r="S713" s="763" t="str">
        <f>IFERROR(__xludf.DUMMYFUNCTION("""COMPUTED_VALUE"""),"Festa di Natale 2025 - Festa di natale 2025 SOLO serata 25€")</f>
        <v>Festa di Natale 2025 - Festa di natale 2025 SOLO serata 25€</v>
      </c>
      <c r="T713" s="763"/>
      <c r="U713" s="763"/>
      <c r="V713" s="763">
        <f>IFERROR(__xludf.DUMMYFUNCTION("""COMPUTED_VALUE"""),1.0)</f>
        <v>1</v>
      </c>
      <c r="W713" s="763">
        <f>IFERROR(__xludf.DUMMYFUNCTION("""COMPUTED_VALUE"""),20.0)</f>
        <v>20</v>
      </c>
      <c r="X713" s="763">
        <f>IFERROR(__xludf.DUMMYFUNCTION("""COMPUTED_VALUE"""),20.0)</f>
        <v>20</v>
      </c>
      <c r="Y713" s="763"/>
      <c r="Z713" s="768" t="str">
        <f>IFERROR(__xludf.DUMMYFUNCTION("""COMPUTED_VALUE"""),"https://studio-gem.it/wp-admin/post.php?post=66714&amp;action=edit")</f>
        <v>https://studio-gem.it/wp-admin/post.php?post=66714&amp;action=edit</v>
      </c>
      <c r="AA713" s="763"/>
      <c r="AB713" s="763"/>
      <c r="AC713" s="763"/>
      <c r="AD713" s="763"/>
      <c r="AE713" s="763"/>
      <c r="AF713" s="763"/>
      <c r="AG713" s="763"/>
      <c r="AH713" s="763"/>
      <c r="AI713" s="763"/>
      <c r="AJ713" s="763"/>
      <c r="AK713" s="763"/>
      <c r="AL713" s="763"/>
      <c r="AM713" s="763"/>
      <c r="AN713" s="763"/>
      <c r="AO713" s="763"/>
      <c r="AP713" s="763"/>
      <c r="AQ713" s="763"/>
      <c r="AR713" s="763"/>
      <c r="AS713" s="763"/>
      <c r="AT713" s="763"/>
      <c r="AU713" s="763"/>
      <c r="AV713" s="763"/>
      <c r="AW713" s="763"/>
      <c r="AX713" s="763"/>
      <c r="AY713" s="763"/>
      <c r="AZ713" s="763"/>
      <c r="BA713" s="763"/>
      <c r="BB713" s="763"/>
      <c r="BC713" s="763"/>
      <c r="BD713" s="763"/>
      <c r="BE713" s="763"/>
      <c r="BF713" s="763"/>
      <c r="BG713" s="763" t="b">
        <f>IFERROR(__xludf.DUMMYFUNCTION("""COMPUTED_VALUE"""),TRUE)</f>
        <v>1</v>
      </c>
      <c r="BH713" s="763" t="b">
        <f>IFERROR(__xludf.DUMMYFUNCTION("""COMPUTED_VALUE"""),FALSE)</f>
        <v>0</v>
      </c>
      <c r="BI713" s="763" t="b">
        <f>IFERROR(__xludf.DUMMYFUNCTION("""COMPUTED_VALUE"""),TRUE)</f>
        <v>1</v>
      </c>
      <c r="BJ713" s="763" t="b">
        <f>IFERROR(__xludf.DUMMYFUNCTION("""COMPUTED_VALUE"""),TRUE)</f>
        <v>1</v>
      </c>
    </row>
    <row r="714">
      <c r="A714" s="763">
        <f>IFERROR(__xludf.DUMMYFUNCTION("""COMPUTED_VALUE"""),66719.0)</f>
        <v>66719</v>
      </c>
      <c r="B714" s="763">
        <f>IFERROR(__xludf.DUMMYFUNCTION("""COMPUTED_VALUE"""),66719.0)</f>
        <v>66719</v>
      </c>
      <c r="C714" s="763" t="str">
        <f>IFERROR(__xludf.DUMMYFUNCTION("""COMPUTED_VALUE"""),"2025-12-06 23:21:07")</f>
        <v>2025-12-06 23:21:07</v>
      </c>
      <c r="D714" s="763" t="str">
        <f>IFERROR(__xludf.DUMMYFUNCTION("""COMPUTED_VALUE"""),"processing")</f>
        <v>processing</v>
      </c>
      <c r="E714" s="763" t="str">
        <f>IFERROR(__xludf.DUMMYFUNCTION("""COMPUTED_VALUE"""),"Cristina")</f>
        <v>Cristina</v>
      </c>
      <c r="F714" s="763" t="str">
        <f>IFERROR(__xludf.DUMMYFUNCTION("""COMPUTED_VALUE"""),"Bochicchio")</f>
        <v>Bochicchio</v>
      </c>
      <c r="G714" s="763" t="str">
        <f>IFERROR(__xludf.DUMMYFUNCTION("""COMPUTED_VALUE"""),"cristieboc@gmail.com")</f>
        <v>cristieboc@gmail.com</v>
      </c>
      <c r="H714" s="763">
        <f>IFERROR(__xludf.DUMMYFUNCTION("""COMPUTED_VALUE"""),3.314719792E9)</f>
        <v>3314719792</v>
      </c>
      <c r="I714" s="763" t="str">
        <f>IFERROR(__xludf.DUMMYFUNCTION("""COMPUTED_VALUE"""),"Milano")</f>
        <v>Milano</v>
      </c>
      <c r="J714" s="763" t="str">
        <f>IFERROR(__xludf.DUMMYFUNCTION("""COMPUTED_VALUE"""),"Piazzale Porta Lodovica 3")</f>
        <v>Piazzale Porta Lodovica 3</v>
      </c>
      <c r="K714" s="763">
        <f>IFERROR(__xludf.DUMMYFUNCTION("""COMPUTED_VALUE"""),20136.0)</f>
        <v>20136</v>
      </c>
      <c r="L714" s="763" t="str">
        <f>IFERROR(__xludf.DUMMYFUNCTION("""COMPUTED_VALUE"""),"Carte di pagamento")</f>
        <v>Carte di pagamento</v>
      </c>
      <c r="M714" s="763"/>
      <c r="N714" s="763" t="str">
        <f>IFERROR(__xludf.DUMMYFUNCTION("""COMPUTED_VALUE"""),"66719-1765063269")</f>
        <v>66719-1765063269</v>
      </c>
      <c r="O714" s="763">
        <f>IFERROR(__xludf.DUMMYFUNCTION("""COMPUTED_VALUE"""),0.0)</f>
        <v>0</v>
      </c>
      <c r="P714" s="767">
        <f>IFERROR(__xludf.DUMMYFUNCTION("""COMPUTED_VALUE"""),2.1666666666666665)</f>
        <v>2.166666667</v>
      </c>
      <c r="Q714" s="763" t="str">
        <f>IFERROR(__xludf.DUMMYFUNCTION("""COMPUTED_VALUE"""),"EUR")</f>
        <v>EUR</v>
      </c>
      <c r="R714" s="763">
        <f>IFERROR(__xludf.DUMMYFUNCTION("""COMPUTED_VALUE"""),1313.0)</f>
        <v>1313</v>
      </c>
      <c r="S714" s="763" t="str">
        <f>IFERROR(__xludf.DUMMYFUNCTION("""COMPUTED_VALUE"""),"Workshop Salsa flamenco e pasitos con Nerea Perez - Workshop Nerea Pasitos + pizza e serata festa di natale")</f>
        <v>Workshop Salsa flamenco e pasitos con Nerea Perez - Workshop Nerea Pasitos + pizza e serata festa di natale</v>
      </c>
      <c r="T714" s="763"/>
      <c r="U714" s="763"/>
      <c r="V714" s="763">
        <f>IFERROR(__xludf.DUMMYFUNCTION("""COMPUTED_VALUE"""),1.0)</f>
        <v>1</v>
      </c>
      <c r="W714" s="763">
        <f>IFERROR(__xludf.DUMMYFUNCTION("""COMPUTED_VALUE"""),52.0)</f>
        <v>52</v>
      </c>
      <c r="X714" s="763">
        <f>IFERROR(__xludf.DUMMYFUNCTION("""COMPUTED_VALUE"""),52.0)</f>
        <v>52</v>
      </c>
      <c r="Y714" s="763"/>
      <c r="Z714" s="768" t="str">
        <f>IFERROR(__xludf.DUMMYFUNCTION("""COMPUTED_VALUE"""),"https://studio-gem.it/wp-admin/post.php?post=66719&amp;action=edit")</f>
        <v>https://studio-gem.it/wp-admin/post.php?post=66719&amp;action=edit</v>
      </c>
      <c r="AA714" s="763"/>
      <c r="AB714" s="763"/>
      <c r="AC714" s="763"/>
      <c r="AD714" s="763"/>
      <c r="AE714" s="763"/>
      <c r="AF714" s="763"/>
      <c r="AG714" s="763"/>
      <c r="AH714" s="763"/>
      <c r="AI714" s="763"/>
      <c r="AJ714" s="763"/>
      <c r="AK714" s="763"/>
      <c r="AL714" s="763"/>
      <c r="AM714" s="763"/>
      <c r="AN714" s="763"/>
      <c r="AO714" s="763"/>
      <c r="AP714" s="763"/>
      <c r="AQ714" s="763"/>
      <c r="AR714" s="763"/>
      <c r="AS714" s="763"/>
      <c r="AT714" s="763"/>
      <c r="AU714" s="763"/>
      <c r="AV714" s="763"/>
      <c r="AW714" s="763"/>
      <c r="AX714" s="763"/>
      <c r="AY714" s="763"/>
      <c r="AZ714" s="763"/>
      <c r="BA714" s="763"/>
      <c r="BB714" s="763"/>
      <c r="BC714" s="763"/>
      <c r="BD714" s="763"/>
      <c r="BE714" s="763"/>
      <c r="BF714" s="763"/>
      <c r="BG714" s="763" t="b">
        <f>IFERROR(__xludf.DUMMYFUNCTION("""COMPUTED_VALUE"""),TRUE)</f>
        <v>1</v>
      </c>
      <c r="BH714" s="763" t="b">
        <f>IFERROR(__xludf.DUMMYFUNCTION("""COMPUTED_VALUE"""),FALSE)</f>
        <v>0</v>
      </c>
      <c r="BI714" s="763" t="b">
        <f>IFERROR(__xludf.DUMMYFUNCTION("""COMPUTED_VALUE"""),TRUE)</f>
        <v>1</v>
      </c>
      <c r="BJ714" s="763" t="b">
        <f>IFERROR(__xludf.DUMMYFUNCTION("""COMPUTED_VALUE"""),TRUE)</f>
        <v>1</v>
      </c>
    </row>
    <row r="715">
      <c r="A715" s="763">
        <f>IFERROR(__xludf.DUMMYFUNCTION("""COMPUTED_VALUE"""),66731.0)</f>
        <v>66731</v>
      </c>
      <c r="B715" s="763">
        <f>IFERROR(__xludf.DUMMYFUNCTION("""COMPUTED_VALUE"""),66731.0)</f>
        <v>66731</v>
      </c>
      <c r="C715" s="763" t="str">
        <f>IFERROR(__xludf.DUMMYFUNCTION("""COMPUTED_VALUE"""),"2025-12-09 11:04:45")</f>
        <v>2025-12-09 11:04:45</v>
      </c>
      <c r="D715" s="763" t="str">
        <f>IFERROR(__xludf.DUMMYFUNCTION("""COMPUTED_VALUE"""),"completed")</f>
        <v>completed</v>
      </c>
      <c r="E715" s="763" t="str">
        <f>IFERROR(__xludf.DUMMYFUNCTION("""COMPUTED_VALUE"""),"Antonella")</f>
        <v>Antonella</v>
      </c>
      <c r="F715" s="763" t="str">
        <f>IFERROR(__xludf.DUMMYFUNCTION("""COMPUTED_VALUE"""),"Petrasso")</f>
        <v>Petrasso</v>
      </c>
      <c r="G715" s="763" t="str">
        <f>IFERROR(__xludf.DUMMYFUNCTION("""COMPUTED_VALUE"""),"anto_muss@hotmail.it")</f>
        <v>anto_muss@hotmail.it</v>
      </c>
      <c r="H715" s="763" t="str">
        <f>IFERROR(__xludf.DUMMYFUNCTION("""COMPUTED_VALUE"""),"+393249811857")</f>
        <v>+393249811857</v>
      </c>
      <c r="I715" s="763" t="str">
        <f>IFERROR(__xludf.DUMMYFUNCTION("""COMPUTED_VALUE"""),"Milano")</f>
        <v>Milano</v>
      </c>
      <c r="J715" s="763" t="str">
        <f>IFERROR(__xludf.DUMMYFUNCTION("""COMPUTED_VALUE"""),"Maffucci 52")</f>
        <v>Maffucci 52</v>
      </c>
      <c r="K715" s="763">
        <f>IFERROR(__xludf.DUMMYFUNCTION("""COMPUTED_VALUE"""),20158.0)</f>
        <v>20158</v>
      </c>
      <c r="L715" s="763" t="str">
        <f>IFERROR(__xludf.DUMMYFUNCTION("""COMPUTED_VALUE"""),"Apple Pay")</f>
        <v>Apple Pay</v>
      </c>
      <c r="M715" s="763" t="str">
        <f>IFERROR(__xludf.DUMMYFUNCTION("""COMPUTED_VALUE"""),"santo05natale")</f>
        <v>santo05natale</v>
      </c>
      <c r="N715" s="763" t="str">
        <f>IFERROR(__xludf.DUMMYFUNCTION("""COMPUTED_VALUE"""),"66731-1765278287")</f>
        <v>66731-1765278287</v>
      </c>
      <c r="O715" s="763">
        <f>IFERROR(__xludf.DUMMYFUNCTION("""COMPUTED_VALUE"""),0.0)</f>
        <v>0</v>
      </c>
      <c r="P715" s="767">
        <f>IFERROR(__xludf.DUMMYFUNCTION("""COMPUTED_VALUE"""),0.8333333333333334)</f>
        <v>0.8333333333</v>
      </c>
      <c r="Q715" s="763" t="str">
        <f>IFERROR(__xludf.DUMMYFUNCTION("""COMPUTED_VALUE"""),"EUR")</f>
        <v>EUR</v>
      </c>
      <c r="R715" s="763">
        <f>IFERROR(__xludf.DUMMYFUNCTION("""COMPUTED_VALUE"""),1314.0)</f>
        <v>1314</v>
      </c>
      <c r="S715" s="763" t="str">
        <f>IFERROR(__xludf.DUMMYFUNCTION("""COMPUTED_VALUE"""),"Festa di Natale 2025 - Festa di natale 2025 SOLO serata 25€")</f>
        <v>Festa di Natale 2025 - Festa di natale 2025 SOLO serata 25€</v>
      </c>
      <c r="T715" s="763"/>
      <c r="U715" s="763"/>
      <c r="V715" s="763">
        <f>IFERROR(__xludf.DUMMYFUNCTION("""COMPUTED_VALUE"""),1.0)</f>
        <v>1</v>
      </c>
      <c r="W715" s="763">
        <f>IFERROR(__xludf.DUMMYFUNCTION("""COMPUTED_VALUE"""),20.0)</f>
        <v>20</v>
      </c>
      <c r="X715" s="763">
        <f>IFERROR(__xludf.DUMMYFUNCTION("""COMPUTED_VALUE"""),20.0)</f>
        <v>20</v>
      </c>
      <c r="Y715" s="763"/>
      <c r="Z715" s="768" t="str">
        <f>IFERROR(__xludf.DUMMYFUNCTION("""COMPUTED_VALUE"""),"https://studio-gem.it/wp-admin/post.php?post=66731&amp;action=edit")</f>
        <v>https://studio-gem.it/wp-admin/post.php?post=66731&amp;action=edit</v>
      </c>
      <c r="AA715" s="763"/>
      <c r="AB715" s="763"/>
      <c r="AC715" s="763"/>
      <c r="AD715" s="763"/>
      <c r="AE715" s="763"/>
      <c r="AF715" s="763"/>
      <c r="AG715" s="763"/>
      <c r="AH715" s="763"/>
      <c r="AI715" s="763"/>
      <c r="AJ715" s="763"/>
      <c r="AK715" s="763"/>
      <c r="AL715" s="763"/>
      <c r="AM715" s="763"/>
      <c r="AN715" s="763"/>
      <c r="AO715" s="763"/>
      <c r="AP715" s="763"/>
      <c r="AQ715" s="763"/>
      <c r="AR715" s="763"/>
      <c r="AS715" s="763"/>
      <c r="AT715" s="763"/>
      <c r="AU715" s="763"/>
      <c r="AV715" s="763"/>
      <c r="AW715" s="763"/>
      <c r="AX715" s="763"/>
      <c r="AY715" s="763"/>
      <c r="AZ715" s="763"/>
      <c r="BA715" s="763"/>
      <c r="BB715" s="763"/>
      <c r="BC715" s="763"/>
      <c r="BD715" s="763"/>
      <c r="BE715" s="763"/>
      <c r="BF715" s="763"/>
      <c r="BG715" s="763" t="b">
        <f>IFERROR(__xludf.DUMMYFUNCTION("""COMPUTED_VALUE"""),TRUE)</f>
        <v>1</v>
      </c>
      <c r="BH715" s="763" t="b">
        <f>IFERROR(__xludf.DUMMYFUNCTION("""COMPUTED_VALUE"""),FALSE)</f>
        <v>0</v>
      </c>
      <c r="BI715" s="763" t="b">
        <f>IFERROR(__xludf.DUMMYFUNCTION("""COMPUTED_VALUE"""),TRUE)</f>
        <v>1</v>
      </c>
      <c r="BJ715" s="763" t="b">
        <f>IFERROR(__xludf.DUMMYFUNCTION("""COMPUTED_VALUE"""),TRUE)</f>
        <v>1</v>
      </c>
    </row>
    <row r="716">
      <c r="A716" s="763">
        <f>IFERROR(__xludf.DUMMYFUNCTION("""COMPUTED_VALUE"""),66734.0)</f>
        <v>66734</v>
      </c>
      <c r="B716" s="763">
        <f>IFERROR(__xludf.DUMMYFUNCTION("""COMPUTED_VALUE"""),66734.0)</f>
        <v>66734</v>
      </c>
      <c r="C716" s="763" t="str">
        <f>IFERROR(__xludf.DUMMYFUNCTION("""COMPUTED_VALUE"""),"2025-12-09 12:16:28")</f>
        <v>2025-12-09 12:16:28</v>
      </c>
      <c r="D716" s="763" t="str">
        <f>IFERROR(__xludf.DUMMYFUNCTION("""COMPUTED_VALUE"""),"completed")</f>
        <v>completed</v>
      </c>
      <c r="E716" s="763" t="str">
        <f>IFERROR(__xludf.DUMMYFUNCTION("""COMPUTED_VALUE"""),"Claudia")</f>
        <v>Claudia</v>
      </c>
      <c r="F716" s="763" t="str">
        <f>IFERROR(__xludf.DUMMYFUNCTION("""COMPUTED_VALUE"""),"RIOLO")</f>
        <v>RIOLO</v>
      </c>
      <c r="G716" s="763" t="str">
        <f>IFERROR(__xludf.DUMMYFUNCTION("""COMPUTED_VALUE"""),"claudia.riolo22@gmail.com")</f>
        <v>claudia.riolo22@gmail.com</v>
      </c>
      <c r="H716" s="763">
        <f>IFERROR(__xludf.DUMMYFUNCTION("""COMPUTED_VALUE"""),3.294162314E9)</f>
        <v>3294162314</v>
      </c>
      <c r="I716" s="763" t="str">
        <f>IFERROR(__xludf.DUMMYFUNCTION("""COMPUTED_VALUE"""),"Milano")</f>
        <v>Milano</v>
      </c>
      <c r="J716" s="763" t="str">
        <f>IFERROR(__xludf.DUMMYFUNCTION("""COMPUTED_VALUE"""),"Via Tito Livio 21")</f>
        <v>Via Tito Livio 21</v>
      </c>
      <c r="K716" s="763">
        <f>IFERROR(__xludf.DUMMYFUNCTION("""COMPUTED_VALUE"""),20137.0)</f>
        <v>20137</v>
      </c>
      <c r="L716" s="763" t="str">
        <f>IFERROR(__xludf.DUMMYFUNCTION("""COMPUTED_VALUE"""),"Satispay")</f>
        <v>Satispay</v>
      </c>
      <c r="M716" s="763" t="str">
        <f>IFERROR(__xludf.DUMMYFUNCTION("""COMPUTED_VALUE"""),"alexandra05natale")</f>
        <v>alexandra05natale</v>
      </c>
      <c r="N716" s="763" t="str">
        <f>IFERROR(__xludf.DUMMYFUNCTION("""COMPUTED_VALUE"""),"019b030a-a8f2-7f08-b5c0-d470d539ab57")</f>
        <v>019b030a-a8f2-7f08-b5c0-d470d539ab57</v>
      </c>
      <c r="O716" s="763">
        <f>IFERROR(__xludf.DUMMYFUNCTION("""COMPUTED_VALUE"""),0.0)</f>
        <v>0</v>
      </c>
      <c r="P716" s="767">
        <f>IFERROR(__xludf.DUMMYFUNCTION("""COMPUTED_VALUE"""),0.8333333333333334)</f>
        <v>0.8333333333</v>
      </c>
      <c r="Q716" s="763" t="str">
        <f>IFERROR(__xludf.DUMMYFUNCTION("""COMPUTED_VALUE"""),"EUR")</f>
        <v>EUR</v>
      </c>
      <c r="R716" s="763">
        <f>IFERROR(__xludf.DUMMYFUNCTION("""COMPUTED_VALUE"""),1316.0)</f>
        <v>1316</v>
      </c>
      <c r="S716" s="763" t="str">
        <f>IFERROR(__xludf.DUMMYFUNCTION("""COMPUTED_VALUE"""),"Festa di Natale 2025 - Festa di natale 2025 SOLO serata 25€")</f>
        <v>Festa di Natale 2025 - Festa di natale 2025 SOLO serata 25€</v>
      </c>
      <c r="T716" s="763"/>
      <c r="U716" s="763"/>
      <c r="V716" s="763">
        <f>IFERROR(__xludf.DUMMYFUNCTION("""COMPUTED_VALUE"""),1.0)</f>
        <v>1</v>
      </c>
      <c r="W716" s="763">
        <f>IFERROR(__xludf.DUMMYFUNCTION("""COMPUTED_VALUE"""),20.0)</f>
        <v>20</v>
      </c>
      <c r="X716" s="763">
        <f>IFERROR(__xludf.DUMMYFUNCTION("""COMPUTED_VALUE"""),20.0)</f>
        <v>20</v>
      </c>
      <c r="Y716" s="763"/>
      <c r="Z716" s="768" t="str">
        <f>IFERROR(__xludf.DUMMYFUNCTION("""COMPUTED_VALUE"""),"https://studio-gem.it/wp-admin/post.php?post=66734&amp;action=edit")</f>
        <v>https://studio-gem.it/wp-admin/post.php?post=66734&amp;action=edit</v>
      </c>
      <c r="AA716" s="763"/>
      <c r="AB716" s="763"/>
      <c r="AC716" s="763"/>
      <c r="AD716" s="763"/>
      <c r="AE716" s="763"/>
      <c r="AF716" s="763"/>
      <c r="AG716" s="763"/>
      <c r="AH716" s="763"/>
      <c r="AI716" s="763"/>
      <c r="AJ716" s="763"/>
      <c r="AK716" s="763"/>
      <c r="AL716" s="763"/>
      <c r="AM716" s="763"/>
      <c r="AN716" s="763"/>
      <c r="AO716" s="763"/>
      <c r="AP716" s="763"/>
      <c r="AQ716" s="763"/>
      <c r="AR716" s="763"/>
      <c r="AS716" s="763"/>
      <c r="AT716" s="763"/>
      <c r="AU716" s="763"/>
      <c r="AV716" s="763"/>
      <c r="AW716" s="763"/>
      <c r="AX716" s="763"/>
      <c r="AY716" s="763"/>
      <c r="AZ716" s="763"/>
      <c r="BA716" s="763"/>
      <c r="BB716" s="763"/>
      <c r="BC716" s="763"/>
      <c r="BD716" s="763"/>
      <c r="BE716" s="763"/>
      <c r="BF716" s="763"/>
      <c r="BG716" s="763" t="b">
        <f>IFERROR(__xludf.DUMMYFUNCTION("""COMPUTED_VALUE"""),TRUE)</f>
        <v>1</v>
      </c>
      <c r="BH716" s="763" t="b">
        <f>IFERROR(__xludf.DUMMYFUNCTION("""COMPUTED_VALUE"""),FALSE)</f>
        <v>0</v>
      </c>
      <c r="BI716" s="763" t="b">
        <f>IFERROR(__xludf.DUMMYFUNCTION("""COMPUTED_VALUE"""),TRUE)</f>
        <v>1</v>
      </c>
      <c r="BJ716" s="763" t="b">
        <f>IFERROR(__xludf.DUMMYFUNCTION("""COMPUTED_VALUE"""),TRUE)</f>
        <v>1</v>
      </c>
    </row>
    <row r="717">
      <c r="A717" s="763">
        <f>IFERROR(__xludf.DUMMYFUNCTION("""COMPUTED_VALUE"""),66736.0)</f>
        <v>66736</v>
      </c>
      <c r="B717" s="763">
        <f>IFERROR(__xludf.DUMMYFUNCTION("""COMPUTED_VALUE"""),66736.0)</f>
        <v>66736</v>
      </c>
      <c r="C717" s="763" t="str">
        <f>IFERROR(__xludf.DUMMYFUNCTION("""COMPUTED_VALUE"""),"2025-12-09 12:25:19")</f>
        <v>2025-12-09 12:25:19</v>
      </c>
      <c r="D717" s="763" t="str">
        <f>IFERROR(__xludf.DUMMYFUNCTION("""COMPUTED_VALUE"""),"processing")</f>
        <v>processing</v>
      </c>
      <c r="E717" s="763" t="str">
        <f>IFERROR(__xludf.DUMMYFUNCTION("""COMPUTED_VALUE"""),"Yana")</f>
        <v>Yana</v>
      </c>
      <c r="F717" s="763" t="str">
        <f>IFERROR(__xludf.DUMMYFUNCTION("""COMPUTED_VALUE"""),"Kustol")</f>
        <v>Kustol</v>
      </c>
      <c r="G717" s="763" t="str">
        <f>IFERROR(__xludf.DUMMYFUNCTION("""COMPUTED_VALUE"""),"msyanakustol@gmail.com")</f>
        <v>msyanakustol@gmail.com</v>
      </c>
      <c r="H717" s="763">
        <f>IFERROR(__xludf.DUMMYFUNCTION("""COMPUTED_VALUE"""),3.400637222E9)</f>
        <v>3400637222</v>
      </c>
      <c r="I717" s="763" t="str">
        <f>IFERROR(__xludf.DUMMYFUNCTION("""COMPUTED_VALUE"""),"Milano")</f>
        <v>Milano</v>
      </c>
      <c r="J717" s="763" t="str">
        <f>IFERROR(__xludf.DUMMYFUNCTION("""COMPUTED_VALUE"""),"Ugoni 1")</f>
        <v>Ugoni 1</v>
      </c>
      <c r="K717" s="763">
        <f>IFERROR(__xludf.DUMMYFUNCTION("""COMPUTED_VALUE"""),20158.0)</f>
        <v>20158</v>
      </c>
      <c r="L717" s="763" t="str">
        <f>IFERROR(__xludf.DUMMYFUNCTION("""COMPUTED_VALUE"""),"Carte di pagamento")</f>
        <v>Carte di pagamento</v>
      </c>
      <c r="M717" s="763" t="str">
        <f>IFERROR(__xludf.DUMMYFUNCTION("""COMPUTED_VALUE"""),"santo05natale")</f>
        <v>santo05natale</v>
      </c>
      <c r="N717" s="763" t="str">
        <f>IFERROR(__xludf.DUMMYFUNCTION("""COMPUTED_VALUE"""),"66736-1765283121")</f>
        <v>66736-1765283121</v>
      </c>
      <c r="O717" s="763">
        <f>IFERROR(__xludf.DUMMYFUNCTION("""COMPUTED_VALUE"""),0.0)</f>
        <v>0</v>
      </c>
      <c r="P717" s="767">
        <f>IFERROR(__xludf.DUMMYFUNCTION("""COMPUTED_VALUE"""),0.8333333333333334)</f>
        <v>0.8333333333</v>
      </c>
      <c r="Q717" s="763" t="str">
        <f>IFERROR(__xludf.DUMMYFUNCTION("""COMPUTED_VALUE"""),"EUR")</f>
        <v>EUR</v>
      </c>
      <c r="R717" s="763">
        <f>IFERROR(__xludf.DUMMYFUNCTION("""COMPUTED_VALUE"""),1318.0)</f>
        <v>1318</v>
      </c>
      <c r="S717" s="763" t="str">
        <f>IFERROR(__xludf.DUMMYFUNCTION("""COMPUTED_VALUE"""),"Festa di Natale 2025 - Festa di natale 2025 SOLO serata 25€")</f>
        <v>Festa di Natale 2025 - Festa di natale 2025 SOLO serata 25€</v>
      </c>
      <c r="T717" s="763"/>
      <c r="U717" s="763"/>
      <c r="V717" s="763">
        <f>IFERROR(__xludf.DUMMYFUNCTION("""COMPUTED_VALUE"""),1.0)</f>
        <v>1</v>
      </c>
      <c r="W717" s="763">
        <f>IFERROR(__xludf.DUMMYFUNCTION("""COMPUTED_VALUE"""),20.0)</f>
        <v>20</v>
      </c>
      <c r="X717" s="763">
        <f>IFERROR(__xludf.DUMMYFUNCTION("""COMPUTED_VALUE"""),20.0)</f>
        <v>20</v>
      </c>
      <c r="Y717" s="763"/>
      <c r="Z717" s="768" t="str">
        <f>IFERROR(__xludf.DUMMYFUNCTION("""COMPUTED_VALUE"""),"https://studio-gem.it/wp-admin/post.php?post=66736&amp;action=edit")</f>
        <v>https://studio-gem.it/wp-admin/post.php?post=66736&amp;action=edit</v>
      </c>
      <c r="AA717" s="763"/>
      <c r="AB717" s="763"/>
      <c r="AC717" s="763"/>
      <c r="AD717" s="763"/>
      <c r="AE717" s="763"/>
      <c r="AF717" s="763"/>
      <c r="AG717" s="763"/>
      <c r="AH717" s="763"/>
      <c r="AI717" s="763"/>
      <c r="AJ717" s="763"/>
      <c r="AK717" s="763"/>
      <c r="AL717" s="763"/>
      <c r="AM717" s="763"/>
      <c r="AN717" s="763"/>
      <c r="AO717" s="763"/>
      <c r="AP717" s="763"/>
      <c r="AQ717" s="763"/>
      <c r="AR717" s="763"/>
      <c r="AS717" s="763"/>
      <c r="AT717" s="763"/>
      <c r="AU717" s="763"/>
      <c r="AV717" s="763"/>
      <c r="AW717" s="763"/>
      <c r="AX717" s="763"/>
      <c r="AY717" s="763"/>
      <c r="AZ717" s="763"/>
      <c r="BA717" s="763"/>
      <c r="BB717" s="763"/>
      <c r="BC717" s="763"/>
      <c r="BD717" s="763"/>
      <c r="BE717" s="763"/>
      <c r="BF717" s="763"/>
      <c r="BG717" s="763" t="b">
        <f>IFERROR(__xludf.DUMMYFUNCTION("""COMPUTED_VALUE"""),TRUE)</f>
        <v>1</v>
      </c>
      <c r="BH717" s="763" t="b">
        <f>IFERROR(__xludf.DUMMYFUNCTION("""COMPUTED_VALUE"""),FALSE)</f>
        <v>0</v>
      </c>
      <c r="BI717" s="763" t="b">
        <f>IFERROR(__xludf.DUMMYFUNCTION("""COMPUTED_VALUE"""),TRUE)</f>
        <v>1</v>
      </c>
      <c r="BJ717" s="763" t="b">
        <f>IFERROR(__xludf.DUMMYFUNCTION("""COMPUTED_VALUE"""),TRUE)</f>
        <v>1</v>
      </c>
    </row>
    <row r="718">
      <c r="A718" s="763">
        <f>IFERROR(__xludf.DUMMYFUNCTION("""COMPUTED_VALUE"""),66737.0)</f>
        <v>66737</v>
      </c>
      <c r="B718" s="763">
        <f>IFERROR(__xludf.DUMMYFUNCTION("""COMPUTED_VALUE"""),66737.0)</f>
        <v>66737</v>
      </c>
      <c r="C718" s="763" t="str">
        <f>IFERROR(__xludf.DUMMYFUNCTION("""COMPUTED_VALUE"""),"2025-12-09 12:51:25")</f>
        <v>2025-12-09 12:51:25</v>
      </c>
      <c r="D718" s="763" t="str">
        <f>IFERROR(__xludf.DUMMYFUNCTION("""COMPUTED_VALUE"""),"completed")</f>
        <v>completed</v>
      </c>
      <c r="E718" s="763" t="str">
        <f>IFERROR(__xludf.DUMMYFUNCTION("""COMPUTED_VALUE"""),"Cinzia")</f>
        <v>Cinzia</v>
      </c>
      <c r="F718" s="763" t="str">
        <f>IFERROR(__xludf.DUMMYFUNCTION("""COMPUTED_VALUE"""),"Manfré")</f>
        <v>Manfré</v>
      </c>
      <c r="G718" s="763" t="str">
        <f>IFERROR(__xludf.DUMMYFUNCTION("""COMPUTED_VALUE"""),"cinziamanfre90@gmail.com")</f>
        <v>cinziamanfre90@gmail.com</v>
      </c>
      <c r="H718" s="763">
        <f>IFERROR(__xludf.DUMMYFUNCTION("""COMPUTED_VALUE"""),3.334301312E9)</f>
        <v>3334301312</v>
      </c>
      <c r="I718" s="763" t="str">
        <f>IFERROR(__xludf.DUMMYFUNCTION("""COMPUTED_VALUE"""),"Milano")</f>
        <v>Milano</v>
      </c>
      <c r="J718" s="763" t="str">
        <f>IFERROR(__xludf.DUMMYFUNCTION("""COMPUTED_VALUE"""),"Via filippi 5")</f>
        <v>Via filippi 5</v>
      </c>
      <c r="K718" s="763">
        <f>IFERROR(__xludf.DUMMYFUNCTION("""COMPUTED_VALUE"""),20125.0)</f>
        <v>20125</v>
      </c>
      <c r="L718" s="763" t="str">
        <f>IFERROR(__xludf.DUMMYFUNCTION("""COMPUTED_VALUE"""),"Apple Pay")</f>
        <v>Apple Pay</v>
      </c>
      <c r="M718" s="763" t="str">
        <f>IFERROR(__xludf.DUMMYFUNCTION("""COMPUTED_VALUE"""),"estefany05natale")</f>
        <v>estefany05natale</v>
      </c>
      <c r="N718" s="763" t="str">
        <f>IFERROR(__xludf.DUMMYFUNCTION("""COMPUTED_VALUE"""),"66737-1765284687")</f>
        <v>66737-1765284687</v>
      </c>
      <c r="O718" s="763">
        <f>IFERROR(__xludf.DUMMYFUNCTION("""COMPUTED_VALUE"""),0.0)</f>
        <v>0</v>
      </c>
      <c r="P718" s="767">
        <f>IFERROR(__xludf.DUMMYFUNCTION("""COMPUTED_VALUE"""),0.8333333333333334)</f>
        <v>0.8333333333</v>
      </c>
      <c r="Q718" s="763" t="str">
        <f>IFERROR(__xludf.DUMMYFUNCTION("""COMPUTED_VALUE"""),"EUR")</f>
        <v>EUR</v>
      </c>
      <c r="R718" s="763">
        <f>IFERROR(__xludf.DUMMYFUNCTION("""COMPUTED_VALUE"""),1320.0)</f>
        <v>1320</v>
      </c>
      <c r="S718" s="763" t="str">
        <f>IFERROR(__xludf.DUMMYFUNCTION("""COMPUTED_VALUE"""),"Festa di Natale 2025 - Festa di natale 2025 SOLO serata 25€")</f>
        <v>Festa di Natale 2025 - Festa di natale 2025 SOLO serata 25€</v>
      </c>
      <c r="T718" s="763"/>
      <c r="U718" s="763"/>
      <c r="V718" s="763">
        <f>IFERROR(__xludf.DUMMYFUNCTION("""COMPUTED_VALUE"""),1.0)</f>
        <v>1</v>
      </c>
      <c r="W718" s="763">
        <f>IFERROR(__xludf.DUMMYFUNCTION("""COMPUTED_VALUE"""),20.0)</f>
        <v>20</v>
      </c>
      <c r="X718" s="763">
        <f>IFERROR(__xludf.DUMMYFUNCTION("""COMPUTED_VALUE"""),20.0)</f>
        <v>20</v>
      </c>
      <c r="Y718" s="763"/>
      <c r="Z718" s="768" t="str">
        <f>IFERROR(__xludf.DUMMYFUNCTION("""COMPUTED_VALUE"""),"https://studio-gem.it/wp-admin/post.php?post=66737&amp;action=edit")</f>
        <v>https://studio-gem.it/wp-admin/post.php?post=66737&amp;action=edit</v>
      </c>
      <c r="AA718" s="763"/>
      <c r="AB718" s="763"/>
      <c r="AC718" s="763"/>
      <c r="AD718" s="763"/>
      <c r="AE718" s="763"/>
      <c r="AF718" s="763"/>
      <c r="AG718" s="763"/>
      <c r="AH718" s="763"/>
      <c r="AI718" s="763"/>
      <c r="AJ718" s="763"/>
      <c r="AK718" s="763"/>
      <c r="AL718" s="763"/>
      <c r="AM718" s="763"/>
      <c r="AN718" s="763"/>
      <c r="AO718" s="763"/>
      <c r="AP718" s="763"/>
      <c r="AQ718" s="763"/>
      <c r="AR718" s="763"/>
      <c r="AS718" s="763"/>
      <c r="AT718" s="763"/>
      <c r="AU718" s="763"/>
      <c r="AV718" s="763"/>
      <c r="AW718" s="763"/>
      <c r="AX718" s="763"/>
      <c r="AY718" s="763"/>
      <c r="AZ718" s="763"/>
      <c r="BA718" s="763"/>
      <c r="BB718" s="763"/>
      <c r="BC718" s="763"/>
      <c r="BD718" s="763"/>
      <c r="BE718" s="763"/>
      <c r="BF718" s="763"/>
      <c r="BG718" s="763" t="b">
        <f>IFERROR(__xludf.DUMMYFUNCTION("""COMPUTED_VALUE"""),TRUE)</f>
        <v>1</v>
      </c>
      <c r="BH718" s="763" t="b">
        <f>IFERROR(__xludf.DUMMYFUNCTION("""COMPUTED_VALUE"""),FALSE)</f>
        <v>0</v>
      </c>
      <c r="BI718" s="763" t="b">
        <f>IFERROR(__xludf.DUMMYFUNCTION("""COMPUTED_VALUE"""),TRUE)</f>
        <v>1</v>
      </c>
      <c r="BJ718" s="763" t="b">
        <f>IFERROR(__xludf.DUMMYFUNCTION("""COMPUTED_VALUE"""),TRUE)</f>
        <v>1</v>
      </c>
    </row>
    <row r="719">
      <c r="A719" s="763">
        <f>IFERROR(__xludf.DUMMYFUNCTION("""COMPUTED_VALUE"""),66739.0)</f>
        <v>66739</v>
      </c>
      <c r="B719" s="763">
        <f>IFERROR(__xludf.DUMMYFUNCTION("""COMPUTED_VALUE"""),66739.0)</f>
        <v>66739</v>
      </c>
      <c r="C719" s="763" t="str">
        <f>IFERROR(__xludf.DUMMYFUNCTION("""COMPUTED_VALUE"""),"2025-12-09 13:16:00")</f>
        <v>2025-12-09 13:16:00</v>
      </c>
      <c r="D719" s="763" t="str">
        <f>IFERROR(__xludf.DUMMYFUNCTION("""COMPUTED_VALUE"""),"processing")</f>
        <v>processing</v>
      </c>
      <c r="E719" s="763" t="str">
        <f>IFERROR(__xludf.DUMMYFUNCTION("""COMPUTED_VALUE"""),"VALENTINA")</f>
        <v>VALENTINA</v>
      </c>
      <c r="F719" s="763" t="str">
        <f>IFERROR(__xludf.DUMMYFUNCTION("""COMPUTED_VALUE"""),"MIRANDA")</f>
        <v>MIRANDA</v>
      </c>
      <c r="G719" s="763" t="str">
        <f>IFERROR(__xludf.DUMMYFUNCTION("""COMPUTED_VALUE"""),"valentina.miranda@hotmail.it")</f>
        <v>valentina.miranda@hotmail.it</v>
      </c>
      <c r="H719" s="763">
        <f>IFERROR(__xludf.DUMMYFUNCTION("""COMPUTED_VALUE"""),3.208488185E9)</f>
        <v>3208488185</v>
      </c>
      <c r="I719" s="763" t="str">
        <f>IFERROR(__xludf.DUMMYFUNCTION("""COMPUTED_VALUE"""),"Milano")</f>
        <v>Milano</v>
      </c>
      <c r="J719" s="763" t="str">
        <f>IFERROR(__xludf.DUMMYFUNCTION("""COMPUTED_VALUE"""),"Viale sabotino 14")</f>
        <v>Viale sabotino 14</v>
      </c>
      <c r="K719" s="763">
        <f>IFERROR(__xludf.DUMMYFUNCTION("""COMPUTED_VALUE"""),20135.0)</f>
        <v>20135</v>
      </c>
      <c r="L719" s="763" t="str">
        <f>IFERROR(__xludf.DUMMYFUNCTION("""COMPUTED_VALUE"""),"Carte di pagamento")</f>
        <v>Carte di pagamento</v>
      </c>
      <c r="M719" s="763" t="str">
        <f>IFERROR(__xludf.DUMMYFUNCTION("""COMPUTED_VALUE"""),"estefany05natale")</f>
        <v>estefany05natale</v>
      </c>
      <c r="N719" s="763" t="str">
        <f>IFERROR(__xludf.DUMMYFUNCTION("""COMPUTED_VALUE"""),"66739-1765286162")</f>
        <v>66739-1765286162</v>
      </c>
      <c r="O719" s="763">
        <f>IFERROR(__xludf.DUMMYFUNCTION("""COMPUTED_VALUE"""),0.0)</f>
        <v>0</v>
      </c>
      <c r="P719" s="767">
        <f>IFERROR(__xludf.DUMMYFUNCTION("""COMPUTED_VALUE"""),0.8333333333333334)</f>
        <v>0.8333333333</v>
      </c>
      <c r="Q719" s="763" t="str">
        <f>IFERROR(__xludf.DUMMYFUNCTION("""COMPUTED_VALUE"""),"EUR")</f>
        <v>EUR</v>
      </c>
      <c r="R719" s="763">
        <f>IFERROR(__xludf.DUMMYFUNCTION("""COMPUTED_VALUE"""),1322.0)</f>
        <v>1322</v>
      </c>
      <c r="S719" s="763" t="str">
        <f>IFERROR(__xludf.DUMMYFUNCTION("""COMPUTED_VALUE"""),"Festa di Natale 2025 - Festa di natale 2025 SOLO serata 25€")</f>
        <v>Festa di Natale 2025 - Festa di natale 2025 SOLO serata 25€</v>
      </c>
      <c r="T719" s="763"/>
      <c r="U719" s="763"/>
      <c r="V719" s="763">
        <f>IFERROR(__xludf.DUMMYFUNCTION("""COMPUTED_VALUE"""),1.0)</f>
        <v>1</v>
      </c>
      <c r="W719" s="763">
        <f>IFERROR(__xludf.DUMMYFUNCTION("""COMPUTED_VALUE"""),20.0)</f>
        <v>20</v>
      </c>
      <c r="X719" s="763">
        <f>IFERROR(__xludf.DUMMYFUNCTION("""COMPUTED_VALUE"""),20.0)</f>
        <v>20</v>
      </c>
      <c r="Y719" s="763"/>
      <c r="Z719" s="768" t="str">
        <f>IFERROR(__xludf.DUMMYFUNCTION("""COMPUTED_VALUE"""),"https://studio-gem.it/wp-admin/post.php?post=66739&amp;action=edit")</f>
        <v>https://studio-gem.it/wp-admin/post.php?post=66739&amp;action=edit</v>
      </c>
      <c r="AA719" s="763"/>
      <c r="AB719" s="763"/>
      <c r="AC719" s="763"/>
      <c r="AD719" s="763"/>
      <c r="AE719" s="763"/>
      <c r="AF719" s="763"/>
      <c r="AG719" s="763"/>
      <c r="AH719" s="763"/>
      <c r="AI719" s="763"/>
      <c r="AJ719" s="763"/>
      <c r="AK719" s="763"/>
      <c r="AL719" s="763"/>
      <c r="AM719" s="763"/>
      <c r="AN719" s="763"/>
      <c r="AO719" s="763"/>
      <c r="AP719" s="763"/>
      <c r="AQ719" s="763"/>
      <c r="AR719" s="763"/>
      <c r="AS719" s="763"/>
      <c r="AT719" s="763"/>
      <c r="AU719" s="763"/>
      <c r="AV719" s="763"/>
      <c r="AW719" s="763"/>
      <c r="AX719" s="763"/>
      <c r="AY719" s="763"/>
      <c r="AZ719" s="763"/>
      <c r="BA719" s="763"/>
      <c r="BB719" s="763"/>
      <c r="BC719" s="763"/>
      <c r="BD719" s="763"/>
      <c r="BE719" s="763"/>
      <c r="BF719" s="763"/>
      <c r="BG719" s="763" t="b">
        <f>IFERROR(__xludf.DUMMYFUNCTION("""COMPUTED_VALUE"""),TRUE)</f>
        <v>1</v>
      </c>
      <c r="BH719" s="763" t="b">
        <f>IFERROR(__xludf.DUMMYFUNCTION("""COMPUTED_VALUE"""),FALSE)</f>
        <v>0</v>
      </c>
      <c r="BI719" s="763" t="b">
        <f>IFERROR(__xludf.DUMMYFUNCTION("""COMPUTED_VALUE"""),TRUE)</f>
        <v>1</v>
      </c>
      <c r="BJ719" s="763" t="b">
        <f>IFERROR(__xludf.DUMMYFUNCTION("""COMPUTED_VALUE"""),TRUE)</f>
        <v>1</v>
      </c>
    </row>
    <row r="720">
      <c r="A720" s="763">
        <f>IFERROR(__xludf.DUMMYFUNCTION("""COMPUTED_VALUE"""),66741.0)</f>
        <v>66741</v>
      </c>
      <c r="B720" s="763">
        <f>IFERROR(__xludf.DUMMYFUNCTION("""COMPUTED_VALUE"""),66741.0)</f>
        <v>66741</v>
      </c>
      <c r="C720" s="763" t="str">
        <f>IFERROR(__xludf.DUMMYFUNCTION("""COMPUTED_VALUE"""),"2025-12-09 14:52:30")</f>
        <v>2025-12-09 14:52:30</v>
      </c>
      <c r="D720" s="763" t="str">
        <f>IFERROR(__xludf.DUMMYFUNCTION("""COMPUTED_VALUE"""),"completed")</f>
        <v>completed</v>
      </c>
      <c r="E720" s="763" t="str">
        <f>IFERROR(__xludf.DUMMYFUNCTION("""COMPUTED_VALUE"""),"cristina")</f>
        <v>cristina</v>
      </c>
      <c r="F720" s="763" t="str">
        <f>IFERROR(__xludf.DUMMYFUNCTION("""COMPUTED_VALUE"""),"zambon")</f>
        <v>zambon</v>
      </c>
      <c r="G720" s="763" t="str">
        <f>IFERROR(__xludf.DUMMYFUNCTION("""COMPUTED_VALUE"""),"cristina.zambon51@gmail.com")</f>
        <v>cristina.zambon51@gmail.com</v>
      </c>
      <c r="H720" s="763">
        <f>IFERROR(__xludf.DUMMYFUNCTION("""COMPUTED_VALUE"""),3.349557464E9)</f>
        <v>3349557464</v>
      </c>
      <c r="I720" s="763" t="str">
        <f>IFERROR(__xludf.DUMMYFUNCTION("""COMPUTED_VALUE"""),"quarto d altino")</f>
        <v>quarto d altino</v>
      </c>
      <c r="J720" s="763" t="str">
        <f>IFERROR(__xludf.DUMMYFUNCTION("""COMPUTED_VALUE"""),"via bellini 6")</f>
        <v>via bellini 6</v>
      </c>
      <c r="K720" s="763">
        <f>IFERROR(__xludf.DUMMYFUNCTION("""COMPUTED_VALUE"""),30020.0)</f>
        <v>30020</v>
      </c>
      <c r="L720" s="763" t="str">
        <f>IFERROR(__xludf.DUMMYFUNCTION("""COMPUTED_VALUE"""),"Apple Pay")</f>
        <v>Apple Pay</v>
      </c>
      <c r="M720" s="763" t="str">
        <f>IFERROR(__xludf.DUMMYFUNCTION("""COMPUTED_VALUE"""),"santo05natale")</f>
        <v>santo05natale</v>
      </c>
      <c r="N720" s="763" t="str">
        <f>IFERROR(__xludf.DUMMYFUNCTION("""COMPUTED_VALUE"""),"66741-1765291951")</f>
        <v>66741-1765291951</v>
      </c>
      <c r="O720" s="763">
        <f>IFERROR(__xludf.DUMMYFUNCTION("""COMPUTED_VALUE"""),0.0)</f>
        <v>0</v>
      </c>
      <c r="P720" s="767">
        <f>IFERROR(__xludf.DUMMYFUNCTION("""COMPUTED_VALUE"""),0.8333333333333334)</f>
        <v>0.8333333333</v>
      </c>
      <c r="Q720" s="763" t="str">
        <f>IFERROR(__xludf.DUMMYFUNCTION("""COMPUTED_VALUE"""),"EUR")</f>
        <v>EUR</v>
      </c>
      <c r="R720" s="763">
        <f>IFERROR(__xludf.DUMMYFUNCTION("""COMPUTED_VALUE"""),1324.0)</f>
        <v>1324</v>
      </c>
      <c r="S720" s="763" t="str">
        <f>IFERROR(__xludf.DUMMYFUNCTION("""COMPUTED_VALUE"""),"Festa di Natale 2025 - Festa di natale 2025 SOLO serata 25€")</f>
        <v>Festa di Natale 2025 - Festa di natale 2025 SOLO serata 25€</v>
      </c>
      <c r="T720" s="763"/>
      <c r="U720" s="763"/>
      <c r="V720" s="763">
        <f>IFERROR(__xludf.DUMMYFUNCTION("""COMPUTED_VALUE"""),1.0)</f>
        <v>1</v>
      </c>
      <c r="W720" s="763">
        <f>IFERROR(__xludf.DUMMYFUNCTION("""COMPUTED_VALUE"""),20.0)</f>
        <v>20</v>
      </c>
      <c r="X720" s="763">
        <f>IFERROR(__xludf.DUMMYFUNCTION("""COMPUTED_VALUE"""),20.0)</f>
        <v>20</v>
      </c>
      <c r="Y720" s="763"/>
      <c r="Z720" s="768" t="str">
        <f>IFERROR(__xludf.DUMMYFUNCTION("""COMPUTED_VALUE"""),"https://studio-gem.it/wp-admin/post.php?post=66741&amp;action=edit")</f>
        <v>https://studio-gem.it/wp-admin/post.php?post=66741&amp;action=edit</v>
      </c>
      <c r="AA720" s="763"/>
      <c r="AB720" s="763"/>
      <c r="AC720" s="763"/>
      <c r="AD720" s="763"/>
      <c r="AE720" s="763"/>
      <c r="AF720" s="763"/>
      <c r="AG720" s="763"/>
      <c r="AH720" s="763"/>
      <c r="AI720" s="763"/>
      <c r="AJ720" s="763"/>
      <c r="AK720" s="763"/>
      <c r="AL720" s="763"/>
      <c r="AM720" s="763"/>
      <c r="AN720" s="763"/>
      <c r="AO720" s="763"/>
      <c r="AP720" s="763"/>
      <c r="AQ720" s="763"/>
      <c r="AR720" s="763"/>
      <c r="AS720" s="763"/>
      <c r="AT720" s="763"/>
      <c r="AU720" s="763"/>
      <c r="AV720" s="763"/>
      <c r="AW720" s="763"/>
      <c r="AX720" s="763"/>
      <c r="AY720" s="763"/>
      <c r="AZ720" s="763"/>
      <c r="BA720" s="763"/>
      <c r="BB720" s="763"/>
      <c r="BC720" s="763"/>
      <c r="BD720" s="763"/>
      <c r="BE720" s="763"/>
      <c r="BF720" s="763"/>
      <c r="BG720" s="763" t="b">
        <f>IFERROR(__xludf.DUMMYFUNCTION("""COMPUTED_VALUE"""),TRUE)</f>
        <v>1</v>
      </c>
      <c r="BH720" s="763" t="b">
        <f>IFERROR(__xludf.DUMMYFUNCTION("""COMPUTED_VALUE"""),FALSE)</f>
        <v>0</v>
      </c>
      <c r="BI720" s="763" t="b">
        <f>IFERROR(__xludf.DUMMYFUNCTION("""COMPUTED_VALUE"""),TRUE)</f>
        <v>1</v>
      </c>
      <c r="BJ720" s="763" t="b">
        <f>IFERROR(__xludf.DUMMYFUNCTION("""COMPUTED_VALUE"""),TRUE)</f>
        <v>1</v>
      </c>
    </row>
    <row r="721">
      <c r="A721" s="763">
        <f>IFERROR(__xludf.DUMMYFUNCTION("""COMPUTED_VALUE"""),66744.0)</f>
        <v>66744</v>
      </c>
      <c r="B721" s="763">
        <f>IFERROR(__xludf.DUMMYFUNCTION("""COMPUTED_VALUE"""),66744.0)</f>
        <v>66744</v>
      </c>
      <c r="C721" s="763" t="str">
        <f>IFERROR(__xludf.DUMMYFUNCTION("""COMPUTED_VALUE"""),"2025-12-09 15:48:17")</f>
        <v>2025-12-09 15:48:17</v>
      </c>
      <c r="D721" s="763" t="str">
        <f>IFERROR(__xludf.DUMMYFUNCTION("""COMPUTED_VALUE"""),"completed")</f>
        <v>completed</v>
      </c>
      <c r="E721" s="763" t="str">
        <f>IFERROR(__xludf.DUMMYFUNCTION("""COMPUTED_VALUE"""),"Francesco")</f>
        <v>Francesco</v>
      </c>
      <c r="F721" s="763" t="str">
        <f>IFERROR(__xludf.DUMMYFUNCTION("""COMPUTED_VALUE"""),"Iannetta")</f>
        <v>Iannetta</v>
      </c>
      <c r="G721" s="763" t="str">
        <f>IFERROR(__xludf.DUMMYFUNCTION("""COMPUTED_VALUE"""),"francescoiannetta.2001@gmail.com")</f>
        <v>francescoiannetta.2001@gmail.com</v>
      </c>
      <c r="H721" s="763">
        <f>IFERROR(__xludf.DUMMYFUNCTION("""COMPUTED_VALUE"""),3.887535917E9)</f>
        <v>3887535917</v>
      </c>
      <c r="I721" s="763" t="str">
        <f>IFERROR(__xludf.DUMMYFUNCTION("""COMPUTED_VALUE"""),"Milano")</f>
        <v>Milano</v>
      </c>
      <c r="J721" s="763" t="str">
        <f>IFERROR(__xludf.DUMMYFUNCTION("""COMPUTED_VALUE"""),"Via Ruggero Bonghi 22")</f>
        <v>Via Ruggero Bonghi 22</v>
      </c>
      <c r="K721" s="763">
        <f>IFERROR(__xludf.DUMMYFUNCTION("""COMPUTED_VALUE"""),20141.0)</f>
        <v>20141</v>
      </c>
      <c r="L721" s="763" t="str">
        <f>IFERROR(__xludf.DUMMYFUNCTION("""COMPUTED_VALUE"""),"Google Pay")</f>
        <v>Google Pay</v>
      </c>
      <c r="M721" s="763" t="str">
        <f>IFERROR(__xludf.DUMMYFUNCTION("""COMPUTED_VALUE"""),"santo05natale")</f>
        <v>santo05natale</v>
      </c>
      <c r="N721" s="763" t="str">
        <f>IFERROR(__xludf.DUMMYFUNCTION("""COMPUTED_VALUE"""),"66744-1765295299")</f>
        <v>66744-1765295299</v>
      </c>
      <c r="O721" s="763">
        <f>IFERROR(__xludf.DUMMYFUNCTION("""COMPUTED_VALUE"""),0.0)</f>
        <v>0</v>
      </c>
      <c r="P721" s="767">
        <f>IFERROR(__xludf.DUMMYFUNCTION("""COMPUTED_VALUE"""),0.8333333333333334)</f>
        <v>0.8333333333</v>
      </c>
      <c r="Q721" s="763" t="str">
        <f>IFERROR(__xludf.DUMMYFUNCTION("""COMPUTED_VALUE"""),"EUR")</f>
        <v>EUR</v>
      </c>
      <c r="R721" s="763">
        <f>IFERROR(__xludf.DUMMYFUNCTION("""COMPUTED_VALUE"""),1326.0)</f>
        <v>1326</v>
      </c>
      <c r="S721" s="763" t="str">
        <f>IFERROR(__xludf.DUMMYFUNCTION("""COMPUTED_VALUE"""),"Festa di Natale 2025 - Festa di natale 2025 SOLO serata 25€")</f>
        <v>Festa di Natale 2025 - Festa di natale 2025 SOLO serata 25€</v>
      </c>
      <c r="T721" s="763"/>
      <c r="U721" s="763"/>
      <c r="V721" s="763">
        <f>IFERROR(__xludf.DUMMYFUNCTION("""COMPUTED_VALUE"""),1.0)</f>
        <v>1</v>
      </c>
      <c r="W721" s="763">
        <f>IFERROR(__xludf.DUMMYFUNCTION("""COMPUTED_VALUE"""),20.0)</f>
        <v>20</v>
      </c>
      <c r="X721" s="763">
        <f>IFERROR(__xludf.DUMMYFUNCTION("""COMPUTED_VALUE"""),20.0)</f>
        <v>20</v>
      </c>
      <c r="Y721" s="763"/>
      <c r="Z721" s="768" t="str">
        <f>IFERROR(__xludf.DUMMYFUNCTION("""COMPUTED_VALUE"""),"https://studio-gem.it/wp-admin/post.php?post=66744&amp;action=edit")</f>
        <v>https://studio-gem.it/wp-admin/post.php?post=66744&amp;action=edit</v>
      </c>
      <c r="AA721" s="763"/>
      <c r="AB721" s="763"/>
      <c r="AC721" s="763"/>
      <c r="AD721" s="763"/>
      <c r="AE721" s="763"/>
      <c r="AF721" s="763"/>
      <c r="AG721" s="763"/>
      <c r="AH721" s="763"/>
      <c r="AI721" s="763"/>
      <c r="AJ721" s="763"/>
      <c r="AK721" s="763"/>
      <c r="AL721" s="763"/>
      <c r="AM721" s="763"/>
      <c r="AN721" s="763"/>
      <c r="AO721" s="763"/>
      <c r="AP721" s="763"/>
      <c r="AQ721" s="763"/>
      <c r="AR721" s="763"/>
      <c r="AS721" s="763"/>
      <c r="AT721" s="763"/>
      <c r="AU721" s="763"/>
      <c r="AV721" s="763"/>
      <c r="AW721" s="763"/>
      <c r="AX721" s="763"/>
      <c r="AY721" s="763"/>
      <c r="AZ721" s="763"/>
      <c r="BA721" s="763"/>
      <c r="BB721" s="763"/>
      <c r="BC721" s="763"/>
      <c r="BD721" s="763"/>
      <c r="BE721" s="763"/>
      <c r="BF721" s="763"/>
      <c r="BG721" s="763" t="b">
        <f>IFERROR(__xludf.DUMMYFUNCTION("""COMPUTED_VALUE"""),TRUE)</f>
        <v>1</v>
      </c>
      <c r="BH721" s="763" t="b">
        <f>IFERROR(__xludf.DUMMYFUNCTION("""COMPUTED_VALUE"""),FALSE)</f>
        <v>0</v>
      </c>
      <c r="BI721" s="763" t="b">
        <f>IFERROR(__xludf.DUMMYFUNCTION("""COMPUTED_VALUE"""),TRUE)</f>
        <v>1</v>
      </c>
      <c r="BJ721" s="763" t="b">
        <f>IFERROR(__xludf.DUMMYFUNCTION("""COMPUTED_VALUE"""),TRUE)</f>
        <v>1</v>
      </c>
    </row>
    <row r="722">
      <c r="A722" s="763">
        <f>IFERROR(__xludf.DUMMYFUNCTION("""COMPUTED_VALUE"""),66746.0)</f>
        <v>66746</v>
      </c>
      <c r="B722" s="763">
        <f>IFERROR(__xludf.DUMMYFUNCTION("""COMPUTED_VALUE"""),66746.0)</f>
        <v>66746</v>
      </c>
      <c r="C722" s="763" t="str">
        <f>IFERROR(__xludf.DUMMYFUNCTION("""COMPUTED_VALUE"""),"2025-12-09 16:44:28")</f>
        <v>2025-12-09 16:44:28</v>
      </c>
      <c r="D722" s="763" t="str">
        <f>IFERROR(__xludf.DUMMYFUNCTION("""COMPUTED_VALUE"""),"completed")</f>
        <v>completed</v>
      </c>
      <c r="E722" s="763" t="str">
        <f>IFERROR(__xludf.DUMMYFUNCTION("""COMPUTED_VALUE"""),"Danny")</f>
        <v>Danny</v>
      </c>
      <c r="F722" s="763" t="str">
        <f>IFERROR(__xludf.DUMMYFUNCTION("""COMPUTED_VALUE"""),"Pezzini")</f>
        <v>Pezzini</v>
      </c>
      <c r="G722" s="763" t="str">
        <f>IFERROR(__xludf.DUMMYFUNCTION("""COMPUTED_VALUE"""),"dannypzz03@gmail.com")</f>
        <v>dannypzz03@gmail.com</v>
      </c>
      <c r="H722" s="763">
        <f>IFERROR(__xludf.DUMMYFUNCTION("""COMPUTED_VALUE"""),3.518753789E9)</f>
        <v>3518753789</v>
      </c>
      <c r="I722" s="763" t="str">
        <f>IFERROR(__xludf.DUMMYFUNCTION("""COMPUTED_VALUE"""),"Milano")</f>
        <v>Milano</v>
      </c>
      <c r="J722" s="763" t="str">
        <f>IFERROR(__xludf.DUMMYFUNCTION("""COMPUTED_VALUE"""),"Via Albenga 4")</f>
        <v>Via Albenga 4</v>
      </c>
      <c r="K722" s="763">
        <f>IFERROR(__xludf.DUMMYFUNCTION("""COMPUTED_VALUE"""),20153.0)</f>
        <v>20153</v>
      </c>
      <c r="L722" s="763" t="str">
        <f>IFERROR(__xludf.DUMMYFUNCTION("""COMPUTED_VALUE"""),"Apple Pay")</f>
        <v>Apple Pay</v>
      </c>
      <c r="M722" s="763"/>
      <c r="N722" s="763" t="str">
        <f>IFERROR(__xludf.DUMMYFUNCTION("""COMPUTED_VALUE"""),"66746-1765298669")</f>
        <v>66746-1765298669</v>
      </c>
      <c r="O722" s="763">
        <f>IFERROR(__xludf.DUMMYFUNCTION("""COMPUTED_VALUE"""),0.0)</f>
        <v>0</v>
      </c>
      <c r="P722" s="767">
        <f>IFERROR(__xludf.DUMMYFUNCTION("""COMPUTED_VALUE"""),1.0416666666666667)</f>
        <v>1.041666667</v>
      </c>
      <c r="Q722" s="763" t="str">
        <f>IFERROR(__xludf.DUMMYFUNCTION("""COMPUTED_VALUE"""),"EUR")</f>
        <v>EUR</v>
      </c>
      <c r="R722" s="763">
        <f>IFERROR(__xludf.DUMMYFUNCTION("""COMPUTED_VALUE"""),1328.0)</f>
        <v>1328</v>
      </c>
      <c r="S722" s="763" t="str">
        <f>IFERROR(__xludf.DUMMYFUNCTION("""COMPUTED_VALUE"""),"Festa di Natale 2025 - Festa di natale 2025 SOLO serata 25€")</f>
        <v>Festa di Natale 2025 - Festa di natale 2025 SOLO serata 25€</v>
      </c>
      <c r="T722" s="763"/>
      <c r="U722" s="763"/>
      <c r="V722" s="763">
        <f>IFERROR(__xludf.DUMMYFUNCTION("""COMPUTED_VALUE"""),1.0)</f>
        <v>1</v>
      </c>
      <c r="W722" s="763">
        <f>IFERROR(__xludf.DUMMYFUNCTION("""COMPUTED_VALUE"""),25.0)</f>
        <v>25</v>
      </c>
      <c r="X722" s="763">
        <f>IFERROR(__xludf.DUMMYFUNCTION("""COMPUTED_VALUE"""),25.0)</f>
        <v>25</v>
      </c>
      <c r="Y722" s="763"/>
      <c r="Z722" s="768" t="str">
        <f>IFERROR(__xludf.DUMMYFUNCTION("""COMPUTED_VALUE"""),"https://studio-gem.it/wp-admin/post.php?post=66746&amp;action=edit")</f>
        <v>https://studio-gem.it/wp-admin/post.php?post=66746&amp;action=edit</v>
      </c>
      <c r="AA722" s="763"/>
      <c r="AB722" s="763"/>
      <c r="AC722" s="763"/>
      <c r="AD722" s="763"/>
      <c r="AE722" s="763"/>
      <c r="AF722" s="763"/>
      <c r="AG722" s="763"/>
      <c r="AH722" s="763"/>
      <c r="AI722" s="763"/>
      <c r="AJ722" s="763"/>
      <c r="AK722" s="763"/>
      <c r="AL722" s="763"/>
      <c r="AM722" s="763"/>
      <c r="AN722" s="763"/>
      <c r="AO722" s="763"/>
      <c r="AP722" s="763"/>
      <c r="AQ722" s="763"/>
      <c r="AR722" s="763"/>
      <c r="AS722" s="763"/>
      <c r="AT722" s="763"/>
      <c r="AU722" s="763"/>
      <c r="AV722" s="763"/>
      <c r="AW722" s="763"/>
      <c r="AX722" s="763"/>
      <c r="AY722" s="763"/>
      <c r="AZ722" s="763"/>
      <c r="BA722" s="763"/>
      <c r="BB722" s="763"/>
      <c r="BC722" s="763"/>
      <c r="BD722" s="763"/>
      <c r="BE722" s="763"/>
      <c r="BF722" s="763"/>
      <c r="BG722" s="763" t="b">
        <f>IFERROR(__xludf.DUMMYFUNCTION("""COMPUTED_VALUE"""),TRUE)</f>
        <v>1</v>
      </c>
      <c r="BH722" s="763" t="b">
        <f>IFERROR(__xludf.DUMMYFUNCTION("""COMPUTED_VALUE"""),FALSE)</f>
        <v>0</v>
      </c>
      <c r="BI722" s="763" t="b">
        <f>IFERROR(__xludf.DUMMYFUNCTION("""COMPUTED_VALUE"""),TRUE)</f>
        <v>1</v>
      </c>
      <c r="BJ722" s="763" t="b">
        <f>IFERROR(__xludf.DUMMYFUNCTION("""COMPUTED_VALUE"""),TRUE)</f>
        <v>1</v>
      </c>
    </row>
    <row r="723">
      <c r="A723" s="763">
        <f>IFERROR(__xludf.DUMMYFUNCTION("""COMPUTED_VALUE"""),66755.0)</f>
        <v>66755</v>
      </c>
      <c r="B723" s="763">
        <f>IFERROR(__xludf.DUMMYFUNCTION("""COMPUTED_VALUE"""),66755.0)</f>
        <v>66755</v>
      </c>
      <c r="C723" s="763" t="str">
        <f>IFERROR(__xludf.DUMMYFUNCTION("""COMPUTED_VALUE"""),"2025-12-09 17:52:01")</f>
        <v>2025-12-09 17:52:01</v>
      </c>
      <c r="D723" s="763" t="str">
        <f>IFERROR(__xludf.DUMMYFUNCTION("""COMPUTED_VALUE"""),"completed")</f>
        <v>completed</v>
      </c>
      <c r="E723" s="763" t="str">
        <f>IFERROR(__xludf.DUMMYFUNCTION("""COMPUTED_VALUE"""),"Leandro")</f>
        <v>Leandro</v>
      </c>
      <c r="F723" s="763" t="str">
        <f>IFERROR(__xludf.DUMMYFUNCTION("""COMPUTED_VALUE"""),"Garufo")</f>
        <v>Garufo</v>
      </c>
      <c r="G723" s="763" t="str">
        <f>IFERROR(__xludf.DUMMYFUNCTION("""COMPUTED_VALUE"""),"leo.garufo@gmail.com")</f>
        <v>leo.garufo@gmail.com</v>
      </c>
      <c r="H723" s="763">
        <f>IFERROR(__xludf.DUMMYFUNCTION("""COMPUTED_VALUE"""),3.299834249E9)</f>
        <v>3299834249</v>
      </c>
      <c r="I723" s="763" t="str">
        <f>IFERROR(__xludf.DUMMYFUNCTION("""COMPUTED_VALUE"""),"Milano")</f>
        <v>Milano</v>
      </c>
      <c r="J723" s="763" t="str">
        <f>IFERROR(__xludf.DUMMYFUNCTION("""COMPUTED_VALUE"""),"Via Dal Re 3")</f>
        <v>Via Dal Re 3</v>
      </c>
      <c r="K723" s="763">
        <f>IFERROR(__xludf.DUMMYFUNCTION("""COMPUTED_VALUE"""),20156.0)</f>
        <v>20156</v>
      </c>
      <c r="L723" s="763" t="str">
        <f>IFERROR(__xludf.DUMMYFUNCTION("""COMPUTED_VALUE"""),"Google Pay")</f>
        <v>Google Pay</v>
      </c>
      <c r="M723" s="763" t="str">
        <f>IFERROR(__xludf.DUMMYFUNCTION("""COMPUTED_VALUE"""),"santo05natale")</f>
        <v>santo05natale</v>
      </c>
      <c r="N723" s="763" t="str">
        <f>IFERROR(__xludf.DUMMYFUNCTION("""COMPUTED_VALUE"""),"66755-1765302733")</f>
        <v>66755-1765302733</v>
      </c>
      <c r="O723" s="763">
        <f>IFERROR(__xludf.DUMMYFUNCTION("""COMPUTED_VALUE"""),0.0)</f>
        <v>0</v>
      </c>
      <c r="P723" s="767">
        <f>IFERROR(__xludf.DUMMYFUNCTION("""COMPUTED_VALUE"""),0.8333333333333334)</f>
        <v>0.8333333333</v>
      </c>
      <c r="Q723" s="763" t="str">
        <f>IFERROR(__xludf.DUMMYFUNCTION("""COMPUTED_VALUE"""),"EUR")</f>
        <v>EUR</v>
      </c>
      <c r="R723" s="763">
        <f>IFERROR(__xludf.DUMMYFUNCTION("""COMPUTED_VALUE"""),1329.0)</f>
        <v>1329</v>
      </c>
      <c r="S723" s="763" t="str">
        <f>IFERROR(__xludf.DUMMYFUNCTION("""COMPUTED_VALUE"""),"Festa di Natale 2025 - Festa di natale 2025 SOLO serata 25€")</f>
        <v>Festa di Natale 2025 - Festa di natale 2025 SOLO serata 25€</v>
      </c>
      <c r="T723" s="763"/>
      <c r="U723" s="763"/>
      <c r="V723" s="763">
        <f>IFERROR(__xludf.DUMMYFUNCTION("""COMPUTED_VALUE"""),1.0)</f>
        <v>1</v>
      </c>
      <c r="W723" s="763">
        <f>IFERROR(__xludf.DUMMYFUNCTION("""COMPUTED_VALUE"""),20.0)</f>
        <v>20</v>
      </c>
      <c r="X723" s="763">
        <f>IFERROR(__xludf.DUMMYFUNCTION("""COMPUTED_VALUE"""),20.0)</f>
        <v>20</v>
      </c>
      <c r="Y723" s="763"/>
      <c r="Z723" s="768" t="str">
        <f>IFERROR(__xludf.DUMMYFUNCTION("""COMPUTED_VALUE"""),"https://studio-gem.it/wp-admin/post.php?post=66755&amp;action=edit")</f>
        <v>https://studio-gem.it/wp-admin/post.php?post=66755&amp;action=edit</v>
      </c>
      <c r="AA723" s="763"/>
      <c r="AB723" s="763"/>
      <c r="AC723" s="763"/>
      <c r="AD723" s="763"/>
      <c r="AE723" s="763"/>
      <c r="AF723" s="763"/>
      <c r="AG723" s="763"/>
      <c r="AH723" s="763"/>
      <c r="AI723" s="763"/>
      <c r="AJ723" s="763"/>
      <c r="AK723" s="763"/>
      <c r="AL723" s="763"/>
      <c r="AM723" s="763"/>
      <c r="AN723" s="763"/>
      <c r="AO723" s="763"/>
      <c r="AP723" s="763"/>
      <c r="AQ723" s="763"/>
      <c r="AR723" s="763"/>
      <c r="AS723" s="763"/>
      <c r="AT723" s="763"/>
      <c r="AU723" s="763"/>
      <c r="AV723" s="763"/>
      <c r="AW723" s="763"/>
      <c r="AX723" s="763"/>
      <c r="AY723" s="763"/>
      <c r="AZ723" s="763"/>
      <c r="BA723" s="763"/>
      <c r="BB723" s="763"/>
      <c r="BC723" s="763"/>
      <c r="BD723" s="763"/>
      <c r="BE723" s="763"/>
      <c r="BF723" s="763"/>
      <c r="BG723" s="763" t="b">
        <f>IFERROR(__xludf.DUMMYFUNCTION("""COMPUTED_VALUE"""),TRUE)</f>
        <v>1</v>
      </c>
      <c r="BH723" s="763" t="b">
        <f>IFERROR(__xludf.DUMMYFUNCTION("""COMPUTED_VALUE"""),FALSE)</f>
        <v>0</v>
      </c>
      <c r="BI723" s="763" t="b">
        <f>IFERROR(__xludf.DUMMYFUNCTION("""COMPUTED_VALUE"""),TRUE)</f>
        <v>1</v>
      </c>
      <c r="BJ723" s="763" t="b">
        <f>IFERROR(__xludf.DUMMYFUNCTION("""COMPUTED_VALUE"""),TRUE)</f>
        <v>1</v>
      </c>
    </row>
    <row r="724">
      <c r="A724" s="763">
        <f>IFERROR(__xludf.DUMMYFUNCTION("""COMPUTED_VALUE"""),66757.0)</f>
        <v>66757</v>
      </c>
      <c r="B724" s="763">
        <f>IFERROR(__xludf.DUMMYFUNCTION("""COMPUTED_VALUE"""),66757.0)</f>
        <v>66757</v>
      </c>
      <c r="C724" s="763" t="str">
        <f>IFERROR(__xludf.DUMMYFUNCTION("""COMPUTED_VALUE"""),"2025-12-09 20:25:54")</f>
        <v>2025-12-09 20:25:54</v>
      </c>
      <c r="D724" s="763" t="str">
        <f>IFERROR(__xludf.DUMMYFUNCTION("""COMPUTED_VALUE"""),"completed")</f>
        <v>completed</v>
      </c>
      <c r="E724" s="763" t="str">
        <f>IFERROR(__xludf.DUMMYFUNCTION("""COMPUTED_VALUE"""),"Domiziana")</f>
        <v>Domiziana</v>
      </c>
      <c r="F724" s="763" t="str">
        <f>IFERROR(__xludf.DUMMYFUNCTION("""COMPUTED_VALUE"""),"Desantis")</f>
        <v>Desantis</v>
      </c>
      <c r="G724" s="763" t="str">
        <f>IFERROR(__xludf.DUMMYFUNCTION("""COMPUTED_VALUE"""),"domi.desantis@gmail.com")</f>
        <v>domi.desantis@gmail.com</v>
      </c>
      <c r="H724" s="763">
        <f>IFERROR(__xludf.DUMMYFUNCTION("""COMPUTED_VALUE"""),3.482468895E9)</f>
        <v>3482468895</v>
      </c>
      <c r="I724" s="763" t="str">
        <f>IFERROR(__xludf.DUMMYFUNCTION("""COMPUTED_VALUE"""),"Milano")</f>
        <v>Milano</v>
      </c>
      <c r="J724" s="763" t="str">
        <f>IFERROR(__xludf.DUMMYFUNCTION("""COMPUTED_VALUE"""),"via Ernesto Reinach")</f>
        <v>via Ernesto Reinach</v>
      </c>
      <c r="K724" s="763">
        <f>IFERROR(__xludf.DUMMYFUNCTION("""COMPUTED_VALUE"""),20159.0)</f>
        <v>20159</v>
      </c>
      <c r="L724" s="763" t="str">
        <f>IFERROR(__xludf.DUMMYFUNCTION("""COMPUTED_VALUE"""),"Apple Pay")</f>
        <v>Apple Pay</v>
      </c>
      <c r="M724" s="763"/>
      <c r="N724" s="763" t="str">
        <f>IFERROR(__xludf.DUMMYFUNCTION("""COMPUTED_VALUE"""),"66757-1765311955")</f>
        <v>66757-1765311955</v>
      </c>
      <c r="O724" s="763">
        <f>IFERROR(__xludf.DUMMYFUNCTION("""COMPUTED_VALUE"""),0.0)</f>
        <v>0</v>
      </c>
      <c r="P724" s="767">
        <f>IFERROR(__xludf.DUMMYFUNCTION("""COMPUTED_VALUE"""),1.0416666666666667)</f>
        <v>1.041666667</v>
      </c>
      <c r="Q724" s="763" t="str">
        <f>IFERROR(__xludf.DUMMYFUNCTION("""COMPUTED_VALUE"""),"EUR")</f>
        <v>EUR</v>
      </c>
      <c r="R724" s="763">
        <f>IFERROR(__xludf.DUMMYFUNCTION("""COMPUTED_VALUE"""),1331.0)</f>
        <v>1331</v>
      </c>
      <c r="S724" s="763" t="str">
        <f>IFERROR(__xludf.DUMMYFUNCTION("""COMPUTED_VALUE"""),"Festa di Natale 2025 - Festa di natale 2025 SOLO serata 25€")</f>
        <v>Festa di Natale 2025 - Festa di natale 2025 SOLO serata 25€</v>
      </c>
      <c r="T724" s="763"/>
      <c r="U724" s="763"/>
      <c r="V724" s="763">
        <f>IFERROR(__xludf.DUMMYFUNCTION("""COMPUTED_VALUE"""),1.0)</f>
        <v>1</v>
      </c>
      <c r="W724" s="763">
        <f>IFERROR(__xludf.DUMMYFUNCTION("""COMPUTED_VALUE"""),25.0)</f>
        <v>25</v>
      </c>
      <c r="X724" s="763">
        <f>IFERROR(__xludf.DUMMYFUNCTION("""COMPUTED_VALUE"""),25.0)</f>
        <v>25</v>
      </c>
      <c r="Y724" s="763"/>
      <c r="Z724" s="768" t="str">
        <f>IFERROR(__xludf.DUMMYFUNCTION("""COMPUTED_VALUE"""),"https://studio-gem.it/wp-admin/post.php?post=66757&amp;action=edit")</f>
        <v>https://studio-gem.it/wp-admin/post.php?post=66757&amp;action=edit</v>
      </c>
      <c r="AA724" s="763"/>
      <c r="AB724" s="763"/>
      <c r="AC724" s="763"/>
      <c r="AD724" s="763"/>
      <c r="AE724" s="763"/>
      <c r="AF724" s="763"/>
      <c r="AG724" s="763"/>
      <c r="AH724" s="763"/>
      <c r="AI724" s="763"/>
      <c r="AJ724" s="763"/>
      <c r="AK724" s="763"/>
      <c r="AL724" s="763"/>
      <c r="AM724" s="763"/>
      <c r="AN724" s="763"/>
      <c r="AO724" s="763"/>
      <c r="AP724" s="763"/>
      <c r="AQ724" s="763"/>
      <c r="AR724" s="763"/>
      <c r="AS724" s="763"/>
      <c r="AT724" s="763"/>
      <c r="AU724" s="763"/>
      <c r="AV724" s="763"/>
      <c r="AW724" s="763"/>
      <c r="AX724" s="763"/>
      <c r="AY724" s="763"/>
      <c r="AZ724" s="763"/>
      <c r="BA724" s="763"/>
      <c r="BB724" s="763"/>
      <c r="BC724" s="763"/>
      <c r="BD724" s="763"/>
      <c r="BE724" s="763"/>
      <c r="BF724" s="763"/>
      <c r="BG724" s="763" t="b">
        <f>IFERROR(__xludf.DUMMYFUNCTION("""COMPUTED_VALUE"""),TRUE)</f>
        <v>1</v>
      </c>
      <c r="BH724" s="763" t="b">
        <f>IFERROR(__xludf.DUMMYFUNCTION("""COMPUTED_VALUE"""),FALSE)</f>
        <v>0</v>
      </c>
      <c r="BI724" s="763" t="b">
        <f>IFERROR(__xludf.DUMMYFUNCTION("""COMPUTED_VALUE"""),TRUE)</f>
        <v>1</v>
      </c>
      <c r="BJ724" s="763" t="b">
        <f>IFERROR(__xludf.DUMMYFUNCTION("""COMPUTED_VALUE"""),TRUE)</f>
        <v>1</v>
      </c>
    </row>
    <row r="725">
      <c r="A725" s="763">
        <f>IFERROR(__xludf.DUMMYFUNCTION("""COMPUTED_VALUE"""),66759.0)</f>
        <v>66759</v>
      </c>
      <c r="B725" s="763">
        <f>IFERROR(__xludf.DUMMYFUNCTION("""COMPUTED_VALUE"""),66759.0)</f>
        <v>66759</v>
      </c>
      <c r="C725" s="763" t="str">
        <f>IFERROR(__xludf.DUMMYFUNCTION("""COMPUTED_VALUE"""),"2025-12-09 20:50:59")</f>
        <v>2025-12-09 20:50:59</v>
      </c>
      <c r="D725" s="763" t="str">
        <f>IFERROR(__xludf.DUMMYFUNCTION("""COMPUTED_VALUE"""),"processing")</f>
        <v>processing</v>
      </c>
      <c r="E725" s="763" t="str">
        <f>IFERROR(__xludf.DUMMYFUNCTION("""COMPUTED_VALUE"""),"Chiara")</f>
        <v>Chiara</v>
      </c>
      <c r="F725" s="763" t="str">
        <f>IFERROR(__xludf.DUMMYFUNCTION("""COMPUTED_VALUE"""),"Bisighin")</f>
        <v>Bisighin</v>
      </c>
      <c r="G725" s="763" t="str">
        <f>IFERROR(__xludf.DUMMYFUNCTION("""COMPUTED_VALUE"""),"c.bisighin@gmail.com")</f>
        <v>c.bisighin@gmail.com</v>
      </c>
      <c r="H725" s="763">
        <f>IFERROR(__xludf.DUMMYFUNCTION("""COMPUTED_VALUE"""),3.400925631E9)</f>
        <v>3400925631</v>
      </c>
      <c r="I725" s="763" t="str">
        <f>IFERROR(__xludf.DUMMYFUNCTION("""COMPUTED_VALUE"""),"Milano")</f>
        <v>Milano</v>
      </c>
      <c r="J725" s="763" t="str">
        <f>IFERROR(__xludf.DUMMYFUNCTION("""COMPUTED_VALUE"""),"Viale Lazio 4")</f>
        <v>Viale Lazio 4</v>
      </c>
      <c r="K725" s="763">
        <f>IFERROR(__xludf.DUMMYFUNCTION("""COMPUTED_VALUE"""),20135.0)</f>
        <v>20135</v>
      </c>
      <c r="L725" s="763" t="str">
        <f>IFERROR(__xludf.DUMMYFUNCTION("""COMPUTED_VALUE"""),"Carte di pagamento")</f>
        <v>Carte di pagamento</v>
      </c>
      <c r="M725" s="763" t="str">
        <f>IFERROR(__xludf.DUMMYFUNCTION("""COMPUTED_VALUE"""),"santo05natale")</f>
        <v>santo05natale</v>
      </c>
      <c r="N725" s="763" t="str">
        <f>IFERROR(__xludf.DUMMYFUNCTION("""COMPUTED_VALUE"""),"66759-1765313461")</f>
        <v>66759-1765313461</v>
      </c>
      <c r="O725" s="763">
        <f>IFERROR(__xludf.DUMMYFUNCTION("""COMPUTED_VALUE"""),0.0)</f>
        <v>0</v>
      </c>
      <c r="P725" s="767">
        <f>IFERROR(__xludf.DUMMYFUNCTION("""COMPUTED_VALUE"""),0.8333333333333334)</f>
        <v>0.8333333333</v>
      </c>
      <c r="Q725" s="763" t="str">
        <f>IFERROR(__xludf.DUMMYFUNCTION("""COMPUTED_VALUE"""),"EUR")</f>
        <v>EUR</v>
      </c>
      <c r="R725" s="763">
        <f>IFERROR(__xludf.DUMMYFUNCTION("""COMPUTED_VALUE"""),1332.0)</f>
        <v>1332</v>
      </c>
      <c r="S725" s="763" t="str">
        <f>IFERROR(__xludf.DUMMYFUNCTION("""COMPUTED_VALUE"""),"Festa di Natale 2025 - Festa di natale 2025 SOLO serata 25€")</f>
        <v>Festa di Natale 2025 - Festa di natale 2025 SOLO serata 25€</v>
      </c>
      <c r="T725" s="763"/>
      <c r="U725" s="763"/>
      <c r="V725" s="763">
        <f>IFERROR(__xludf.DUMMYFUNCTION("""COMPUTED_VALUE"""),1.0)</f>
        <v>1</v>
      </c>
      <c r="W725" s="763">
        <f>IFERROR(__xludf.DUMMYFUNCTION("""COMPUTED_VALUE"""),20.0)</f>
        <v>20</v>
      </c>
      <c r="X725" s="763">
        <f>IFERROR(__xludf.DUMMYFUNCTION("""COMPUTED_VALUE"""),20.0)</f>
        <v>20</v>
      </c>
      <c r="Y725" s="763"/>
      <c r="Z725" s="768" t="str">
        <f>IFERROR(__xludf.DUMMYFUNCTION("""COMPUTED_VALUE"""),"https://studio-gem.it/wp-admin/post.php?post=66759&amp;action=edit")</f>
        <v>https://studio-gem.it/wp-admin/post.php?post=66759&amp;action=edit</v>
      </c>
      <c r="AA725" s="763"/>
      <c r="AB725" s="763"/>
      <c r="AC725" s="763"/>
      <c r="AD725" s="763"/>
      <c r="AE725" s="763"/>
      <c r="AF725" s="763"/>
      <c r="AG725" s="763"/>
      <c r="AH725" s="763"/>
      <c r="AI725" s="763"/>
      <c r="AJ725" s="763"/>
      <c r="AK725" s="763"/>
      <c r="AL725" s="763"/>
      <c r="AM725" s="763"/>
      <c r="AN725" s="763"/>
      <c r="AO725" s="763"/>
      <c r="AP725" s="763"/>
      <c r="AQ725" s="763"/>
      <c r="AR725" s="763"/>
      <c r="AS725" s="763"/>
      <c r="AT725" s="763"/>
      <c r="AU725" s="763"/>
      <c r="AV725" s="763"/>
      <c r="AW725" s="763"/>
      <c r="AX725" s="763"/>
      <c r="AY725" s="763"/>
      <c r="AZ725" s="763"/>
      <c r="BA725" s="763"/>
      <c r="BB725" s="763"/>
      <c r="BC725" s="763"/>
      <c r="BD725" s="763"/>
      <c r="BE725" s="763"/>
      <c r="BF725" s="763"/>
      <c r="BG725" s="763" t="b">
        <f>IFERROR(__xludf.DUMMYFUNCTION("""COMPUTED_VALUE"""),FALSE)</f>
        <v>0</v>
      </c>
      <c r="BH725" s="763" t="b">
        <f>IFERROR(__xludf.DUMMYFUNCTION("""COMPUTED_VALUE"""),FALSE)</f>
        <v>0</v>
      </c>
      <c r="BI725" s="763" t="b">
        <f>IFERROR(__xludf.DUMMYFUNCTION("""COMPUTED_VALUE"""),TRUE)</f>
        <v>1</v>
      </c>
      <c r="BJ725" s="763" t="b">
        <f>IFERROR(__xludf.DUMMYFUNCTION("""COMPUTED_VALUE"""),TRUE)</f>
        <v>1</v>
      </c>
    </row>
    <row r="726">
      <c r="A726" s="763">
        <f>IFERROR(__xludf.DUMMYFUNCTION("""COMPUTED_VALUE"""),66760.0)</f>
        <v>66760</v>
      </c>
      <c r="B726" s="763">
        <f>IFERROR(__xludf.DUMMYFUNCTION("""COMPUTED_VALUE"""),66760.0)</f>
        <v>66760</v>
      </c>
      <c r="C726" s="763" t="str">
        <f>IFERROR(__xludf.DUMMYFUNCTION("""COMPUTED_VALUE"""),"2025-12-09 21:03:07")</f>
        <v>2025-12-09 21:03:07</v>
      </c>
      <c r="D726" s="763" t="str">
        <f>IFERROR(__xludf.DUMMYFUNCTION("""COMPUTED_VALUE"""),"completed")</f>
        <v>completed</v>
      </c>
      <c r="E726" s="763" t="str">
        <f>IFERROR(__xludf.DUMMYFUNCTION("""COMPUTED_VALUE"""),"Mikaela")</f>
        <v>Mikaela</v>
      </c>
      <c r="F726" s="763" t="str">
        <f>IFERROR(__xludf.DUMMYFUNCTION("""COMPUTED_VALUE"""),"Semprini")</f>
        <v>Semprini</v>
      </c>
      <c r="G726" s="763" t="str">
        <f>IFERROR(__xludf.DUMMYFUNCTION("""COMPUTED_VALUE"""),"mikaelamiky99@gmail.com")</f>
        <v>mikaelamiky99@gmail.com</v>
      </c>
      <c r="H726" s="763">
        <f>IFERROR(__xludf.DUMMYFUNCTION("""COMPUTED_VALUE"""),3.31741254E9)</f>
        <v>3317412540</v>
      </c>
      <c r="I726" s="763" t="str">
        <f>IFERROR(__xludf.DUMMYFUNCTION("""COMPUTED_VALUE"""),"Milano")</f>
        <v>Milano</v>
      </c>
      <c r="J726" s="763" t="str">
        <f>IFERROR(__xludf.DUMMYFUNCTION("""COMPUTED_VALUE"""),"Via Giovanni Spadolini 12/C")</f>
        <v>Via Giovanni Spadolini 12/C</v>
      </c>
      <c r="K726" s="763">
        <f>IFERROR(__xludf.DUMMYFUNCTION("""COMPUTED_VALUE"""),20141.0)</f>
        <v>20141</v>
      </c>
      <c r="L726" s="763" t="str">
        <f>IFERROR(__xludf.DUMMYFUNCTION("""COMPUTED_VALUE"""),"Apple Pay")</f>
        <v>Apple Pay</v>
      </c>
      <c r="M726" s="763" t="str">
        <f>IFERROR(__xludf.DUMMYFUNCTION("""COMPUTED_VALUE"""),"santo05natale")</f>
        <v>santo05natale</v>
      </c>
      <c r="N726" s="763" t="str">
        <f>IFERROR(__xludf.DUMMYFUNCTION("""COMPUTED_VALUE"""),"66760-1765314189")</f>
        <v>66760-1765314189</v>
      </c>
      <c r="O726" s="763">
        <f>IFERROR(__xludf.DUMMYFUNCTION("""COMPUTED_VALUE"""),0.0)</f>
        <v>0</v>
      </c>
      <c r="P726" s="767">
        <f>IFERROR(__xludf.DUMMYFUNCTION("""COMPUTED_VALUE"""),0.8333333333333334)</f>
        <v>0.8333333333</v>
      </c>
      <c r="Q726" s="763" t="str">
        <f>IFERROR(__xludf.DUMMYFUNCTION("""COMPUTED_VALUE"""),"EUR")</f>
        <v>EUR</v>
      </c>
      <c r="R726" s="763">
        <f>IFERROR(__xludf.DUMMYFUNCTION("""COMPUTED_VALUE"""),1334.0)</f>
        <v>1334</v>
      </c>
      <c r="S726" s="763" t="str">
        <f>IFERROR(__xludf.DUMMYFUNCTION("""COMPUTED_VALUE"""),"Festa di Natale 2025 - Festa di natale 2025 SOLO serata 25€")</f>
        <v>Festa di Natale 2025 - Festa di natale 2025 SOLO serata 25€</v>
      </c>
      <c r="T726" s="763"/>
      <c r="U726" s="763"/>
      <c r="V726" s="763">
        <f>IFERROR(__xludf.DUMMYFUNCTION("""COMPUTED_VALUE"""),1.0)</f>
        <v>1</v>
      </c>
      <c r="W726" s="763">
        <f>IFERROR(__xludf.DUMMYFUNCTION("""COMPUTED_VALUE"""),20.0)</f>
        <v>20</v>
      </c>
      <c r="X726" s="763">
        <f>IFERROR(__xludf.DUMMYFUNCTION("""COMPUTED_VALUE"""),20.0)</f>
        <v>20</v>
      </c>
      <c r="Y726" s="763"/>
      <c r="Z726" s="768" t="str">
        <f>IFERROR(__xludf.DUMMYFUNCTION("""COMPUTED_VALUE"""),"https://studio-gem.it/wp-admin/post.php?post=66760&amp;action=edit")</f>
        <v>https://studio-gem.it/wp-admin/post.php?post=66760&amp;action=edit</v>
      </c>
      <c r="AA726" s="763"/>
      <c r="AB726" s="763"/>
      <c r="AC726" s="763"/>
      <c r="AD726" s="763"/>
      <c r="AE726" s="763"/>
      <c r="AF726" s="763"/>
      <c r="AG726" s="763"/>
      <c r="AH726" s="763"/>
      <c r="AI726" s="763"/>
      <c r="AJ726" s="763"/>
      <c r="AK726" s="763"/>
      <c r="AL726" s="763"/>
      <c r="AM726" s="763"/>
      <c r="AN726" s="763"/>
      <c r="AO726" s="763"/>
      <c r="AP726" s="763"/>
      <c r="AQ726" s="763"/>
      <c r="AR726" s="763"/>
      <c r="AS726" s="763"/>
      <c r="AT726" s="763"/>
      <c r="AU726" s="763"/>
      <c r="AV726" s="763"/>
      <c r="AW726" s="763"/>
      <c r="AX726" s="763"/>
      <c r="AY726" s="763"/>
      <c r="AZ726" s="763"/>
      <c r="BA726" s="763"/>
      <c r="BB726" s="763"/>
      <c r="BC726" s="763"/>
      <c r="BD726" s="763"/>
      <c r="BE726" s="763"/>
      <c r="BF726" s="763"/>
      <c r="BG726" s="763" t="b">
        <f>IFERROR(__xludf.DUMMYFUNCTION("""COMPUTED_VALUE"""),TRUE)</f>
        <v>1</v>
      </c>
      <c r="BH726" s="763" t="b">
        <f>IFERROR(__xludf.DUMMYFUNCTION("""COMPUTED_VALUE"""),FALSE)</f>
        <v>0</v>
      </c>
      <c r="BI726" s="763" t="b">
        <f>IFERROR(__xludf.DUMMYFUNCTION("""COMPUTED_VALUE"""),TRUE)</f>
        <v>1</v>
      </c>
      <c r="BJ726" s="763" t="b">
        <f>IFERROR(__xludf.DUMMYFUNCTION("""COMPUTED_VALUE"""),TRUE)</f>
        <v>1</v>
      </c>
    </row>
    <row r="727">
      <c r="A727" s="763">
        <f>IFERROR(__xludf.DUMMYFUNCTION("""COMPUTED_VALUE"""),66762.0)</f>
        <v>66762</v>
      </c>
      <c r="B727" s="763">
        <f>IFERROR(__xludf.DUMMYFUNCTION("""COMPUTED_VALUE"""),66762.0)</f>
        <v>66762</v>
      </c>
      <c r="C727" s="763" t="str">
        <f>IFERROR(__xludf.DUMMYFUNCTION("""COMPUTED_VALUE"""),"2025-12-09 21:15:50")</f>
        <v>2025-12-09 21:15:50</v>
      </c>
      <c r="D727" s="763" t="str">
        <f>IFERROR(__xludf.DUMMYFUNCTION("""COMPUTED_VALUE"""),"processing")</f>
        <v>processing</v>
      </c>
      <c r="E727" s="763" t="str">
        <f>IFERROR(__xludf.DUMMYFUNCTION("""COMPUTED_VALUE"""),"Giorgia")</f>
        <v>Giorgia</v>
      </c>
      <c r="F727" s="763" t="str">
        <f>IFERROR(__xludf.DUMMYFUNCTION("""COMPUTED_VALUE"""),"Coppola")</f>
        <v>Coppola</v>
      </c>
      <c r="G727" s="763" t="str">
        <f>IFERROR(__xludf.DUMMYFUNCTION("""COMPUTED_VALUE"""),"Copg99@gmail.com")</f>
        <v>Copg99@gmail.com</v>
      </c>
      <c r="H727" s="763">
        <f>IFERROR(__xludf.DUMMYFUNCTION("""COMPUTED_VALUE"""),3.299488032E9)</f>
        <v>3299488032</v>
      </c>
      <c r="I727" s="763" t="str">
        <f>IFERROR(__xludf.DUMMYFUNCTION("""COMPUTED_VALUE"""),"Milano")</f>
        <v>Milano</v>
      </c>
      <c r="J727" s="763" t="str">
        <f>IFERROR(__xludf.DUMMYFUNCTION("""COMPUTED_VALUE"""),"Via Piero Bottoni 11")</f>
        <v>Via Piero Bottoni 11</v>
      </c>
      <c r="K727" s="763">
        <f>IFERROR(__xludf.DUMMYFUNCTION("""COMPUTED_VALUE"""),20141.0)</f>
        <v>20141</v>
      </c>
      <c r="L727" s="763" t="str">
        <f>IFERROR(__xludf.DUMMYFUNCTION("""COMPUTED_VALUE"""),"Carte di pagamento")</f>
        <v>Carte di pagamento</v>
      </c>
      <c r="M727" s="763" t="str">
        <f>IFERROR(__xludf.DUMMYFUNCTION("""COMPUTED_VALUE"""),"santo05natale")</f>
        <v>santo05natale</v>
      </c>
      <c r="N727" s="763" t="str">
        <f>IFERROR(__xludf.DUMMYFUNCTION("""COMPUTED_VALUE"""),"66762-1765314953")</f>
        <v>66762-1765314953</v>
      </c>
      <c r="O727" s="763">
        <f>IFERROR(__xludf.DUMMYFUNCTION("""COMPUTED_VALUE"""),0.0)</f>
        <v>0</v>
      </c>
      <c r="P727" s="767">
        <f>IFERROR(__xludf.DUMMYFUNCTION("""COMPUTED_VALUE"""),0.8333333333333334)</f>
        <v>0.8333333333</v>
      </c>
      <c r="Q727" s="763" t="str">
        <f>IFERROR(__xludf.DUMMYFUNCTION("""COMPUTED_VALUE"""),"EUR")</f>
        <v>EUR</v>
      </c>
      <c r="R727" s="763">
        <f>IFERROR(__xludf.DUMMYFUNCTION("""COMPUTED_VALUE"""),1336.0)</f>
        <v>1336</v>
      </c>
      <c r="S727" s="763" t="str">
        <f>IFERROR(__xludf.DUMMYFUNCTION("""COMPUTED_VALUE"""),"Festa di Natale 2025 - Festa di natale 2025 SOLO serata 25€")</f>
        <v>Festa di Natale 2025 - Festa di natale 2025 SOLO serata 25€</v>
      </c>
      <c r="T727" s="763"/>
      <c r="U727" s="763"/>
      <c r="V727" s="763">
        <f>IFERROR(__xludf.DUMMYFUNCTION("""COMPUTED_VALUE"""),1.0)</f>
        <v>1</v>
      </c>
      <c r="W727" s="763">
        <f>IFERROR(__xludf.DUMMYFUNCTION("""COMPUTED_VALUE"""),20.0)</f>
        <v>20</v>
      </c>
      <c r="X727" s="763">
        <f>IFERROR(__xludf.DUMMYFUNCTION("""COMPUTED_VALUE"""),20.0)</f>
        <v>20</v>
      </c>
      <c r="Y727" s="763"/>
      <c r="Z727" s="768" t="str">
        <f>IFERROR(__xludf.DUMMYFUNCTION("""COMPUTED_VALUE"""),"https://studio-gem.it/wp-admin/post.php?post=66762&amp;action=edit")</f>
        <v>https://studio-gem.it/wp-admin/post.php?post=66762&amp;action=edit</v>
      </c>
      <c r="AA727" s="763"/>
      <c r="AB727" s="763"/>
      <c r="AC727" s="763"/>
      <c r="AD727" s="763"/>
      <c r="AE727" s="763"/>
      <c r="AF727" s="763"/>
      <c r="AG727" s="763"/>
      <c r="AH727" s="763"/>
      <c r="AI727" s="763"/>
      <c r="AJ727" s="763"/>
      <c r="AK727" s="763"/>
      <c r="AL727" s="763"/>
      <c r="AM727" s="763"/>
      <c r="AN727" s="763"/>
      <c r="AO727" s="763"/>
      <c r="AP727" s="763"/>
      <c r="AQ727" s="763"/>
      <c r="AR727" s="763"/>
      <c r="AS727" s="763"/>
      <c r="AT727" s="763"/>
      <c r="AU727" s="763"/>
      <c r="AV727" s="763"/>
      <c r="AW727" s="763"/>
      <c r="AX727" s="763"/>
      <c r="AY727" s="763"/>
      <c r="AZ727" s="763"/>
      <c r="BA727" s="763"/>
      <c r="BB727" s="763"/>
      <c r="BC727" s="763"/>
      <c r="BD727" s="763"/>
      <c r="BE727" s="763"/>
      <c r="BF727" s="763"/>
      <c r="BG727" s="763" t="b">
        <f>IFERROR(__xludf.DUMMYFUNCTION("""COMPUTED_VALUE"""),TRUE)</f>
        <v>1</v>
      </c>
      <c r="BH727" s="763" t="b">
        <f>IFERROR(__xludf.DUMMYFUNCTION("""COMPUTED_VALUE"""),FALSE)</f>
        <v>0</v>
      </c>
      <c r="BI727" s="763" t="b">
        <f>IFERROR(__xludf.DUMMYFUNCTION("""COMPUTED_VALUE"""),TRUE)</f>
        <v>1</v>
      </c>
      <c r="BJ727" s="763" t="b">
        <f>IFERROR(__xludf.DUMMYFUNCTION("""COMPUTED_VALUE"""),TRUE)</f>
        <v>1</v>
      </c>
    </row>
    <row r="728">
      <c r="A728" s="763">
        <f>IFERROR(__xludf.DUMMYFUNCTION("""COMPUTED_VALUE"""),66763.0)</f>
        <v>66763</v>
      </c>
      <c r="B728" s="763">
        <f>IFERROR(__xludf.DUMMYFUNCTION("""COMPUTED_VALUE"""),66763.0)</f>
        <v>66763</v>
      </c>
      <c r="C728" s="763" t="str">
        <f>IFERROR(__xludf.DUMMYFUNCTION("""COMPUTED_VALUE"""),"2025-12-09 21:48:53")</f>
        <v>2025-12-09 21:48:53</v>
      </c>
      <c r="D728" s="763" t="str">
        <f>IFERROR(__xludf.DUMMYFUNCTION("""COMPUTED_VALUE"""),"completed")</f>
        <v>completed</v>
      </c>
      <c r="E728" s="763" t="str">
        <f>IFERROR(__xludf.DUMMYFUNCTION("""COMPUTED_VALUE"""),"Giulia")</f>
        <v>Giulia</v>
      </c>
      <c r="F728" s="763" t="str">
        <f>IFERROR(__xludf.DUMMYFUNCTION("""COMPUTED_VALUE"""),"Scarteddu")</f>
        <v>Scarteddu</v>
      </c>
      <c r="G728" s="763" t="str">
        <f>IFERROR(__xludf.DUMMYFUNCTION("""COMPUTED_VALUE"""),"giulia.scart@gmail.com")</f>
        <v>giulia.scart@gmail.com</v>
      </c>
      <c r="H728" s="763">
        <f>IFERROR(__xludf.DUMMYFUNCTION("""COMPUTED_VALUE"""),3.894316014E9)</f>
        <v>3894316014</v>
      </c>
      <c r="I728" s="763" t="str">
        <f>IFERROR(__xludf.DUMMYFUNCTION("""COMPUTED_VALUE"""),"Milano")</f>
        <v>Milano</v>
      </c>
      <c r="J728" s="763" t="str">
        <f>IFERROR(__xludf.DUMMYFUNCTION("""COMPUTED_VALUE"""),"Via fratelli Rosselli 2")</f>
        <v>Via fratelli Rosselli 2</v>
      </c>
      <c r="K728" s="763">
        <f>IFERROR(__xludf.DUMMYFUNCTION("""COMPUTED_VALUE"""),20139.0)</f>
        <v>20139</v>
      </c>
      <c r="L728" s="763" t="str">
        <f>IFERROR(__xludf.DUMMYFUNCTION("""COMPUTED_VALUE"""),"Carte di pagamento")</f>
        <v>Carte di pagamento</v>
      </c>
      <c r="M728" s="763" t="str">
        <f>IFERROR(__xludf.DUMMYFUNCTION("""COMPUTED_VALUE"""),"santo05natale")</f>
        <v>santo05natale</v>
      </c>
      <c r="N728" s="763" t="str">
        <f>IFERROR(__xludf.DUMMYFUNCTION("""COMPUTED_VALUE"""),"66763-1765316936")</f>
        <v>66763-1765316936</v>
      </c>
      <c r="O728" s="763">
        <f>IFERROR(__xludf.DUMMYFUNCTION("""COMPUTED_VALUE"""),0.0)</f>
        <v>0</v>
      </c>
      <c r="P728" s="767">
        <f>IFERROR(__xludf.DUMMYFUNCTION("""COMPUTED_VALUE"""),0.8333333333333334)</f>
        <v>0.8333333333</v>
      </c>
      <c r="Q728" s="763" t="str">
        <f>IFERROR(__xludf.DUMMYFUNCTION("""COMPUTED_VALUE"""),"EUR")</f>
        <v>EUR</v>
      </c>
      <c r="R728" s="763">
        <f>IFERROR(__xludf.DUMMYFUNCTION("""COMPUTED_VALUE"""),1338.0)</f>
        <v>1338</v>
      </c>
      <c r="S728" s="763" t="str">
        <f>IFERROR(__xludf.DUMMYFUNCTION("""COMPUTED_VALUE"""),"Festa di Natale 2025 - Festa di natale 2025 SOLO serata 25€")</f>
        <v>Festa di Natale 2025 - Festa di natale 2025 SOLO serata 25€</v>
      </c>
      <c r="T728" s="763"/>
      <c r="U728" s="763"/>
      <c r="V728" s="763">
        <f>IFERROR(__xludf.DUMMYFUNCTION("""COMPUTED_VALUE"""),1.0)</f>
        <v>1</v>
      </c>
      <c r="W728" s="763">
        <f>IFERROR(__xludf.DUMMYFUNCTION("""COMPUTED_VALUE"""),20.0)</f>
        <v>20</v>
      </c>
      <c r="X728" s="763">
        <f>IFERROR(__xludf.DUMMYFUNCTION("""COMPUTED_VALUE"""),20.0)</f>
        <v>20</v>
      </c>
      <c r="Y728" s="763"/>
      <c r="Z728" s="768" t="str">
        <f>IFERROR(__xludf.DUMMYFUNCTION("""COMPUTED_VALUE"""),"https://studio-gem.it/wp-admin/post.php?post=66763&amp;action=edit")</f>
        <v>https://studio-gem.it/wp-admin/post.php?post=66763&amp;action=edit</v>
      </c>
      <c r="AA728" s="763"/>
      <c r="AB728" s="763"/>
      <c r="AC728" s="763"/>
      <c r="AD728" s="763"/>
      <c r="AE728" s="763"/>
      <c r="AF728" s="763"/>
      <c r="AG728" s="763"/>
      <c r="AH728" s="763"/>
      <c r="AI728" s="763"/>
      <c r="AJ728" s="763"/>
      <c r="AK728" s="763"/>
      <c r="AL728" s="763"/>
      <c r="AM728" s="763"/>
      <c r="AN728" s="763"/>
      <c r="AO728" s="763"/>
      <c r="AP728" s="763"/>
      <c r="AQ728" s="763"/>
      <c r="AR728" s="763"/>
      <c r="AS728" s="763"/>
      <c r="AT728" s="763"/>
      <c r="AU728" s="763"/>
      <c r="AV728" s="763"/>
      <c r="AW728" s="763"/>
      <c r="AX728" s="763"/>
      <c r="AY728" s="763"/>
      <c r="AZ728" s="763"/>
      <c r="BA728" s="763"/>
      <c r="BB728" s="763"/>
      <c r="BC728" s="763"/>
      <c r="BD728" s="763"/>
      <c r="BE728" s="763"/>
      <c r="BF728" s="763"/>
      <c r="BG728" s="763" t="b">
        <f>IFERROR(__xludf.DUMMYFUNCTION("""COMPUTED_VALUE"""),TRUE)</f>
        <v>1</v>
      </c>
      <c r="BH728" s="763" t="b">
        <f>IFERROR(__xludf.DUMMYFUNCTION("""COMPUTED_VALUE"""),FALSE)</f>
        <v>0</v>
      </c>
      <c r="BI728" s="763" t="b">
        <f>IFERROR(__xludf.DUMMYFUNCTION("""COMPUTED_VALUE"""),TRUE)</f>
        <v>1</v>
      </c>
      <c r="BJ728" s="763" t="b">
        <f>IFERROR(__xludf.DUMMYFUNCTION("""COMPUTED_VALUE"""),TRUE)</f>
        <v>1</v>
      </c>
    </row>
    <row r="729">
      <c r="A729" s="763">
        <f>IFERROR(__xludf.DUMMYFUNCTION("""COMPUTED_VALUE"""),66765.0)</f>
        <v>66765</v>
      </c>
      <c r="B729" s="763">
        <f>IFERROR(__xludf.DUMMYFUNCTION("""COMPUTED_VALUE"""),66765.0)</f>
        <v>66765</v>
      </c>
      <c r="C729" s="763" t="str">
        <f>IFERROR(__xludf.DUMMYFUNCTION("""COMPUTED_VALUE"""),"2025-12-09 22:10:43")</f>
        <v>2025-12-09 22:10:43</v>
      </c>
      <c r="D729" s="763" t="str">
        <f>IFERROR(__xludf.DUMMYFUNCTION("""COMPUTED_VALUE"""),"pending")</f>
        <v>pending</v>
      </c>
      <c r="E729" s="763" t="str">
        <f>IFERROR(__xludf.DUMMYFUNCTION("""COMPUTED_VALUE"""),"Carmela")</f>
        <v>Carmela</v>
      </c>
      <c r="F729" s="763" t="str">
        <f>IFERROR(__xludf.DUMMYFUNCTION("""COMPUTED_VALUE"""),"Varegliano")</f>
        <v>Varegliano</v>
      </c>
      <c r="G729" s="763" t="str">
        <f>IFERROR(__xludf.DUMMYFUNCTION("""COMPUTED_VALUE"""),"carmela.varegliano@hotmail.com")</f>
        <v>carmela.varegliano@hotmail.com</v>
      </c>
      <c r="H729" s="763">
        <f>IFERROR(__xludf.DUMMYFUNCTION("""COMPUTED_VALUE"""),3.289237909E9)</f>
        <v>3289237909</v>
      </c>
      <c r="I729" s="763" t="str">
        <f>IFERROR(__xludf.DUMMYFUNCTION("""COMPUTED_VALUE"""),"Milano")</f>
        <v>Milano</v>
      </c>
      <c r="J729" s="763" t="str">
        <f>IFERROR(__xludf.DUMMYFUNCTION("""COMPUTED_VALUE"""),"C.so Lodi, 65")</f>
        <v>C.so Lodi, 65</v>
      </c>
      <c r="K729" s="763">
        <f>IFERROR(__xludf.DUMMYFUNCTION("""COMPUTED_VALUE"""),20139.0)</f>
        <v>20139</v>
      </c>
      <c r="L729" s="763" t="str">
        <f>IFERROR(__xludf.DUMMYFUNCTION("""COMPUTED_VALUE"""),"Carte di pagamento")</f>
        <v>Carte di pagamento</v>
      </c>
      <c r="M729" s="763" t="str">
        <f>IFERROR(__xludf.DUMMYFUNCTION("""COMPUTED_VALUE"""),"alexandra05natale")</f>
        <v>alexandra05natale</v>
      </c>
      <c r="N729" s="763"/>
      <c r="O729" s="763">
        <f>IFERROR(__xludf.DUMMYFUNCTION("""COMPUTED_VALUE"""),0.0)</f>
        <v>0</v>
      </c>
      <c r="P729" s="767">
        <f>IFERROR(__xludf.DUMMYFUNCTION("""COMPUTED_VALUE"""),0.8333333333333334)</f>
        <v>0.8333333333</v>
      </c>
      <c r="Q729" s="763" t="str">
        <f>IFERROR(__xludf.DUMMYFUNCTION("""COMPUTED_VALUE"""),"EUR")</f>
        <v>EUR</v>
      </c>
      <c r="R729" s="763">
        <f>IFERROR(__xludf.DUMMYFUNCTION("""COMPUTED_VALUE"""),1340.0)</f>
        <v>1340</v>
      </c>
      <c r="S729" s="763" t="str">
        <f>IFERROR(__xludf.DUMMYFUNCTION("""COMPUTED_VALUE"""),"Festa di Natale 2025 - Festa di natale 2025 SOLO serata 25€")</f>
        <v>Festa di Natale 2025 - Festa di natale 2025 SOLO serata 25€</v>
      </c>
      <c r="T729" s="763"/>
      <c r="U729" s="763"/>
      <c r="V729" s="763">
        <f>IFERROR(__xludf.DUMMYFUNCTION("""COMPUTED_VALUE"""),1.0)</f>
        <v>1</v>
      </c>
      <c r="W729" s="763">
        <f>IFERROR(__xludf.DUMMYFUNCTION("""COMPUTED_VALUE"""),20.0)</f>
        <v>20</v>
      </c>
      <c r="X729" s="763">
        <f>IFERROR(__xludf.DUMMYFUNCTION("""COMPUTED_VALUE"""),20.0)</f>
        <v>20</v>
      </c>
      <c r="Y729" s="763"/>
      <c r="Z729" s="768" t="str">
        <f>IFERROR(__xludf.DUMMYFUNCTION("""COMPUTED_VALUE"""),"https://studio-gem.it/wp-admin/post.php?post=66765&amp;action=edit")</f>
        <v>https://studio-gem.it/wp-admin/post.php?post=66765&amp;action=edit</v>
      </c>
      <c r="AA729" s="763"/>
      <c r="AB729" s="763"/>
      <c r="AC729" s="763"/>
      <c r="AD729" s="763"/>
      <c r="AE729" s="763"/>
      <c r="AF729" s="763"/>
      <c r="AG729" s="763"/>
      <c r="AH729" s="763"/>
      <c r="AI729" s="763"/>
      <c r="AJ729" s="763"/>
      <c r="AK729" s="763"/>
      <c r="AL729" s="763"/>
      <c r="AM729" s="763"/>
      <c r="AN729" s="763"/>
      <c r="AO729" s="763"/>
      <c r="AP729" s="763"/>
      <c r="AQ729" s="763"/>
      <c r="AR729" s="763"/>
      <c r="AS729" s="763"/>
      <c r="AT729" s="763"/>
      <c r="AU729" s="763"/>
      <c r="AV729" s="763"/>
      <c r="AW729" s="763"/>
      <c r="AX729" s="763"/>
      <c r="AY729" s="763"/>
      <c r="AZ729" s="763"/>
      <c r="BA729" s="763"/>
      <c r="BB729" s="763"/>
      <c r="BC729" s="763"/>
      <c r="BD729" s="763"/>
      <c r="BE729" s="763"/>
      <c r="BF729" s="763"/>
      <c r="BG729" s="763" t="b">
        <f>IFERROR(__xludf.DUMMYFUNCTION("""COMPUTED_VALUE"""),FALSE)</f>
        <v>0</v>
      </c>
      <c r="BH729" s="763" t="b">
        <f>IFERROR(__xludf.DUMMYFUNCTION("""COMPUTED_VALUE"""),FALSE)</f>
        <v>0</v>
      </c>
      <c r="BI729" s="763" t="b">
        <f>IFERROR(__xludf.DUMMYFUNCTION("""COMPUTED_VALUE"""),FALSE)</f>
        <v>0</v>
      </c>
      <c r="BJ729" s="763" t="b">
        <f>IFERROR(__xludf.DUMMYFUNCTION("""COMPUTED_VALUE"""),FALSE)</f>
        <v>0</v>
      </c>
    </row>
    <row r="730">
      <c r="A730" s="763">
        <f>IFERROR(__xludf.DUMMYFUNCTION("""COMPUTED_VALUE"""),66766.0)</f>
        <v>66766</v>
      </c>
      <c r="B730" s="763">
        <f>IFERROR(__xludf.DUMMYFUNCTION("""COMPUTED_VALUE"""),66766.0)</f>
        <v>66766</v>
      </c>
      <c r="C730" s="763" t="str">
        <f>IFERROR(__xludf.DUMMYFUNCTION("""COMPUTED_VALUE"""),"2025-12-09 22:40:40")</f>
        <v>2025-12-09 22:40:40</v>
      </c>
      <c r="D730" s="763" t="str">
        <f>IFERROR(__xludf.DUMMYFUNCTION("""COMPUTED_VALUE"""),"processing")</f>
        <v>processing</v>
      </c>
      <c r="E730" s="763" t="str">
        <f>IFERROR(__xludf.DUMMYFUNCTION("""COMPUTED_VALUE"""),"Manuela")</f>
        <v>Manuela</v>
      </c>
      <c r="F730" s="763" t="str">
        <f>IFERROR(__xludf.DUMMYFUNCTION("""COMPUTED_VALUE"""),"Menichelli")</f>
        <v>Menichelli</v>
      </c>
      <c r="G730" s="763" t="str">
        <f>IFERROR(__xludf.DUMMYFUNCTION("""COMPUTED_VALUE"""),"manu.menichelli@gmail.com")</f>
        <v>manu.menichelli@gmail.com</v>
      </c>
      <c r="H730" s="763">
        <f>IFERROR(__xludf.DUMMYFUNCTION("""COMPUTED_VALUE"""),3.472431751E9)</f>
        <v>3472431751</v>
      </c>
      <c r="I730" s="763" t="str">
        <f>IFERROR(__xludf.DUMMYFUNCTION("""COMPUTED_VALUE"""),"Milano")</f>
        <v>Milano</v>
      </c>
      <c r="J730" s="763" t="str">
        <f>IFERROR(__xludf.DUMMYFUNCTION("""COMPUTED_VALUE"""),"Via Principe Eugenio 51")</f>
        <v>Via Principe Eugenio 51</v>
      </c>
      <c r="K730" s="763">
        <f>IFERROR(__xludf.DUMMYFUNCTION("""COMPUTED_VALUE"""),20155.0)</f>
        <v>20155</v>
      </c>
      <c r="L730" s="763" t="str">
        <f>IFERROR(__xludf.DUMMYFUNCTION("""COMPUTED_VALUE"""),"Carte di pagamento")</f>
        <v>Carte di pagamento</v>
      </c>
      <c r="M730" s="763" t="str">
        <f>IFERROR(__xludf.DUMMYFUNCTION("""COMPUTED_VALUE"""),"estefany05natale")</f>
        <v>estefany05natale</v>
      </c>
      <c r="N730" s="763" t="str">
        <f>IFERROR(__xludf.DUMMYFUNCTION("""COMPUTED_VALUE"""),"66766-1765320041")</f>
        <v>66766-1765320041</v>
      </c>
      <c r="O730" s="763">
        <f>IFERROR(__xludf.DUMMYFUNCTION("""COMPUTED_VALUE"""),0.0)</f>
        <v>0</v>
      </c>
      <c r="P730" s="767">
        <f>IFERROR(__xludf.DUMMYFUNCTION("""COMPUTED_VALUE"""),0.8333333333333334)</f>
        <v>0.8333333333</v>
      </c>
      <c r="Q730" s="763" t="str">
        <f>IFERROR(__xludf.DUMMYFUNCTION("""COMPUTED_VALUE"""),"EUR")</f>
        <v>EUR</v>
      </c>
      <c r="R730" s="763">
        <f>IFERROR(__xludf.DUMMYFUNCTION("""COMPUTED_VALUE"""),1342.0)</f>
        <v>1342</v>
      </c>
      <c r="S730" s="763" t="str">
        <f>IFERROR(__xludf.DUMMYFUNCTION("""COMPUTED_VALUE"""),"Festa di Natale 2025 - Festa di natale 2025 SOLO serata 25€")</f>
        <v>Festa di Natale 2025 - Festa di natale 2025 SOLO serata 25€</v>
      </c>
      <c r="T730" s="763"/>
      <c r="U730" s="763"/>
      <c r="V730" s="763">
        <f>IFERROR(__xludf.DUMMYFUNCTION("""COMPUTED_VALUE"""),1.0)</f>
        <v>1</v>
      </c>
      <c r="W730" s="763">
        <f>IFERROR(__xludf.DUMMYFUNCTION("""COMPUTED_VALUE"""),20.0)</f>
        <v>20</v>
      </c>
      <c r="X730" s="763">
        <f>IFERROR(__xludf.DUMMYFUNCTION("""COMPUTED_VALUE"""),20.0)</f>
        <v>20</v>
      </c>
      <c r="Y730" s="763"/>
      <c r="Z730" s="768" t="str">
        <f>IFERROR(__xludf.DUMMYFUNCTION("""COMPUTED_VALUE"""),"https://studio-gem.it/wp-admin/post.php?post=66766&amp;action=edit")</f>
        <v>https://studio-gem.it/wp-admin/post.php?post=66766&amp;action=edit</v>
      </c>
      <c r="AA730" s="763"/>
      <c r="AB730" s="763"/>
      <c r="AC730" s="763"/>
      <c r="AD730" s="763"/>
      <c r="AE730" s="763"/>
      <c r="AF730" s="763"/>
      <c r="AG730" s="763"/>
      <c r="AH730" s="763"/>
      <c r="AI730" s="763"/>
      <c r="AJ730" s="763"/>
      <c r="AK730" s="763"/>
      <c r="AL730" s="763"/>
      <c r="AM730" s="763"/>
      <c r="AN730" s="763"/>
      <c r="AO730" s="763"/>
      <c r="AP730" s="763"/>
      <c r="AQ730" s="763"/>
      <c r="AR730" s="763"/>
      <c r="AS730" s="763"/>
      <c r="AT730" s="763"/>
      <c r="AU730" s="763"/>
      <c r="AV730" s="763"/>
      <c r="AW730" s="763"/>
      <c r="AX730" s="763"/>
      <c r="AY730" s="763"/>
      <c r="AZ730" s="763"/>
      <c r="BA730" s="763"/>
      <c r="BB730" s="763"/>
      <c r="BC730" s="763"/>
      <c r="BD730" s="763"/>
      <c r="BE730" s="763"/>
      <c r="BF730" s="763"/>
      <c r="BG730" s="763" t="b">
        <f>IFERROR(__xludf.DUMMYFUNCTION("""COMPUTED_VALUE"""),TRUE)</f>
        <v>1</v>
      </c>
      <c r="BH730" s="763" t="b">
        <f>IFERROR(__xludf.DUMMYFUNCTION("""COMPUTED_VALUE"""),FALSE)</f>
        <v>0</v>
      </c>
      <c r="BI730" s="763" t="b">
        <f>IFERROR(__xludf.DUMMYFUNCTION("""COMPUTED_VALUE"""),TRUE)</f>
        <v>1</v>
      </c>
      <c r="BJ730" s="763" t="b">
        <f>IFERROR(__xludf.DUMMYFUNCTION("""COMPUTED_VALUE"""),TRUE)</f>
        <v>1</v>
      </c>
    </row>
    <row r="731">
      <c r="A731" s="763">
        <f>IFERROR(__xludf.DUMMYFUNCTION("""COMPUTED_VALUE"""),66767.0)</f>
        <v>66767</v>
      </c>
      <c r="B731" s="763">
        <f>IFERROR(__xludf.DUMMYFUNCTION("""COMPUTED_VALUE"""),66767.0)</f>
        <v>66767</v>
      </c>
      <c r="C731" s="763" t="str">
        <f>IFERROR(__xludf.DUMMYFUNCTION("""COMPUTED_VALUE"""),"2025-12-09 23:18:24")</f>
        <v>2025-12-09 23:18:24</v>
      </c>
      <c r="D731" s="763" t="str">
        <f>IFERROR(__xludf.DUMMYFUNCTION("""COMPUTED_VALUE"""),"completed")</f>
        <v>completed</v>
      </c>
      <c r="E731" s="763" t="str">
        <f>IFERROR(__xludf.DUMMYFUNCTION("""COMPUTED_VALUE"""),"Francesco")</f>
        <v>Francesco</v>
      </c>
      <c r="F731" s="763" t="str">
        <f>IFERROR(__xludf.DUMMYFUNCTION("""COMPUTED_VALUE"""),"Abbracciavento")</f>
        <v>Abbracciavento</v>
      </c>
      <c r="G731" s="763" t="str">
        <f>IFERROR(__xludf.DUMMYFUNCTION("""COMPUTED_VALUE"""),"francesco.abbraccia@gmail.com")</f>
        <v>francesco.abbraccia@gmail.com</v>
      </c>
      <c r="H731" s="763">
        <f>IFERROR(__xludf.DUMMYFUNCTION("""COMPUTED_VALUE"""),3.465136026E9)</f>
        <v>3465136026</v>
      </c>
      <c r="I731" s="763" t="str">
        <f>IFERROR(__xludf.DUMMYFUNCTION("""COMPUTED_VALUE"""),"Milano")</f>
        <v>Milano</v>
      </c>
      <c r="J731" s="763" t="str">
        <f>IFERROR(__xludf.DUMMYFUNCTION("""COMPUTED_VALUE"""),"Via Bassini 46")</f>
        <v>Via Bassini 46</v>
      </c>
      <c r="K731" s="763">
        <f>IFERROR(__xludf.DUMMYFUNCTION("""COMPUTED_VALUE"""),20133.0)</f>
        <v>20133</v>
      </c>
      <c r="L731" s="763" t="str">
        <f>IFERROR(__xludf.DUMMYFUNCTION("""COMPUTED_VALUE"""),"Google Pay")</f>
        <v>Google Pay</v>
      </c>
      <c r="M731" s="763"/>
      <c r="N731" s="763" t="str">
        <f>IFERROR(__xludf.DUMMYFUNCTION("""COMPUTED_VALUE"""),"66767-1765322306")</f>
        <v>66767-1765322306</v>
      </c>
      <c r="O731" s="763">
        <f>IFERROR(__xludf.DUMMYFUNCTION("""COMPUTED_VALUE"""),0.0)</f>
        <v>0</v>
      </c>
      <c r="P731" s="767">
        <f>IFERROR(__xludf.DUMMYFUNCTION("""COMPUTED_VALUE"""),1.0416666666666667)</f>
        <v>1.041666667</v>
      </c>
      <c r="Q731" s="763" t="str">
        <f>IFERROR(__xludf.DUMMYFUNCTION("""COMPUTED_VALUE"""),"EUR")</f>
        <v>EUR</v>
      </c>
      <c r="R731" s="763">
        <f>IFERROR(__xludf.DUMMYFUNCTION("""COMPUTED_VALUE"""),1344.0)</f>
        <v>1344</v>
      </c>
      <c r="S731" s="763" t="str">
        <f>IFERROR(__xludf.DUMMYFUNCTION("""COMPUTED_VALUE"""),"Festa di Natale 2025 - Festa di natale 2025 SOLO serata 25€")</f>
        <v>Festa di Natale 2025 - Festa di natale 2025 SOLO serata 25€</v>
      </c>
      <c r="T731" s="763"/>
      <c r="U731" s="763"/>
      <c r="V731" s="763">
        <f>IFERROR(__xludf.DUMMYFUNCTION("""COMPUTED_VALUE"""),1.0)</f>
        <v>1</v>
      </c>
      <c r="W731" s="763">
        <f>IFERROR(__xludf.DUMMYFUNCTION("""COMPUTED_VALUE"""),25.0)</f>
        <v>25</v>
      </c>
      <c r="X731" s="763">
        <f>IFERROR(__xludf.DUMMYFUNCTION("""COMPUTED_VALUE"""),25.0)</f>
        <v>25</v>
      </c>
      <c r="Y731" s="763"/>
      <c r="Z731" s="768" t="str">
        <f>IFERROR(__xludf.DUMMYFUNCTION("""COMPUTED_VALUE"""),"https://studio-gem.it/wp-admin/post.php?post=66767&amp;action=edit")</f>
        <v>https://studio-gem.it/wp-admin/post.php?post=66767&amp;action=edit</v>
      </c>
      <c r="AA731" s="763"/>
      <c r="AB731" s="763"/>
      <c r="AC731" s="763"/>
      <c r="AD731" s="763"/>
      <c r="AE731" s="763"/>
      <c r="AF731" s="763"/>
      <c r="AG731" s="763"/>
      <c r="AH731" s="763"/>
      <c r="AI731" s="763"/>
      <c r="AJ731" s="763"/>
      <c r="AK731" s="763"/>
      <c r="AL731" s="763"/>
      <c r="AM731" s="763"/>
      <c r="AN731" s="763"/>
      <c r="AO731" s="763"/>
      <c r="AP731" s="763"/>
      <c r="AQ731" s="763"/>
      <c r="AR731" s="763"/>
      <c r="AS731" s="763"/>
      <c r="AT731" s="763"/>
      <c r="AU731" s="763"/>
      <c r="AV731" s="763"/>
      <c r="AW731" s="763"/>
      <c r="AX731" s="763"/>
      <c r="AY731" s="763"/>
      <c r="AZ731" s="763"/>
      <c r="BA731" s="763"/>
      <c r="BB731" s="763"/>
      <c r="BC731" s="763"/>
      <c r="BD731" s="763"/>
      <c r="BE731" s="763"/>
      <c r="BF731" s="763"/>
      <c r="BG731" s="763" t="b">
        <f>IFERROR(__xludf.DUMMYFUNCTION("""COMPUTED_VALUE"""),TRUE)</f>
        <v>1</v>
      </c>
      <c r="BH731" s="763" t="b">
        <f>IFERROR(__xludf.DUMMYFUNCTION("""COMPUTED_VALUE"""),FALSE)</f>
        <v>0</v>
      </c>
      <c r="BI731" s="763" t="b">
        <f>IFERROR(__xludf.DUMMYFUNCTION("""COMPUTED_VALUE"""),TRUE)</f>
        <v>1</v>
      </c>
      <c r="BJ731" s="763" t="b">
        <f>IFERROR(__xludf.DUMMYFUNCTION("""COMPUTED_VALUE"""),TRUE)</f>
        <v>1</v>
      </c>
    </row>
    <row r="732">
      <c r="A732" s="763">
        <f>IFERROR(__xludf.DUMMYFUNCTION("""COMPUTED_VALUE"""),66769.0)</f>
        <v>66769</v>
      </c>
      <c r="B732" s="763">
        <f>IFERROR(__xludf.DUMMYFUNCTION("""COMPUTED_VALUE"""),66769.0)</f>
        <v>66769</v>
      </c>
      <c r="C732" s="763" t="str">
        <f>IFERROR(__xludf.DUMMYFUNCTION("""COMPUTED_VALUE"""),"2025-12-09 23:31:11")</f>
        <v>2025-12-09 23:31:11</v>
      </c>
      <c r="D732" s="763" t="str">
        <f>IFERROR(__xludf.DUMMYFUNCTION("""COMPUTED_VALUE"""),"completed")</f>
        <v>completed</v>
      </c>
      <c r="E732" s="763" t="str">
        <f>IFERROR(__xludf.DUMMYFUNCTION("""COMPUTED_VALUE"""),"Maria Claudia")</f>
        <v>Maria Claudia</v>
      </c>
      <c r="F732" s="763" t="str">
        <f>IFERROR(__xludf.DUMMYFUNCTION("""COMPUTED_VALUE"""),"Congiu")</f>
        <v>Congiu</v>
      </c>
      <c r="G732" s="763" t="str">
        <f>IFERROR(__xludf.DUMMYFUNCTION("""COMPUTED_VALUE"""),"claudia_congiu@yahoo.it")</f>
        <v>claudia_congiu@yahoo.it</v>
      </c>
      <c r="H732" s="763">
        <f>IFERROR(__xludf.DUMMYFUNCTION("""COMPUTED_VALUE"""),3.29244628E9)</f>
        <v>3292446280</v>
      </c>
      <c r="I732" s="763" t="str">
        <f>IFERROR(__xludf.DUMMYFUNCTION("""COMPUTED_VALUE"""),"Milano")</f>
        <v>Milano</v>
      </c>
      <c r="J732" s="763" t="str">
        <f>IFERROR(__xludf.DUMMYFUNCTION("""COMPUTED_VALUE"""),"Via della Martinella 5")</f>
        <v>Via della Martinella 5</v>
      </c>
      <c r="K732" s="763">
        <f>IFERROR(__xludf.DUMMYFUNCTION("""COMPUTED_VALUE"""),20152.0)</f>
        <v>20152</v>
      </c>
      <c r="L732" s="763" t="str">
        <f>IFERROR(__xludf.DUMMYFUNCTION("""COMPUTED_VALUE"""),"Carte di pagamento")</f>
        <v>Carte di pagamento</v>
      </c>
      <c r="M732" s="763" t="str">
        <f>IFERROR(__xludf.DUMMYFUNCTION("""COMPUTED_VALUE"""),"santo05natale")</f>
        <v>santo05natale</v>
      </c>
      <c r="N732" s="763" t="str">
        <f>IFERROR(__xludf.DUMMYFUNCTION("""COMPUTED_VALUE"""),"66769-1765323086")</f>
        <v>66769-1765323086</v>
      </c>
      <c r="O732" s="763">
        <f>IFERROR(__xludf.DUMMYFUNCTION("""COMPUTED_VALUE"""),0.0)</f>
        <v>0</v>
      </c>
      <c r="P732" s="767">
        <f>IFERROR(__xludf.DUMMYFUNCTION("""COMPUTED_VALUE"""),0.8333333333333334)</f>
        <v>0.8333333333</v>
      </c>
      <c r="Q732" s="763" t="str">
        <f>IFERROR(__xludf.DUMMYFUNCTION("""COMPUTED_VALUE"""),"EUR")</f>
        <v>EUR</v>
      </c>
      <c r="R732" s="763">
        <f>IFERROR(__xludf.DUMMYFUNCTION("""COMPUTED_VALUE"""),1345.0)</f>
        <v>1345</v>
      </c>
      <c r="S732" s="763" t="str">
        <f>IFERROR(__xludf.DUMMYFUNCTION("""COMPUTED_VALUE"""),"Festa di Natale 2025 - Festa di natale 2025 SOLO serata 25€")</f>
        <v>Festa di Natale 2025 - Festa di natale 2025 SOLO serata 25€</v>
      </c>
      <c r="T732" s="763"/>
      <c r="U732" s="763"/>
      <c r="V732" s="763">
        <f>IFERROR(__xludf.DUMMYFUNCTION("""COMPUTED_VALUE"""),1.0)</f>
        <v>1</v>
      </c>
      <c r="W732" s="763">
        <f>IFERROR(__xludf.DUMMYFUNCTION("""COMPUTED_VALUE"""),20.0)</f>
        <v>20</v>
      </c>
      <c r="X732" s="763">
        <f>IFERROR(__xludf.DUMMYFUNCTION("""COMPUTED_VALUE"""),20.0)</f>
        <v>20</v>
      </c>
      <c r="Y732" s="763"/>
      <c r="Z732" s="768" t="str">
        <f>IFERROR(__xludf.DUMMYFUNCTION("""COMPUTED_VALUE"""),"https://studio-gem.it/wp-admin/post.php?post=66769&amp;action=edit")</f>
        <v>https://studio-gem.it/wp-admin/post.php?post=66769&amp;action=edit</v>
      </c>
      <c r="AA732" s="763"/>
      <c r="AB732" s="763"/>
      <c r="AC732" s="763"/>
      <c r="AD732" s="763"/>
      <c r="AE732" s="763"/>
      <c r="AF732" s="763"/>
      <c r="AG732" s="763"/>
      <c r="AH732" s="763"/>
      <c r="AI732" s="763"/>
      <c r="AJ732" s="763"/>
      <c r="AK732" s="763"/>
      <c r="AL732" s="763"/>
      <c r="AM732" s="763"/>
      <c r="AN732" s="763"/>
      <c r="AO732" s="763"/>
      <c r="AP732" s="763"/>
      <c r="AQ732" s="763"/>
      <c r="AR732" s="763"/>
      <c r="AS732" s="763"/>
      <c r="AT732" s="763"/>
      <c r="AU732" s="763"/>
      <c r="AV732" s="763"/>
      <c r="AW732" s="763"/>
      <c r="AX732" s="763"/>
      <c r="AY732" s="763"/>
      <c r="AZ732" s="763"/>
      <c r="BA732" s="763"/>
      <c r="BB732" s="763"/>
      <c r="BC732" s="763"/>
      <c r="BD732" s="763"/>
      <c r="BE732" s="763"/>
      <c r="BF732" s="763"/>
      <c r="BG732" s="763" t="b">
        <f>IFERROR(__xludf.DUMMYFUNCTION("""COMPUTED_VALUE"""),TRUE)</f>
        <v>1</v>
      </c>
      <c r="BH732" s="763" t="b">
        <f>IFERROR(__xludf.DUMMYFUNCTION("""COMPUTED_VALUE"""),FALSE)</f>
        <v>0</v>
      </c>
      <c r="BI732" s="763" t="b">
        <f>IFERROR(__xludf.DUMMYFUNCTION("""COMPUTED_VALUE"""),TRUE)</f>
        <v>1</v>
      </c>
      <c r="BJ732" s="763" t="b">
        <f>IFERROR(__xludf.DUMMYFUNCTION("""COMPUTED_VALUE"""),TRUE)</f>
        <v>1</v>
      </c>
    </row>
    <row r="733">
      <c r="A733" s="763">
        <f>IFERROR(__xludf.DUMMYFUNCTION("""COMPUTED_VALUE"""),66771.0)</f>
        <v>66771</v>
      </c>
      <c r="B733" s="763">
        <f>IFERROR(__xludf.DUMMYFUNCTION("""COMPUTED_VALUE"""),66771.0)</f>
        <v>66771</v>
      </c>
      <c r="C733" s="763" t="str">
        <f>IFERROR(__xludf.DUMMYFUNCTION("""COMPUTED_VALUE"""),"2025-12-10 00:16:38")</f>
        <v>2025-12-10 00:16:38</v>
      </c>
      <c r="D733" s="763" t="str">
        <f>IFERROR(__xludf.DUMMYFUNCTION("""COMPUTED_VALUE"""),"completed")</f>
        <v>completed</v>
      </c>
      <c r="E733" s="763" t="str">
        <f>IFERROR(__xludf.DUMMYFUNCTION("""COMPUTED_VALUE"""),"Andree")</f>
        <v>Andree</v>
      </c>
      <c r="F733" s="763" t="str">
        <f>IFERROR(__xludf.DUMMYFUNCTION("""COMPUTED_VALUE"""),"Rojas")</f>
        <v>Rojas</v>
      </c>
      <c r="G733" s="763" t="str">
        <f>IFERROR(__xludf.DUMMYFUNCTION("""COMPUTED_VALUE"""),"andre_r_g@hotmail.com")</f>
        <v>andre_r_g@hotmail.com</v>
      </c>
      <c r="H733" s="763">
        <f>IFERROR(__xludf.DUMMYFUNCTION("""COMPUTED_VALUE"""),3.515808555E9)</f>
        <v>3515808555</v>
      </c>
      <c r="I733" s="763" t="str">
        <f>IFERROR(__xludf.DUMMYFUNCTION("""COMPUTED_VALUE"""),"Milano")</f>
        <v>Milano</v>
      </c>
      <c r="J733" s="763" t="str">
        <f>IFERROR(__xludf.DUMMYFUNCTION("""COMPUTED_VALUE"""),"via Enrico Cosenz 54")</f>
        <v>via Enrico Cosenz 54</v>
      </c>
      <c r="K733" s="763">
        <f>IFERROR(__xludf.DUMMYFUNCTION("""COMPUTED_VALUE"""),20158.0)</f>
        <v>20158</v>
      </c>
      <c r="L733" s="763" t="str">
        <f>IFERROR(__xludf.DUMMYFUNCTION("""COMPUTED_VALUE"""),"Google Pay")</f>
        <v>Google Pay</v>
      </c>
      <c r="M733" s="763" t="str">
        <f>IFERROR(__xludf.DUMMYFUNCTION("""COMPUTED_VALUE"""),"santo05natale")</f>
        <v>santo05natale</v>
      </c>
      <c r="N733" s="763" t="str">
        <f>IFERROR(__xludf.DUMMYFUNCTION("""COMPUTED_VALUE"""),"66771-1765325799")</f>
        <v>66771-1765325799</v>
      </c>
      <c r="O733" s="763">
        <f>IFERROR(__xludf.DUMMYFUNCTION("""COMPUTED_VALUE"""),0.0)</f>
        <v>0</v>
      </c>
      <c r="P733" s="767">
        <f>IFERROR(__xludf.DUMMYFUNCTION("""COMPUTED_VALUE"""),0.8333333333333334)</f>
        <v>0.8333333333</v>
      </c>
      <c r="Q733" s="763" t="str">
        <f>IFERROR(__xludf.DUMMYFUNCTION("""COMPUTED_VALUE"""),"EUR")</f>
        <v>EUR</v>
      </c>
      <c r="R733" s="763">
        <f>IFERROR(__xludf.DUMMYFUNCTION("""COMPUTED_VALUE"""),1347.0)</f>
        <v>1347</v>
      </c>
      <c r="S733" s="763" t="str">
        <f>IFERROR(__xludf.DUMMYFUNCTION("""COMPUTED_VALUE"""),"Festa di Natale 2025 - Festa di natale 2025 SOLO serata 25€")</f>
        <v>Festa di Natale 2025 - Festa di natale 2025 SOLO serata 25€</v>
      </c>
      <c r="T733" s="763"/>
      <c r="U733" s="763"/>
      <c r="V733" s="763">
        <f>IFERROR(__xludf.DUMMYFUNCTION("""COMPUTED_VALUE"""),1.0)</f>
        <v>1</v>
      </c>
      <c r="W733" s="763">
        <f>IFERROR(__xludf.DUMMYFUNCTION("""COMPUTED_VALUE"""),20.0)</f>
        <v>20</v>
      </c>
      <c r="X733" s="763">
        <f>IFERROR(__xludf.DUMMYFUNCTION("""COMPUTED_VALUE"""),20.0)</f>
        <v>20</v>
      </c>
      <c r="Y733" s="763"/>
      <c r="Z733" s="768" t="str">
        <f>IFERROR(__xludf.DUMMYFUNCTION("""COMPUTED_VALUE"""),"https://studio-gem.it/wp-admin/post.php?post=66771&amp;action=edit")</f>
        <v>https://studio-gem.it/wp-admin/post.php?post=66771&amp;action=edit</v>
      </c>
      <c r="AA733" s="763"/>
      <c r="AB733" s="763"/>
      <c r="AC733" s="763"/>
      <c r="AD733" s="763"/>
      <c r="AE733" s="763"/>
      <c r="AF733" s="763"/>
      <c r="AG733" s="763"/>
      <c r="AH733" s="763"/>
      <c r="AI733" s="763"/>
      <c r="AJ733" s="763"/>
      <c r="AK733" s="763"/>
      <c r="AL733" s="763"/>
      <c r="AM733" s="763"/>
      <c r="AN733" s="763"/>
      <c r="AO733" s="763"/>
      <c r="AP733" s="763"/>
      <c r="AQ733" s="763"/>
      <c r="AR733" s="763"/>
      <c r="AS733" s="763"/>
      <c r="AT733" s="763"/>
      <c r="AU733" s="763"/>
      <c r="AV733" s="763"/>
      <c r="AW733" s="763"/>
      <c r="AX733" s="763"/>
      <c r="AY733" s="763"/>
      <c r="AZ733" s="763"/>
      <c r="BA733" s="763"/>
      <c r="BB733" s="763"/>
      <c r="BC733" s="763"/>
      <c r="BD733" s="763"/>
      <c r="BE733" s="763"/>
      <c r="BF733" s="763"/>
      <c r="BG733" s="763" t="b">
        <f>IFERROR(__xludf.DUMMYFUNCTION("""COMPUTED_VALUE"""),TRUE)</f>
        <v>1</v>
      </c>
      <c r="BH733" s="763" t="b">
        <f>IFERROR(__xludf.DUMMYFUNCTION("""COMPUTED_VALUE"""),FALSE)</f>
        <v>0</v>
      </c>
      <c r="BI733" s="763" t="b">
        <f>IFERROR(__xludf.DUMMYFUNCTION("""COMPUTED_VALUE"""),TRUE)</f>
        <v>1</v>
      </c>
      <c r="BJ733" s="763" t="b">
        <f>IFERROR(__xludf.DUMMYFUNCTION("""COMPUTED_VALUE"""),TRUE)</f>
        <v>1</v>
      </c>
    </row>
    <row r="734">
      <c r="A734" s="763">
        <f>IFERROR(__xludf.DUMMYFUNCTION("""COMPUTED_VALUE"""),66773.0)</f>
        <v>66773</v>
      </c>
      <c r="B734" s="763">
        <f>IFERROR(__xludf.DUMMYFUNCTION("""COMPUTED_VALUE"""),66773.0)</f>
        <v>66773</v>
      </c>
      <c r="C734" s="763" t="str">
        <f>IFERROR(__xludf.DUMMYFUNCTION("""COMPUTED_VALUE"""),"2025-12-10 08:47:31")</f>
        <v>2025-12-10 08:47:31</v>
      </c>
      <c r="D734" s="763" t="str">
        <f>IFERROR(__xludf.DUMMYFUNCTION("""COMPUTED_VALUE"""),"completed")</f>
        <v>completed</v>
      </c>
      <c r="E734" s="763" t="str">
        <f>IFERROR(__xludf.DUMMYFUNCTION("""COMPUTED_VALUE"""),"Carmela")</f>
        <v>Carmela</v>
      </c>
      <c r="F734" s="763" t="str">
        <f>IFERROR(__xludf.DUMMYFUNCTION("""COMPUTED_VALUE"""),"Varegliano")</f>
        <v>Varegliano</v>
      </c>
      <c r="G734" s="763" t="str">
        <f>IFERROR(__xludf.DUMMYFUNCTION("""COMPUTED_VALUE"""),"carmela.varegliano@hotmail.com")</f>
        <v>carmela.varegliano@hotmail.com</v>
      </c>
      <c r="H734" s="763">
        <f>IFERROR(__xludf.DUMMYFUNCTION("""COMPUTED_VALUE"""),3.289237909E9)</f>
        <v>3289237909</v>
      </c>
      <c r="I734" s="763" t="str">
        <f>IFERROR(__xludf.DUMMYFUNCTION("""COMPUTED_VALUE"""),"Milano")</f>
        <v>Milano</v>
      </c>
      <c r="J734" s="763" t="str">
        <f>IFERROR(__xludf.DUMMYFUNCTION("""COMPUTED_VALUE"""),"C.so Lodi, 65")</f>
        <v>C.so Lodi, 65</v>
      </c>
      <c r="K734" s="763">
        <f>IFERROR(__xludf.DUMMYFUNCTION("""COMPUTED_VALUE"""),20139.0)</f>
        <v>20139</v>
      </c>
      <c r="L734" s="763" t="str">
        <f>IFERROR(__xludf.DUMMYFUNCTION("""COMPUTED_VALUE"""),"Carte di pagamento")</f>
        <v>Carte di pagamento</v>
      </c>
      <c r="M734" s="763" t="str">
        <f>IFERROR(__xludf.DUMMYFUNCTION("""COMPUTED_VALUE"""),"alexandra05natale")</f>
        <v>alexandra05natale</v>
      </c>
      <c r="N734" s="763" t="str">
        <f>IFERROR(__xludf.DUMMYFUNCTION("""COMPUTED_VALUE"""),"66773-1765356453")</f>
        <v>66773-1765356453</v>
      </c>
      <c r="O734" s="763">
        <f>IFERROR(__xludf.DUMMYFUNCTION("""COMPUTED_VALUE"""),0.0)</f>
        <v>0</v>
      </c>
      <c r="P734" s="767">
        <f>IFERROR(__xludf.DUMMYFUNCTION("""COMPUTED_VALUE"""),0.8333333333333334)</f>
        <v>0.8333333333</v>
      </c>
      <c r="Q734" s="763" t="str">
        <f>IFERROR(__xludf.DUMMYFUNCTION("""COMPUTED_VALUE"""),"EUR")</f>
        <v>EUR</v>
      </c>
      <c r="R734" s="763">
        <f>IFERROR(__xludf.DUMMYFUNCTION("""COMPUTED_VALUE"""),1349.0)</f>
        <v>1349</v>
      </c>
      <c r="S734" s="763" t="str">
        <f>IFERROR(__xludf.DUMMYFUNCTION("""COMPUTED_VALUE"""),"Festa di Natale 2025 - Festa di natale 2025 SOLO serata 25€")</f>
        <v>Festa di Natale 2025 - Festa di natale 2025 SOLO serata 25€</v>
      </c>
      <c r="T734" s="763"/>
      <c r="U734" s="763"/>
      <c r="V734" s="763">
        <f>IFERROR(__xludf.DUMMYFUNCTION("""COMPUTED_VALUE"""),1.0)</f>
        <v>1</v>
      </c>
      <c r="W734" s="763">
        <f>IFERROR(__xludf.DUMMYFUNCTION("""COMPUTED_VALUE"""),20.0)</f>
        <v>20</v>
      </c>
      <c r="X734" s="763">
        <f>IFERROR(__xludf.DUMMYFUNCTION("""COMPUTED_VALUE"""),20.0)</f>
        <v>20</v>
      </c>
      <c r="Y734" s="763"/>
      <c r="Z734" s="768" t="str">
        <f>IFERROR(__xludf.DUMMYFUNCTION("""COMPUTED_VALUE"""),"https://studio-gem.it/wp-admin/post.php?post=66773&amp;action=edit")</f>
        <v>https://studio-gem.it/wp-admin/post.php?post=66773&amp;action=edit</v>
      </c>
      <c r="AA734" s="763"/>
      <c r="AB734" s="763"/>
      <c r="AC734" s="763"/>
      <c r="AD734" s="763"/>
      <c r="AE734" s="763"/>
      <c r="AF734" s="763"/>
      <c r="AG734" s="763"/>
      <c r="AH734" s="763"/>
      <c r="AI734" s="763"/>
      <c r="AJ734" s="763"/>
      <c r="AK734" s="763"/>
      <c r="AL734" s="763"/>
      <c r="AM734" s="763"/>
      <c r="AN734" s="763"/>
      <c r="AO734" s="763"/>
      <c r="AP734" s="763"/>
      <c r="AQ734" s="763"/>
      <c r="AR734" s="763"/>
      <c r="AS734" s="763"/>
      <c r="AT734" s="763"/>
      <c r="AU734" s="763"/>
      <c r="AV734" s="763"/>
      <c r="AW734" s="763"/>
      <c r="AX734" s="763"/>
      <c r="AY734" s="763"/>
      <c r="AZ734" s="763"/>
      <c r="BA734" s="763"/>
      <c r="BB734" s="763"/>
      <c r="BC734" s="763"/>
      <c r="BD734" s="763"/>
      <c r="BE734" s="763"/>
      <c r="BF734" s="763"/>
      <c r="BG734" s="763" t="b">
        <f>IFERROR(__xludf.DUMMYFUNCTION("""COMPUTED_VALUE"""),TRUE)</f>
        <v>1</v>
      </c>
      <c r="BH734" s="763" t="b">
        <f>IFERROR(__xludf.DUMMYFUNCTION("""COMPUTED_VALUE"""),FALSE)</f>
        <v>0</v>
      </c>
      <c r="BI734" s="763" t="b">
        <f>IFERROR(__xludf.DUMMYFUNCTION("""COMPUTED_VALUE"""),TRUE)</f>
        <v>1</v>
      </c>
      <c r="BJ734" s="763" t="b">
        <f>IFERROR(__xludf.DUMMYFUNCTION("""COMPUTED_VALUE"""),TRUE)</f>
        <v>1</v>
      </c>
    </row>
    <row r="735">
      <c r="A735" s="763">
        <f>IFERROR(__xludf.DUMMYFUNCTION("""COMPUTED_VALUE"""),66775.0)</f>
        <v>66775</v>
      </c>
      <c r="B735" s="763">
        <f>IFERROR(__xludf.DUMMYFUNCTION("""COMPUTED_VALUE"""),66775.0)</f>
        <v>66775</v>
      </c>
      <c r="C735" s="763" t="str">
        <f>IFERROR(__xludf.DUMMYFUNCTION("""COMPUTED_VALUE"""),"2025-12-10 09:32:10")</f>
        <v>2025-12-10 09:32:10</v>
      </c>
      <c r="D735" s="763" t="str">
        <f>IFERROR(__xludf.DUMMYFUNCTION("""COMPUTED_VALUE"""),"completed")</f>
        <v>completed</v>
      </c>
      <c r="E735" s="763" t="str">
        <f>IFERROR(__xludf.DUMMYFUNCTION("""COMPUTED_VALUE"""),"Nicola")</f>
        <v>Nicola</v>
      </c>
      <c r="F735" s="763" t="str">
        <f>IFERROR(__xludf.DUMMYFUNCTION("""COMPUTED_VALUE"""),"Iannetta")</f>
        <v>Iannetta</v>
      </c>
      <c r="G735" s="763" t="str">
        <f>IFERROR(__xludf.DUMMYFUNCTION("""COMPUTED_VALUE"""),"nicola.iannetta98@gmail.com")</f>
        <v>nicola.iannetta98@gmail.com</v>
      </c>
      <c r="H735" s="763">
        <f>IFERROR(__xludf.DUMMYFUNCTION("""COMPUTED_VALUE"""),3.273608627E9)</f>
        <v>3273608627</v>
      </c>
      <c r="I735" s="763" t="str">
        <f>IFERROR(__xludf.DUMMYFUNCTION("""COMPUTED_VALUE"""),"Milano")</f>
        <v>Milano</v>
      </c>
      <c r="J735" s="763" t="str">
        <f>IFERROR(__xludf.DUMMYFUNCTION("""COMPUTED_VALUE"""),"via ruggero bonghi 22")</f>
        <v>via ruggero bonghi 22</v>
      </c>
      <c r="K735" s="763">
        <f>IFERROR(__xludf.DUMMYFUNCTION("""COMPUTED_VALUE"""),20141.0)</f>
        <v>20141</v>
      </c>
      <c r="L735" s="763" t="str">
        <f>IFERROR(__xludf.DUMMYFUNCTION("""COMPUTED_VALUE"""),"Google Pay")</f>
        <v>Google Pay</v>
      </c>
      <c r="M735" s="763" t="str">
        <f>IFERROR(__xludf.DUMMYFUNCTION("""COMPUTED_VALUE"""),"santo05natale")</f>
        <v>santo05natale</v>
      </c>
      <c r="N735" s="763" t="str">
        <f>IFERROR(__xludf.DUMMYFUNCTION("""COMPUTED_VALUE"""),"66775-1765359146")</f>
        <v>66775-1765359146</v>
      </c>
      <c r="O735" s="763">
        <f>IFERROR(__xludf.DUMMYFUNCTION("""COMPUTED_VALUE"""),0.0)</f>
        <v>0</v>
      </c>
      <c r="P735" s="767">
        <f>IFERROR(__xludf.DUMMYFUNCTION("""COMPUTED_VALUE"""),0.8333333333333334)</f>
        <v>0.8333333333</v>
      </c>
      <c r="Q735" s="763" t="str">
        <f>IFERROR(__xludf.DUMMYFUNCTION("""COMPUTED_VALUE"""),"EUR")</f>
        <v>EUR</v>
      </c>
      <c r="R735" s="763">
        <f>IFERROR(__xludf.DUMMYFUNCTION("""COMPUTED_VALUE"""),1351.0)</f>
        <v>1351</v>
      </c>
      <c r="S735" s="763" t="str">
        <f>IFERROR(__xludf.DUMMYFUNCTION("""COMPUTED_VALUE"""),"Festa di Natale 2025 - Festa di natale 2025 SOLO serata 25€")</f>
        <v>Festa di Natale 2025 - Festa di natale 2025 SOLO serata 25€</v>
      </c>
      <c r="T735" s="763"/>
      <c r="U735" s="763"/>
      <c r="V735" s="763">
        <f>IFERROR(__xludf.DUMMYFUNCTION("""COMPUTED_VALUE"""),1.0)</f>
        <v>1</v>
      </c>
      <c r="W735" s="763">
        <f>IFERROR(__xludf.DUMMYFUNCTION("""COMPUTED_VALUE"""),20.0)</f>
        <v>20</v>
      </c>
      <c r="X735" s="763">
        <f>IFERROR(__xludf.DUMMYFUNCTION("""COMPUTED_VALUE"""),20.0)</f>
        <v>20</v>
      </c>
      <c r="Y735" s="763"/>
      <c r="Z735" s="768" t="str">
        <f>IFERROR(__xludf.DUMMYFUNCTION("""COMPUTED_VALUE"""),"https://studio-gem.it/wp-admin/post.php?post=66775&amp;action=edit")</f>
        <v>https://studio-gem.it/wp-admin/post.php?post=66775&amp;action=edit</v>
      </c>
      <c r="AA735" s="763"/>
      <c r="AB735" s="763"/>
      <c r="AC735" s="763"/>
      <c r="AD735" s="763"/>
      <c r="AE735" s="763"/>
      <c r="AF735" s="763"/>
      <c r="AG735" s="763"/>
      <c r="AH735" s="763"/>
      <c r="AI735" s="763"/>
      <c r="AJ735" s="763"/>
      <c r="AK735" s="763"/>
      <c r="AL735" s="763"/>
      <c r="AM735" s="763"/>
      <c r="AN735" s="763"/>
      <c r="AO735" s="763"/>
      <c r="AP735" s="763"/>
      <c r="AQ735" s="763"/>
      <c r="AR735" s="763"/>
      <c r="AS735" s="763"/>
      <c r="AT735" s="763"/>
      <c r="AU735" s="763"/>
      <c r="AV735" s="763"/>
      <c r="AW735" s="763"/>
      <c r="AX735" s="763"/>
      <c r="AY735" s="763"/>
      <c r="AZ735" s="763"/>
      <c r="BA735" s="763"/>
      <c r="BB735" s="763"/>
      <c r="BC735" s="763"/>
      <c r="BD735" s="763"/>
      <c r="BE735" s="763"/>
      <c r="BF735" s="763"/>
      <c r="BG735" s="763" t="b">
        <f>IFERROR(__xludf.DUMMYFUNCTION("""COMPUTED_VALUE"""),TRUE)</f>
        <v>1</v>
      </c>
      <c r="BH735" s="763" t="b">
        <f>IFERROR(__xludf.DUMMYFUNCTION("""COMPUTED_VALUE"""),FALSE)</f>
        <v>0</v>
      </c>
      <c r="BI735" s="763" t="b">
        <f>IFERROR(__xludf.DUMMYFUNCTION("""COMPUTED_VALUE"""),TRUE)</f>
        <v>1</v>
      </c>
      <c r="BJ735" s="763" t="b">
        <f>IFERROR(__xludf.DUMMYFUNCTION("""COMPUTED_VALUE"""),TRUE)</f>
        <v>1</v>
      </c>
    </row>
    <row r="736">
      <c r="A736" s="763">
        <f>IFERROR(__xludf.DUMMYFUNCTION("""COMPUTED_VALUE"""),66796.0)</f>
        <v>66796</v>
      </c>
      <c r="B736" s="763">
        <f>IFERROR(__xludf.DUMMYFUNCTION("""COMPUTED_VALUE"""),66796.0)</f>
        <v>66796</v>
      </c>
      <c r="C736" s="763" t="str">
        <f>IFERROR(__xludf.DUMMYFUNCTION("""COMPUTED_VALUE"""),"2025-12-10 13:24:45")</f>
        <v>2025-12-10 13:24:45</v>
      </c>
      <c r="D736" s="763" t="str">
        <f>IFERROR(__xludf.DUMMYFUNCTION("""COMPUTED_VALUE"""),"completed")</f>
        <v>completed</v>
      </c>
      <c r="E736" s="763" t="str">
        <f>IFERROR(__xludf.DUMMYFUNCTION("""COMPUTED_VALUE"""),"Emma")</f>
        <v>Emma</v>
      </c>
      <c r="F736" s="763" t="str">
        <f>IFERROR(__xludf.DUMMYFUNCTION("""COMPUTED_VALUE"""),"Severino")</f>
        <v>Severino</v>
      </c>
      <c r="G736" s="763" t="str">
        <f>IFERROR(__xludf.DUMMYFUNCTION("""COMPUTED_VALUE"""),"emma.severino383@gmail.com")</f>
        <v>emma.severino383@gmail.com</v>
      </c>
      <c r="H736" s="763">
        <f>IFERROR(__xludf.DUMMYFUNCTION("""COMPUTED_VALUE"""),3.458522825E9)</f>
        <v>3458522825</v>
      </c>
      <c r="I736" s="763" t="str">
        <f>IFERROR(__xludf.DUMMYFUNCTION("""COMPUTED_VALUE"""),"Genova")</f>
        <v>Genova</v>
      </c>
      <c r="J736" s="763" t="str">
        <f>IFERROR(__xludf.DUMMYFUNCTION("""COMPUTED_VALUE"""),"Via Bottini 42A")</f>
        <v>Via Bottini 42A</v>
      </c>
      <c r="K736" s="763">
        <f>IFERROR(__xludf.DUMMYFUNCTION("""COMPUTED_VALUE"""),16147.0)</f>
        <v>16147</v>
      </c>
      <c r="L736" s="763" t="str">
        <f>IFERROR(__xludf.DUMMYFUNCTION("""COMPUTED_VALUE"""),"Apple Pay")</f>
        <v>Apple Pay</v>
      </c>
      <c r="M736" s="763"/>
      <c r="N736" s="763" t="str">
        <f>IFERROR(__xludf.DUMMYFUNCTION("""COMPUTED_VALUE"""),"66796-1765373087")</f>
        <v>66796-1765373087</v>
      </c>
      <c r="O736" s="763">
        <f>IFERROR(__xludf.DUMMYFUNCTION("""COMPUTED_VALUE"""),0.0)</f>
        <v>0</v>
      </c>
      <c r="P736" s="767">
        <f>IFERROR(__xludf.DUMMYFUNCTION("""COMPUTED_VALUE"""),1.0416666666666667)</f>
        <v>1.041666667</v>
      </c>
      <c r="Q736" s="763" t="str">
        <f>IFERROR(__xludf.DUMMYFUNCTION("""COMPUTED_VALUE"""),"EUR")</f>
        <v>EUR</v>
      </c>
      <c r="R736" s="763">
        <f>IFERROR(__xludf.DUMMYFUNCTION("""COMPUTED_VALUE"""),1353.0)</f>
        <v>1353</v>
      </c>
      <c r="S736" s="763" t="str">
        <f>IFERROR(__xludf.DUMMYFUNCTION("""COMPUTED_VALUE"""),"Festa di Natale 2025 - Festa di natale 2025 SOLO serata 25€")</f>
        <v>Festa di Natale 2025 - Festa di natale 2025 SOLO serata 25€</v>
      </c>
      <c r="T736" s="763"/>
      <c r="U736" s="763"/>
      <c r="V736" s="763">
        <f>IFERROR(__xludf.DUMMYFUNCTION("""COMPUTED_VALUE"""),1.0)</f>
        <v>1</v>
      </c>
      <c r="W736" s="763">
        <f>IFERROR(__xludf.DUMMYFUNCTION("""COMPUTED_VALUE"""),25.0)</f>
        <v>25</v>
      </c>
      <c r="X736" s="763">
        <f>IFERROR(__xludf.DUMMYFUNCTION("""COMPUTED_VALUE"""),25.0)</f>
        <v>25</v>
      </c>
      <c r="Y736" s="763"/>
      <c r="Z736" s="768" t="str">
        <f>IFERROR(__xludf.DUMMYFUNCTION("""COMPUTED_VALUE"""),"https://studio-gem.it/wp-admin/post.php?post=66796&amp;action=edit")</f>
        <v>https://studio-gem.it/wp-admin/post.php?post=66796&amp;action=edit</v>
      </c>
      <c r="AA736" s="763"/>
      <c r="AB736" s="763"/>
      <c r="AC736" s="763"/>
      <c r="AD736" s="763"/>
      <c r="AE736" s="763"/>
      <c r="AF736" s="763"/>
      <c r="AG736" s="763"/>
      <c r="AH736" s="763"/>
      <c r="AI736" s="763"/>
      <c r="AJ736" s="763"/>
      <c r="AK736" s="763"/>
      <c r="AL736" s="763"/>
      <c r="AM736" s="763"/>
      <c r="AN736" s="763"/>
      <c r="AO736" s="763"/>
      <c r="AP736" s="763"/>
      <c r="AQ736" s="763"/>
      <c r="AR736" s="763"/>
      <c r="AS736" s="763"/>
      <c r="AT736" s="763"/>
      <c r="AU736" s="763"/>
      <c r="AV736" s="763"/>
      <c r="AW736" s="763"/>
      <c r="AX736" s="763"/>
      <c r="AY736" s="763"/>
      <c r="AZ736" s="763"/>
      <c r="BA736" s="763"/>
      <c r="BB736" s="763"/>
      <c r="BC736" s="763"/>
      <c r="BD736" s="763"/>
      <c r="BE736" s="763"/>
      <c r="BF736" s="763"/>
      <c r="BG736" s="763" t="b">
        <f>IFERROR(__xludf.DUMMYFUNCTION("""COMPUTED_VALUE"""),TRUE)</f>
        <v>1</v>
      </c>
      <c r="BH736" s="763" t="b">
        <f>IFERROR(__xludf.DUMMYFUNCTION("""COMPUTED_VALUE"""),FALSE)</f>
        <v>0</v>
      </c>
      <c r="BI736" s="763" t="b">
        <f>IFERROR(__xludf.DUMMYFUNCTION("""COMPUTED_VALUE"""),TRUE)</f>
        <v>1</v>
      </c>
      <c r="BJ736" s="763" t="b">
        <f>IFERROR(__xludf.DUMMYFUNCTION("""COMPUTED_VALUE"""),TRUE)</f>
        <v>1</v>
      </c>
    </row>
    <row r="737">
      <c r="A737" s="763">
        <f>IFERROR(__xludf.DUMMYFUNCTION("""COMPUTED_VALUE"""),66798.0)</f>
        <v>66798</v>
      </c>
      <c r="B737" s="763">
        <f>IFERROR(__xludf.DUMMYFUNCTION("""COMPUTED_VALUE"""),66798.0)</f>
        <v>66798</v>
      </c>
      <c r="C737" s="763" t="str">
        <f>IFERROR(__xludf.DUMMYFUNCTION("""COMPUTED_VALUE"""),"2025-12-10 14:21:18")</f>
        <v>2025-12-10 14:21:18</v>
      </c>
      <c r="D737" s="763" t="str">
        <f>IFERROR(__xludf.DUMMYFUNCTION("""COMPUTED_VALUE"""),"completed")</f>
        <v>completed</v>
      </c>
      <c r="E737" s="763" t="str">
        <f>IFERROR(__xludf.DUMMYFUNCTION("""COMPUTED_VALUE"""),"Guendalina")</f>
        <v>Guendalina</v>
      </c>
      <c r="F737" s="763" t="str">
        <f>IFERROR(__xludf.DUMMYFUNCTION("""COMPUTED_VALUE"""),"Elia")</f>
        <v>Elia</v>
      </c>
      <c r="G737" s="763" t="str">
        <f>IFERROR(__xludf.DUMMYFUNCTION("""COMPUTED_VALUE"""),"eliaguendalina@gmail.com")</f>
        <v>eliaguendalina@gmail.com</v>
      </c>
      <c r="H737" s="763">
        <f>IFERROR(__xludf.DUMMYFUNCTION("""COMPUTED_VALUE"""),3.89786862E8)</f>
        <v>389786862</v>
      </c>
      <c r="I737" s="763" t="str">
        <f>IFERROR(__xludf.DUMMYFUNCTION("""COMPUTED_VALUE"""),"Milano")</f>
        <v>Milano</v>
      </c>
      <c r="J737" s="763" t="str">
        <f>IFERROR(__xludf.DUMMYFUNCTION("""COMPUTED_VALUE"""),"Via barbieri 4")</f>
        <v>Via barbieri 4</v>
      </c>
      <c r="K737" s="763">
        <f>IFERROR(__xludf.DUMMYFUNCTION("""COMPUTED_VALUE"""),20136.0)</f>
        <v>20136</v>
      </c>
      <c r="L737" s="763" t="str">
        <f>IFERROR(__xludf.DUMMYFUNCTION("""COMPUTED_VALUE"""),"Satispay")</f>
        <v>Satispay</v>
      </c>
      <c r="M737" s="763" t="str">
        <f>IFERROR(__xludf.DUMMYFUNCTION("""COMPUTED_VALUE"""),"massi02ws")</f>
        <v>massi02ws</v>
      </c>
      <c r="N737" s="763" t="str">
        <f>IFERROR(__xludf.DUMMYFUNCTION("""COMPUTED_VALUE"""),"019b08a3-4cc0-73f6-9de7-400b96ccf9d2")</f>
        <v>019b08a3-4cc0-73f6-9de7-400b96ccf9d2</v>
      </c>
      <c r="O737" s="763">
        <f>IFERROR(__xludf.DUMMYFUNCTION("""COMPUTED_VALUE"""),0.0)</f>
        <v>0</v>
      </c>
      <c r="P737" s="767">
        <f>IFERROR(__xludf.DUMMYFUNCTION("""COMPUTED_VALUE"""),1.25)</f>
        <v>1.25</v>
      </c>
      <c r="Q737" s="763" t="str">
        <f>IFERROR(__xludf.DUMMYFUNCTION("""COMPUTED_VALUE"""),"EUR")</f>
        <v>EUR</v>
      </c>
      <c r="R737" s="763">
        <f>IFERROR(__xludf.DUMMYFUNCTION("""COMPUTED_VALUE"""),1354.0)</f>
        <v>1354</v>
      </c>
      <c r="S737" s="763" t="str">
        <f>IFERROR(__xludf.DUMMYFUNCTION("""COMPUTED_VALUE"""),"Workshop pasitos con Nerea Perez - Workshop Nerea Pasitos")</f>
        <v>Workshop pasitos con Nerea Perez - Workshop Nerea Pasitos</v>
      </c>
      <c r="T737" s="763"/>
      <c r="U737" s="763"/>
      <c r="V737" s="763">
        <f>IFERROR(__xludf.DUMMYFUNCTION("""COMPUTED_VALUE"""),1.0)</f>
        <v>1</v>
      </c>
      <c r="W737" s="763">
        <f>IFERROR(__xludf.DUMMYFUNCTION("""COMPUTED_VALUE"""),30.0)</f>
        <v>30</v>
      </c>
      <c r="X737" s="763">
        <f>IFERROR(__xludf.DUMMYFUNCTION("""COMPUTED_VALUE"""),30.0)</f>
        <v>30</v>
      </c>
      <c r="Y737" s="763"/>
      <c r="Z737" s="768" t="str">
        <f>IFERROR(__xludf.DUMMYFUNCTION("""COMPUTED_VALUE"""),"https://studio-gem.it/wp-admin/post.php?post=66798&amp;action=edit")</f>
        <v>https://studio-gem.it/wp-admin/post.php?post=66798&amp;action=edit</v>
      </c>
      <c r="AA737" s="763"/>
      <c r="AB737" s="763"/>
      <c r="AC737" s="763"/>
      <c r="AD737" s="763"/>
      <c r="AE737" s="763"/>
      <c r="AF737" s="763"/>
      <c r="AG737" s="763"/>
      <c r="AH737" s="763"/>
      <c r="AI737" s="763"/>
      <c r="AJ737" s="763"/>
      <c r="AK737" s="763"/>
      <c r="AL737" s="763"/>
      <c r="AM737" s="763"/>
      <c r="AN737" s="763"/>
      <c r="AO737" s="763"/>
      <c r="AP737" s="763"/>
      <c r="AQ737" s="763"/>
      <c r="AR737" s="763"/>
      <c r="AS737" s="763"/>
      <c r="AT737" s="763"/>
      <c r="AU737" s="763"/>
      <c r="AV737" s="763"/>
      <c r="AW737" s="763"/>
      <c r="AX737" s="763"/>
      <c r="AY737" s="763"/>
      <c r="AZ737" s="763"/>
      <c r="BA737" s="763"/>
      <c r="BB737" s="763"/>
      <c r="BC737" s="763"/>
      <c r="BD737" s="763"/>
      <c r="BE737" s="763"/>
      <c r="BF737" s="763"/>
      <c r="BG737" s="763" t="b">
        <f>IFERROR(__xludf.DUMMYFUNCTION("""COMPUTED_VALUE"""),TRUE)</f>
        <v>1</v>
      </c>
      <c r="BH737" s="763" t="b">
        <f>IFERROR(__xludf.DUMMYFUNCTION("""COMPUTED_VALUE"""),FALSE)</f>
        <v>0</v>
      </c>
      <c r="BI737" s="763" t="b">
        <f>IFERROR(__xludf.DUMMYFUNCTION("""COMPUTED_VALUE"""),TRUE)</f>
        <v>1</v>
      </c>
      <c r="BJ737" s="763" t="b">
        <f>IFERROR(__xludf.DUMMYFUNCTION("""COMPUTED_VALUE"""),TRUE)</f>
        <v>1</v>
      </c>
    </row>
    <row r="738">
      <c r="A738" s="763">
        <f>IFERROR(__xludf.DUMMYFUNCTION("""COMPUTED_VALUE"""),66800.0)</f>
        <v>66800</v>
      </c>
      <c r="B738" s="763">
        <f>IFERROR(__xludf.DUMMYFUNCTION("""COMPUTED_VALUE"""),66800.0)</f>
        <v>66800</v>
      </c>
      <c r="C738" s="763" t="str">
        <f>IFERROR(__xludf.DUMMYFUNCTION("""COMPUTED_VALUE"""),"2025-12-10 14:47:05")</f>
        <v>2025-12-10 14:47:05</v>
      </c>
      <c r="D738" s="763" t="str">
        <f>IFERROR(__xludf.DUMMYFUNCTION("""COMPUTED_VALUE"""),"completed")</f>
        <v>completed</v>
      </c>
      <c r="E738" s="763" t="str">
        <f>IFERROR(__xludf.DUMMYFUNCTION("""COMPUTED_VALUE"""),"Gaetano")</f>
        <v>Gaetano</v>
      </c>
      <c r="F738" s="763" t="str">
        <f>IFERROR(__xludf.DUMMYFUNCTION("""COMPUTED_VALUE"""),"Esposito")</f>
        <v>Esposito</v>
      </c>
      <c r="G738" s="763" t="str">
        <f>IFERROR(__xludf.DUMMYFUNCTION("""COMPUTED_VALUE"""),"ge.gaetano.esposito@gmail.com")</f>
        <v>ge.gaetano.esposito@gmail.com</v>
      </c>
      <c r="H738" s="763">
        <f>IFERROR(__xludf.DUMMYFUNCTION("""COMPUTED_VALUE"""),3.485861941E9)</f>
        <v>3485861941</v>
      </c>
      <c r="I738" s="763" t="str">
        <f>IFERROR(__xludf.DUMMYFUNCTION("""COMPUTED_VALUE"""),"Milano")</f>
        <v>Milano</v>
      </c>
      <c r="J738" s="763" t="str">
        <f>IFERROR(__xludf.DUMMYFUNCTION("""COMPUTED_VALUE"""),"Via Giuseppe Meda 29")</f>
        <v>Via Giuseppe Meda 29</v>
      </c>
      <c r="K738" s="763">
        <f>IFERROR(__xludf.DUMMYFUNCTION("""COMPUTED_VALUE"""),20141.0)</f>
        <v>20141</v>
      </c>
      <c r="L738" s="763" t="str">
        <f>IFERROR(__xludf.DUMMYFUNCTION("""COMPUTED_VALUE"""),"Satispay")</f>
        <v>Satispay</v>
      </c>
      <c r="M738" s="763" t="str">
        <f>IFERROR(__xludf.DUMMYFUNCTION("""COMPUTED_VALUE"""),"santo05natale")</f>
        <v>santo05natale</v>
      </c>
      <c r="N738" s="763" t="str">
        <f>IFERROR(__xludf.DUMMYFUNCTION("""COMPUTED_VALUE"""),"019b08ba-e797-7af0-9b78-54e60f06debe")</f>
        <v>019b08ba-e797-7af0-9b78-54e60f06debe</v>
      </c>
      <c r="O738" s="763">
        <f>IFERROR(__xludf.DUMMYFUNCTION("""COMPUTED_VALUE"""),0.0)</f>
        <v>0</v>
      </c>
      <c r="P738" s="767">
        <f>IFERROR(__xludf.DUMMYFUNCTION("""COMPUTED_VALUE"""),0.8333333333333334)</f>
        <v>0.8333333333</v>
      </c>
      <c r="Q738" s="763" t="str">
        <f>IFERROR(__xludf.DUMMYFUNCTION("""COMPUTED_VALUE"""),"EUR")</f>
        <v>EUR</v>
      </c>
      <c r="R738" s="763">
        <f>IFERROR(__xludf.DUMMYFUNCTION("""COMPUTED_VALUE"""),1356.0)</f>
        <v>1356</v>
      </c>
      <c r="S738" s="763" t="str">
        <f>IFERROR(__xludf.DUMMYFUNCTION("""COMPUTED_VALUE"""),"Festa di Natale 2025 - Festa di natale 2025 SOLO serata 25€")</f>
        <v>Festa di Natale 2025 - Festa di natale 2025 SOLO serata 25€</v>
      </c>
      <c r="T738" s="763"/>
      <c r="U738" s="763"/>
      <c r="V738" s="763">
        <f>IFERROR(__xludf.DUMMYFUNCTION("""COMPUTED_VALUE"""),1.0)</f>
        <v>1</v>
      </c>
      <c r="W738" s="763">
        <f>IFERROR(__xludf.DUMMYFUNCTION("""COMPUTED_VALUE"""),20.0)</f>
        <v>20</v>
      </c>
      <c r="X738" s="763">
        <f>IFERROR(__xludf.DUMMYFUNCTION("""COMPUTED_VALUE"""),20.0)</f>
        <v>20</v>
      </c>
      <c r="Y738" s="763"/>
      <c r="Z738" s="768" t="str">
        <f>IFERROR(__xludf.DUMMYFUNCTION("""COMPUTED_VALUE"""),"https://studio-gem.it/wp-admin/post.php?post=66800&amp;action=edit")</f>
        <v>https://studio-gem.it/wp-admin/post.php?post=66800&amp;action=edit</v>
      </c>
      <c r="AA738" s="763"/>
      <c r="AB738" s="763"/>
      <c r="AC738" s="763"/>
      <c r="AD738" s="763"/>
      <c r="AE738" s="763"/>
      <c r="AF738" s="763"/>
      <c r="AG738" s="763"/>
      <c r="AH738" s="763"/>
      <c r="AI738" s="763"/>
      <c r="AJ738" s="763"/>
      <c r="AK738" s="763"/>
      <c r="AL738" s="763"/>
      <c r="AM738" s="763"/>
      <c r="AN738" s="763"/>
      <c r="AO738" s="763"/>
      <c r="AP738" s="763"/>
      <c r="AQ738" s="763"/>
      <c r="AR738" s="763"/>
      <c r="AS738" s="763"/>
      <c r="AT738" s="763"/>
      <c r="AU738" s="763"/>
      <c r="AV738" s="763"/>
      <c r="AW738" s="763"/>
      <c r="AX738" s="763"/>
      <c r="AY738" s="763"/>
      <c r="AZ738" s="763"/>
      <c r="BA738" s="763"/>
      <c r="BB738" s="763"/>
      <c r="BC738" s="763"/>
      <c r="BD738" s="763"/>
      <c r="BE738" s="763"/>
      <c r="BF738" s="763"/>
      <c r="BG738" s="763" t="b">
        <f>IFERROR(__xludf.DUMMYFUNCTION("""COMPUTED_VALUE"""),TRUE)</f>
        <v>1</v>
      </c>
      <c r="BH738" s="763" t="b">
        <f>IFERROR(__xludf.DUMMYFUNCTION("""COMPUTED_VALUE"""),FALSE)</f>
        <v>0</v>
      </c>
      <c r="BI738" s="763" t="b">
        <f>IFERROR(__xludf.DUMMYFUNCTION("""COMPUTED_VALUE"""),TRUE)</f>
        <v>1</v>
      </c>
      <c r="BJ738" s="763" t="b">
        <f>IFERROR(__xludf.DUMMYFUNCTION("""COMPUTED_VALUE"""),TRUE)</f>
        <v>1</v>
      </c>
    </row>
    <row r="739">
      <c r="A739" s="763">
        <f>IFERROR(__xludf.DUMMYFUNCTION("""COMPUTED_VALUE"""),66802.0)</f>
        <v>66802</v>
      </c>
      <c r="B739" s="763">
        <f>IFERROR(__xludf.DUMMYFUNCTION("""COMPUTED_VALUE"""),66802.0)</f>
        <v>66802</v>
      </c>
      <c r="C739" s="763" t="str">
        <f>IFERROR(__xludf.DUMMYFUNCTION("""COMPUTED_VALUE"""),"2025-12-10 14:53:21")</f>
        <v>2025-12-10 14:53:21</v>
      </c>
      <c r="D739" s="763" t="str">
        <f>IFERROR(__xludf.DUMMYFUNCTION("""COMPUTED_VALUE"""),"completed")</f>
        <v>completed</v>
      </c>
      <c r="E739" s="763" t="str">
        <f>IFERROR(__xludf.DUMMYFUNCTION("""COMPUTED_VALUE"""),"Cosimo")</f>
        <v>Cosimo</v>
      </c>
      <c r="F739" s="763" t="str">
        <f>IFERROR(__xludf.DUMMYFUNCTION("""COMPUTED_VALUE"""),"Vitale")</f>
        <v>Vitale</v>
      </c>
      <c r="G739" s="763" t="str">
        <f>IFERROR(__xludf.DUMMYFUNCTION("""COMPUTED_VALUE"""),"Cosimovitale96@gmail.com")</f>
        <v>Cosimovitale96@gmail.com</v>
      </c>
      <c r="H739" s="763">
        <f>IFERROR(__xludf.DUMMYFUNCTION("""COMPUTED_VALUE"""),3.420803341E9)</f>
        <v>3420803341</v>
      </c>
      <c r="I739" s="763" t="str">
        <f>IFERROR(__xludf.DUMMYFUNCTION("""COMPUTED_VALUE"""),"Cernusco Sul Naviglio")</f>
        <v>Cernusco Sul Naviglio</v>
      </c>
      <c r="J739" s="763" t="str">
        <f>IFERROR(__xludf.DUMMYFUNCTION("""COMPUTED_VALUE"""),"Via Pontida 14")</f>
        <v>Via Pontida 14</v>
      </c>
      <c r="K739" s="763">
        <f>IFERROR(__xludf.DUMMYFUNCTION("""COMPUTED_VALUE"""),20063.0)</f>
        <v>20063</v>
      </c>
      <c r="L739" s="763" t="str">
        <f>IFERROR(__xludf.DUMMYFUNCTION("""COMPUTED_VALUE"""),"Google Pay")</f>
        <v>Google Pay</v>
      </c>
      <c r="M739" s="763"/>
      <c r="N739" s="763" t="str">
        <f>IFERROR(__xludf.DUMMYFUNCTION("""COMPUTED_VALUE"""),"66802-1765378402")</f>
        <v>66802-1765378402</v>
      </c>
      <c r="O739" s="763">
        <f>IFERROR(__xludf.DUMMYFUNCTION("""COMPUTED_VALUE"""),0.0)</f>
        <v>0</v>
      </c>
      <c r="P739" s="767">
        <f>IFERROR(__xludf.DUMMYFUNCTION("""COMPUTED_VALUE"""),1.0416666666666667)</f>
        <v>1.041666667</v>
      </c>
      <c r="Q739" s="763" t="str">
        <f>IFERROR(__xludf.DUMMYFUNCTION("""COMPUTED_VALUE"""),"EUR")</f>
        <v>EUR</v>
      </c>
      <c r="R739" s="763">
        <f>IFERROR(__xludf.DUMMYFUNCTION("""COMPUTED_VALUE"""),1358.0)</f>
        <v>1358</v>
      </c>
      <c r="S739" s="763" t="str">
        <f>IFERROR(__xludf.DUMMYFUNCTION("""COMPUTED_VALUE"""),"Festa di Natale 2025 - Festa di natale 2025 SOLO serata 25€")</f>
        <v>Festa di Natale 2025 - Festa di natale 2025 SOLO serata 25€</v>
      </c>
      <c r="T739" s="763"/>
      <c r="U739" s="763"/>
      <c r="V739" s="763">
        <f>IFERROR(__xludf.DUMMYFUNCTION("""COMPUTED_VALUE"""),1.0)</f>
        <v>1</v>
      </c>
      <c r="W739" s="763">
        <f>IFERROR(__xludf.DUMMYFUNCTION("""COMPUTED_VALUE"""),25.0)</f>
        <v>25</v>
      </c>
      <c r="X739" s="763">
        <f>IFERROR(__xludf.DUMMYFUNCTION("""COMPUTED_VALUE"""),25.0)</f>
        <v>25</v>
      </c>
      <c r="Y739" s="763"/>
      <c r="Z739" s="768" t="str">
        <f>IFERROR(__xludf.DUMMYFUNCTION("""COMPUTED_VALUE"""),"https://studio-gem.it/wp-admin/post.php?post=66802&amp;action=edit")</f>
        <v>https://studio-gem.it/wp-admin/post.php?post=66802&amp;action=edit</v>
      </c>
      <c r="AA739" s="763"/>
      <c r="AB739" s="763"/>
      <c r="AC739" s="763"/>
      <c r="AD739" s="763"/>
      <c r="AE739" s="763"/>
      <c r="AF739" s="763"/>
      <c r="AG739" s="763"/>
      <c r="AH739" s="763"/>
      <c r="AI739" s="763"/>
      <c r="AJ739" s="763"/>
      <c r="AK739" s="763"/>
      <c r="AL739" s="763"/>
      <c r="AM739" s="763"/>
      <c r="AN739" s="763"/>
      <c r="AO739" s="763"/>
      <c r="AP739" s="763"/>
      <c r="AQ739" s="763"/>
      <c r="AR739" s="763"/>
      <c r="AS739" s="763"/>
      <c r="AT739" s="763"/>
      <c r="AU739" s="763"/>
      <c r="AV739" s="763"/>
      <c r="AW739" s="763"/>
      <c r="AX739" s="763"/>
      <c r="AY739" s="763"/>
      <c r="AZ739" s="763"/>
      <c r="BA739" s="763"/>
      <c r="BB739" s="763"/>
      <c r="BC739" s="763"/>
      <c r="BD739" s="763"/>
      <c r="BE739" s="763"/>
      <c r="BF739" s="763"/>
      <c r="BG739" s="763" t="b">
        <f>IFERROR(__xludf.DUMMYFUNCTION("""COMPUTED_VALUE"""),TRUE)</f>
        <v>1</v>
      </c>
      <c r="BH739" s="763" t="b">
        <f>IFERROR(__xludf.DUMMYFUNCTION("""COMPUTED_VALUE"""),FALSE)</f>
        <v>0</v>
      </c>
      <c r="BI739" s="763" t="b">
        <f>IFERROR(__xludf.DUMMYFUNCTION("""COMPUTED_VALUE"""),TRUE)</f>
        <v>1</v>
      </c>
      <c r="BJ739" s="763" t="b">
        <f>IFERROR(__xludf.DUMMYFUNCTION("""COMPUTED_VALUE"""),TRUE)</f>
        <v>1</v>
      </c>
    </row>
    <row r="740">
      <c r="A740" s="763">
        <f>IFERROR(__xludf.DUMMYFUNCTION("""COMPUTED_VALUE"""),66805.0)</f>
        <v>66805</v>
      </c>
      <c r="B740" s="763">
        <f>IFERROR(__xludf.DUMMYFUNCTION("""COMPUTED_VALUE"""),66805.0)</f>
        <v>66805</v>
      </c>
      <c r="C740" s="763" t="str">
        <f>IFERROR(__xludf.DUMMYFUNCTION("""COMPUTED_VALUE"""),"2025-12-10 15:08:56")</f>
        <v>2025-12-10 15:08:56</v>
      </c>
      <c r="D740" s="763" t="str">
        <f>IFERROR(__xludf.DUMMYFUNCTION("""COMPUTED_VALUE"""),"completed")</f>
        <v>completed</v>
      </c>
      <c r="E740" s="763" t="str">
        <f>IFERROR(__xludf.DUMMYFUNCTION("""COMPUTED_VALUE"""),"Andrea")</f>
        <v>Andrea</v>
      </c>
      <c r="F740" s="763" t="str">
        <f>IFERROR(__xludf.DUMMYFUNCTION("""COMPUTED_VALUE"""),"Chiantello")</f>
        <v>Chiantello</v>
      </c>
      <c r="G740" s="763" t="str">
        <f>IFERROR(__xludf.DUMMYFUNCTION("""COMPUTED_VALUE"""),"andreachiante10@gmail.com")</f>
        <v>andreachiante10@gmail.com</v>
      </c>
      <c r="H740" s="763">
        <f>IFERROR(__xludf.DUMMYFUNCTION("""COMPUTED_VALUE"""),3.311365763E9)</f>
        <v>3311365763</v>
      </c>
      <c r="I740" s="763" t="str">
        <f>IFERROR(__xludf.DUMMYFUNCTION("""COMPUTED_VALUE"""),"Milano")</f>
        <v>Milano</v>
      </c>
      <c r="J740" s="763" t="str">
        <f>IFERROR(__xludf.DUMMYFUNCTION("""COMPUTED_VALUE"""),"Via Ascanio sforza 11")</f>
        <v>Via Ascanio sforza 11</v>
      </c>
      <c r="K740" s="763">
        <f>IFERROR(__xludf.DUMMYFUNCTION("""COMPUTED_VALUE"""),20136.0)</f>
        <v>20136</v>
      </c>
      <c r="L740" s="763" t="str">
        <f>IFERROR(__xludf.DUMMYFUNCTION("""COMPUTED_VALUE"""),"Apple Pay")</f>
        <v>Apple Pay</v>
      </c>
      <c r="M740" s="763"/>
      <c r="N740" s="763" t="str">
        <f>IFERROR(__xludf.DUMMYFUNCTION("""COMPUTED_VALUE"""),"66805-1765379338")</f>
        <v>66805-1765379338</v>
      </c>
      <c r="O740" s="763">
        <f>IFERROR(__xludf.DUMMYFUNCTION("""COMPUTED_VALUE"""),0.0)</f>
        <v>0</v>
      </c>
      <c r="P740" s="767">
        <f>IFERROR(__xludf.DUMMYFUNCTION("""COMPUTED_VALUE"""),1.0416666666666667)</f>
        <v>1.041666667</v>
      </c>
      <c r="Q740" s="763" t="str">
        <f>IFERROR(__xludf.DUMMYFUNCTION("""COMPUTED_VALUE"""),"EUR")</f>
        <v>EUR</v>
      </c>
      <c r="R740" s="763">
        <f>IFERROR(__xludf.DUMMYFUNCTION("""COMPUTED_VALUE"""),1359.0)</f>
        <v>1359</v>
      </c>
      <c r="S740" s="763" t="str">
        <f>IFERROR(__xludf.DUMMYFUNCTION("""COMPUTED_VALUE"""),"Festa di Natale 2025 - Festa di natale 2025 SOLO serata 25€")</f>
        <v>Festa di Natale 2025 - Festa di natale 2025 SOLO serata 25€</v>
      </c>
      <c r="T740" s="763"/>
      <c r="U740" s="763"/>
      <c r="V740" s="763">
        <f>IFERROR(__xludf.DUMMYFUNCTION("""COMPUTED_VALUE"""),1.0)</f>
        <v>1</v>
      </c>
      <c r="W740" s="763">
        <f>IFERROR(__xludf.DUMMYFUNCTION("""COMPUTED_VALUE"""),25.0)</f>
        <v>25</v>
      </c>
      <c r="X740" s="763">
        <f>IFERROR(__xludf.DUMMYFUNCTION("""COMPUTED_VALUE"""),25.0)</f>
        <v>25</v>
      </c>
      <c r="Y740" s="763"/>
      <c r="Z740" s="768" t="str">
        <f>IFERROR(__xludf.DUMMYFUNCTION("""COMPUTED_VALUE"""),"https://studio-gem.it/wp-admin/post.php?post=66805&amp;action=edit")</f>
        <v>https://studio-gem.it/wp-admin/post.php?post=66805&amp;action=edit</v>
      </c>
      <c r="AA740" s="763"/>
      <c r="AB740" s="763"/>
      <c r="AC740" s="763"/>
      <c r="AD740" s="763"/>
      <c r="AE740" s="763"/>
      <c r="AF740" s="763"/>
      <c r="AG740" s="763"/>
      <c r="AH740" s="763"/>
      <c r="AI740" s="763"/>
      <c r="AJ740" s="763"/>
      <c r="AK740" s="763"/>
      <c r="AL740" s="763"/>
      <c r="AM740" s="763"/>
      <c r="AN740" s="763"/>
      <c r="AO740" s="763"/>
      <c r="AP740" s="763"/>
      <c r="AQ740" s="763"/>
      <c r="AR740" s="763"/>
      <c r="AS740" s="763"/>
      <c r="AT740" s="763"/>
      <c r="AU740" s="763"/>
      <c r="AV740" s="763"/>
      <c r="AW740" s="763"/>
      <c r="AX740" s="763"/>
      <c r="AY740" s="763"/>
      <c r="AZ740" s="763"/>
      <c r="BA740" s="763"/>
      <c r="BB740" s="763"/>
      <c r="BC740" s="763"/>
      <c r="BD740" s="763"/>
      <c r="BE740" s="763"/>
      <c r="BF740" s="763"/>
      <c r="BG740" s="763" t="b">
        <f>IFERROR(__xludf.DUMMYFUNCTION("""COMPUTED_VALUE"""),TRUE)</f>
        <v>1</v>
      </c>
      <c r="BH740" s="763" t="b">
        <f>IFERROR(__xludf.DUMMYFUNCTION("""COMPUTED_VALUE"""),FALSE)</f>
        <v>0</v>
      </c>
      <c r="BI740" s="763" t="b">
        <f>IFERROR(__xludf.DUMMYFUNCTION("""COMPUTED_VALUE"""),TRUE)</f>
        <v>1</v>
      </c>
      <c r="BJ740" s="763" t="b">
        <f>IFERROR(__xludf.DUMMYFUNCTION("""COMPUTED_VALUE"""),TRUE)</f>
        <v>1</v>
      </c>
    </row>
    <row r="741">
      <c r="A741" s="763">
        <f>IFERROR(__xludf.DUMMYFUNCTION("""COMPUTED_VALUE"""),66808.0)</f>
        <v>66808</v>
      </c>
      <c r="B741" s="763">
        <f>IFERROR(__xludf.DUMMYFUNCTION("""COMPUTED_VALUE"""),66808.0)</f>
        <v>66808</v>
      </c>
      <c r="C741" s="763" t="str">
        <f>IFERROR(__xludf.DUMMYFUNCTION("""COMPUTED_VALUE"""),"2025-12-10 17:35:31")</f>
        <v>2025-12-10 17:35:31</v>
      </c>
      <c r="D741" s="763" t="str">
        <f>IFERROR(__xludf.DUMMYFUNCTION("""COMPUTED_VALUE"""),"completed")</f>
        <v>completed</v>
      </c>
      <c r="E741" s="763" t="str">
        <f>IFERROR(__xludf.DUMMYFUNCTION("""COMPUTED_VALUE"""),"Angelo")</f>
        <v>Angelo</v>
      </c>
      <c r="F741" s="763" t="str">
        <f>IFERROR(__xludf.DUMMYFUNCTION("""COMPUTED_VALUE"""),"Cannata")</f>
        <v>Cannata</v>
      </c>
      <c r="G741" s="763" t="str">
        <f>IFERROR(__xludf.DUMMYFUNCTION("""COMPUTED_VALUE"""),"tatan67@yahoo.it")</f>
        <v>tatan67@yahoo.it</v>
      </c>
      <c r="H741" s="763">
        <f>IFERROR(__xludf.DUMMYFUNCTION("""COMPUTED_VALUE"""),3.496227976E9)</f>
        <v>3496227976</v>
      </c>
      <c r="I741" s="763" t="str">
        <f>IFERROR(__xludf.DUMMYFUNCTION("""COMPUTED_VALUE"""),"Sesto San Giovanni")</f>
        <v>Sesto San Giovanni</v>
      </c>
      <c r="J741" s="763" t="str">
        <f>IFERROR(__xludf.DUMMYFUNCTION("""COMPUTED_VALUE"""),"Via Giuseppe Rovani 171")</f>
        <v>Via Giuseppe Rovani 171</v>
      </c>
      <c r="K741" s="763">
        <f>IFERROR(__xludf.DUMMYFUNCTION("""COMPUTED_VALUE"""),20099.0)</f>
        <v>20099</v>
      </c>
      <c r="L741" s="763" t="str">
        <f>IFERROR(__xludf.DUMMYFUNCTION("""COMPUTED_VALUE"""),"Carte di pagamento")</f>
        <v>Carte di pagamento</v>
      </c>
      <c r="M741" s="763" t="str">
        <f>IFERROR(__xludf.DUMMYFUNCTION("""COMPUTED_VALUE"""),"estefany05natale")</f>
        <v>estefany05natale</v>
      </c>
      <c r="N741" s="763" t="str">
        <f>IFERROR(__xludf.DUMMYFUNCTION("""COMPUTED_VALUE"""),"66808-1765388133")</f>
        <v>66808-1765388133</v>
      </c>
      <c r="O741" s="763">
        <f>IFERROR(__xludf.DUMMYFUNCTION("""COMPUTED_VALUE"""),0.0)</f>
        <v>0</v>
      </c>
      <c r="P741" s="767">
        <f>IFERROR(__xludf.DUMMYFUNCTION("""COMPUTED_VALUE"""),0.8333333333333334)</f>
        <v>0.8333333333</v>
      </c>
      <c r="Q741" s="763" t="str">
        <f>IFERROR(__xludf.DUMMYFUNCTION("""COMPUTED_VALUE"""),"EUR")</f>
        <v>EUR</v>
      </c>
      <c r="R741" s="763">
        <f>IFERROR(__xludf.DUMMYFUNCTION("""COMPUTED_VALUE"""),1360.0)</f>
        <v>1360</v>
      </c>
      <c r="S741" s="763" t="str">
        <f>IFERROR(__xludf.DUMMYFUNCTION("""COMPUTED_VALUE"""),"Festa di Natale 2025 - Festa di natale 2025 SOLO serata 25€")</f>
        <v>Festa di Natale 2025 - Festa di natale 2025 SOLO serata 25€</v>
      </c>
      <c r="T741" s="763"/>
      <c r="U741" s="763"/>
      <c r="V741" s="763">
        <f>IFERROR(__xludf.DUMMYFUNCTION("""COMPUTED_VALUE"""),1.0)</f>
        <v>1</v>
      </c>
      <c r="W741" s="763">
        <f>IFERROR(__xludf.DUMMYFUNCTION("""COMPUTED_VALUE"""),20.0)</f>
        <v>20</v>
      </c>
      <c r="X741" s="763">
        <f>IFERROR(__xludf.DUMMYFUNCTION("""COMPUTED_VALUE"""),20.0)</f>
        <v>20</v>
      </c>
      <c r="Y741" s="763"/>
      <c r="Z741" s="768" t="str">
        <f>IFERROR(__xludf.DUMMYFUNCTION("""COMPUTED_VALUE"""),"https://studio-gem.it/wp-admin/post.php?post=66808&amp;action=edit")</f>
        <v>https://studio-gem.it/wp-admin/post.php?post=66808&amp;action=edit</v>
      </c>
      <c r="AA741" s="763"/>
      <c r="AB741" s="763"/>
      <c r="AC741" s="763"/>
      <c r="AD741" s="763"/>
      <c r="AE741" s="763"/>
      <c r="AF741" s="763"/>
      <c r="AG741" s="763"/>
      <c r="AH741" s="763"/>
      <c r="AI741" s="763"/>
      <c r="AJ741" s="763"/>
      <c r="AK741" s="763"/>
      <c r="AL741" s="763"/>
      <c r="AM741" s="763"/>
      <c r="AN741" s="763"/>
      <c r="AO741" s="763"/>
      <c r="AP741" s="763"/>
      <c r="AQ741" s="763"/>
      <c r="AR741" s="763"/>
      <c r="AS741" s="763"/>
      <c r="AT741" s="763"/>
      <c r="AU741" s="763"/>
      <c r="AV741" s="763"/>
      <c r="AW741" s="763"/>
      <c r="AX741" s="763"/>
      <c r="AY741" s="763"/>
      <c r="AZ741" s="763"/>
      <c r="BA741" s="763"/>
      <c r="BB741" s="763"/>
      <c r="BC741" s="763"/>
      <c r="BD741" s="763"/>
      <c r="BE741" s="763"/>
      <c r="BF741" s="763"/>
      <c r="BG741" s="763" t="b">
        <f>IFERROR(__xludf.DUMMYFUNCTION("""COMPUTED_VALUE"""),TRUE)</f>
        <v>1</v>
      </c>
      <c r="BH741" s="763" t="b">
        <f>IFERROR(__xludf.DUMMYFUNCTION("""COMPUTED_VALUE"""),FALSE)</f>
        <v>0</v>
      </c>
      <c r="BI741" s="763" t="b">
        <f>IFERROR(__xludf.DUMMYFUNCTION("""COMPUTED_VALUE"""),TRUE)</f>
        <v>1</v>
      </c>
      <c r="BJ741" s="763" t="b">
        <f>IFERROR(__xludf.DUMMYFUNCTION("""COMPUTED_VALUE"""),TRUE)</f>
        <v>1</v>
      </c>
    </row>
    <row r="742">
      <c r="A742" s="763">
        <f>IFERROR(__xludf.DUMMYFUNCTION("""COMPUTED_VALUE"""),66811.0)</f>
        <v>66811</v>
      </c>
      <c r="B742" s="763">
        <f>IFERROR(__xludf.DUMMYFUNCTION("""COMPUTED_VALUE"""),66811.0)</f>
        <v>66811</v>
      </c>
      <c r="C742" s="763" t="str">
        <f>IFERROR(__xludf.DUMMYFUNCTION("""COMPUTED_VALUE"""),"2025-12-10 21:48:20")</f>
        <v>2025-12-10 21:48:20</v>
      </c>
      <c r="D742" s="763" t="str">
        <f>IFERROR(__xludf.DUMMYFUNCTION("""COMPUTED_VALUE"""),"completed")</f>
        <v>completed</v>
      </c>
      <c r="E742" s="763" t="str">
        <f>IFERROR(__xludf.DUMMYFUNCTION("""COMPUTED_VALUE"""),"Biani")</f>
        <v>Biani</v>
      </c>
      <c r="F742" s="763" t="str">
        <f>IFERROR(__xludf.DUMMYFUNCTION("""COMPUTED_VALUE"""),"Ilaria")</f>
        <v>Ilaria</v>
      </c>
      <c r="G742" s="763" t="str">
        <f>IFERROR(__xludf.DUMMYFUNCTION("""COMPUTED_VALUE"""),"ilaria.biani9@gmail.com")</f>
        <v>ilaria.biani9@gmail.com</v>
      </c>
      <c r="H742" s="763">
        <f>IFERROR(__xludf.DUMMYFUNCTION("""COMPUTED_VALUE"""),3.471819383E9)</f>
        <v>3471819383</v>
      </c>
      <c r="I742" s="763" t="str">
        <f>IFERROR(__xludf.DUMMYFUNCTION("""COMPUTED_VALUE"""),"Milano")</f>
        <v>Milano</v>
      </c>
      <c r="J742" s="763" t="str">
        <f>IFERROR(__xludf.DUMMYFUNCTION("""COMPUTED_VALUE"""),"Via Giovanni pezzotti 55")</f>
        <v>Via Giovanni pezzotti 55</v>
      </c>
      <c r="K742" s="763">
        <f>IFERROR(__xludf.DUMMYFUNCTION("""COMPUTED_VALUE"""),20141.0)</f>
        <v>20141</v>
      </c>
      <c r="L742" s="763" t="str">
        <f>IFERROR(__xludf.DUMMYFUNCTION("""COMPUTED_VALUE"""),"Satispay")</f>
        <v>Satispay</v>
      </c>
      <c r="M742" s="763"/>
      <c r="N742" s="763" t="str">
        <f>IFERROR(__xludf.DUMMYFUNCTION("""COMPUTED_VALUE"""),"019b0a3c-944b-793e-b845-d41c104cba31")</f>
        <v>019b0a3c-944b-793e-b845-d41c104cba31</v>
      </c>
      <c r="O742" s="763">
        <f>IFERROR(__xludf.DUMMYFUNCTION("""COMPUTED_VALUE"""),0.0)</f>
        <v>0</v>
      </c>
      <c r="P742" s="767">
        <f>IFERROR(__xludf.DUMMYFUNCTION("""COMPUTED_VALUE"""),1.0416666666666667)</f>
        <v>1.041666667</v>
      </c>
      <c r="Q742" s="763" t="str">
        <f>IFERROR(__xludf.DUMMYFUNCTION("""COMPUTED_VALUE"""),"EUR")</f>
        <v>EUR</v>
      </c>
      <c r="R742" s="763">
        <f>IFERROR(__xludf.DUMMYFUNCTION("""COMPUTED_VALUE"""),1362.0)</f>
        <v>1362</v>
      </c>
      <c r="S742" s="763" t="str">
        <f>IFERROR(__xludf.DUMMYFUNCTION("""COMPUTED_VALUE"""),"Festa di Natale 2025 - Festa di natale 2025 SOLO serata 25€")</f>
        <v>Festa di Natale 2025 - Festa di natale 2025 SOLO serata 25€</v>
      </c>
      <c r="T742" s="763"/>
      <c r="U742" s="763"/>
      <c r="V742" s="763">
        <f>IFERROR(__xludf.DUMMYFUNCTION("""COMPUTED_VALUE"""),1.0)</f>
        <v>1</v>
      </c>
      <c r="W742" s="763">
        <f>IFERROR(__xludf.DUMMYFUNCTION("""COMPUTED_VALUE"""),25.0)</f>
        <v>25</v>
      </c>
      <c r="X742" s="763">
        <f>IFERROR(__xludf.DUMMYFUNCTION("""COMPUTED_VALUE"""),25.0)</f>
        <v>25</v>
      </c>
      <c r="Y742" s="763"/>
      <c r="Z742" s="768" t="str">
        <f>IFERROR(__xludf.DUMMYFUNCTION("""COMPUTED_VALUE"""),"https://studio-gem.it/wp-admin/post.php?post=66811&amp;action=edit")</f>
        <v>https://studio-gem.it/wp-admin/post.php?post=66811&amp;action=edit</v>
      </c>
      <c r="AA742" s="763"/>
      <c r="AB742" s="763"/>
      <c r="AC742" s="763"/>
      <c r="AD742" s="763"/>
      <c r="AE742" s="763"/>
      <c r="AF742" s="763"/>
      <c r="AG742" s="763"/>
      <c r="AH742" s="763"/>
      <c r="AI742" s="763"/>
      <c r="AJ742" s="763"/>
      <c r="AK742" s="763"/>
      <c r="AL742" s="763"/>
      <c r="AM742" s="763"/>
      <c r="AN742" s="763"/>
      <c r="AO742" s="763"/>
      <c r="AP742" s="763"/>
      <c r="AQ742" s="763"/>
      <c r="AR742" s="763"/>
      <c r="AS742" s="763"/>
      <c r="AT742" s="763"/>
      <c r="AU742" s="763"/>
      <c r="AV742" s="763"/>
      <c r="AW742" s="763"/>
      <c r="AX742" s="763"/>
      <c r="AY742" s="763"/>
      <c r="AZ742" s="763"/>
      <c r="BA742" s="763"/>
      <c r="BB742" s="763"/>
      <c r="BC742" s="763"/>
      <c r="BD742" s="763"/>
      <c r="BE742" s="763"/>
      <c r="BF742" s="763"/>
      <c r="BG742" s="763" t="b">
        <f>IFERROR(__xludf.DUMMYFUNCTION("""COMPUTED_VALUE"""),TRUE)</f>
        <v>1</v>
      </c>
      <c r="BH742" s="763" t="b">
        <f>IFERROR(__xludf.DUMMYFUNCTION("""COMPUTED_VALUE"""),FALSE)</f>
        <v>0</v>
      </c>
      <c r="BI742" s="763" t="b">
        <f>IFERROR(__xludf.DUMMYFUNCTION("""COMPUTED_VALUE"""),TRUE)</f>
        <v>1</v>
      </c>
      <c r="BJ742" s="763" t="b">
        <f>IFERROR(__xludf.DUMMYFUNCTION("""COMPUTED_VALUE"""),TRUE)</f>
        <v>1</v>
      </c>
    </row>
    <row r="743">
      <c r="A743" s="763">
        <f>IFERROR(__xludf.DUMMYFUNCTION("""COMPUTED_VALUE"""),66813.0)</f>
        <v>66813</v>
      </c>
      <c r="B743" s="763">
        <f>IFERROR(__xludf.DUMMYFUNCTION("""COMPUTED_VALUE"""),66813.0)</f>
        <v>66813</v>
      </c>
      <c r="C743" s="763" t="str">
        <f>IFERROR(__xludf.DUMMYFUNCTION("""COMPUTED_VALUE"""),"2025-12-10 23:45:29")</f>
        <v>2025-12-10 23:45:29</v>
      </c>
      <c r="D743" s="763" t="str">
        <f>IFERROR(__xludf.DUMMYFUNCTION("""COMPUTED_VALUE"""),"pending")</f>
        <v>pending</v>
      </c>
      <c r="E743" s="763" t="str">
        <f>IFERROR(__xludf.DUMMYFUNCTION("""COMPUTED_VALUE"""),"Filippo")</f>
        <v>Filippo</v>
      </c>
      <c r="F743" s="763" t="str">
        <f>IFERROR(__xludf.DUMMYFUNCTION("""COMPUTED_VALUE"""),"Assiani")</f>
        <v>Assiani</v>
      </c>
      <c r="G743" s="763" t="str">
        <f>IFERROR(__xludf.DUMMYFUNCTION("""COMPUTED_VALUE"""),"filoassiani@libero.it")</f>
        <v>filoassiani@libero.it</v>
      </c>
      <c r="H743" s="763">
        <f>IFERROR(__xludf.DUMMYFUNCTION("""COMPUTED_VALUE"""),3.463837569E9)</f>
        <v>3463837569</v>
      </c>
      <c r="I743" s="763" t="str">
        <f>IFERROR(__xludf.DUMMYFUNCTION("""COMPUTED_VALUE"""),"Milano")</f>
        <v>Milano</v>
      </c>
      <c r="J743" s="763" t="str">
        <f>IFERROR(__xludf.DUMMYFUNCTION("""COMPUTED_VALUE"""),"via abetone 6")</f>
        <v>via abetone 6</v>
      </c>
      <c r="K743" s="763">
        <f>IFERROR(__xludf.DUMMYFUNCTION("""COMPUTED_VALUE"""),20137.0)</f>
        <v>20137</v>
      </c>
      <c r="L743" s="763" t="str">
        <f>IFERROR(__xludf.DUMMYFUNCTION("""COMPUTED_VALUE"""),"Carte di pagamento")</f>
        <v>Carte di pagamento</v>
      </c>
      <c r="M743" s="763"/>
      <c r="N743" s="763"/>
      <c r="O743" s="763">
        <f>IFERROR(__xludf.DUMMYFUNCTION("""COMPUTED_VALUE"""),0.0)</f>
        <v>0</v>
      </c>
      <c r="P743" s="767">
        <f>IFERROR(__xludf.DUMMYFUNCTION("""COMPUTED_VALUE"""),1.0416666666666667)</f>
        <v>1.041666667</v>
      </c>
      <c r="Q743" s="763" t="str">
        <f>IFERROR(__xludf.DUMMYFUNCTION("""COMPUTED_VALUE"""),"EUR")</f>
        <v>EUR</v>
      </c>
      <c r="R743" s="763">
        <f>IFERROR(__xludf.DUMMYFUNCTION("""COMPUTED_VALUE"""),1363.0)</f>
        <v>1363</v>
      </c>
      <c r="S743" s="763" t="str">
        <f>IFERROR(__xludf.DUMMYFUNCTION("""COMPUTED_VALUE"""),"Festa di Natale 2025 - Festa di natale 2025 SOLO serata 25€")</f>
        <v>Festa di Natale 2025 - Festa di natale 2025 SOLO serata 25€</v>
      </c>
      <c r="T743" s="763"/>
      <c r="U743" s="763"/>
      <c r="V743" s="763">
        <f>IFERROR(__xludf.DUMMYFUNCTION("""COMPUTED_VALUE"""),1.0)</f>
        <v>1</v>
      </c>
      <c r="W743" s="763">
        <f>IFERROR(__xludf.DUMMYFUNCTION("""COMPUTED_VALUE"""),25.0)</f>
        <v>25</v>
      </c>
      <c r="X743" s="763">
        <f>IFERROR(__xludf.DUMMYFUNCTION("""COMPUTED_VALUE"""),25.0)</f>
        <v>25</v>
      </c>
      <c r="Y743" s="763"/>
      <c r="Z743" s="768" t="str">
        <f>IFERROR(__xludf.DUMMYFUNCTION("""COMPUTED_VALUE"""),"https://studio-gem.it/wp-admin/post.php?post=66813&amp;action=edit")</f>
        <v>https://studio-gem.it/wp-admin/post.php?post=66813&amp;action=edit</v>
      </c>
      <c r="AA743" s="763"/>
      <c r="AB743" s="763"/>
      <c r="AC743" s="763"/>
      <c r="AD743" s="763"/>
      <c r="AE743" s="763"/>
      <c r="AF743" s="763"/>
      <c r="AG743" s="763"/>
      <c r="AH743" s="763"/>
      <c r="AI743" s="763"/>
      <c r="AJ743" s="763"/>
      <c r="AK743" s="763"/>
      <c r="AL743" s="763"/>
      <c r="AM743" s="763"/>
      <c r="AN743" s="763"/>
      <c r="AO743" s="763"/>
      <c r="AP743" s="763"/>
      <c r="AQ743" s="763"/>
      <c r="AR743" s="763"/>
      <c r="AS743" s="763"/>
      <c r="AT743" s="763"/>
      <c r="AU743" s="763"/>
      <c r="AV743" s="763"/>
      <c r="AW743" s="763"/>
      <c r="AX743" s="763"/>
      <c r="AY743" s="763"/>
      <c r="AZ743" s="763"/>
      <c r="BA743" s="763"/>
      <c r="BB743" s="763"/>
      <c r="BC743" s="763"/>
      <c r="BD743" s="763"/>
      <c r="BE743" s="763"/>
      <c r="BF743" s="763"/>
      <c r="BG743" s="763" t="b">
        <f>IFERROR(__xludf.DUMMYFUNCTION("""COMPUTED_VALUE"""),FALSE)</f>
        <v>0</v>
      </c>
      <c r="BH743" s="763" t="b">
        <f>IFERROR(__xludf.DUMMYFUNCTION("""COMPUTED_VALUE"""),FALSE)</f>
        <v>0</v>
      </c>
      <c r="BI743" s="763" t="b">
        <f>IFERROR(__xludf.DUMMYFUNCTION("""COMPUTED_VALUE"""),FALSE)</f>
        <v>0</v>
      </c>
      <c r="BJ743" s="763" t="b">
        <f>IFERROR(__xludf.DUMMYFUNCTION("""COMPUTED_VALUE"""),FALSE)</f>
        <v>0</v>
      </c>
    </row>
    <row r="744">
      <c r="A744" s="763">
        <f>IFERROR(__xludf.DUMMYFUNCTION("""COMPUTED_VALUE"""),66814.0)</f>
        <v>66814</v>
      </c>
      <c r="B744" s="763">
        <f>IFERROR(__xludf.DUMMYFUNCTION("""COMPUTED_VALUE"""),66814.0)</f>
        <v>66814</v>
      </c>
      <c r="C744" s="763" t="str">
        <f>IFERROR(__xludf.DUMMYFUNCTION("""COMPUTED_VALUE"""),"2025-12-11 13:21:39")</f>
        <v>2025-12-11 13:21:39</v>
      </c>
      <c r="D744" s="763" t="str">
        <f>IFERROR(__xludf.DUMMYFUNCTION("""COMPUTED_VALUE"""),"completed")</f>
        <v>completed</v>
      </c>
      <c r="E744" s="763" t="str">
        <f>IFERROR(__xludf.DUMMYFUNCTION("""COMPUTED_VALUE"""),"Filippo")</f>
        <v>Filippo</v>
      </c>
      <c r="F744" s="763" t="str">
        <f>IFERROR(__xludf.DUMMYFUNCTION("""COMPUTED_VALUE"""),"Assiani")</f>
        <v>Assiani</v>
      </c>
      <c r="G744" s="763" t="str">
        <f>IFERROR(__xludf.DUMMYFUNCTION("""COMPUTED_VALUE"""),"filoassiani@libero.it")</f>
        <v>filoassiani@libero.it</v>
      </c>
      <c r="H744" s="763">
        <f>IFERROR(__xludf.DUMMYFUNCTION("""COMPUTED_VALUE"""),3.463837569E9)</f>
        <v>3463837569</v>
      </c>
      <c r="I744" s="763" t="str">
        <f>IFERROR(__xludf.DUMMYFUNCTION("""COMPUTED_VALUE"""),"Milano")</f>
        <v>Milano</v>
      </c>
      <c r="J744" s="763" t="str">
        <f>IFERROR(__xludf.DUMMYFUNCTION("""COMPUTED_VALUE"""),"via abetone 6")</f>
        <v>via abetone 6</v>
      </c>
      <c r="K744" s="763">
        <f>IFERROR(__xludf.DUMMYFUNCTION("""COMPUTED_VALUE"""),20137.0)</f>
        <v>20137</v>
      </c>
      <c r="L744" s="763" t="str">
        <f>IFERROR(__xludf.DUMMYFUNCTION("""COMPUTED_VALUE"""),"Carte di pagamento")</f>
        <v>Carte di pagamento</v>
      </c>
      <c r="M744" s="763" t="str">
        <f>IFERROR(__xludf.DUMMYFUNCTION("""COMPUTED_VALUE"""),"santo05natale")</f>
        <v>santo05natale</v>
      </c>
      <c r="N744" s="763" t="str">
        <f>IFERROR(__xludf.DUMMYFUNCTION("""COMPUTED_VALUE"""),"66814-1765459300")</f>
        <v>66814-1765459300</v>
      </c>
      <c r="O744" s="763">
        <f>IFERROR(__xludf.DUMMYFUNCTION("""COMPUTED_VALUE"""),0.0)</f>
        <v>0</v>
      </c>
      <c r="P744" s="767">
        <f>IFERROR(__xludf.DUMMYFUNCTION("""COMPUTED_VALUE"""),0.8333333333333334)</f>
        <v>0.8333333333</v>
      </c>
      <c r="Q744" s="763" t="str">
        <f>IFERROR(__xludf.DUMMYFUNCTION("""COMPUTED_VALUE"""),"EUR")</f>
        <v>EUR</v>
      </c>
      <c r="R744" s="763">
        <f>IFERROR(__xludf.DUMMYFUNCTION("""COMPUTED_VALUE"""),1364.0)</f>
        <v>1364</v>
      </c>
      <c r="S744" s="763" t="str">
        <f>IFERROR(__xludf.DUMMYFUNCTION("""COMPUTED_VALUE"""),"Festa di Natale 2025 - Festa di natale 2025 SOLO serata 25€")</f>
        <v>Festa di Natale 2025 - Festa di natale 2025 SOLO serata 25€</v>
      </c>
      <c r="T744" s="763"/>
      <c r="U744" s="763"/>
      <c r="V744" s="763">
        <f>IFERROR(__xludf.DUMMYFUNCTION("""COMPUTED_VALUE"""),1.0)</f>
        <v>1</v>
      </c>
      <c r="W744" s="763">
        <f>IFERROR(__xludf.DUMMYFUNCTION("""COMPUTED_VALUE"""),20.0)</f>
        <v>20</v>
      </c>
      <c r="X744" s="763">
        <f>IFERROR(__xludf.DUMMYFUNCTION("""COMPUTED_VALUE"""),20.0)</f>
        <v>20</v>
      </c>
      <c r="Y744" s="763"/>
      <c r="Z744" s="768" t="str">
        <f>IFERROR(__xludf.DUMMYFUNCTION("""COMPUTED_VALUE"""),"https://studio-gem.it/wp-admin/post.php?post=66814&amp;action=edit")</f>
        <v>https://studio-gem.it/wp-admin/post.php?post=66814&amp;action=edit</v>
      </c>
      <c r="AA744" s="763"/>
      <c r="AB744" s="763"/>
      <c r="AC744" s="763"/>
      <c r="AD744" s="763"/>
      <c r="AE744" s="763"/>
      <c r="AF744" s="763"/>
      <c r="AG744" s="763"/>
      <c r="AH744" s="763"/>
      <c r="AI744" s="763"/>
      <c r="AJ744" s="763"/>
      <c r="AK744" s="763"/>
      <c r="AL744" s="763"/>
      <c r="AM744" s="763"/>
      <c r="AN744" s="763"/>
      <c r="AO744" s="763"/>
      <c r="AP744" s="763"/>
      <c r="AQ744" s="763"/>
      <c r="AR744" s="763"/>
      <c r="AS744" s="763"/>
      <c r="AT744" s="763"/>
      <c r="AU744" s="763"/>
      <c r="AV744" s="763"/>
      <c r="AW744" s="763"/>
      <c r="AX744" s="763"/>
      <c r="AY744" s="763"/>
      <c r="AZ744" s="763"/>
      <c r="BA744" s="763"/>
      <c r="BB744" s="763"/>
      <c r="BC744" s="763"/>
      <c r="BD744" s="763"/>
      <c r="BE744" s="763"/>
      <c r="BF744" s="763"/>
      <c r="BG744" s="763" t="b">
        <f>IFERROR(__xludf.DUMMYFUNCTION("""COMPUTED_VALUE"""),TRUE)</f>
        <v>1</v>
      </c>
      <c r="BH744" s="763" t="b">
        <f>IFERROR(__xludf.DUMMYFUNCTION("""COMPUTED_VALUE"""),FALSE)</f>
        <v>0</v>
      </c>
      <c r="BI744" s="763" t="b">
        <f>IFERROR(__xludf.DUMMYFUNCTION("""COMPUTED_VALUE"""),TRUE)</f>
        <v>1</v>
      </c>
      <c r="BJ744" s="763" t="b">
        <f>IFERROR(__xludf.DUMMYFUNCTION("""COMPUTED_VALUE"""),TRUE)</f>
        <v>1</v>
      </c>
    </row>
    <row r="745">
      <c r="A745" s="763">
        <f>IFERROR(__xludf.DUMMYFUNCTION("""COMPUTED_VALUE"""),66825.0)</f>
        <v>66825</v>
      </c>
      <c r="B745" s="763">
        <f>IFERROR(__xludf.DUMMYFUNCTION("""COMPUTED_VALUE"""),66825.0)</f>
        <v>66825</v>
      </c>
      <c r="C745" s="763" t="str">
        <f>IFERROR(__xludf.DUMMYFUNCTION("""COMPUTED_VALUE"""),"2025-12-11 15:13:04")</f>
        <v>2025-12-11 15:13:04</v>
      </c>
      <c r="D745" s="763" t="str">
        <f>IFERROR(__xludf.DUMMYFUNCTION("""COMPUTED_VALUE"""),"pending")</f>
        <v>pending</v>
      </c>
      <c r="E745" s="763" t="str">
        <f>IFERROR(__xludf.DUMMYFUNCTION("""COMPUTED_VALUE"""),"Ilaria")</f>
        <v>Ilaria</v>
      </c>
      <c r="F745" s="763" t="str">
        <f>IFERROR(__xludf.DUMMYFUNCTION("""COMPUTED_VALUE"""),"Uletto")</f>
        <v>Uletto</v>
      </c>
      <c r="G745" s="763" t="str">
        <f>IFERROR(__xludf.DUMMYFUNCTION("""COMPUTED_VALUE"""),"ulettoilaria@gmail.com")</f>
        <v>ulettoilaria@gmail.com</v>
      </c>
      <c r="H745" s="763">
        <f>IFERROR(__xludf.DUMMYFUNCTION("""COMPUTED_VALUE"""),3.389207634E9)</f>
        <v>3389207634</v>
      </c>
      <c r="I745" s="763" t="str">
        <f>IFERROR(__xludf.DUMMYFUNCTION("""COMPUTED_VALUE"""),"Milano")</f>
        <v>Milano</v>
      </c>
      <c r="J745" s="763" t="str">
        <f>IFERROR(__xludf.DUMMYFUNCTION("""COMPUTED_VALUE"""),"Viale Monte Nero 11")</f>
        <v>Viale Monte Nero 11</v>
      </c>
      <c r="K745" s="763">
        <f>IFERROR(__xludf.DUMMYFUNCTION("""COMPUTED_VALUE"""),20135.0)</f>
        <v>20135</v>
      </c>
      <c r="L745" s="763" t="str">
        <f>IFERROR(__xludf.DUMMYFUNCTION("""COMPUTED_VALUE"""),"Carte di pagamento")</f>
        <v>Carte di pagamento</v>
      </c>
      <c r="M745" s="763"/>
      <c r="N745" s="763"/>
      <c r="O745" s="763">
        <f>IFERROR(__xludf.DUMMYFUNCTION("""COMPUTED_VALUE"""),0.0)</f>
        <v>0</v>
      </c>
      <c r="P745" s="767">
        <f>IFERROR(__xludf.DUMMYFUNCTION("""COMPUTED_VALUE"""),1.0416666666666667)</f>
        <v>1.041666667</v>
      </c>
      <c r="Q745" s="763" t="str">
        <f>IFERROR(__xludf.DUMMYFUNCTION("""COMPUTED_VALUE"""),"EUR")</f>
        <v>EUR</v>
      </c>
      <c r="R745" s="763">
        <f>IFERROR(__xludf.DUMMYFUNCTION("""COMPUTED_VALUE"""),1366.0)</f>
        <v>1366</v>
      </c>
      <c r="S745" s="763" t="str">
        <f>IFERROR(__xludf.DUMMYFUNCTION("""COMPUTED_VALUE"""),"Festa di Natale 2025 - Festa di natale 2025 SOLO serata 25€")</f>
        <v>Festa di Natale 2025 - Festa di natale 2025 SOLO serata 25€</v>
      </c>
      <c r="T745" s="763"/>
      <c r="U745" s="763"/>
      <c r="V745" s="763">
        <f>IFERROR(__xludf.DUMMYFUNCTION("""COMPUTED_VALUE"""),1.0)</f>
        <v>1</v>
      </c>
      <c r="W745" s="763">
        <f>IFERROR(__xludf.DUMMYFUNCTION("""COMPUTED_VALUE"""),25.0)</f>
        <v>25</v>
      </c>
      <c r="X745" s="763">
        <f>IFERROR(__xludf.DUMMYFUNCTION("""COMPUTED_VALUE"""),25.0)</f>
        <v>25</v>
      </c>
      <c r="Y745" s="763"/>
      <c r="Z745" s="768" t="str">
        <f>IFERROR(__xludf.DUMMYFUNCTION("""COMPUTED_VALUE"""),"https://studio-gem.it/wp-admin/post.php?post=66825&amp;action=edit")</f>
        <v>https://studio-gem.it/wp-admin/post.php?post=66825&amp;action=edit</v>
      </c>
      <c r="AA745" s="763"/>
      <c r="AB745" s="763"/>
      <c r="AC745" s="763"/>
      <c r="AD745" s="763"/>
      <c r="AE745" s="763"/>
      <c r="AF745" s="763"/>
      <c r="AG745" s="763"/>
      <c r="AH745" s="763"/>
      <c r="AI745" s="763"/>
      <c r="AJ745" s="763"/>
      <c r="AK745" s="763"/>
      <c r="AL745" s="763"/>
      <c r="AM745" s="763"/>
      <c r="AN745" s="763"/>
      <c r="AO745" s="763"/>
      <c r="AP745" s="763"/>
      <c r="AQ745" s="763"/>
      <c r="AR745" s="763"/>
      <c r="AS745" s="763"/>
      <c r="AT745" s="763"/>
      <c r="AU745" s="763"/>
      <c r="AV745" s="763"/>
      <c r="AW745" s="763"/>
      <c r="AX745" s="763"/>
      <c r="AY745" s="763"/>
      <c r="AZ745" s="763"/>
      <c r="BA745" s="763"/>
      <c r="BB745" s="763"/>
      <c r="BC745" s="763"/>
      <c r="BD745" s="763"/>
      <c r="BE745" s="763"/>
      <c r="BF745" s="763"/>
      <c r="BG745" s="763" t="b">
        <f>IFERROR(__xludf.DUMMYFUNCTION("""COMPUTED_VALUE"""),TRUE)</f>
        <v>1</v>
      </c>
      <c r="BH745" s="763" t="b">
        <f>IFERROR(__xludf.DUMMYFUNCTION("""COMPUTED_VALUE"""),FALSE)</f>
        <v>0</v>
      </c>
      <c r="BI745" s="763" t="b">
        <f>IFERROR(__xludf.DUMMYFUNCTION("""COMPUTED_VALUE"""),TRUE)</f>
        <v>1</v>
      </c>
      <c r="BJ745" s="763" t="b">
        <f>IFERROR(__xludf.DUMMYFUNCTION("""COMPUTED_VALUE"""),TRUE)</f>
        <v>1</v>
      </c>
    </row>
    <row r="746">
      <c r="A746" s="763">
        <f>IFERROR(__xludf.DUMMYFUNCTION("""COMPUTED_VALUE"""),66826.0)</f>
        <v>66826</v>
      </c>
      <c r="B746" s="763">
        <f>IFERROR(__xludf.DUMMYFUNCTION("""COMPUTED_VALUE"""),66826.0)</f>
        <v>66826</v>
      </c>
      <c r="C746" s="763" t="str">
        <f>IFERROR(__xludf.DUMMYFUNCTION("""COMPUTED_VALUE"""),"2025-12-11 19:25:40")</f>
        <v>2025-12-11 19:25:40</v>
      </c>
      <c r="D746" s="763" t="str">
        <f>IFERROR(__xludf.DUMMYFUNCTION("""COMPUTED_VALUE"""),"completed")</f>
        <v>completed</v>
      </c>
      <c r="E746" s="763" t="str">
        <f>IFERROR(__xludf.DUMMYFUNCTION("""COMPUTED_VALUE"""),"Eleonora")</f>
        <v>Eleonora</v>
      </c>
      <c r="F746" s="763" t="str">
        <f>IFERROR(__xludf.DUMMYFUNCTION("""COMPUTED_VALUE"""),"Milotta")</f>
        <v>Milotta</v>
      </c>
      <c r="G746" s="763" t="str">
        <f>IFERROR(__xludf.DUMMYFUNCTION("""COMPUTED_VALUE"""),"milotta.eleonora14@gmail.com")</f>
        <v>milotta.eleonora14@gmail.com</v>
      </c>
      <c r="H746" s="763">
        <f>IFERROR(__xludf.DUMMYFUNCTION("""COMPUTED_VALUE"""),3.938865964E9)</f>
        <v>3938865964</v>
      </c>
      <c r="I746" s="763" t="str">
        <f>IFERROR(__xludf.DUMMYFUNCTION("""COMPUTED_VALUE"""),"Castellanza")</f>
        <v>Castellanza</v>
      </c>
      <c r="J746" s="763" t="str">
        <f>IFERROR(__xludf.DUMMYFUNCTION("""COMPUTED_VALUE"""),"Viale Italia 92")</f>
        <v>Viale Italia 92</v>
      </c>
      <c r="K746" s="763">
        <f>IFERROR(__xludf.DUMMYFUNCTION("""COMPUTED_VALUE"""),21053.0)</f>
        <v>21053</v>
      </c>
      <c r="L746" s="763" t="str">
        <f>IFERROR(__xludf.DUMMYFUNCTION("""COMPUTED_VALUE"""),"Carte di pagamento")</f>
        <v>Carte di pagamento</v>
      </c>
      <c r="M746" s="763"/>
      <c r="N746" s="763" t="str">
        <f>IFERROR(__xludf.DUMMYFUNCTION("""COMPUTED_VALUE"""),"66826-1765481142")</f>
        <v>66826-1765481142</v>
      </c>
      <c r="O746" s="763">
        <f>IFERROR(__xludf.DUMMYFUNCTION("""COMPUTED_VALUE"""),0.0)</f>
        <v>0</v>
      </c>
      <c r="P746" s="767">
        <f>IFERROR(__xludf.DUMMYFUNCTION("""COMPUTED_VALUE"""),1.0416666666666667)</f>
        <v>1.041666667</v>
      </c>
      <c r="Q746" s="763" t="str">
        <f>IFERROR(__xludf.DUMMYFUNCTION("""COMPUTED_VALUE"""),"EUR")</f>
        <v>EUR</v>
      </c>
      <c r="R746" s="763">
        <f>IFERROR(__xludf.DUMMYFUNCTION("""COMPUTED_VALUE"""),1367.0)</f>
        <v>1367</v>
      </c>
      <c r="S746" s="763" t="str">
        <f>IFERROR(__xludf.DUMMYFUNCTION("""COMPUTED_VALUE"""),"Festa di Natale 2025 - Festa di natale 2025 SOLO serata 25€")</f>
        <v>Festa di Natale 2025 - Festa di natale 2025 SOLO serata 25€</v>
      </c>
      <c r="T746" s="763"/>
      <c r="U746" s="763"/>
      <c r="V746" s="763">
        <f>IFERROR(__xludf.DUMMYFUNCTION("""COMPUTED_VALUE"""),1.0)</f>
        <v>1</v>
      </c>
      <c r="W746" s="763">
        <f>IFERROR(__xludf.DUMMYFUNCTION("""COMPUTED_VALUE"""),25.0)</f>
        <v>25</v>
      </c>
      <c r="X746" s="763">
        <f>IFERROR(__xludf.DUMMYFUNCTION("""COMPUTED_VALUE"""),25.0)</f>
        <v>25</v>
      </c>
      <c r="Y746" s="763"/>
      <c r="Z746" s="768" t="str">
        <f>IFERROR(__xludf.DUMMYFUNCTION("""COMPUTED_VALUE"""),"https://studio-gem.it/wp-admin/post.php?post=66826&amp;action=edit")</f>
        <v>https://studio-gem.it/wp-admin/post.php?post=66826&amp;action=edit</v>
      </c>
      <c r="AA746" s="763"/>
      <c r="AB746" s="763"/>
      <c r="AC746" s="763"/>
      <c r="AD746" s="763"/>
      <c r="AE746" s="763"/>
      <c r="AF746" s="763"/>
      <c r="AG746" s="763"/>
      <c r="AH746" s="763"/>
      <c r="AI746" s="763"/>
      <c r="AJ746" s="763"/>
      <c r="AK746" s="763"/>
      <c r="AL746" s="763"/>
      <c r="AM746" s="763"/>
      <c r="AN746" s="763"/>
      <c r="AO746" s="763"/>
      <c r="AP746" s="763"/>
      <c r="AQ746" s="763"/>
      <c r="AR746" s="763"/>
      <c r="AS746" s="763"/>
      <c r="AT746" s="763"/>
      <c r="AU746" s="763"/>
      <c r="AV746" s="763"/>
      <c r="AW746" s="763"/>
      <c r="AX746" s="763"/>
      <c r="AY746" s="763"/>
      <c r="AZ746" s="763"/>
      <c r="BA746" s="763"/>
      <c r="BB746" s="763"/>
      <c r="BC746" s="763"/>
      <c r="BD746" s="763"/>
      <c r="BE746" s="763"/>
      <c r="BF746" s="763"/>
      <c r="BG746" s="763" t="b">
        <f>IFERROR(__xludf.DUMMYFUNCTION("""COMPUTED_VALUE"""),TRUE)</f>
        <v>1</v>
      </c>
      <c r="BH746" s="763" t="b">
        <f>IFERROR(__xludf.DUMMYFUNCTION("""COMPUTED_VALUE"""),FALSE)</f>
        <v>0</v>
      </c>
      <c r="BI746" s="763" t="b">
        <f>IFERROR(__xludf.DUMMYFUNCTION("""COMPUTED_VALUE"""),TRUE)</f>
        <v>1</v>
      </c>
      <c r="BJ746" s="763" t="b">
        <f>IFERROR(__xludf.DUMMYFUNCTION("""COMPUTED_VALUE"""),TRUE)</f>
        <v>1</v>
      </c>
    </row>
    <row r="747">
      <c r="A747" s="763">
        <f>IFERROR(__xludf.DUMMYFUNCTION("""COMPUTED_VALUE"""),66828.0)</f>
        <v>66828</v>
      </c>
      <c r="B747" s="763">
        <f>IFERROR(__xludf.DUMMYFUNCTION("""COMPUTED_VALUE"""),66828.0)</f>
        <v>66828</v>
      </c>
      <c r="C747" s="763" t="str">
        <f>IFERROR(__xludf.DUMMYFUNCTION("""COMPUTED_VALUE"""),"2025-12-11 20:03:39")</f>
        <v>2025-12-11 20:03:39</v>
      </c>
      <c r="D747" s="763" t="str">
        <f>IFERROR(__xludf.DUMMYFUNCTION("""COMPUTED_VALUE"""),"processing")</f>
        <v>processing</v>
      </c>
      <c r="E747" s="763" t="str">
        <f>IFERROR(__xludf.DUMMYFUNCTION("""COMPUTED_VALUE"""),"Silvia")</f>
        <v>Silvia</v>
      </c>
      <c r="F747" s="763" t="str">
        <f>IFERROR(__xludf.DUMMYFUNCTION("""COMPUTED_VALUE"""),"Del Castillo")</f>
        <v>Del Castillo</v>
      </c>
      <c r="G747" s="763" t="str">
        <f>IFERROR(__xludf.DUMMYFUNCTION("""COMPUTED_VALUE"""),"xtealex@yahoo.it")</f>
        <v>xtealex@yahoo.it</v>
      </c>
      <c r="H747" s="763">
        <f>IFERROR(__xludf.DUMMYFUNCTION("""COMPUTED_VALUE"""),3.201575261E9)</f>
        <v>3201575261</v>
      </c>
      <c r="I747" s="763" t="str">
        <f>IFERROR(__xludf.DUMMYFUNCTION("""COMPUTED_VALUE"""),"Milano")</f>
        <v>Milano</v>
      </c>
      <c r="J747" s="763" t="str">
        <f>IFERROR(__xludf.DUMMYFUNCTION("""COMPUTED_VALUE"""),"Viale Abruzzi 44")</f>
        <v>Viale Abruzzi 44</v>
      </c>
      <c r="K747" s="763">
        <f>IFERROR(__xludf.DUMMYFUNCTION("""COMPUTED_VALUE"""),20131.0)</f>
        <v>20131</v>
      </c>
      <c r="L747" s="763" t="str">
        <f>IFERROR(__xludf.DUMMYFUNCTION("""COMPUTED_VALUE"""),"Carte di pagamento")</f>
        <v>Carte di pagamento</v>
      </c>
      <c r="M747" s="763" t="str">
        <f>IFERROR(__xludf.DUMMYFUNCTION("""COMPUTED_VALUE"""),"santo05natale")</f>
        <v>santo05natale</v>
      </c>
      <c r="N747" s="763" t="str">
        <f>IFERROR(__xludf.DUMMYFUNCTION("""COMPUTED_VALUE"""),"66828-1765483420")</f>
        <v>66828-1765483420</v>
      </c>
      <c r="O747" s="763">
        <f>IFERROR(__xludf.DUMMYFUNCTION("""COMPUTED_VALUE"""),0.0)</f>
        <v>0</v>
      </c>
      <c r="P747" s="767">
        <f>IFERROR(__xludf.DUMMYFUNCTION("""COMPUTED_VALUE"""),0.8333333333333334)</f>
        <v>0.8333333333</v>
      </c>
      <c r="Q747" s="763" t="str">
        <f>IFERROR(__xludf.DUMMYFUNCTION("""COMPUTED_VALUE"""),"EUR")</f>
        <v>EUR</v>
      </c>
      <c r="R747" s="763">
        <f>IFERROR(__xludf.DUMMYFUNCTION("""COMPUTED_VALUE"""),1368.0)</f>
        <v>1368</v>
      </c>
      <c r="S747" s="763" t="str">
        <f>IFERROR(__xludf.DUMMYFUNCTION("""COMPUTED_VALUE"""),"Festa di Natale 2025 - Festa di natale 2025 SOLO serata 25€")</f>
        <v>Festa di Natale 2025 - Festa di natale 2025 SOLO serata 25€</v>
      </c>
      <c r="T747" s="763"/>
      <c r="U747" s="763"/>
      <c r="V747" s="763">
        <f>IFERROR(__xludf.DUMMYFUNCTION("""COMPUTED_VALUE"""),1.0)</f>
        <v>1</v>
      </c>
      <c r="W747" s="763">
        <f>IFERROR(__xludf.DUMMYFUNCTION("""COMPUTED_VALUE"""),20.0)</f>
        <v>20</v>
      </c>
      <c r="X747" s="763">
        <f>IFERROR(__xludf.DUMMYFUNCTION("""COMPUTED_VALUE"""),20.0)</f>
        <v>20</v>
      </c>
      <c r="Y747" s="763"/>
      <c r="Z747" s="768" t="str">
        <f>IFERROR(__xludf.DUMMYFUNCTION("""COMPUTED_VALUE"""),"https://studio-gem.it/wp-admin/post.php?post=66828&amp;action=edit")</f>
        <v>https://studio-gem.it/wp-admin/post.php?post=66828&amp;action=edit</v>
      </c>
      <c r="AA747" s="763"/>
      <c r="AB747" s="763"/>
      <c r="AC747" s="763"/>
      <c r="AD747" s="763"/>
      <c r="AE747" s="763"/>
      <c r="AF747" s="763"/>
      <c r="AG747" s="763"/>
      <c r="AH747" s="763"/>
      <c r="AI747" s="763"/>
      <c r="AJ747" s="763"/>
      <c r="AK747" s="763"/>
      <c r="AL747" s="763"/>
      <c r="AM747" s="763"/>
      <c r="AN747" s="763"/>
      <c r="AO747" s="763"/>
      <c r="AP747" s="763"/>
      <c r="AQ747" s="763"/>
      <c r="AR747" s="763"/>
      <c r="AS747" s="763"/>
      <c r="AT747" s="763"/>
      <c r="AU747" s="763"/>
      <c r="AV747" s="763"/>
      <c r="AW747" s="763"/>
      <c r="AX747" s="763"/>
      <c r="AY747" s="763"/>
      <c r="AZ747" s="763"/>
      <c r="BA747" s="763"/>
      <c r="BB747" s="763"/>
      <c r="BC747" s="763"/>
      <c r="BD747" s="763"/>
      <c r="BE747" s="763"/>
      <c r="BF747" s="763"/>
      <c r="BG747" s="763" t="b">
        <f>IFERROR(__xludf.DUMMYFUNCTION("""COMPUTED_VALUE"""),TRUE)</f>
        <v>1</v>
      </c>
      <c r="BH747" s="763" t="b">
        <f>IFERROR(__xludf.DUMMYFUNCTION("""COMPUTED_VALUE"""),FALSE)</f>
        <v>0</v>
      </c>
      <c r="BI747" s="763" t="b">
        <f>IFERROR(__xludf.DUMMYFUNCTION("""COMPUTED_VALUE"""),TRUE)</f>
        <v>1</v>
      </c>
      <c r="BJ747" s="763" t="b">
        <f>IFERROR(__xludf.DUMMYFUNCTION("""COMPUTED_VALUE"""),TRUE)</f>
        <v>1</v>
      </c>
    </row>
    <row r="748">
      <c r="A748" s="763">
        <f>IFERROR(__xludf.DUMMYFUNCTION("""COMPUTED_VALUE"""),66829.0)</f>
        <v>66829</v>
      </c>
      <c r="B748" s="763">
        <f>IFERROR(__xludf.DUMMYFUNCTION("""COMPUTED_VALUE"""),66829.0)</f>
        <v>66829</v>
      </c>
      <c r="C748" s="763" t="str">
        <f>IFERROR(__xludf.DUMMYFUNCTION("""COMPUTED_VALUE"""),"2025-12-11 20:27:29")</f>
        <v>2025-12-11 20:27:29</v>
      </c>
      <c r="D748" s="763" t="str">
        <f>IFERROR(__xludf.DUMMYFUNCTION("""COMPUTED_VALUE"""),"completed")</f>
        <v>completed</v>
      </c>
      <c r="E748" s="763" t="str">
        <f>IFERROR(__xludf.DUMMYFUNCTION("""COMPUTED_VALUE"""),"Tommaso")</f>
        <v>Tommaso</v>
      </c>
      <c r="F748" s="763" t="str">
        <f>IFERROR(__xludf.DUMMYFUNCTION("""COMPUTED_VALUE"""),"Gottardi")</f>
        <v>Gottardi</v>
      </c>
      <c r="G748" s="763" t="str">
        <f>IFERROR(__xludf.DUMMYFUNCTION("""COMPUTED_VALUE"""),"tommasogottardi@gmail.com")</f>
        <v>tommasogottardi@gmail.com</v>
      </c>
      <c r="H748" s="763">
        <f>IFERROR(__xludf.DUMMYFUNCTION("""COMPUTED_VALUE"""),3.47500409E9)</f>
        <v>3475004090</v>
      </c>
      <c r="I748" s="763" t="str">
        <f>IFERROR(__xludf.DUMMYFUNCTION("""COMPUTED_VALUE"""),"Milano")</f>
        <v>Milano</v>
      </c>
      <c r="J748" s="763" t="str">
        <f>IFERROR(__xludf.DUMMYFUNCTION("""COMPUTED_VALUE"""),"Piazzale Siena")</f>
        <v>Piazzale Siena</v>
      </c>
      <c r="K748" s="763">
        <f>IFERROR(__xludf.DUMMYFUNCTION("""COMPUTED_VALUE"""),20146.0)</f>
        <v>20146</v>
      </c>
      <c r="L748" s="763" t="str">
        <f>IFERROR(__xludf.DUMMYFUNCTION("""COMPUTED_VALUE"""),"Google Pay")</f>
        <v>Google Pay</v>
      </c>
      <c r="M748" s="763" t="str">
        <f>IFERROR(__xludf.DUMMYFUNCTION("""COMPUTED_VALUE"""),"joel05natale")</f>
        <v>joel05natale</v>
      </c>
      <c r="N748" s="763" t="str">
        <f>IFERROR(__xludf.DUMMYFUNCTION("""COMPUTED_VALUE"""),"66829-1765484850")</f>
        <v>66829-1765484850</v>
      </c>
      <c r="O748" s="763">
        <f>IFERROR(__xludf.DUMMYFUNCTION("""COMPUTED_VALUE"""),0.0)</f>
        <v>0</v>
      </c>
      <c r="P748" s="767">
        <f>IFERROR(__xludf.DUMMYFUNCTION("""COMPUTED_VALUE"""),0.8333333333333334)</f>
        <v>0.8333333333</v>
      </c>
      <c r="Q748" s="763" t="str">
        <f>IFERROR(__xludf.DUMMYFUNCTION("""COMPUTED_VALUE"""),"EUR")</f>
        <v>EUR</v>
      </c>
      <c r="R748" s="763">
        <f>IFERROR(__xludf.DUMMYFUNCTION("""COMPUTED_VALUE"""),1370.0)</f>
        <v>1370</v>
      </c>
      <c r="S748" s="763" t="str">
        <f>IFERROR(__xludf.DUMMYFUNCTION("""COMPUTED_VALUE"""),"Festa di Natale 2025 - Festa di natale 2025 SOLO serata 25€")</f>
        <v>Festa di Natale 2025 - Festa di natale 2025 SOLO serata 25€</v>
      </c>
      <c r="T748" s="763"/>
      <c r="U748" s="763"/>
      <c r="V748" s="763">
        <f>IFERROR(__xludf.DUMMYFUNCTION("""COMPUTED_VALUE"""),1.0)</f>
        <v>1</v>
      </c>
      <c r="W748" s="763">
        <f>IFERROR(__xludf.DUMMYFUNCTION("""COMPUTED_VALUE"""),20.0)</f>
        <v>20</v>
      </c>
      <c r="X748" s="763">
        <f>IFERROR(__xludf.DUMMYFUNCTION("""COMPUTED_VALUE"""),20.0)</f>
        <v>20</v>
      </c>
      <c r="Y748" s="763"/>
      <c r="Z748" s="768" t="str">
        <f>IFERROR(__xludf.DUMMYFUNCTION("""COMPUTED_VALUE"""),"https://studio-gem.it/wp-admin/post.php?post=66829&amp;action=edit")</f>
        <v>https://studio-gem.it/wp-admin/post.php?post=66829&amp;action=edit</v>
      </c>
      <c r="AA748" s="763"/>
      <c r="AB748" s="763"/>
      <c r="AC748" s="763"/>
      <c r="AD748" s="763"/>
      <c r="AE748" s="763"/>
      <c r="AF748" s="763"/>
      <c r="AG748" s="763"/>
      <c r="AH748" s="763"/>
      <c r="AI748" s="763"/>
      <c r="AJ748" s="763"/>
      <c r="AK748" s="763"/>
      <c r="AL748" s="763"/>
      <c r="AM748" s="763"/>
      <c r="AN748" s="763"/>
      <c r="AO748" s="763"/>
      <c r="AP748" s="763"/>
      <c r="AQ748" s="763"/>
      <c r="AR748" s="763"/>
      <c r="AS748" s="763"/>
      <c r="AT748" s="763"/>
      <c r="AU748" s="763"/>
      <c r="AV748" s="763"/>
      <c r="AW748" s="763"/>
      <c r="AX748" s="763"/>
      <c r="AY748" s="763"/>
      <c r="AZ748" s="763"/>
      <c r="BA748" s="763"/>
      <c r="BB748" s="763"/>
      <c r="BC748" s="763"/>
      <c r="BD748" s="763"/>
      <c r="BE748" s="763"/>
      <c r="BF748" s="763"/>
      <c r="BG748" s="763" t="b">
        <f>IFERROR(__xludf.DUMMYFUNCTION("""COMPUTED_VALUE"""),TRUE)</f>
        <v>1</v>
      </c>
      <c r="BH748" s="763" t="b">
        <f>IFERROR(__xludf.DUMMYFUNCTION("""COMPUTED_VALUE"""),FALSE)</f>
        <v>0</v>
      </c>
      <c r="BI748" s="763" t="b">
        <f>IFERROR(__xludf.DUMMYFUNCTION("""COMPUTED_VALUE"""),TRUE)</f>
        <v>1</v>
      </c>
      <c r="BJ748" s="763" t="b">
        <f>IFERROR(__xludf.DUMMYFUNCTION("""COMPUTED_VALUE"""),TRUE)</f>
        <v>1</v>
      </c>
    </row>
    <row r="749">
      <c r="A749" s="763">
        <f>IFERROR(__xludf.DUMMYFUNCTION("""COMPUTED_VALUE"""),66831.0)</f>
        <v>66831</v>
      </c>
      <c r="B749" s="763">
        <f>IFERROR(__xludf.DUMMYFUNCTION("""COMPUTED_VALUE"""),66831.0)</f>
        <v>66831</v>
      </c>
      <c r="C749" s="763" t="str">
        <f>IFERROR(__xludf.DUMMYFUNCTION("""COMPUTED_VALUE"""),"2025-12-11 21:34:21")</f>
        <v>2025-12-11 21:34:21</v>
      </c>
      <c r="D749" s="763" t="str">
        <f>IFERROR(__xludf.DUMMYFUNCTION("""COMPUTED_VALUE"""),"completed")</f>
        <v>completed</v>
      </c>
      <c r="E749" s="763" t="str">
        <f>IFERROR(__xludf.DUMMYFUNCTION("""COMPUTED_VALUE"""),"Melide")</f>
        <v>Melide</v>
      </c>
      <c r="F749" s="763" t="str">
        <f>IFERROR(__xludf.DUMMYFUNCTION("""COMPUTED_VALUE"""),"Crippa")</f>
        <v>Crippa</v>
      </c>
      <c r="G749" s="763" t="str">
        <f>IFERROR(__xludf.DUMMYFUNCTION("""COMPUTED_VALUE"""),"melincecrippa99@gmail.com")</f>
        <v>melincecrippa99@gmail.com</v>
      </c>
      <c r="H749" s="763">
        <f>IFERROR(__xludf.DUMMYFUNCTION("""COMPUTED_VALUE"""),3.381642215E9)</f>
        <v>3381642215</v>
      </c>
      <c r="I749" s="763" t="str">
        <f>IFERROR(__xludf.DUMMYFUNCTION("""COMPUTED_VALUE"""),"Dervio")</f>
        <v>Dervio</v>
      </c>
      <c r="J749" s="763" t="str">
        <f>IFERROR(__xludf.DUMMYFUNCTION("""COMPUTED_VALUE"""),"via rubini 7")</f>
        <v>via rubini 7</v>
      </c>
      <c r="K749" s="763">
        <f>IFERROR(__xludf.DUMMYFUNCTION("""COMPUTED_VALUE"""),23824.0)</f>
        <v>23824</v>
      </c>
      <c r="L749" s="763" t="str">
        <f>IFERROR(__xludf.DUMMYFUNCTION("""COMPUTED_VALUE"""),"Apple Pay")</f>
        <v>Apple Pay</v>
      </c>
      <c r="M749" s="763"/>
      <c r="N749" s="763" t="str">
        <f>IFERROR(__xludf.DUMMYFUNCTION("""COMPUTED_VALUE"""),"66831-1765488862")</f>
        <v>66831-1765488862</v>
      </c>
      <c r="O749" s="763">
        <f>IFERROR(__xludf.DUMMYFUNCTION("""COMPUTED_VALUE"""),0.0)</f>
        <v>0</v>
      </c>
      <c r="P749" s="767">
        <f>IFERROR(__xludf.DUMMYFUNCTION("""COMPUTED_VALUE"""),1.0416666666666667)</f>
        <v>1.041666667</v>
      </c>
      <c r="Q749" s="763" t="str">
        <f>IFERROR(__xludf.DUMMYFUNCTION("""COMPUTED_VALUE"""),"EUR")</f>
        <v>EUR</v>
      </c>
      <c r="R749" s="763">
        <f>IFERROR(__xludf.DUMMYFUNCTION("""COMPUTED_VALUE"""),1372.0)</f>
        <v>1372</v>
      </c>
      <c r="S749" s="763" t="str">
        <f>IFERROR(__xludf.DUMMYFUNCTION("""COMPUTED_VALUE"""),"Festa di Natale 2025 - Festa di natale 2025 SOLO serata 25€")</f>
        <v>Festa di Natale 2025 - Festa di natale 2025 SOLO serata 25€</v>
      </c>
      <c r="T749" s="763"/>
      <c r="U749" s="763"/>
      <c r="V749" s="763">
        <f>IFERROR(__xludf.DUMMYFUNCTION("""COMPUTED_VALUE"""),1.0)</f>
        <v>1</v>
      </c>
      <c r="W749" s="763">
        <f>IFERROR(__xludf.DUMMYFUNCTION("""COMPUTED_VALUE"""),25.0)</f>
        <v>25</v>
      </c>
      <c r="X749" s="763">
        <f>IFERROR(__xludf.DUMMYFUNCTION("""COMPUTED_VALUE"""),25.0)</f>
        <v>25</v>
      </c>
      <c r="Y749" s="763"/>
      <c r="Z749" s="768" t="str">
        <f>IFERROR(__xludf.DUMMYFUNCTION("""COMPUTED_VALUE"""),"https://studio-gem.it/wp-admin/post.php?post=66831&amp;action=edit")</f>
        <v>https://studio-gem.it/wp-admin/post.php?post=66831&amp;action=edit</v>
      </c>
      <c r="AA749" s="763"/>
      <c r="AB749" s="763"/>
      <c r="AC749" s="763"/>
      <c r="AD749" s="763"/>
      <c r="AE749" s="763"/>
      <c r="AF749" s="763"/>
      <c r="AG749" s="763"/>
      <c r="AH749" s="763"/>
      <c r="AI749" s="763"/>
      <c r="AJ749" s="763"/>
      <c r="AK749" s="763"/>
      <c r="AL749" s="763"/>
      <c r="AM749" s="763"/>
      <c r="AN749" s="763"/>
      <c r="AO749" s="763"/>
      <c r="AP749" s="763"/>
      <c r="AQ749" s="763"/>
      <c r="AR749" s="763"/>
      <c r="AS749" s="763"/>
      <c r="AT749" s="763"/>
      <c r="AU749" s="763"/>
      <c r="AV749" s="763"/>
      <c r="AW749" s="763"/>
      <c r="AX749" s="763"/>
      <c r="AY749" s="763"/>
      <c r="AZ749" s="763"/>
      <c r="BA749" s="763"/>
      <c r="BB749" s="763"/>
      <c r="BC749" s="763"/>
      <c r="BD749" s="763"/>
      <c r="BE749" s="763"/>
      <c r="BF749" s="763"/>
      <c r="BG749" s="763" t="b">
        <f>IFERROR(__xludf.DUMMYFUNCTION("""COMPUTED_VALUE"""),TRUE)</f>
        <v>1</v>
      </c>
      <c r="BH749" s="763" t="b">
        <f>IFERROR(__xludf.DUMMYFUNCTION("""COMPUTED_VALUE"""),FALSE)</f>
        <v>0</v>
      </c>
      <c r="BI749" s="763" t="b">
        <f>IFERROR(__xludf.DUMMYFUNCTION("""COMPUTED_VALUE"""),TRUE)</f>
        <v>1</v>
      </c>
      <c r="BJ749" s="763" t="b">
        <f>IFERROR(__xludf.DUMMYFUNCTION("""COMPUTED_VALUE"""),TRUE)</f>
        <v>1</v>
      </c>
    </row>
    <row r="750">
      <c r="A750" s="763">
        <f>IFERROR(__xludf.DUMMYFUNCTION("""COMPUTED_VALUE"""),66833.0)</f>
        <v>66833</v>
      </c>
      <c r="B750" s="763">
        <f>IFERROR(__xludf.DUMMYFUNCTION("""COMPUTED_VALUE"""),66833.0)</f>
        <v>66833</v>
      </c>
      <c r="C750" s="763" t="str">
        <f>IFERROR(__xludf.DUMMYFUNCTION("""COMPUTED_VALUE"""),"2025-12-11 22:49:41")</f>
        <v>2025-12-11 22:49:41</v>
      </c>
      <c r="D750" s="763" t="str">
        <f>IFERROR(__xludf.DUMMYFUNCTION("""COMPUTED_VALUE"""),"completed")</f>
        <v>completed</v>
      </c>
      <c r="E750" s="763" t="str">
        <f>IFERROR(__xludf.DUMMYFUNCTION("""COMPUTED_VALUE"""),"Federica")</f>
        <v>Federica</v>
      </c>
      <c r="F750" s="763" t="str">
        <f>IFERROR(__xludf.DUMMYFUNCTION("""COMPUTED_VALUE"""),"Finore")</f>
        <v>Finore</v>
      </c>
      <c r="G750" s="763" t="str">
        <f>IFERROR(__xludf.DUMMYFUNCTION("""COMPUTED_VALUE"""),"federica.finore@gmail.com")</f>
        <v>federica.finore@gmail.com</v>
      </c>
      <c r="H750" s="763">
        <f>IFERROR(__xludf.DUMMYFUNCTION("""COMPUTED_VALUE"""),3.338600739E9)</f>
        <v>3338600739</v>
      </c>
      <c r="I750" s="763" t="str">
        <f>IFERROR(__xludf.DUMMYFUNCTION("""COMPUTED_VALUE"""),"Milano")</f>
        <v>Milano</v>
      </c>
      <c r="J750" s="763" t="str">
        <f>IFERROR(__xludf.DUMMYFUNCTION("""COMPUTED_VALUE"""),"Via Antonini 60")</f>
        <v>Via Antonini 60</v>
      </c>
      <c r="K750" s="763">
        <f>IFERROR(__xludf.DUMMYFUNCTION("""COMPUTED_VALUE"""),20141.0)</f>
        <v>20141</v>
      </c>
      <c r="L750" s="763" t="str">
        <f>IFERROR(__xludf.DUMMYFUNCTION("""COMPUTED_VALUE"""),"Apple Pay")</f>
        <v>Apple Pay</v>
      </c>
      <c r="M750" s="763" t="str">
        <f>IFERROR(__xludf.DUMMYFUNCTION("""COMPUTED_VALUE"""),"santo05natale")</f>
        <v>santo05natale</v>
      </c>
      <c r="N750" s="763" t="str">
        <f>IFERROR(__xludf.DUMMYFUNCTION("""COMPUTED_VALUE"""),"66833-1765493382")</f>
        <v>66833-1765493382</v>
      </c>
      <c r="O750" s="763">
        <f>IFERROR(__xludf.DUMMYFUNCTION("""COMPUTED_VALUE"""),0.0)</f>
        <v>0</v>
      </c>
      <c r="P750" s="767">
        <f>IFERROR(__xludf.DUMMYFUNCTION("""COMPUTED_VALUE"""),0.8333333333333334)</f>
        <v>0.8333333333</v>
      </c>
      <c r="Q750" s="763" t="str">
        <f>IFERROR(__xludf.DUMMYFUNCTION("""COMPUTED_VALUE"""),"EUR")</f>
        <v>EUR</v>
      </c>
      <c r="R750" s="763">
        <f>IFERROR(__xludf.DUMMYFUNCTION("""COMPUTED_VALUE"""),1373.0)</f>
        <v>1373</v>
      </c>
      <c r="S750" s="763" t="str">
        <f>IFERROR(__xludf.DUMMYFUNCTION("""COMPUTED_VALUE"""),"Festa di Natale 2025 - Festa di natale 2025 SOLO serata 25€")</f>
        <v>Festa di Natale 2025 - Festa di natale 2025 SOLO serata 25€</v>
      </c>
      <c r="T750" s="763"/>
      <c r="U750" s="763"/>
      <c r="V750" s="763">
        <f>IFERROR(__xludf.DUMMYFUNCTION("""COMPUTED_VALUE"""),1.0)</f>
        <v>1</v>
      </c>
      <c r="W750" s="763">
        <f>IFERROR(__xludf.DUMMYFUNCTION("""COMPUTED_VALUE"""),20.0)</f>
        <v>20</v>
      </c>
      <c r="X750" s="763">
        <f>IFERROR(__xludf.DUMMYFUNCTION("""COMPUTED_VALUE"""),20.0)</f>
        <v>20</v>
      </c>
      <c r="Y750" s="763"/>
      <c r="Z750" s="768" t="str">
        <f>IFERROR(__xludf.DUMMYFUNCTION("""COMPUTED_VALUE"""),"https://studio-gem.it/wp-admin/post.php?post=66833&amp;action=edit")</f>
        <v>https://studio-gem.it/wp-admin/post.php?post=66833&amp;action=edit</v>
      </c>
      <c r="AA750" s="763"/>
      <c r="AB750" s="763"/>
      <c r="AC750" s="763"/>
      <c r="AD750" s="763"/>
      <c r="AE750" s="763"/>
      <c r="AF750" s="763"/>
      <c r="AG750" s="763"/>
      <c r="AH750" s="763"/>
      <c r="AI750" s="763"/>
      <c r="AJ750" s="763"/>
      <c r="AK750" s="763"/>
      <c r="AL750" s="763"/>
      <c r="AM750" s="763"/>
      <c r="AN750" s="763"/>
      <c r="AO750" s="763"/>
      <c r="AP750" s="763"/>
      <c r="AQ750" s="763"/>
      <c r="AR750" s="763"/>
      <c r="AS750" s="763"/>
      <c r="AT750" s="763"/>
      <c r="AU750" s="763"/>
      <c r="AV750" s="763"/>
      <c r="AW750" s="763"/>
      <c r="AX750" s="763"/>
      <c r="AY750" s="763"/>
      <c r="AZ750" s="763"/>
      <c r="BA750" s="763"/>
      <c r="BB750" s="763"/>
      <c r="BC750" s="763"/>
      <c r="BD750" s="763"/>
      <c r="BE750" s="763"/>
      <c r="BF750" s="763"/>
      <c r="BG750" s="763" t="b">
        <f>IFERROR(__xludf.DUMMYFUNCTION("""COMPUTED_VALUE"""),TRUE)</f>
        <v>1</v>
      </c>
      <c r="BH750" s="763" t="b">
        <f>IFERROR(__xludf.DUMMYFUNCTION("""COMPUTED_VALUE"""),FALSE)</f>
        <v>0</v>
      </c>
      <c r="BI750" s="763" t="b">
        <f>IFERROR(__xludf.DUMMYFUNCTION("""COMPUTED_VALUE"""),TRUE)</f>
        <v>1</v>
      </c>
      <c r="BJ750" s="763" t="b">
        <f>IFERROR(__xludf.DUMMYFUNCTION("""COMPUTED_VALUE"""),TRUE)</f>
        <v>1</v>
      </c>
    </row>
    <row r="751">
      <c r="A751" s="763">
        <f>IFERROR(__xludf.DUMMYFUNCTION("""COMPUTED_VALUE"""),66842.0)</f>
        <v>66842</v>
      </c>
      <c r="B751" s="763">
        <f>IFERROR(__xludf.DUMMYFUNCTION("""COMPUTED_VALUE"""),66842.0)</f>
        <v>66842</v>
      </c>
      <c r="C751" s="763" t="str">
        <f>IFERROR(__xludf.DUMMYFUNCTION("""COMPUTED_VALUE"""),"2025-12-12 08:48:14")</f>
        <v>2025-12-12 08:48:14</v>
      </c>
      <c r="D751" s="763" t="str">
        <f>IFERROR(__xludf.DUMMYFUNCTION("""COMPUTED_VALUE"""),"processing")</f>
        <v>processing</v>
      </c>
      <c r="E751" s="763" t="str">
        <f>IFERROR(__xludf.DUMMYFUNCTION("""COMPUTED_VALUE"""),"Beatrice")</f>
        <v>Beatrice</v>
      </c>
      <c r="F751" s="763" t="str">
        <f>IFERROR(__xludf.DUMMYFUNCTION("""COMPUTED_VALUE"""),"Pelusi")</f>
        <v>Pelusi</v>
      </c>
      <c r="G751" s="763" t="str">
        <f>IFERROR(__xludf.DUMMYFUNCTION("""COMPUTED_VALUE"""),"beatricepelusi7@gmail.com")</f>
        <v>beatricepelusi7@gmail.com</v>
      </c>
      <c r="H751" s="763">
        <f>IFERROR(__xludf.DUMMYFUNCTION("""COMPUTED_VALUE"""),3.475928706E9)</f>
        <v>3475928706</v>
      </c>
      <c r="I751" s="763" t="str">
        <f>IFERROR(__xludf.DUMMYFUNCTION("""COMPUTED_VALUE"""),"Milano")</f>
        <v>Milano</v>
      </c>
      <c r="J751" s="763" t="str">
        <f>IFERROR(__xludf.DUMMYFUNCTION("""COMPUTED_VALUE"""),"Via Privata Alessandro Antonelli 7")</f>
        <v>Via Privata Alessandro Antonelli 7</v>
      </c>
      <c r="K751" s="763">
        <f>IFERROR(__xludf.DUMMYFUNCTION("""COMPUTED_VALUE"""),20139.0)</f>
        <v>20139</v>
      </c>
      <c r="L751" s="763" t="str">
        <f>IFERROR(__xludf.DUMMYFUNCTION("""COMPUTED_VALUE"""),"Carte di pagamento")</f>
        <v>Carte di pagamento</v>
      </c>
      <c r="M751" s="763" t="str">
        <f>IFERROR(__xludf.DUMMYFUNCTION("""COMPUTED_VALUE"""),"santo05natale")</f>
        <v>santo05natale</v>
      </c>
      <c r="N751" s="763" t="str">
        <f>IFERROR(__xludf.DUMMYFUNCTION("""COMPUTED_VALUE"""),"66842-1765529295")</f>
        <v>66842-1765529295</v>
      </c>
      <c r="O751" s="763">
        <f>IFERROR(__xludf.DUMMYFUNCTION("""COMPUTED_VALUE"""),0.0)</f>
        <v>0</v>
      </c>
      <c r="P751" s="767">
        <f>IFERROR(__xludf.DUMMYFUNCTION("""COMPUTED_VALUE"""),0.8333333333333334)</f>
        <v>0.8333333333</v>
      </c>
      <c r="Q751" s="763" t="str">
        <f>IFERROR(__xludf.DUMMYFUNCTION("""COMPUTED_VALUE"""),"EUR")</f>
        <v>EUR</v>
      </c>
      <c r="R751" s="763">
        <f>IFERROR(__xludf.DUMMYFUNCTION("""COMPUTED_VALUE"""),1375.0)</f>
        <v>1375</v>
      </c>
      <c r="S751" s="763" t="str">
        <f>IFERROR(__xludf.DUMMYFUNCTION("""COMPUTED_VALUE"""),"Festa di Natale 2025 - Festa di natale 2025 SOLO serata 25€")</f>
        <v>Festa di Natale 2025 - Festa di natale 2025 SOLO serata 25€</v>
      </c>
      <c r="T751" s="763"/>
      <c r="U751" s="763"/>
      <c r="V751" s="763">
        <f>IFERROR(__xludf.DUMMYFUNCTION("""COMPUTED_VALUE"""),1.0)</f>
        <v>1</v>
      </c>
      <c r="W751" s="763">
        <f>IFERROR(__xludf.DUMMYFUNCTION("""COMPUTED_VALUE"""),20.0)</f>
        <v>20</v>
      </c>
      <c r="X751" s="763">
        <f>IFERROR(__xludf.DUMMYFUNCTION("""COMPUTED_VALUE"""),20.0)</f>
        <v>20</v>
      </c>
      <c r="Y751" s="763"/>
      <c r="Z751" s="768" t="str">
        <f>IFERROR(__xludf.DUMMYFUNCTION("""COMPUTED_VALUE"""),"https://studio-gem.it/wp-admin/post.php?post=66842&amp;action=edit")</f>
        <v>https://studio-gem.it/wp-admin/post.php?post=66842&amp;action=edit</v>
      </c>
      <c r="AA751" s="763"/>
      <c r="AB751" s="763"/>
      <c r="AC751" s="763"/>
      <c r="AD751" s="763"/>
      <c r="AE751" s="763"/>
      <c r="AF751" s="763"/>
      <c r="AG751" s="763"/>
      <c r="AH751" s="763"/>
      <c r="AI751" s="763"/>
      <c r="AJ751" s="763"/>
      <c r="AK751" s="763"/>
      <c r="AL751" s="763"/>
      <c r="AM751" s="763"/>
      <c r="AN751" s="763"/>
      <c r="AO751" s="763"/>
      <c r="AP751" s="763"/>
      <c r="AQ751" s="763"/>
      <c r="AR751" s="763"/>
      <c r="AS751" s="763"/>
      <c r="AT751" s="763"/>
      <c r="AU751" s="763"/>
      <c r="AV751" s="763"/>
      <c r="AW751" s="763"/>
      <c r="AX751" s="763"/>
      <c r="AY751" s="763"/>
      <c r="AZ751" s="763"/>
      <c r="BA751" s="763"/>
      <c r="BB751" s="763"/>
      <c r="BC751" s="763"/>
      <c r="BD751" s="763"/>
      <c r="BE751" s="763"/>
      <c r="BF751" s="763"/>
      <c r="BG751" s="763" t="b">
        <f>IFERROR(__xludf.DUMMYFUNCTION("""COMPUTED_VALUE"""),TRUE)</f>
        <v>1</v>
      </c>
      <c r="BH751" s="763" t="b">
        <f>IFERROR(__xludf.DUMMYFUNCTION("""COMPUTED_VALUE"""),FALSE)</f>
        <v>0</v>
      </c>
      <c r="BI751" s="763" t="b">
        <f>IFERROR(__xludf.DUMMYFUNCTION("""COMPUTED_VALUE"""),TRUE)</f>
        <v>1</v>
      </c>
      <c r="BJ751" s="763" t="b">
        <f>IFERROR(__xludf.DUMMYFUNCTION("""COMPUTED_VALUE"""),TRUE)</f>
        <v>1</v>
      </c>
    </row>
    <row r="752">
      <c r="A752" s="763">
        <f>IFERROR(__xludf.DUMMYFUNCTION("""COMPUTED_VALUE"""),66843.0)</f>
        <v>66843</v>
      </c>
      <c r="B752" s="763">
        <f>IFERROR(__xludf.DUMMYFUNCTION("""COMPUTED_VALUE"""),66843.0)</f>
        <v>66843</v>
      </c>
      <c r="C752" s="763" t="str">
        <f>IFERROR(__xludf.DUMMYFUNCTION("""COMPUTED_VALUE"""),"2025-12-12 10:30:38")</f>
        <v>2025-12-12 10:30:38</v>
      </c>
      <c r="D752" s="763" t="str">
        <f>IFERROR(__xludf.DUMMYFUNCTION("""COMPUTED_VALUE"""),"completed")</f>
        <v>completed</v>
      </c>
      <c r="E752" s="763" t="str">
        <f>IFERROR(__xludf.DUMMYFUNCTION("""COMPUTED_VALUE"""),"Gaia")</f>
        <v>Gaia</v>
      </c>
      <c r="F752" s="763" t="str">
        <f>IFERROR(__xludf.DUMMYFUNCTION("""COMPUTED_VALUE"""),"Bencini")</f>
        <v>Bencini</v>
      </c>
      <c r="G752" s="763" t="str">
        <f>IFERROR(__xludf.DUMMYFUNCTION("""COMPUTED_VALUE"""),"gaia.bencini97@gmail.com")</f>
        <v>gaia.bencini97@gmail.com</v>
      </c>
      <c r="H752" s="763">
        <f>IFERROR(__xludf.DUMMYFUNCTION("""COMPUTED_VALUE"""),3.475517985E9)</f>
        <v>3475517985</v>
      </c>
      <c r="I752" s="763" t="str">
        <f>IFERROR(__xludf.DUMMYFUNCTION("""COMPUTED_VALUE"""),"Milano")</f>
        <v>Milano</v>
      </c>
      <c r="J752" s="763" t="str">
        <f>IFERROR(__xludf.DUMMYFUNCTION("""COMPUTED_VALUE"""),"Viale Ergisto Bezzi 73")</f>
        <v>Viale Ergisto Bezzi 73</v>
      </c>
      <c r="K752" s="763">
        <f>IFERROR(__xludf.DUMMYFUNCTION("""COMPUTED_VALUE"""),20146.0)</f>
        <v>20146</v>
      </c>
      <c r="L752" s="763" t="str">
        <f>IFERROR(__xludf.DUMMYFUNCTION("""COMPUTED_VALUE"""),"Apple Pay")</f>
        <v>Apple Pay</v>
      </c>
      <c r="M752" s="763"/>
      <c r="N752" s="763" t="str">
        <f>IFERROR(__xludf.DUMMYFUNCTION("""COMPUTED_VALUE"""),"66843-1765535439")</f>
        <v>66843-1765535439</v>
      </c>
      <c r="O752" s="763">
        <f>IFERROR(__xludf.DUMMYFUNCTION("""COMPUTED_VALUE"""),0.0)</f>
        <v>0</v>
      </c>
      <c r="P752" s="767">
        <f>IFERROR(__xludf.DUMMYFUNCTION("""COMPUTED_VALUE"""),1.0416666666666667)</f>
        <v>1.041666667</v>
      </c>
      <c r="Q752" s="763" t="str">
        <f>IFERROR(__xludf.DUMMYFUNCTION("""COMPUTED_VALUE"""),"EUR")</f>
        <v>EUR</v>
      </c>
      <c r="R752" s="763">
        <f>IFERROR(__xludf.DUMMYFUNCTION("""COMPUTED_VALUE"""),1377.0)</f>
        <v>1377</v>
      </c>
      <c r="S752" s="763" t="str">
        <f>IFERROR(__xludf.DUMMYFUNCTION("""COMPUTED_VALUE"""),"Festa di Natale 2025 - Festa di natale 2025 SOLO serata 25€")</f>
        <v>Festa di Natale 2025 - Festa di natale 2025 SOLO serata 25€</v>
      </c>
      <c r="T752" s="763"/>
      <c r="U752" s="763"/>
      <c r="V752" s="763">
        <f>IFERROR(__xludf.DUMMYFUNCTION("""COMPUTED_VALUE"""),1.0)</f>
        <v>1</v>
      </c>
      <c r="W752" s="763">
        <f>IFERROR(__xludf.DUMMYFUNCTION("""COMPUTED_VALUE"""),25.0)</f>
        <v>25</v>
      </c>
      <c r="X752" s="763">
        <f>IFERROR(__xludf.DUMMYFUNCTION("""COMPUTED_VALUE"""),25.0)</f>
        <v>25</v>
      </c>
      <c r="Y752" s="763"/>
      <c r="Z752" s="768" t="str">
        <f>IFERROR(__xludf.DUMMYFUNCTION("""COMPUTED_VALUE"""),"https://studio-gem.it/wp-admin/post.php?post=66843&amp;action=edit")</f>
        <v>https://studio-gem.it/wp-admin/post.php?post=66843&amp;action=edit</v>
      </c>
      <c r="AA752" s="763"/>
      <c r="AB752" s="763"/>
      <c r="AC752" s="763"/>
      <c r="AD752" s="763"/>
      <c r="AE752" s="763"/>
      <c r="AF752" s="763"/>
      <c r="AG752" s="763"/>
      <c r="AH752" s="763"/>
      <c r="AI752" s="763"/>
      <c r="AJ752" s="763"/>
      <c r="AK752" s="763"/>
      <c r="AL752" s="763"/>
      <c r="AM752" s="763"/>
      <c r="AN752" s="763"/>
      <c r="AO752" s="763"/>
      <c r="AP752" s="763"/>
      <c r="AQ752" s="763"/>
      <c r="AR752" s="763"/>
      <c r="AS752" s="763"/>
      <c r="AT752" s="763"/>
      <c r="AU752" s="763"/>
      <c r="AV752" s="763"/>
      <c r="AW752" s="763"/>
      <c r="AX752" s="763"/>
      <c r="AY752" s="763"/>
      <c r="AZ752" s="763"/>
      <c r="BA752" s="763"/>
      <c r="BB752" s="763"/>
      <c r="BC752" s="763"/>
      <c r="BD752" s="763"/>
      <c r="BE752" s="763"/>
      <c r="BF752" s="763"/>
      <c r="BG752" s="763" t="b">
        <f>IFERROR(__xludf.DUMMYFUNCTION("""COMPUTED_VALUE"""),TRUE)</f>
        <v>1</v>
      </c>
      <c r="BH752" s="763" t="b">
        <f>IFERROR(__xludf.DUMMYFUNCTION("""COMPUTED_VALUE"""),FALSE)</f>
        <v>0</v>
      </c>
      <c r="BI752" s="763" t="b">
        <f>IFERROR(__xludf.DUMMYFUNCTION("""COMPUTED_VALUE"""),TRUE)</f>
        <v>1</v>
      </c>
      <c r="BJ752" s="763" t="b">
        <f>IFERROR(__xludf.DUMMYFUNCTION("""COMPUTED_VALUE"""),TRUE)</f>
        <v>1</v>
      </c>
    </row>
    <row r="753">
      <c r="A753" s="763">
        <f>IFERROR(__xludf.DUMMYFUNCTION("""COMPUTED_VALUE"""),66845.0)</f>
        <v>66845</v>
      </c>
      <c r="B753" s="763">
        <f>IFERROR(__xludf.DUMMYFUNCTION("""COMPUTED_VALUE"""),66845.0)</f>
        <v>66845</v>
      </c>
      <c r="C753" s="763" t="str">
        <f>IFERROR(__xludf.DUMMYFUNCTION("""COMPUTED_VALUE"""),"2025-12-12 12:21:26")</f>
        <v>2025-12-12 12:21:26</v>
      </c>
      <c r="D753" s="763" t="str">
        <f>IFERROR(__xludf.DUMMYFUNCTION("""COMPUTED_VALUE"""),"processing")</f>
        <v>processing</v>
      </c>
      <c r="E753" s="763" t="str">
        <f>IFERROR(__xludf.DUMMYFUNCTION("""COMPUTED_VALUE"""),"CORRA'")</f>
        <v>CORRA'</v>
      </c>
      <c r="F753" s="763" t="str">
        <f>IFERROR(__xludf.DUMMYFUNCTION("""COMPUTED_VALUE"""),"FEDERICA")</f>
        <v>FEDERICA</v>
      </c>
      <c r="G753" s="763" t="str">
        <f>IFERROR(__xludf.DUMMYFUNCTION("""COMPUTED_VALUE"""),"CORRA.FEDERICA@GMAIL.COM")</f>
        <v>CORRA.FEDERICA@GMAIL.COM</v>
      </c>
      <c r="H753" s="763">
        <f>IFERROR(__xludf.DUMMYFUNCTION("""COMPUTED_VALUE"""),3.402942139E9)</f>
        <v>3402942139</v>
      </c>
      <c r="I753" s="763" t="str">
        <f>IFERROR(__xludf.DUMMYFUNCTION("""COMPUTED_VALUE"""),"Milano")</f>
        <v>Milano</v>
      </c>
      <c r="J753" s="763" t="str">
        <f>IFERROR(__xludf.DUMMYFUNCTION("""COMPUTED_VALUE"""),"VIA PECCHIO")</f>
        <v>VIA PECCHIO</v>
      </c>
      <c r="K753" s="763">
        <f>IFERROR(__xludf.DUMMYFUNCTION("""COMPUTED_VALUE"""),20131.0)</f>
        <v>20131</v>
      </c>
      <c r="L753" s="763" t="str">
        <f>IFERROR(__xludf.DUMMYFUNCTION("""COMPUTED_VALUE"""),"Carte di pagamento")</f>
        <v>Carte di pagamento</v>
      </c>
      <c r="M753" s="763" t="str">
        <f>IFERROR(__xludf.DUMMYFUNCTION("""COMPUTED_VALUE"""),"santo05natale")</f>
        <v>santo05natale</v>
      </c>
      <c r="N753" s="763" t="str">
        <f>IFERROR(__xludf.DUMMYFUNCTION("""COMPUTED_VALUE"""),"66845-1765542087")</f>
        <v>66845-1765542087</v>
      </c>
      <c r="O753" s="763">
        <f>IFERROR(__xludf.DUMMYFUNCTION("""COMPUTED_VALUE"""),0.0)</f>
        <v>0</v>
      </c>
      <c r="P753" s="767">
        <f>IFERROR(__xludf.DUMMYFUNCTION("""COMPUTED_VALUE"""),0.8333333333333334)</f>
        <v>0.8333333333</v>
      </c>
      <c r="Q753" s="763" t="str">
        <f>IFERROR(__xludf.DUMMYFUNCTION("""COMPUTED_VALUE"""),"EUR")</f>
        <v>EUR</v>
      </c>
      <c r="R753" s="763">
        <f>IFERROR(__xludf.DUMMYFUNCTION("""COMPUTED_VALUE"""),1378.0)</f>
        <v>1378</v>
      </c>
      <c r="S753" s="763" t="str">
        <f>IFERROR(__xludf.DUMMYFUNCTION("""COMPUTED_VALUE"""),"Festa di Natale 2025 - Festa di natale 2025 SOLO serata 25€")</f>
        <v>Festa di Natale 2025 - Festa di natale 2025 SOLO serata 25€</v>
      </c>
      <c r="T753" s="763"/>
      <c r="U753" s="763"/>
      <c r="V753" s="763">
        <f>IFERROR(__xludf.DUMMYFUNCTION("""COMPUTED_VALUE"""),1.0)</f>
        <v>1</v>
      </c>
      <c r="W753" s="763">
        <f>IFERROR(__xludf.DUMMYFUNCTION("""COMPUTED_VALUE"""),20.0)</f>
        <v>20</v>
      </c>
      <c r="X753" s="763">
        <f>IFERROR(__xludf.DUMMYFUNCTION("""COMPUTED_VALUE"""),20.0)</f>
        <v>20</v>
      </c>
      <c r="Y753" s="763"/>
      <c r="Z753" s="768" t="str">
        <f>IFERROR(__xludf.DUMMYFUNCTION("""COMPUTED_VALUE"""),"https://studio-gem.it/wp-admin/post.php?post=66845&amp;action=edit")</f>
        <v>https://studio-gem.it/wp-admin/post.php?post=66845&amp;action=edit</v>
      </c>
      <c r="AA753" s="763"/>
      <c r="AB753" s="763"/>
      <c r="AC753" s="763"/>
      <c r="AD753" s="763"/>
      <c r="AE753" s="763"/>
      <c r="AF753" s="763"/>
      <c r="AG753" s="763"/>
      <c r="AH753" s="763"/>
      <c r="AI753" s="763"/>
      <c r="AJ753" s="763"/>
      <c r="AK753" s="763"/>
      <c r="AL753" s="763"/>
      <c r="AM753" s="763"/>
      <c r="AN753" s="763"/>
      <c r="AO753" s="763"/>
      <c r="AP753" s="763"/>
      <c r="AQ753" s="763"/>
      <c r="AR753" s="763"/>
      <c r="AS753" s="763"/>
      <c r="AT753" s="763"/>
      <c r="AU753" s="763"/>
      <c r="AV753" s="763"/>
      <c r="AW753" s="763"/>
      <c r="AX753" s="763"/>
      <c r="AY753" s="763"/>
      <c r="AZ753" s="763"/>
      <c r="BA753" s="763"/>
      <c r="BB753" s="763"/>
      <c r="BC753" s="763"/>
      <c r="BD753" s="763"/>
      <c r="BE753" s="763"/>
      <c r="BF753" s="763"/>
      <c r="BG753" s="763" t="b">
        <f>IFERROR(__xludf.DUMMYFUNCTION("""COMPUTED_VALUE"""),TRUE)</f>
        <v>1</v>
      </c>
      <c r="BH753" s="763" t="b">
        <f>IFERROR(__xludf.DUMMYFUNCTION("""COMPUTED_VALUE"""),FALSE)</f>
        <v>0</v>
      </c>
      <c r="BI753" s="763" t="b">
        <f>IFERROR(__xludf.DUMMYFUNCTION("""COMPUTED_VALUE"""),TRUE)</f>
        <v>1</v>
      </c>
      <c r="BJ753" s="763" t="b">
        <f>IFERROR(__xludf.DUMMYFUNCTION("""COMPUTED_VALUE"""),TRUE)</f>
        <v>1</v>
      </c>
    </row>
    <row r="754">
      <c r="A754" s="763">
        <f>IFERROR(__xludf.DUMMYFUNCTION("""COMPUTED_VALUE"""),66848.0)</f>
        <v>66848</v>
      </c>
      <c r="B754" s="763">
        <f>IFERROR(__xludf.DUMMYFUNCTION("""COMPUTED_VALUE"""),66848.0)</f>
        <v>66848</v>
      </c>
      <c r="C754" s="763" t="str">
        <f>IFERROR(__xludf.DUMMYFUNCTION("""COMPUTED_VALUE"""),"2025-12-12 14:39:35")</f>
        <v>2025-12-12 14:39:35</v>
      </c>
      <c r="D754" s="763" t="str">
        <f>IFERROR(__xludf.DUMMYFUNCTION("""COMPUTED_VALUE"""),"completed")</f>
        <v>completed</v>
      </c>
      <c r="E754" s="763" t="str">
        <f>IFERROR(__xludf.DUMMYFUNCTION("""COMPUTED_VALUE"""),"Norma")</f>
        <v>Norma</v>
      </c>
      <c r="F754" s="763" t="str">
        <f>IFERROR(__xludf.DUMMYFUNCTION("""COMPUTED_VALUE"""),"Calcagno")</f>
        <v>Calcagno</v>
      </c>
      <c r="G754" s="763" t="str">
        <f>IFERROR(__xludf.DUMMYFUNCTION("""COMPUTED_VALUE"""),"norma.calcagno97@gmail.com")</f>
        <v>norma.calcagno97@gmail.com</v>
      </c>
      <c r="H754" s="763">
        <f>IFERROR(__xludf.DUMMYFUNCTION("""COMPUTED_VALUE"""),3.389848634E9)</f>
        <v>3389848634</v>
      </c>
      <c r="I754" s="763" t="str">
        <f>IFERROR(__xludf.DUMMYFUNCTION("""COMPUTED_VALUE"""),"Milano")</f>
        <v>Milano</v>
      </c>
      <c r="J754" s="763" t="str">
        <f>IFERROR(__xludf.DUMMYFUNCTION("""COMPUTED_VALUE"""),"Viale Umbria 72")</f>
        <v>Viale Umbria 72</v>
      </c>
      <c r="K754" s="763">
        <f>IFERROR(__xludf.DUMMYFUNCTION("""COMPUTED_VALUE"""),20135.0)</f>
        <v>20135</v>
      </c>
      <c r="L754" s="763" t="str">
        <f>IFERROR(__xludf.DUMMYFUNCTION("""COMPUTED_VALUE"""),"Carte di pagamento")</f>
        <v>Carte di pagamento</v>
      </c>
      <c r="M754" s="763" t="str">
        <f>IFERROR(__xludf.DUMMYFUNCTION("""COMPUTED_VALUE"""),"santo05natale")</f>
        <v>santo05natale</v>
      </c>
      <c r="N754" s="763" t="str">
        <f>IFERROR(__xludf.DUMMYFUNCTION("""COMPUTED_VALUE"""),"66848-1765550376")</f>
        <v>66848-1765550376</v>
      </c>
      <c r="O754" s="763">
        <f>IFERROR(__xludf.DUMMYFUNCTION("""COMPUTED_VALUE"""),0.0)</f>
        <v>0</v>
      </c>
      <c r="P754" s="767">
        <f>IFERROR(__xludf.DUMMYFUNCTION("""COMPUTED_VALUE"""),1.875)</f>
        <v>1.875</v>
      </c>
      <c r="Q754" s="763" t="str">
        <f>IFERROR(__xludf.DUMMYFUNCTION("""COMPUTED_VALUE"""),"EUR")</f>
        <v>EUR</v>
      </c>
      <c r="R754" s="763">
        <f>IFERROR(__xludf.DUMMYFUNCTION("""COMPUTED_VALUE"""),1380.0)</f>
        <v>1380</v>
      </c>
      <c r="S754" s="763" t="str">
        <f>IFERROR(__xludf.DUMMYFUNCTION("""COMPUTED_VALUE"""),"Festa di Natale 2025 - Festa di natale 2025 SOLO serata 25€")</f>
        <v>Festa di Natale 2025 - Festa di natale 2025 SOLO serata 25€</v>
      </c>
      <c r="T754" s="763"/>
      <c r="U754" s="763"/>
      <c r="V754" s="763">
        <f>IFERROR(__xludf.DUMMYFUNCTION("""COMPUTED_VALUE"""),2.0)</f>
        <v>2</v>
      </c>
      <c r="W754" s="763">
        <f>IFERROR(__xludf.DUMMYFUNCTION("""COMPUTED_VALUE"""),22.5)</f>
        <v>22.5</v>
      </c>
      <c r="X754" s="763">
        <f>IFERROR(__xludf.DUMMYFUNCTION("""COMPUTED_VALUE"""),45.0)</f>
        <v>45</v>
      </c>
      <c r="Y754" s="763"/>
      <c r="Z754" s="768" t="str">
        <f>IFERROR(__xludf.DUMMYFUNCTION("""COMPUTED_VALUE"""),"https://studio-gem.it/wp-admin/post.php?post=66848&amp;action=edit")</f>
        <v>https://studio-gem.it/wp-admin/post.php?post=66848&amp;action=edit</v>
      </c>
      <c r="AA754" s="763"/>
      <c r="AB754" s="763"/>
      <c r="AC754" s="763"/>
      <c r="AD754" s="763"/>
      <c r="AE754" s="763"/>
      <c r="AF754" s="763"/>
      <c r="AG754" s="763"/>
      <c r="AH754" s="763"/>
      <c r="AI754" s="763"/>
      <c r="AJ754" s="763"/>
      <c r="AK754" s="763"/>
      <c r="AL754" s="763"/>
      <c r="AM754" s="763"/>
      <c r="AN754" s="763"/>
      <c r="AO754" s="763"/>
      <c r="AP754" s="763"/>
      <c r="AQ754" s="763"/>
      <c r="AR754" s="763"/>
      <c r="AS754" s="763"/>
      <c r="AT754" s="763"/>
      <c r="AU754" s="763"/>
      <c r="AV754" s="763"/>
      <c r="AW754" s="763"/>
      <c r="AX754" s="763"/>
      <c r="AY754" s="763"/>
      <c r="AZ754" s="763"/>
      <c r="BA754" s="763"/>
      <c r="BB754" s="763"/>
      <c r="BC754" s="763"/>
      <c r="BD754" s="763"/>
      <c r="BE754" s="763"/>
      <c r="BF754" s="763"/>
      <c r="BG754" s="763" t="b">
        <f>IFERROR(__xludf.DUMMYFUNCTION("""COMPUTED_VALUE"""),TRUE)</f>
        <v>1</v>
      </c>
      <c r="BH754" s="763" t="b">
        <f>IFERROR(__xludf.DUMMYFUNCTION("""COMPUTED_VALUE"""),FALSE)</f>
        <v>0</v>
      </c>
      <c r="BI754" s="763" t="b">
        <f>IFERROR(__xludf.DUMMYFUNCTION("""COMPUTED_VALUE"""),TRUE)</f>
        <v>1</v>
      </c>
      <c r="BJ754" s="763" t="b">
        <f>IFERROR(__xludf.DUMMYFUNCTION("""COMPUTED_VALUE"""),TRUE)</f>
        <v>1</v>
      </c>
    </row>
    <row r="755">
      <c r="A755" s="763">
        <f>IFERROR(__xludf.DUMMYFUNCTION("""COMPUTED_VALUE"""),66851.0)</f>
        <v>66851</v>
      </c>
      <c r="B755" s="763">
        <f>IFERROR(__xludf.DUMMYFUNCTION("""COMPUTED_VALUE"""),66851.0)</f>
        <v>66851</v>
      </c>
      <c r="C755" s="763" t="str">
        <f>IFERROR(__xludf.DUMMYFUNCTION("""COMPUTED_VALUE"""),"2025-12-12 19:39:33")</f>
        <v>2025-12-12 19:39:33</v>
      </c>
      <c r="D755" s="763" t="str">
        <f>IFERROR(__xludf.DUMMYFUNCTION("""COMPUTED_VALUE"""),"completed")</f>
        <v>completed</v>
      </c>
      <c r="E755" s="763" t="str">
        <f>IFERROR(__xludf.DUMMYFUNCTION("""COMPUTED_VALUE"""),"Lucia")</f>
        <v>Lucia</v>
      </c>
      <c r="F755" s="763" t="str">
        <f>IFERROR(__xludf.DUMMYFUNCTION("""COMPUTED_VALUE"""),"Murè")</f>
        <v>Murè</v>
      </c>
      <c r="G755" s="763" t="str">
        <f>IFERROR(__xludf.DUMMYFUNCTION("""COMPUTED_VALUE"""),"lucia.mure@gmail.com")</f>
        <v>lucia.mure@gmail.com</v>
      </c>
      <c r="H755" s="763">
        <f>IFERROR(__xludf.DUMMYFUNCTION("""COMPUTED_VALUE"""),3.899990797E9)</f>
        <v>3899990797</v>
      </c>
      <c r="I755" s="763" t="str">
        <f>IFERROR(__xludf.DUMMYFUNCTION("""COMPUTED_VALUE"""),"Milano")</f>
        <v>Milano</v>
      </c>
      <c r="J755" s="763" t="str">
        <f>IFERROR(__xludf.DUMMYFUNCTION("""COMPUTED_VALUE"""),"Via Japoco Palma 26")</f>
        <v>Via Japoco Palma 26</v>
      </c>
      <c r="K755" s="763">
        <f>IFERROR(__xludf.DUMMYFUNCTION("""COMPUTED_VALUE"""),20146.0)</f>
        <v>20146</v>
      </c>
      <c r="L755" s="763" t="str">
        <f>IFERROR(__xludf.DUMMYFUNCTION("""COMPUTED_VALUE"""),"Carte di pagamento")</f>
        <v>Carte di pagamento</v>
      </c>
      <c r="M755" s="763" t="str">
        <f>IFERROR(__xludf.DUMMYFUNCTION("""COMPUTED_VALUE"""),"santo05natale")</f>
        <v>santo05natale</v>
      </c>
      <c r="N755" s="763" t="str">
        <f>IFERROR(__xludf.DUMMYFUNCTION("""COMPUTED_VALUE"""),"66851-1765568655")</f>
        <v>66851-1765568655</v>
      </c>
      <c r="O755" s="763">
        <f>IFERROR(__xludf.DUMMYFUNCTION("""COMPUTED_VALUE"""),0.0)</f>
        <v>0</v>
      </c>
      <c r="P755" s="767">
        <f>IFERROR(__xludf.DUMMYFUNCTION("""COMPUTED_VALUE"""),0.8333333333333334)</f>
        <v>0.8333333333</v>
      </c>
      <c r="Q755" s="763" t="str">
        <f>IFERROR(__xludf.DUMMYFUNCTION("""COMPUTED_VALUE"""),"EUR")</f>
        <v>EUR</v>
      </c>
      <c r="R755" s="763">
        <f>IFERROR(__xludf.DUMMYFUNCTION("""COMPUTED_VALUE"""),1384.0)</f>
        <v>1384</v>
      </c>
      <c r="S755" s="763" t="str">
        <f>IFERROR(__xludf.DUMMYFUNCTION("""COMPUTED_VALUE"""),"Festa di Natale 2025 - Festa di natale 2025 SOLO serata 25€")</f>
        <v>Festa di Natale 2025 - Festa di natale 2025 SOLO serata 25€</v>
      </c>
      <c r="T755" s="763"/>
      <c r="U755" s="763"/>
      <c r="V755" s="763">
        <f>IFERROR(__xludf.DUMMYFUNCTION("""COMPUTED_VALUE"""),1.0)</f>
        <v>1</v>
      </c>
      <c r="W755" s="763">
        <f>IFERROR(__xludf.DUMMYFUNCTION("""COMPUTED_VALUE"""),20.0)</f>
        <v>20</v>
      </c>
      <c r="X755" s="763">
        <f>IFERROR(__xludf.DUMMYFUNCTION("""COMPUTED_VALUE"""),20.0)</f>
        <v>20</v>
      </c>
      <c r="Y755" s="763"/>
      <c r="Z755" s="768" t="str">
        <f>IFERROR(__xludf.DUMMYFUNCTION("""COMPUTED_VALUE"""),"https://studio-gem.it/wp-admin/post.php?post=66851&amp;action=edit")</f>
        <v>https://studio-gem.it/wp-admin/post.php?post=66851&amp;action=edit</v>
      </c>
      <c r="AA755" s="763"/>
      <c r="AB755" s="763"/>
      <c r="AC755" s="763"/>
      <c r="AD755" s="763"/>
      <c r="AE755" s="763"/>
      <c r="AF755" s="763"/>
      <c r="AG755" s="763"/>
      <c r="AH755" s="763"/>
      <c r="AI755" s="763"/>
      <c r="AJ755" s="763"/>
      <c r="AK755" s="763"/>
      <c r="AL755" s="763"/>
      <c r="AM755" s="763"/>
      <c r="AN755" s="763"/>
      <c r="AO755" s="763"/>
      <c r="AP755" s="763"/>
      <c r="AQ755" s="763"/>
      <c r="AR755" s="763"/>
      <c r="AS755" s="763"/>
      <c r="AT755" s="763"/>
      <c r="AU755" s="763"/>
      <c r="AV755" s="763"/>
      <c r="AW755" s="763"/>
      <c r="AX755" s="763"/>
      <c r="AY755" s="763"/>
      <c r="AZ755" s="763"/>
      <c r="BA755" s="763"/>
      <c r="BB755" s="763"/>
      <c r="BC755" s="763"/>
      <c r="BD755" s="763"/>
      <c r="BE755" s="763"/>
      <c r="BF755" s="763"/>
      <c r="BG755" s="763" t="b">
        <f>IFERROR(__xludf.DUMMYFUNCTION("""COMPUTED_VALUE"""),TRUE)</f>
        <v>1</v>
      </c>
      <c r="BH755" s="763" t="b">
        <f>IFERROR(__xludf.DUMMYFUNCTION("""COMPUTED_VALUE"""),FALSE)</f>
        <v>0</v>
      </c>
      <c r="BI755" s="763" t="b">
        <f>IFERROR(__xludf.DUMMYFUNCTION("""COMPUTED_VALUE"""),TRUE)</f>
        <v>1</v>
      </c>
      <c r="BJ755" s="763" t="b">
        <f>IFERROR(__xludf.DUMMYFUNCTION("""COMPUTED_VALUE"""),TRUE)</f>
        <v>1</v>
      </c>
    </row>
    <row r="756">
      <c r="A756" s="763">
        <f>IFERROR(__xludf.DUMMYFUNCTION("""COMPUTED_VALUE"""),66854.0)</f>
        <v>66854</v>
      </c>
      <c r="B756" s="763">
        <f>IFERROR(__xludf.DUMMYFUNCTION("""COMPUTED_VALUE"""),66854.0)</f>
        <v>66854</v>
      </c>
      <c r="C756" s="763" t="str">
        <f>IFERROR(__xludf.DUMMYFUNCTION("""COMPUTED_VALUE"""),"2025-12-13 08:09:48")</f>
        <v>2025-12-13 08:09:48</v>
      </c>
      <c r="D756" s="763" t="str">
        <f>IFERROR(__xludf.DUMMYFUNCTION("""COMPUTED_VALUE"""),"failed")</f>
        <v>failed</v>
      </c>
      <c r="E756" s="763" t="str">
        <f>IFERROR(__xludf.DUMMYFUNCTION("""COMPUTED_VALUE"""),"Marco")</f>
        <v>Marco</v>
      </c>
      <c r="F756" s="763" t="str">
        <f>IFERROR(__xludf.DUMMYFUNCTION("""COMPUTED_VALUE"""),"Colpo")</f>
        <v>Colpo</v>
      </c>
      <c r="G756" s="763" t="str">
        <f>IFERROR(__xludf.DUMMYFUNCTION("""COMPUTED_VALUE"""),"marco.colpo@gmail.com")</f>
        <v>marco.colpo@gmail.com</v>
      </c>
      <c r="H756" s="763">
        <f>IFERROR(__xludf.DUMMYFUNCTION("""COMPUTED_VALUE"""),3.476952976E9)</f>
        <v>3476952976</v>
      </c>
      <c r="I756" s="763" t="str">
        <f>IFERROR(__xludf.DUMMYFUNCTION("""COMPUTED_VALUE"""),"Courmayeur")</f>
        <v>Courmayeur</v>
      </c>
      <c r="J756" s="763" t="str">
        <f>IFERROR(__xludf.DUMMYFUNCTION("""COMPUTED_VALUE"""),"Rue des Forges 1A")</f>
        <v>Rue des Forges 1A</v>
      </c>
      <c r="K756" s="763">
        <f>IFERROR(__xludf.DUMMYFUNCTION("""COMPUTED_VALUE"""),11013.0)</f>
        <v>11013</v>
      </c>
      <c r="L756" s="763" t="str">
        <f>IFERROR(__xludf.DUMMYFUNCTION("""COMPUTED_VALUE"""),"Carte di pagamento")</f>
        <v>Carte di pagamento</v>
      </c>
      <c r="M756" s="763"/>
      <c r="N756" s="763"/>
      <c r="O756" s="763">
        <f>IFERROR(__xludf.DUMMYFUNCTION("""COMPUTED_VALUE"""),0.0)</f>
        <v>0</v>
      </c>
      <c r="P756" s="767">
        <f>IFERROR(__xludf.DUMMYFUNCTION("""COMPUTED_VALUE"""),1.0416666666666667)</f>
        <v>1.041666667</v>
      </c>
      <c r="Q756" s="763" t="str">
        <f>IFERROR(__xludf.DUMMYFUNCTION("""COMPUTED_VALUE"""),"EUR")</f>
        <v>EUR</v>
      </c>
      <c r="R756" s="763">
        <f>IFERROR(__xludf.DUMMYFUNCTION("""COMPUTED_VALUE"""),1386.0)</f>
        <v>1386</v>
      </c>
      <c r="S756" s="763" t="str">
        <f>IFERROR(__xludf.DUMMYFUNCTION("""COMPUTED_VALUE"""),"Festa di Natale 2025 - Festa di natale 2025 SOLO serata 25€")</f>
        <v>Festa di Natale 2025 - Festa di natale 2025 SOLO serata 25€</v>
      </c>
      <c r="T756" s="763"/>
      <c r="U756" s="763"/>
      <c r="V756" s="763">
        <f>IFERROR(__xludf.DUMMYFUNCTION("""COMPUTED_VALUE"""),1.0)</f>
        <v>1</v>
      </c>
      <c r="W756" s="763">
        <f>IFERROR(__xludf.DUMMYFUNCTION("""COMPUTED_VALUE"""),25.0)</f>
        <v>25</v>
      </c>
      <c r="X756" s="763">
        <f>IFERROR(__xludf.DUMMYFUNCTION("""COMPUTED_VALUE"""),25.0)</f>
        <v>25</v>
      </c>
      <c r="Y756" s="763"/>
      <c r="Z756" s="768" t="str">
        <f>IFERROR(__xludf.DUMMYFUNCTION("""COMPUTED_VALUE"""),"https://studio-gem.it/wp-admin/post.php?post=66854&amp;action=edit")</f>
        <v>https://studio-gem.it/wp-admin/post.php?post=66854&amp;action=edit</v>
      </c>
      <c r="AA756" s="763"/>
      <c r="AB756" s="763"/>
      <c r="AC756" s="763"/>
      <c r="AD756" s="763"/>
      <c r="AE756" s="763"/>
      <c r="AF756" s="763"/>
      <c r="AG756" s="763"/>
      <c r="AH756" s="763"/>
      <c r="AI756" s="763"/>
      <c r="AJ756" s="763"/>
      <c r="AK756" s="763"/>
      <c r="AL756" s="763"/>
      <c r="AM756" s="763"/>
      <c r="AN756" s="763"/>
      <c r="AO756" s="763"/>
      <c r="AP756" s="763"/>
      <c r="AQ756" s="763"/>
      <c r="AR756" s="763"/>
      <c r="AS756" s="763"/>
      <c r="AT756" s="763"/>
      <c r="AU756" s="763"/>
      <c r="AV756" s="763"/>
      <c r="AW756" s="763"/>
      <c r="AX756" s="763"/>
      <c r="AY756" s="763"/>
      <c r="AZ756" s="763"/>
      <c r="BA756" s="763"/>
      <c r="BB756" s="763"/>
      <c r="BC756" s="763"/>
      <c r="BD756" s="763"/>
      <c r="BE756" s="763"/>
      <c r="BF756" s="763"/>
      <c r="BG756" s="763" t="b">
        <f>IFERROR(__xludf.DUMMYFUNCTION("""COMPUTED_VALUE"""),TRUE)</f>
        <v>1</v>
      </c>
      <c r="BH756" s="763" t="b">
        <f>IFERROR(__xludf.DUMMYFUNCTION("""COMPUTED_VALUE"""),FALSE)</f>
        <v>0</v>
      </c>
      <c r="BI756" s="763" t="b">
        <f>IFERROR(__xludf.DUMMYFUNCTION("""COMPUTED_VALUE"""),TRUE)</f>
        <v>1</v>
      </c>
      <c r="BJ756" s="763" t="b">
        <f>IFERROR(__xludf.DUMMYFUNCTION("""COMPUTED_VALUE"""),TRUE)</f>
        <v>1</v>
      </c>
    </row>
    <row r="757">
      <c r="A757" s="763">
        <f>IFERROR(__xludf.DUMMYFUNCTION("""COMPUTED_VALUE"""),66855.0)</f>
        <v>66855</v>
      </c>
      <c r="B757" s="763">
        <f>IFERROR(__xludf.DUMMYFUNCTION("""COMPUTED_VALUE"""),66855.0)</f>
        <v>66855</v>
      </c>
      <c r="C757" s="763" t="str">
        <f>IFERROR(__xludf.DUMMYFUNCTION("""COMPUTED_VALUE"""),"2025-12-13 08:10:18")</f>
        <v>2025-12-13 08:10:18</v>
      </c>
      <c r="D757" s="763" t="str">
        <f>IFERROR(__xludf.DUMMYFUNCTION("""COMPUTED_VALUE"""),"completed")</f>
        <v>completed</v>
      </c>
      <c r="E757" s="763" t="str">
        <f>IFERROR(__xludf.DUMMYFUNCTION("""COMPUTED_VALUE"""),"Francesco")</f>
        <v>Francesco</v>
      </c>
      <c r="F757" s="763" t="str">
        <f>IFERROR(__xludf.DUMMYFUNCTION("""COMPUTED_VALUE"""),"Zoffoli")</f>
        <v>Zoffoli</v>
      </c>
      <c r="G757" s="763" t="str">
        <f>IFERROR(__xludf.DUMMYFUNCTION("""COMPUTED_VALUE"""),"makers.f@gmail.com")</f>
        <v>makers.f@gmail.com</v>
      </c>
      <c r="H757" s="763">
        <f>IFERROR(__xludf.DUMMYFUNCTION("""COMPUTED_VALUE"""),3.518635362E9)</f>
        <v>3518635362</v>
      </c>
      <c r="I757" s="763" t="str">
        <f>IFERROR(__xludf.DUMMYFUNCTION("""COMPUTED_VALUE"""),"Milano")</f>
        <v>Milano</v>
      </c>
      <c r="J757" s="763" t="str">
        <f>IFERROR(__xludf.DUMMYFUNCTION("""COMPUTED_VALUE"""),"Via edolo 44")</f>
        <v>Via edolo 44</v>
      </c>
      <c r="K757" s="763">
        <f>IFERROR(__xludf.DUMMYFUNCTION("""COMPUTED_VALUE"""),20125.0)</f>
        <v>20125</v>
      </c>
      <c r="L757" s="763" t="str">
        <f>IFERROR(__xludf.DUMMYFUNCTION("""COMPUTED_VALUE"""),"Satispay")</f>
        <v>Satispay</v>
      </c>
      <c r="M757" s="763" t="str">
        <f>IFERROR(__xludf.DUMMYFUNCTION("""COMPUTED_VALUE"""),"nura05natale")</f>
        <v>nura05natale</v>
      </c>
      <c r="N757" s="763" t="str">
        <f>IFERROR(__xludf.DUMMYFUNCTION("""COMPUTED_VALUE"""),"019b16c2-bb20-7d98-8dbe-d8892d3753c2")</f>
        <v>019b16c2-bb20-7d98-8dbe-d8892d3753c2</v>
      </c>
      <c r="O757" s="763">
        <f>IFERROR(__xludf.DUMMYFUNCTION("""COMPUTED_VALUE"""),0.0)</f>
        <v>0</v>
      </c>
      <c r="P757" s="767">
        <f>IFERROR(__xludf.DUMMYFUNCTION("""COMPUTED_VALUE"""),0.8333333333333334)</f>
        <v>0.8333333333</v>
      </c>
      <c r="Q757" s="763" t="str">
        <f>IFERROR(__xludf.DUMMYFUNCTION("""COMPUTED_VALUE"""),"EUR")</f>
        <v>EUR</v>
      </c>
      <c r="R757" s="763">
        <f>IFERROR(__xludf.DUMMYFUNCTION("""COMPUTED_VALUE"""),1387.0)</f>
        <v>1387</v>
      </c>
      <c r="S757" s="763" t="str">
        <f>IFERROR(__xludf.DUMMYFUNCTION("""COMPUTED_VALUE"""),"Festa di Natale 2025 - Festa di natale 2025 SOLO serata 25€")</f>
        <v>Festa di Natale 2025 - Festa di natale 2025 SOLO serata 25€</v>
      </c>
      <c r="T757" s="763"/>
      <c r="U757" s="763"/>
      <c r="V757" s="763">
        <f>IFERROR(__xludf.DUMMYFUNCTION("""COMPUTED_VALUE"""),1.0)</f>
        <v>1</v>
      </c>
      <c r="W757" s="763">
        <f>IFERROR(__xludf.DUMMYFUNCTION("""COMPUTED_VALUE"""),20.0)</f>
        <v>20</v>
      </c>
      <c r="X757" s="763">
        <f>IFERROR(__xludf.DUMMYFUNCTION("""COMPUTED_VALUE"""),20.0)</f>
        <v>20</v>
      </c>
      <c r="Y757" s="763"/>
      <c r="Z757" s="768" t="str">
        <f>IFERROR(__xludf.DUMMYFUNCTION("""COMPUTED_VALUE"""),"https://studio-gem.it/wp-admin/post.php?post=66855&amp;action=edit")</f>
        <v>https://studio-gem.it/wp-admin/post.php?post=66855&amp;action=edit</v>
      </c>
      <c r="AA757" s="763"/>
      <c r="AB757" s="763"/>
      <c r="AC757" s="763"/>
      <c r="AD757" s="763"/>
      <c r="AE757" s="763"/>
      <c r="AF757" s="763"/>
      <c r="AG757" s="763"/>
      <c r="AH757" s="763"/>
      <c r="AI757" s="763"/>
      <c r="AJ757" s="763"/>
      <c r="AK757" s="763"/>
      <c r="AL757" s="763"/>
      <c r="AM757" s="763"/>
      <c r="AN757" s="763"/>
      <c r="AO757" s="763"/>
      <c r="AP757" s="763"/>
      <c r="AQ757" s="763"/>
      <c r="AR757" s="763"/>
      <c r="AS757" s="763"/>
      <c r="AT757" s="763"/>
      <c r="AU757" s="763"/>
      <c r="AV757" s="763"/>
      <c r="AW757" s="763"/>
      <c r="AX757" s="763"/>
      <c r="AY757" s="763"/>
      <c r="AZ757" s="763"/>
      <c r="BA757" s="763"/>
      <c r="BB757" s="763"/>
      <c r="BC757" s="763"/>
      <c r="BD757" s="763"/>
      <c r="BE757" s="763"/>
      <c r="BF757" s="763"/>
      <c r="BG757" s="763" t="b">
        <f>IFERROR(__xludf.DUMMYFUNCTION("""COMPUTED_VALUE"""),TRUE)</f>
        <v>1</v>
      </c>
      <c r="BH757" s="763" t="b">
        <f>IFERROR(__xludf.DUMMYFUNCTION("""COMPUTED_VALUE"""),FALSE)</f>
        <v>0</v>
      </c>
      <c r="BI757" s="763" t="b">
        <f>IFERROR(__xludf.DUMMYFUNCTION("""COMPUTED_VALUE"""),TRUE)</f>
        <v>1</v>
      </c>
      <c r="BJ757" s="763" t="b">
        <f>IFERROR(__xludf.DUMMYFUNCTION("""COMPUTED_VALUE"""),TRUE)</f>
        <v>1</v>
      </c>
    </row>
    <row r="758">
      <c r="A758" s="763">
        <f>IFERROR(__xludf.DUMMYFUNCTION("""COMPUTED_VALUE"""),66858.0)</f>
        <v>66858</v>
      </c>
      <c r="B758" s="763">
        <f>IFERROR(__xludf.DUMMYFUNCTION("""COMPUTED_VALUE"""),66858.0)</f>
        <v>66858</v>
      </c>
      <c r="C758" s="763" t="str">
        <f>IFERROR(__xludf.DUMMYFUNCTION("""COMPUTED_VALUE"""),"2025-12-13 10:14:05")</f>
        <v>2025-12-13 10:14:05</v>
      </c>
      <c r="D758" s="763" t="str">
        <f>IFERROR(__xludf.DUMMYFUNCTION("""COMPUTED_VALUE"""),"processing")</f>
        <v>processing</v>
      </c>
      <c r="E758" s="763" t="str">
        <f>IFERROR(__xludf.DUMMYFUNCTION("""COMPUTED_VALUE"""),"Iphigenie")</f>
        <v>Iphigenie</v>
      </c>
      <c r="F758" s="763" t="str">
        <f>IFERROR(__xludf.DUMMYFUNCTION("""COMPUTED_VALUE"""),"Loukakis")</f>
        <v>Loukakis</v>
      </c>
      <c r="G758" s="763" t="str">
        <f>IFERROR(__xludf.DUMMYFUNCTION("""COMPUTED_VALUE"""),"iphigenieloukakis@gmail.com")</f>
        <v>iphigenieloukakis@gmail.com</v>
      </c>
      <c r="H758" s="763">
        <f>IFERROR(__xludf.DUMMYFUNCTION("""COMPUTED_VALUE"""),6.78937109E8)</f>
        <v>678937109</v>
      </c>
      <c r="I758" s="763" t="str">
        <f>IFERROR(__xludf.DUMMYFUNCTION("""COMPUTED_VALUE"""),"Milano")</f>
        <v>Milano</v>
      </c>
      <c r="J758" s="763" t="str">
        <f>IFERROR(__xludf.DUMMYFUNCTION("""COMPUTED_VALUE"""),"Via Gaudenzio Ferrari 10")</f>
        <v>Via Gaudenzio Ferrari 10</v>
      </c>
      <c r="K758" s="763">
        <f>IFERROR(__xludf.DUMMYFUNCTION("""COMPUTED_VALUE"""),20123.0)</f>
        <v>20123</v>
      </c>
      <c r="L758" s="763" t="str">
        <f>IFERROR(__xludf.DUMMYFUNCTION("""COMPUTED_VALUE"""),"Carte di pagamento")</f>
        <v>Carte di pagamento</v>
      </c>
      <c r="M758" s="763"/>
      <c r="N758" s="763" t="str">
        <f>IFERROR(__xludf.DUMMYFUNCTION("""COMPUTED_VALUE"""),"66858-1765620847")</f>
        <v>66858-1765620847</v>
      </c>
      <c r="O758" s="763">
        <f>IFERROR(__xludf.DUMMYFUNCTION("""COMPUTED_VALUE"""),0.0)</f>
        <v>0</v>
      </c>
      <c r="P758" s="767">
        <f>IFERROR(__xludf.DUMMYFUNCTION("""COMPUTED_VALUE"""),1.0416666666666667)</f>
        <v>1.041666667</v>
      </c>
      <c r="Q758" s="763" t="str">
        <f>IFERROR(__xludf.DUMMYFUNCTION("""COMPUTED_VALUE"""),"EUR")</f>
        <v>EUR</v>
      </c>
      <c r="R758" s="763">
        <f>IFERROR(__xludf.DUMMYFUNCTION("""COMPUTED_VALUE"""),1389.0)</f>
        <v>1389</v>
      </c>
      <c r="S758" s="763" t="str">
        <f>IFERROR(__xludf.DUMMYFUNCTION("""COMPUTED_VALUE"""),"Festa di Natale 2025 - Festa di natale 2025 SOLO serata 25€")</f>
        <v>Festa di Natale 2025 - Festa di natale 2025 SOLO serata 25€</v>
      </c>
      <c r="T758" s="763"/>
      <c r="U758" s="763"/>
      <c r="V758" s="763">
        <f>IFERROR(__xludf.DUMMYFUNCTION("""COMPUTED_VALUE"""),1.0)</f>
        <v>1</v>
      </c>
      <c r="W758" s="763">
        <f>IFERROR(__xludf.DUMMYFUNCTION("""COMPUTED_VALUE"""),25.0)</f>
        <v>25</v>
      </c>
      <c r="X758" s="763">
        <f>IFERROR(__xludf.DUMMYFUNCTION("""COMPUTED_VALUE"""),25.0)</f>
        <v>25</v>
      </c>
      <c r="Y758" s="763"/>
      <c r="Z758" s="768" t="str">
        <f>IFERROR(__xludf.DUMMYFUNCTION("""COMPUTED_VALUE"""),"https://studio-gem.it/wp-admin/post.php?post=66858&amp;action=edit")</f>
        <v>https://studio-gem.it/wp-admin/post.php?post=66858&amp;action=edit</v>
      </c>
      <c r="AA758" s="763"/>
      <c r="AB758" s="763"/>
      <c r="AC758" s="763"/>
      <c r="AD758" s="763"/>
      <c r="AE758" s="763"/>
      <c r="AF758" s="763"/>
      <c r="AG758" s="763"/>
      <c r="AH758" s="763"/>
      <c r="AI758" s="763"/>
      <c r="AJ758" s="763"/>
      <c r="AK758" s="763"/>
      <c r="AL758" s="763"/>
      <c r="AM758" s="763"/>
      <c r="AN758" s="763"/>
      <c r="AO758" s="763"/>
      <c r="AP758" s="763"/>
      <c r="AQ758" s="763"/>
      <c r="AR758" s="763"/>
      <c r="AS758" s="763"/>
      <c r="AT758" s="763"/>
      <c r="AU758" s="763"/>
      <c r="AV758" s="763"/>
      <c r="AW758" s="763"/>
      <c r="AX758" s="763"/>
      <c r="AY758" s="763"/>
      <c r="AZ758" s="763"/>
      <c r="BA758" s="763"/>
      <c r="BB758" s="763"/>
      <c r="BC758" s="763"/>
      <c r="BD758" s="763"/>
      <c r="BE758" s="763"/>
      <c r="BF758" s="763"/>
      <c r="BG758" s="763" t="b">
        <f>IFERROR(__xludf.DUMMYFUNCTION("""COMPUTED_VALUE"""),TRUE)</f>
        <v>1</v>
      </c>
      <c r="BH758" s="763" t="b">
        <f>IFERROR(__xludf.DUMMYFUNCTION("""COMPUTED_VALUE"""),FALSE)</f>
        <v>0</v>
      </c>
      <c r="BI758" s="763" t="b">
        <f>IFERROR(__xludf.DUMMYFUNCTION("""COMPUTED_VALUE"""),TRUE)</f>
        <v>1</v>
      </c>
      <c r="BJ758" s="763" t="b">
        <f>IFERROR(__xludf.DUMMYFUNCTION("""COMPUTED_VALUE"""),TRUE)</f>
        <v>1</v>
      </c>
    </row>
    <row r="759">
      <c r="A759" s="763">
        <f>IFERROR(__xludf.DUMMYFUNCTION("""COMPUTED_VALUE"""),66859.0)</f>
        <v>66859</v>
      </c>
      <c r="B759" s="763">
        <f>IFERROR(__xludf.DUMMYFUNCTION("""COMPUTED_VALUE"""),66859.0)</f>
        <v>66859</v>
      </c>
      <c r="C759" s="763" t="str">
        <f>IFERROR(__xludf.DUMMYFUNCTION("""COMPUTED_VALUE"""),"2025-12-13 11:10:40")</f>
        <v>2025-12-13 11:10:40</v>
      </c>
      <c r="D759" s="763" t="str">
        <f>IFERROR(__xludf.DUMMYFUNCTION("""COMPUTED_VALUE"""),"pending")</f>
        <v>pending</v>
      </c>
      <c r="E759" s="763" t="str">
        <f>IFERROR(__xludf.DUMMYFUNCTION("""COMPUTED_VALUE"""),"Leopoldo")</f>
        <v>Leopoldo</v>
      </c>
      <c r="F759" s="763" t="str">
        <f>IFERROR(__xludf.DUMMYFUNCTION("""COMPUTED_VALUE"""),"della Cha")</f>
        <v>della Cha</v>
      </c>
      <c r="G759" s="763" t="str">
        <f>IFERROR(__xludf.DUMMYFUNCTION("""COMPUTED_VALUE"""),"leopold.delcha@gmail.com")</f>
        <v>leopold.delcha@gmail.com</v>
      </c>
      <c r="H759" s="763">
        <f>IFERROR(__xludf.DUMMYFUNCTION("""COMPUTED_VALUE"""),3.342708618E9)</f>
        <v>3342708618</v>
      </c>
      <c r="I759" s="763" t="str">
        <f>IFERROR(__xludf.DUMMYFUNCTION("""COMPUTED_VALUE"""),"Milano")</f>
        <v>Milano</v>
      </c>
      <c r="J759" s="763" t="str">
        <f>IFERROR(__xludf.DUMMYFUNCTION("""COMPUTED_VALUE"""),"via anelli 6")</f>
        <v>via anelli 6</v>
      </c>
      <c r="K759" s="763">
        <f>IFERROR(__xludf.DUMMYFUNCTION("""COMPUTED_VALUE"""),20122.0)</f>
        <v>20122</v>
      </c>
      <c r="L759" s="763" t="str">
        <f>IFERROR(__xludf.DUMMYFUNCTION("""COMPUTED_VALUE"""),"Carte di pagamento")</f>
        <v>Carte di pagamento</v>
      </c>
      <c r="M759" s="763" t="str">
        <f>IFERROR(__xludf.DUMMYFUNCTION("""COMPUTED_VALUE"""),"joel05natale")</f>
        <v>joel05natale</v>
      </c>
      <c r="N759" s="763"/>
      <c r="O759" s="763">
        <f>IFERROR(__xludf.DUMMYFUNCTION("""COMPUTED_VALUE"""),0.0)</f>
        <v>0</v>
      </c>
      <c r="P759" s="767">
        <f>IFERROR(__xludf.DUMMYFUNCTION("""COMPUTED_VALUE"""),0.8333333333333334)</f>
        <v>0.8333333333</v>
      </c>
      <c r="Q759" s="763" t="str">
        <f>IFERROR(__xludf.DUMMYFUNCTION("""COMPUTED_VALUE"""),"EUR")</f>
        <v>EUR</v>
      </c>
      <c r="R759" s="763">
        <f>IFERROR(__xludf.DUMMYFUNCTION("""COMPUTED_VALUE"""),1390.0)</f>
        <v>1390</v>
      </c>
      <c r="S759" s="763" t="str">
        <f>IFERROR(__xludf.DUMMYFUNCTION("""COMPUTED_VALUE"""),"Festa di Natale 2025 - Festa di natale 2025 SOLO serata 25€")</f>
        <v>Festa di Natale 2025 - Festa di natale 2025 SOLO serata 25€</v>
      </c>
      <c r="T759" s="763"/>
      <c r="U759" s="763"/>
      <c r="V759" s="763">
        <f>IFERROR(__xludf.DUMMYFUNCTION("""COMPUTED_VALUE"""),1.0)</f>
        <v>1</v>
      </c>
      <c r="W759" s="763">
        <f>IFERROR(__xludf.DUMMYFUNCTION("""COMPUTED_VALUE"""),20.0)</f>
        <v>20</v>
      </c>
      <c r="X759" s="763">
        <f>IFERROR(__xludf.DUMMYFUNCTION("""COMPUTED_VALUE"""),20.0)</f>
        <v>20</v>
      </c>
      <c r="Y759" s="763"/>
      <c r="Z759" s="768" t="str">
        <f>IFERROR(__xludf.DUMMYFUNCTION("""COMPUTED_VALUE"""),"https://studio-gem.it/wp-admin/post.php?post=66859&amp;action=edit")</f>
        <v>https://studio-gem.it/wp-admin/post.php?post=66859&amp;action=edit</v>
      </c>
      <c r="AA759" s="763"/>
      <c r="AB759" s="763"/>
      <c r="AC759" s="763"/>
      <c r="AD759" s="763"/>
      <c r="AE759" s="763"/>
      <c r="AF759" s="763"/>
      <c r="AG759" s="763"/>
      <c r="AH759" s="763"/>
      <c r="AI759" s="763"/>
      <c r="AJ759" s="763"/>
      <c r="AK759" s="763"/>
      <c r="AL759" s="763"/>
      <c r="AM759" s="763"/>
      <c r="AN759" s="763"/>
      <c r="AO759" s="763"/>
      <c r="AP759" s="763"/>
      <c r="AQ759" s="763"/>
      <c r="AR759" s="763"/>
      <c r="AS759" s="763"/>
      <c r="AT759" s="763"/>
      <c r="AU759" s="763"/>
      <c r="AV759" s="763"/>
      <c r="AW759" s="763"/>
      <c r="AX759" s="763"/>
      <c r="AY759" s="763"/>
      <c r="AZ759" s="763"/>
      <c r="BA759" s="763"/>
      <c r="BB759" s="763"/>
      <c r="BC759" s="763"/>
      <c r="BD759" s="763"/>
      <c r="BE759" s="763"/>
      <c r="BF759" s="763"/>
      <c r="BG759" s="763" t="b">
        <f>IFERROR(__xludf.DUMMYFUNCTION("""COMPUTED_VALUE"""),TRUE)</f>
        <v>1</v>
      </c>
      <c r="BH759" s="763" t="b">
        <f>IFERROR(__xludf.DUMMYFUNCTION("""COMPUTED_VALUE"""),FALSE)</f>
        <v>0</v>
      </c>
      <c r="BI759" s="763" t="b">
        <f>IFERROR(__xludf.DUMMYFUNCTION("""COMPUTED_VALUE"""),TRUE)</f>
        <v>1</v>
      </c>
      <c r="BJ759" s="763" t="b">
        <f>IFERROR(__xludf.DUMMYFUNCTION("""COMPUTED_VALUE"""),TRUE)</f>
        <v>1</v>
      </c>
    </row>
    <row r="760">
      <c r="A760" s="763">
        <f>IFERROR(__xludf.DUMMYFUNCTION("""COMPUTED_VALUE"""),66860.0)</f>
        <v>66860</v>
      </c>
      <c r="B760" s="763">
        <f>IFERROR(__xludf.DUMMYFUNCTION("""COMPUTED_VALUE"""),66860.0)</f>
        <v>66860</v>
      </c>
      <c r="C760" s="763" t="str">
        <f>IFERROR(__xludf.DUMMYFUNCTION("""COMPUTED_VALUE"""),"2025-12-13 13:52:28")</f>
        <v>2025-12-13 13:52:28</v>
      </c>
      <c r="D760" s="763" t="str">
        <f>IFERROR(__xludf.DUMMYFUNCTION("""COMPUTED_VALUE"""),"completed")</f>
        <v>completed</v>
      </c>
      <c r="E760" s="763" t="str">
        <f>IFERROR(__xludf.DUMMYFUNCTION("""COMPUTED_VALUE"""),"Sara")</f>
        <v>Sara</v>
      </c>
      <c r="F760" s="763" t="str">
        <f>IFERROR(__xludf.DUMMYFUNCTION("""COMPUTED_VALUE"""),"Farhanghi")</f>
        <v>Farhanghi</v>
      </c>
      <c r="G760" s="763" t="str">
        <f>IFERROR(__xludf.DUMMYFUNCTION("""COMPUTED_VALUE"""),"Farhanghisara@gmail.com")</f>
        <v>Farhanghisara@gmail.com</v>
      </c>
      <c r="H760" s="763">
        <f>IFERROR(__xludf.DUMMYFUNCTION("""COMPUTED_VALUE"""),3.337404711E9)</f>
        <v>3337404711</v>
      </c>
      <c r="I760" s="763" t="str">
        <f>IFERROR(__xludf.DUMMYFUNCTION("""COMPUTED_VALUE"""),"Olgiate Olona")</f>
        <v>Olgiate Olona</v>
      </c>
      <c r="J760" s="763" t="str">
        <f>IFERROR(__xludf.DUMMYFUNCTION("""COMPUTED_VALUE"""),"Via Sondrio 26")</f>
        <v>Via Sondrio 26</v>
      </c>
      <c r="K760" s="763">
        <f>IFERROR(__xludf.DUMMYFUNCTION("""COMPUTED_VALUE"""),21057.0)</f>
        <v>21057</v>
      </c>
      <c r="L760" s="763" t="str">
        <f>IFERROR(__xludf.DUMMYFUNCTION("""COMPUTED_VALUE"""),"Apple Pay")</f>
        <v>Apple Pay</v>
      </c>
      <c r="M760" s="763" t="str">
        <f>IFERROR(__xludf.DUMMYFUNCTION("""COMPUTED_VALUE"""),"joel05natale")</f>
        <v>joel05natale</v>
      </c>
      <c r="N760" s="763" t="str">
        <f>IFERROR(__xludf.DUMMYFUNCTION("""COMPUTED_VALUE"""),"66860-1765633950")</f>
        <v>66860-1765633950</v>
      </c>
      <c r="O760" s="763">
        <f>IFERROR(__xludf.DUMMYFUNCTION("""COMPUTED_VALUE"""),0.0)</f>
        <v>0</v>
      </c>
      <c r="P760" s="767">
        <f>IFERROR(__xludf.DUMMYFUNCTION("""COMPUTED_VALUE"""),0.8333333333333334)</f>
        <v>0.8333333333</v>
      </c>
      <c r="Q760" s="763" t="str">
        <f>IFERROR(__xludf.DUMMYFUNCTION("""COMPUTED_VALUE"""),"EUR")</f>
        <v>EUR</v>
      </c>
      <c r="R760" s="763">
        <f>IFERROR(__xludf.DUMMYFUNCTION("""COMPUTED_VALUE"""),1392.0)</f>
        <v>1392</v>
      </c>
      <c r="S760" s="763" t="str">
        <f>IFERROR(__xludf.DUMMYFUNCTION("""COMPUTED_VALUE"""),"Festa di Natale 2025 - Festa di natale 2025 SOLO serata 25€")</f>
        <v>Festa di Natale 2025 - Festa di natale 2025 SOLO serata 25€</v>
      </c>
      <c r="T760" s="763"/>
      <c r="U760" s="763"/>
      <c r="V760" s="763">
        <f>IFERROR(__xludf.DUMMYFUNCTION("""COMPUTED_VALUE"""),1.0)</f>
        <v>1</v>
      </c>
      <c r="W760" s="763">
        <f>IFERROR(__xludf.DUMMYFUNCTION("""COMPUTED_VALUE"""),20.0)</f>
        <v>20</v>
      </c>
      <c r="X760" s="763">
        <f>IFERROR(__xludf.DUMMYFUNCTION("""COMPUTED_VALUE"""),20.0)</f>
        <v>20</v>
      </c>
      <c r="Y760" s="763"/>
      <c r="Z760" s="768" t="str">
        <f>IFERROR(__xludf.DUMMYFUNCTION("""COMPUTED_VALUE"""),"https://studio-gem.it/wp-admin/post.php?post=66860&amp;action=edit")</f>
        <v>https://studio-gem.it/wp-admin/post.php?post=66860&amp;action=edit</v>
      </c>
      <c r="AA760" s="763"/>
      <c r="AB760" s="763"/>
      <c r="AC760" s="763"/>
      <c r="AD760" s="763"/>
      <c r="AE760" s="763"/>
      <c r="AF760" s="763"/>
      <c r="AG760" s="763"/>
      <c r="AH760" s="763"/>
      <c r="AI760" s="763"/>
      <c r="AJ760" s="763"/>
      <c r="AK760" s="763"/>
      <c r="AL760" s="763"/>
      <c r="AM760" s="763"/>
      <c r="AN760" s="763"/>
      <c r="AO760" s="763"/>
      <c r="AP760" s="763"/>
      <c r="AQ760" s="763"/>
      <c r="AR760" s="763"/>
      <c r="AS760" s="763"/>
      <c r="AT760" s="763"/>
      <c r="AU760" s="763"/>
      <c r="AV760" s="763"/>
      <c r="AW760" s="763"/>
      <c r="AX760" s="763"/>
      <c r="AY760" s="763"/>
      <c r="AZ760" s="763"/>
      <c r="BA760" s="763"/>
      <c r="BB760" s="763"/>
      <c r="BC760" s="763"/>
      <c r="BD760" s="763"/>
      <c r="BE760" s="763"/>
      <c r="BF760" s="763"/>
      <c r="BG760" s="763" t="b">
        <f>IFERROR(__xludf.DUMMYFUNCTION("""COMPUTED_VALUE"""),TRUE)</f>
        <v>1</v>
      </c>
      <c r="BH760" s="763" t="b">
        <f>IFERROR(__xludf.DUMMYFUNCTION("""COMPUTED_VALUE"""),FALSE)</f>
        <v>0</v>
      </c>
      <c r="BI760" s="763" t="b">
        <f>IFERROR(__xludf.DUMMYFUNCTION("""COMPUTED_VALUE"""),TRUE)</f>
        <v>1</v>
      </c>
      <c r="BJ760" s="763" t="b">
        <f>IFERROR(__xludf.DUMMYFUNCTION("""COMPUTED_VALUE"""),TRUE)</f>
        <v>1</v>
      </c>
    </row>
    <row r="761">
      <c r="A761" s="763">
        <f>IFERROR(__xludf.DUMMYFUNCTION("""COMPUTED_VALUE"""),66862.0)</f>
        <v>66862</v>
      </c>
      <c r="B761" s="763">
        <f>IFERROR(__xludf.DUMMYFUNCTION("""COMPUTED_VALUE"""),66862.0)</f>
        <v>66862</v>
      </c>
      <c r="C761" s="763" t="str">
        <f>IFERROR(__xludf.DUMMYFUNCTION("""COMPUTED_VALUE"""),"2025-12-13 14:25:35")</f>
        <v>2025-12-13 14:25:35</v>
      </c>
      <c r="D761" s="763" t="str">
        <f>IFERROR(__xludf.DUMMYFUNCTION("""COMPUTED_VALUE"""),"completed")</f>
        <v>completed</v>
      </c>
      <c r="E761" s="763" t="str">
        <f>IFERROR(__xludf.DUMMYFUNCTION("""COMPUTED_VALUE"""),"Nicoletta")</f>
        <v>Nicoletta</v>
      </c>
      <c r="F761" s="763" t="str">
        <f>IFERROR(__xludf.DUMMYFUNCTION("""COMPUTED_VALUE"""),"Filella")</f>
        <v>Filella</v>
      </c>
      <c r="G761" s="763" t="str">
        <f>IFERROR(__xludf.DUMMYFUNCTION("""COMPUTED_VALUE"""),"nicoletta.filella@gmail.com")</f>
        <v>nicoletta.filella@gmail.com</v>
      </c>
      <c r="H761" s="763">
        <f>IFERROR(__xludf.DUMMYFUNCTION("""COMPUTED_VALUE"""),3.442233424E9)</f>
        <v>3442233424</v>
      </c>
      <c r="I761" s="763" t="str">
        <f>IFERROR(__xludf.DUMMYFUNCTION("""COMPUTED_VALUE"""),"Milano")</f>
        <v>Milano</v>
      </c>
      <c r="J761" s="763" t="str">
        <f>IFERROR(__xludf.DUMMYFUNCTION("""COMPUTED_VALUE"""),"Ripa di porta ticinese 127/B")</f>
        <v>Ripa di porta ticinese 127/B</v>
      </c>
      <c r="K761" s="763">
        <f>IFERROR(__xludf.DUMMYFUNCTION("""COMPUTED_VALUE"""),20143.0)</f>
        <v>20143</v>
      </c>
      <c r="L761" s="763" t="str">
        <f>IFERROR(__xludf.DUMMYFUNCTION("""COMPUTED_VALUE"""),"Apple Pay")</f>
        <v>Apple Pay</v>
      </c>
      <c r="M761" s="763" t="str">
        <f>IFERROR(__xludf.DUMMYFUNCTION("""COMPUTED_VALUE"""),"santo05natale")</f>
        <v>santo05natale</v>
      </c>
      <c r="N761" s="763" t="str">
        <f>IFERROR(__xludf.DUMMYFUNCTION("""COMPUTED_VALUE"""),"66862-1765635936")</f>
        <v>66862-1765635936</v>
      </c>
      <c r="O761" s="763">
        <f>IFERROR(__xludf.DUMMYFUNCTION("""COMPUTED_VALUE"""),0.0)</f>
        <v>0</v>
      </c>
      <c r="P761" s="767">
        <f>IFERROR(__xludf.DUMMYFUNCTION("""COMPUTED_VALUE"""),0.8333333333333334)</f>
        <v>0.8333333333</v>
      </c>
      <c r="Q761" s="763" t="str">
        <f>IFERROR(__xludf.DUMMYFUNCTION("""COMPUTED_VALUE"""),"EUR")</f>
        <v>EUR</v>
      </c>
      <c r="R761" s="763">
        <f>IFERROR(__xludf.DUMMYFUNCTION("""COMPUTED_VALUE"""),1394.0)</f>
        <v>1394</v>
      </c>
      <c r="S761" s="763" t="str">
        <f>IFERROR(__xludf.DUMMYFUNCTION("""COMPUTED_VALUE"""),"Festa di Natale 2025 - Festa di natale 2025 SOLO serata 25€")</f>
        <v>Festa di Natale 2025 - Festa di natale 2025 SOLO serata 25€</v>
      </c>
      <c r="T761" s="763"/>
      <c r="U761" s="763"/>
      <c r="V761" s="763">
        <f>IFERROR(__xludf.DUMMYFUNCTION("""COMPUTED_VALUE"""),1.0)</f>
        <v>1</v>
      </c>
      <c r="W761" s="763">
        <f>IFERROR(__xludf.DUMMYFUNCTION("""COMPUTED_VALUE"""),20.0)</f>
        <v>20</v>
      </c>
      <c r="X761" s="763">
        <f>IFERROR(__xludf.DUMMYFUNCTION("""COMPUTED_VALUE"""),20.0)</f>
        <v>20</v>
      </c>
      <c r="Y761" s="763"/>
      <c r="Z761" s="768" t="str">
        <f>IFERROR(__xludf.DUMMYFUNCTION("""COMPUTED_VALUE"""),"https://studio-gem.it/wp-admin/post.php?post=66862&amp;action=edit")</f>
        <v>https://studio-gem.it/wp-admin/post.php?post=66862&amp;action=edit</v>
      </c>
      <c r="AA761" s="763"/>
      <c r="AB761" s="763"/>
      <c r="AC761" s="763"/>
      <c r="AD761" s="763"/>
      <c r="AE761" s="763"/>
      <c r="AF761" s="763"/>
      <c r="AG761" s="763"/>
      <c r="AH761" s="763"/>
      <c r="AI761" s="763"/>
      <c r="AJ761" s="763"/>
      <c r="AK761" s="763"/>
      <c r="AL761" s="763"/>
      <c r="AM761" s="763"/>
      <c r="AN761" s="763"/>
      <c r="AO761" s="763"/>
      <c r="AP761" s="763"/>
      <c r="AQ761" s="763"/>
      <c r="AR761" s="763"/>
      <c r="AS761" s="763"/>
      <c r="AT761" s="763"/>
      <c r="AU761" s="763"/>
      <c r="AV761" s="763"/>
      <c r="AW761" s="763"/>
      <c r="AX761" s="763"/>
      <c r="AY761" s="763"/>
      <c r="AZ761" s="763"/>
      <c r="BA761" s="763"/>
      <c r="BB761" s="763"/>
      <c r="BC761" s="763"/>
      <c r="BD761" s="763"/>
      <c r="BE761" s="763"/>
      <c r="BF761" s="763"/>
      <c r="BG761" s="763" t="b">
        <f>IFERROR(__xludf.DUMMYFUNCTION("""COMPUTED_VALUE"""),TRUE)</f>
        <v>1</v>
      </c>
      <c r="BH761" s="763" t="b">
        <f>IFERROR(__xludf.DUMMYFUNCTION("""COMPUTED_VALUE"""),FALSE)</f>
        <v>0</v>
      </c>
      <c r="BI761" s="763" t="b">
        <f>IFERROR(__xludf.DUMMYFUNCTION("""COMPUTED_VALUE"""),TRUE)</f>
        <v>1</v>
      </c>
      <c r="BJ761" s="763" t="b">
        <f>IFERROR(__xludf.DUMMYFUNCTION("""COMPUTED_VALUE"""),TRUE)</f>
        <v>1</v>
      </c>
    </row>
    <row r="762">
      <c r="A762" s="763">
        <f>IFERROR(__xludf.DUMMYFUNCTION("""COMPUTED_VALUE"""),66864.0)</f>
        <v>66864</v>
      </c>
      <c r="B762" s="763">
        <f>IFERROR(__xludf.DUMMYFUNCTION("""COMPUTED_VALUE"""),66864.0)</f>
        <v>66864</v>
      </c>
      <c r="C762" s="763" t="str">
        <f>IFERROR(__xludf.DUMMYFUNCTION("""COMPUTED_VALUE"""),"2025-12-13 14:25:55")</f>
        <v>2025-12-13 14:25:55</v>
      </c>
      <c r="D762" s="763" t="str">
        <f>IFERROR(__xludf.DUMMYFUNCTION("""COMPUTED_VALUE"""),"processing")</f>
        <v>processing</v>
      </c>
      <c r="E762" s="763" t="str">
        <f>IFERROR(__xludf.DUMMYFUNCTION("""COMPUTED_VALUE"""),"Daniela")</f>
        <v>Daniela</v>
      </c>
      <c r="F762" s="763" t="str">
        <f>IFERROR(__xludf.DUMMYFUNCTION("""COMPUTED_VALUE"""),"Patelli")</f>
        <v>Patelli</v>
      </c>
      <c r="G762" s="763" t="str">
        <f>IFERROR(__xludf.DUMMYFUNCTION("""COMPUTED_VALUE"""),"Patelli@icscopernico.it")</f>
        <v>Patelli@icscopernico.it</v>
      </c>
      <c r="H762" s="763">
        <f>IFERROR(__xludf.DUMMYFUNCTION("""COMPUTED_VALUE"""),3.485793406E9)</f>
        <v>3485793406</v>
      </c>
      <c r="I762" s="763" t="str">
        <f>IFERROR(__xludf.DUMMYFUNCTION("""COMPUTED_VALUE"""),"Corsico")</f>
        <v>Corsico</v>
      </c>
      <c r="J762" s="763" t="str">
        <f>IFERROR(__xludf.DUMMYFUNCTION("""COMPUTED_VALUE"""),"Montessori 12")</f>
        <v>Montessori 12</v>
      </c>
      <c r="K762" s="763">
        <f>IFERROR(__xludf.DUMMYFUNCTION("""COMPUTED_VALUE"""),20094.0)</f>
        <v>20094</v>
      </c>
      <c r="L762" s="763" t="str">
        <f>IFERROR(__xludf.DUMMYFUNCTION("""COMPUTED_VALUE"""),"Carte di pagamento")</f>
        <v>Carte di pagamento</v>
      </c>
      <c r="M762" s="763" t="str">
        <f>IFERROR(__xludf.DUMMYFUNCTION("""COMPUTED_VALUE"""),"santo05natale")</f>
        <v>santo05natale</v>
      </c>
      <c r="N762" s="763" t="str">
        <f>IFERROR(__xludf.DUMMYFUNCTION("""COMPUTED_VALUE"""),"66864-1765635956")</f>
        <v>66864-1765635956</v>
      </c>
      <c r="O762" s="763">
        <f>IFERROR(__xludf.DUMMYFUNCTION("""COMPUTED_VALUE"""),0.0)</f>
        <v>0</v>
      </c>
      <c r="P762" s="767">
        <f>IFERROR(__xludf.DUMMYFUNCTION("""COMPUTED_VALUE"""),0.8333333333333334)</f>
        <v>0.8333333333</v>
      </c>
      <c r="Q762" s="763" t="str">
        <f>IFERROR(__xludf.DUMMYFUNCTION("""COMPUTED_VALUE"""),"EUR")</f>
        <v>EUR</v>
      </c>
      <c r="R762" s="763">
        <f>IFERROR(__xludf.DUMMYFUNCTION("""COMPUTED_VALUE"""),1396.0)</f>
        <v>1396</v>
      </c>
      <c r="S762" s="763" t="str">
        <f>IFERROR(__xludf.DUMMYFUNCTION("""COMPUTED_VALUE"""),"Festa di Natale 2025 - Festa di natale 2025 SOLO serata 25€")</f>
        <v>Festa di Natale 2025 - Festa di natale 2025 SOLO serata 25€</v>
      </c>
      <c r="T762" s="763"/>
      <c r="U762" s="763"/>
      <c r="V762" s="763">
        <f>IFERROR(__xludf.DUMMYFUNCTION("""COMPUTED_VALUE"""),1.0)</f>
        <v>1</v>
      </c>
      <c r="W762" s="763">
        <f>IFERROR(__xludf.DUMMYFUNCTION("""COMPUTED_VALUE"""),20.0)</f>
        <v>20</v>
      </c>
      <c r="X762" s="763">
        <f>IFERROR(__xludf.DUMMYFUNCTION("""COMPUTED_VALUE"""),20.0)</f>
        <v>20</v>
      </c>
      <c r="Y762" s="763"/>
      <c r="Z762" s="768" t="str">
        <f>IFERROR(__xludf.DUMMYFUNCTION("""COMPUTED_VALUE"""),"https://studio-gem.it/wp-admin/post.php?post=66864&amp;action=edit")</f>
        <v>https://studio-gem.it/wp-admin/post.php?post=66864&amp;action=edit</v>
      </c>
      <c r="AA762" s="763"/>
      <c r="AB762" s="763"/>
      <c r="AC762" s="763"/>
      <c r="AD762" s="763"/>
      <c r="AE762" s="763"/>
      <c r="AF762" s="763"/>
      <c r="AG762" s="763"/>
      <c r="AH762" s="763"/>
      <c r="AI762" s="763"/>
      <c r="AJ762" s="763"/>
      <c r="AK762" s="763"/>
      <c r="AL762" s="763"/>
      <c r="AM762" s="763"/>
      <c r="AN762" s="763"/>
      <c r="AO762" s="763"/>
      <c r="AP762" s="763"/>
      <c r="AQ762" s="763"/>
      <c r="AR762" s="763"/>
      <c r="AS762" s="763"/>
      <c r="AT762" s="763"/>
      <c r="AU762" s="763"/>
      <c r="AV762" s="763"/>
      <c r="AW762" s="763"/>
      <c r="AX762" s="763"/>
      <c r="AY762" s="763"/>
      <c r="AZ762" s="763"/>
      <c r="BA762" s="763"/>
      <c r="BB762" s="763"/>
      <c r="BC762" s="763"/>
      <c r="BD762" s="763"/>
      <c r="BE762" s="763"/>
      <c r="BF762" s="763"/>
      <c r="BG762" s="763" t="b">
        <f>IFERROR(__xludf.DUMMYFUNCTION("""COMPUTED_VALUE"""),TRUE)</f>
        <v>1</v>
      </c>
      <c r="BH762" s="763" t="b">
        <f>IFERROR(__xludf.DUMMYFUNCTION("""COMPUTED_VALUE"""),FALSE)</f>
        <v>0</v>
      </c>
      <c r="BI762" s="763" t="b">
        <f>IFERROR(__xludf.DUMMYFUNCTION("""COMPUTED_VALUE"""),TRUE)</f>
        <v>1</v>
      </c>
      <c r="BJ762" s="763" t="b">
        <f>IFERROR(__xludf.DUMMYFUNCTION("""COMPUTED_VALUE"""),TRUE)</f>
        <v>1</v>
      </c>
    </row>
    <row r="763">
      <c r="A763" s="763">
        <f>IFERROR(__xludf.DUMMYFUNCTION("""COMPUTED_VALUE"""),66865.0)</f>
        <v>66865</v>
      </c>
      <c r="B763" s="763">
        <f>IFERROR(__xludf.DUMMYFUNCTION("""COMPUTED_VALUE"""),66865.0)</f>
        <v>66865</v>
      </c>
      <c r="C763" s="763" t="str">
        <f>IFERROR(__xludf.DUMMYFUNCTION("""COMPUTED_VALUE"""),"2025-12-13 16:42:13")</f>
        <v>2025-12-13 16:42:13</v>
      </c>
      <c r="D763" s="763" t="str">
        <f>IFERROR(__xludf.DUMMYFUNCTION("""COMPUTED_VALUE"""),"processing")</f>
        <v>processing</v>
      </c>
      <c r="E763" s="763" t="str">
        <f>IFERROR(__xludf.DUMMYFUNCTION("""COMPUTED_VALUE"""),"Fady")</f>
        <v>Fady</v>
      </c>
      <c r="F763" s="763" t="str">
        <f>IFERROR(__xludf.DUMMYFUNCTION("""COMPUTED_VALUE"""),"Eldalil")</f>
        <v>Eldalil</v>
      </c>
      <c r="G763" s="763" t="str">
        <f>IFERROR(__xludf.DUMMYFUNCTION("""COMPUTED_VALUE"""),"fady.eldalil95@gmail.com")</f>
        <v>fady.eldalil95@gmail.com</v>
      </c>
      <c r="H763" s="763">
        <f>IFERROR(__xludf.DUMMYFUNCTION("""COMPUTED_VALUE"""),3.899855586E9)</f>
        <v>3899855586</v>
      </c>
      <c r="I763" s="763" t="str">
        <f>IFERROR(__xludf.DUMMYFUNCTION("""COMPUTED_VALUE"""),"Milano")</f>
        <v>Milano</v>
      </c>
      <c r="J763" s="763" t="str">
        <f>IFERROR(__xludf.DUMMYFUNCTION("""COMPUTED_VALUE"""),"Viale Jenner 14")</f>
        <v>Viale Jenner 14</v>
      </c>
      <c r="K763" s="763">
        <f>IFERROR(__xludf.DUMMYFUNCTION("""COMPUTED_VALUE"""),20159.0)</f>
        <v>20159</v>
      </c>
      <c r="L763" s="763" t="str">
        <f>IFERROR(__xludf.DUMMYFUNCTION("""COMPUTED_VALUE"""),"Carte di pagamento")</f>
        <v>Carte di pagamento</v>
      </c>
      <c r="M763" s="763" t="str">
        <f>IFERROR(__xludf.DUMMYFUNCTION("""COMPUTED_VALUE"""),"joel05natale")</f>
        <v>joel05natale</v>
      </c>
      <c r="N763" s="763" t="str">
        <f>IFERROR(__xludf.DUMMYFUNCTION("""COMPUTED_VALUE"""),"66865-1765644134")</f>
        <v>66865-1765644134</v>
      </c>
      <c r="O763" s="763">
        <f>IFERROR(__xludf.DUMMYFUNCTION("""COMPUTED_VALUE"""),0.0)</f>
        <v>0</v>
      </c>
      <c r="P763" s="767">
        <f>IFERROR(__xludf.DUMMYFUNCTION("""COMPUTED_VALUE"""),0.8333333333333334)</f>
        <v>0.8333333333</v>
      </c>
      <c r="Q763" s="763" t="str">
        <f>IFERROR(__xludf.DUMMYFUNCTION("""COMPUTED_VALUE"""),"EUR")</f>
        <v>EUR</v>
      </c>
      <c r="R763" s="763">
        <f>IFERROR(__xludf.DUMMYFUNCTION("""COMPUTED_VALUE"""),1398.0)</f>
        <v>1398</v>
      </c>
      <c r="S763" s="763" t="str">
        <f>IFERROR(__xludf.DUMMYFUNCTION("""COMPUTED_VALUE"""),"Festa di Natale 2025 - Festa di natale 2025 SOLO serata 25€")</f>
        <v>Festa di Natale 2025 - Festa di natale 2025 SOLO serata 25€</v>
      </c>
      <c r="T763" s="763"/>
      <c r="U763" s="763"/>
      <c r="V763" s="763">
        <f>IFERROR(__xludf.DUMMYFUNCTION("""COMPUTED_VALUE"""),1.0)</f>
        <v>1</v>
      </c>
      <c r="W763" s="763">
        <f>IFERROR(__xludf.DUMMYFUNCTION("""COMPUTED_VALUE"""),20.0)</f>
        <v>20</v>
      </c>
      <c r="X763" s="763">
        <f>IFERROR(__xludf.DUMMYFUNCTION("""COMPUTED_VALUE"""),20.0)</f>
        <v>20</v>
      </c>
      <c r="Y763" s="763"/>
      <c r="Z763" s="768" t="str">
        <f>IFERROR(__xludf.DUMMYFUNCTION("""COMPUTED_VALUE"""),"https://studio-gem.it/wp-admin/post.php?post=66865&amp;action=edit")</f>
        <v>https://studio-gem.it/wp-admin/post.php?post=66865&amp;action=edit</v>
      </c>
      <c r="AA763" s="763"/>
      <c r="AB763" s="763"/>
      <c r="AC763" s="763"/>
      <c r="AD763" s="763"/>
      <c r="AE763" s="763"/>
      <c r="AF763" s="763"/>
      <c r="AG763" s="763"/>
      <c r="AH763" s="763"/>
      <c r="AI763" s="763"/>
      <c r="AJ763" s="763"/>
      <c r="AK763" s="763"/>
      <c r="AL763" s="763"/>
      <c r="AM763" s="763"/>
      <c r="AN763" s="763"/>
      <c r="AO763" s="763"/>
      <c r="AP763" s="763"/>
      <c r="AQ763" s="763"/>
      <c r="AR763" s="763"/>
      <c r="AS763" s="763"/>
      <c r="AT763" s="763"/>
      <c r="AU763" s="763"/>
      <c r="AV763" s="763"/>
      <c r="AW763" s="763"/>
      <c r="AX763" s="763"/>
      <c r="AY763" s="763"/>
      <c r="AZ763" s="763"/>
      <c r="BA763" s="763"/>
      <c r="BB763" s="763"/>
      <c r="BC763" s="763"/>
      <c r="BD763" s="763"/>
      <c r="BE763" s="763"/>
      <c r="BF763" s="763"/>
      <c r="BG763" s="763" t="b">
        <f>IFERROR(__xludf.DUMMYFUNCTION("""COMPUTED_VALUE"""),TRUE)</f>
        <v>1</v>
      </c>
      <c r="BH763" s="763" t="b">
        <f>IFERROR(__xludf.DUMMYFUNCTION("""COMPUTED_VALUE"""),FALSE)</f>
        <v>0</v>
      </c>
      <c r="BI763" s="763" t="b">
        <f>IFERROR(__xludf.DUMMYFUNCTION("""COMPUTED_VALUE"""),TRUE)</f>
        <v>1</v>
      </c>
      <c r="BJ763" s="763" t="b">
        <f>IFERROR(__xludf.DUMMYFUNCTION("""COMPUTED_VALUE"""),TRUE)</f>
        <v>1</v>
      </c>
    </row>
    <row r="764">
      <c r="A764" s="763">
        <f>IFERROR(__xludf.DUMMYFUNCTION("""COMPUTED_VALUE"""),66866.0)</f>
        <v>66866</v>
      </c>
      <c r="B764" s="763">
        <f>IFERROR(__xludf.DUMMYFUNCTION("""COMPUTED_VALUE"""),66866.0)</f>
        <v>66866</v>
      </c>
      <c r="C764" s="763" t="str">
        <f>IFERROR(__xludf.DUMMYFUNCTION("""COMPUTED_VALUE"""),"2025-12-13 17:44:39")</f>
        <v>2025-12-13 17:44:39</v>
      </c>
      <c r="D764" s="763" t="str">
        <f>IFERROR(__xludf.DUMMYFUNCTION("""COMPUTED_VALUE"""),"completed")</f>
        <v>completed</v>
      </c>
      <c r="E764" s="763" t="str">
        <f>IFERROR(__xludf.DUMMYFUNCTION("""COMPUTED_VALUE"""),"Angelo")</f>
        <v>Angelo</v>
      </c>
      <c r="F764" s="763" t="str">
        <f>IFERROR(__xludf.DUMMYFUNCTION("""COMPUTED_VALUE"""),"Pinto")</f>
        <v>Pinto</v>
      </c>
      <c r="G764" s="763" t="str">
        <f>IFERROR(__xludf.DUMMYFUNCTION("""COMPUTED_VALUE"""),"angelopinto72@gmail.com")</f>
        <v>angelopinto72@gmail.com</v>
      </c>
      <c r="H764" s="763">
        <f>IFERROR(__xludf.DUMMYFUNCTION("""COMPUTED_VALUE"""),3.291815129E9)</f>
        <v>3291815129</v>
      </c>
      <c r="I764" s="763" t="str">
        <f>IFERROR(__xludf.DUMMYFUNCTION("""COMPUTED_VALUE"""),"Milano")</f>
        <v>Milano</v>
      </c>
      <c r="J764" s="763" t="str">
        <f>IFERROR(__xludf.DUMMYFUNCTION("""COMPUTED_VALUE"""),"Via Cavalcabò 10")</f>
        <v>Via Cavalcabò 10</v>
      </c>
      <c r="K764" s="763">
        <f>IFERROR(__xludf.DUMMYFUNCTION("""COMPUTED_VALUE"""),20146.0)</f>
        <v>20146</v>
      </c>
      <c r="L764" s="763" t="str">
        <f>IFERROR(__xludf.DUMMYFUNCTION("""COMPUTED_VALUE"""),"Carte di pagamento")</f>
        <v>Carte di pagamento</v>
      </c>
      <c r="M764" s="763" t="str">
        <f>IFERROR(__xludf.DUMMYFUNCTION("""COMPUTED_VALUE"""),"estefany05natale")</f>
        <v>estefany05natale</v>
      </c>
      <c r="N764" s="763" t="str">
        <f>IFERROR(__xludf.DUMMYFUNCTION("""COMPUTED_VALUE"""),"66866-1765647881")</f>
        <v>66866-1765647881</v>
      </c>
      <c r="O764" s="763">
        <f>IFERROR(__xludf.DUMMYFUNCTION("""COMPUTED_VALUE"""),0.0)</f>
        <v>0</v>
      </c>
      <c r="P764" s="767">
        <f>IFERROR(__xludf.DUMMYFUNCTION("""COMPUTED_VALUE"""),0.8333333333333334)</f>
        <v>0.8333333333</v>
      </c>
      <c r="Q764" s="763" t="str">
        <f>IFERROR(__xludf.DUMMYFUNCTION("""COMPUTED_VALUE"""),"EUR")</f>
        <v>EUR</v>
      </c>
      <c r="R764" s="763">
        <f>IFERROR(__xludf.DUMMYFUNCTION("""COMPUTED_VALUE"""),1400.0)</f>
        <v>1400</v>
      </c>
      <c r="S764" s="763" t="str">
        <f>IFERROR(__xludf.DUMMYFUNCTION("""COMPUTED_VALUE"""),"Festa di Natale 2025 - Festa di natale 2025 SOLO serata 25€")</f>
        <v>Festa di Natale 2025 - Festa di natale 2025 SOLO serata 25€</v>
      </c>
      <c r="T764" s="763"/>
      <c r="U764" s="763"/>
      <c r="V764" s="763">
        <f>IFERROR(__xludf.DUMMYFUNCTION("""COMPUTED_VALUE"""),1.0)</f>
        <v>1</v>
      </c>
      <c r="W764" s="763">
        <f>IFERROR(__xludf.DUMMYFUNCTION("""COMPUTED_VALUE"""),20.0)</f>
        <v>20</v>
      </c>
      <c r="X764" s="763">
        <f>IFERROR(__xludf.DUMMYFUNCTION("""COMPUTED_VALUE"""),20.0)</f>
        <v>20</v>
      </c>
      <c r="Y764" s="763"/>
      <c r="Z764" s="768" t="str">
        <f>IFERROR(__xludf.DUMMYFUNCTION("""COMPUTED_VALUE"""),"https://studio-gem.it/wp-admin/post.php?post=66866&amp;action=edit")</f>
        <v>https://studio-gem.it/wp-admin/post.php?post=66866&amp;action=edit</v>
      </c>
      <c r="AA764" s="763"/>
      <c r="AB764" s="763"/>
      <c r="AC764" s="763"/>
      <c r="AD764" s="763"/>
      <c r="AE764" s="763"/>
      <c r="AF764" s="763"/>
      <c r="AG764" s="763"/>
      <c r="AH764" s="763"/>
      <c r="AI764" s="763"/>
      <c r="AJ764" s="763"/>
      <c r="AK764" s="763"/>
      <c r="AL764" s="763"/>
      <c r="AM764" s="763"/>
      <c r="AN764" s="763"/>
      <c r="AO764" s="763"/>
      <c r="AP764" s="763"/>
      <c r="AQ764" s="763"/>
      <c r="AR764" s="763"/>
      <c r="AS764" s="763"/>
      <c r="AT764" s="763"/>
      <c r="AU764" s="763"/>
      <c r="AV764" s="763"/>
      <c r="AW764" s="763"/>
      <c r="AX764" s="763"/>
      <c r="AY764" s="763"/>
      <c r="AZ764" s="763"/>
      <c r="BA764" s="763"/>
      <c r="BB764" s="763"/>
      <c r="BC764" s="763"/>
      <c r="BD764" s="763"/>
      <c r="BE764" s="763"/>
      <c r="BF764" s="763"/>
      <c r="BG764" s="763" t="b">
        <f>IFERROR(__xludf.DUMMYFUNCTION("""COMPUTED_VALUE"""),TRUE)</f>
        <v>1</v>
      </c>
      <c r="BH764" s="763" t="b">
        <f>IFERROR(__xludf.DUMMYFUNCTION("""COMPUTED_VALUE"""),FALSE)</f>
        <v>0</v>
      </c>
      <c r="BI764" s="763" t="b">
        <f>IFERROR(__xludf.DUMMYFUNCTION("""COMPUTED_VALUE"""),TRUE)</f>
        <v>1</v>
      </c>
      <c r="BJ764" s="763" t="b">
        <f>IFERROR(__xludf.DUMMYFUNCTION("""COMPUTED_VALUE"""),TRUE)</f>
        <v>1</v>
      </c>
    </row>
    <row r="765">
      <c r="A765" s="763">
        <f>IFERROR(__xludf.DUMMYFUNCTION("""COMPUTED_VALUE"""),66868.0)</f>
        <v>66868</v>
      </c>
      <c r="B765" s="763">
        <f>IFERROR(__xludf.DUMMYFUNCTION("""COMPUTED_VALUE"""),66868.0)</f>
        <v>66868</v>
      </c>
      <c r="C765" s="763" t="str">
        <f>IFERROR(__xludf.DUMMYFUNCTION("""COMPUTED_VALUE"""),"2025-12-13 20:38:13")</f>
        <v>2025-12-13 20:38:13</v>
      </c>
      <c r="D765" s="763" t="str">
        <f>IFERROR(__xludf.DUMMYFUNCTION("""COMPUTED_VALUE"""),"processing")</f>
        <v>processing</v>
      </c>
      <c r="E765" s="763" t="str">
        <f>IFERROR(__xludf.DUMMYFUNCTION("""COMPUTED_VALUE"""),"GERMAN")</f>
        <v>GERMAN</v>
      </c>
      <c r="F765" s="763" t="str">
        <f>IFERROR(__xludf.DUMMYFUNCTION("""COMPUTED_VALUE"""),"PREATONI")</f>
        <v>PREATONI</v>
      </c>
      <c r="G765" s="763" t="str">
        <f>IFERROR(__xludf.DUMMYFUNCTION("""COMPUTED_VALUE"""),"german.preatoni@gmail.com")</f>
        <v>german.preatoni@gmail.com</v>
      </c>
      <c r="H765" s="763">
        <f>IFERROR(__xludf.DUMMYFUNCTION("""COMPUTED_VALUE"""),3.392488815E9)</f>
        <v>3392488815</v>
      </c>
      <c r="I765" s="763" t="str">
        <f>IFERROR(__xludf.DUMMYFUNCTION("""COMPUTED_VALUE"""),"Milano")</f>
        <v>Milano</v>
      </c>
      <c r="J765" s="763" t="str">
        <f>IFERROR(__xludf.DUMMYFUNCTION("""COMPUTED_VALUE"""),"VIA PASSO DI BRIZIO 8")</f>
        <v>VIA PASSO DI BRIZIO 8</v>
      </c>
      <c r="K765" s="763">
        <f>IFERROR(__xludf.DUMMYFUNCTION("""COMPUTED_VALUE"""),20148.0)</f>
        <v>20148</v>
      </c>
      <c r="L765" s="763" t="str">
        <f>IFERROR(__xludf.DUMMYFUNCTION("""COMPUTED_VALUE"""),"Carte di pagamento")</f>
        <v>Carte di pagamento</v>
      </c>
      <c r="M765" s="763" t="str">
        <f>IFERROR(__xludf.DUMMYFUNCTION("""COMPUTED_VALUE"""),"alexandra05natale")</f>
        <v>alexandra05natale</v>
      </c>
      <c r="N765" s="763" t="str">
        <f>IFERROR(__xludf.DUMMYFUNCTION("""COMPUTED_VALUE"""),"66868-1765658294")</f>
        <v>66868-1765658294</v>
      </c>
      <c r="O765" s="763">
        <f>IFERROR(__xludf.DUMMYFUNCTION("""COMPUTED_VALUE"""),0.0)</f>
        <v>0</v>
      </c>
      <c r="P765" s="767">
        <f>IFERROR(__xludf.DUMMYFUNCTION("""COMPUTED_VALUE"""),0.8333333333333334)</f>
        <v>0.8333333333</v>
      </c>
      <c r="Q765" s="763" t="str">
        <f>IFERROR(__xludf.DUMMYFUNCTION("""COMPUTED_VALUE"""),"EUR")</f>
        <v>EUR</v>
      </c>
      <c r="R765" s="763">
        <f>IFERROR(__xludf.DUMMYFUNCTION("""COMPUTED_VALUE"""),1402.0)</f>
        <v>1402</v>
      </c>
      <c r="S765" s="763" t="str">
        <f>IFERROR(__xludf.DUMMYFUNCTION("""COMPUTED_VALUE"""),"Festa di Natale 2025 - Festa di natale 2025 SOLO serata 25€")</f>
        <v>Festa di Natale 2025 - Festa di natale 2025 SOLO serata 25€</v>
      </c>
      <c r="T765" s="763"/>
      <c r="U765" s="763"/>
      <c r="V765" s="763">
        <f>IFERROR(__xludf.DUMMYFUNCTION("""COMPUTED_VALUE"""),1.0)</f>
        <v>1</v>
      </c>
      <c r="W765" s="763">
        <f>IFERROR(__xludf.DUMMYFUNCTION("""COMPUTED_VALUE"""),20.0)</f>
        <v>20</v>
      </c>
      <c r="X765" s="763">
        <f>IFERROR(__xludf.DUMMYFUNCTION("""COMPUTED_VALUE"""),20.0)</f>
        <v>20</v>
      </c>
      <c r="Y765" s="763"/>
      <c r="Z765" s="768" t="str">
        <f>IFERROR(__xludf.DUMMYFUNCTION("""COMPUTED_VALUE"""),"https://studio-gem.it/wp-admin/post.php?post=66868&amp;action=edit")</f>
        <v>https://studio-gem.it/wp-admin/post.php?post=66868&amp;action=edit</v>
      </c>
      <c r="AA765" s="763"/>
      <c r="AB765" s="763"/>
      <c r="AC765" s="763"/>
      <c r="AD765" s="763"/>
      <c r="AE765" s="763"/>
      <c r="AF765" s="763"/>
      <c r="AG765" s="763"/>
      <c r="AH765" s="763"/>
      <c r="AI765" s="763"/>
      <c r="AJ765" s="763"/>
      <c r="AK765" s="763"/>
      <c r="AL765" s="763"/>
      <c r="AM765" s="763"/>
      <c r="AN765" s="763"/>
      <c r="AO765" s="763"/>
      <c r="AP765" s="763"/>
      <c r="AQ765" s="763"/>
      <c r="AR765" s="763"/>
      <c r="AS765" s="763"/>
      <c r="AT765" s="763"/>
      <c r="AU765" s="763"/>
      <c r="AV765" s="763"/>
      <c r="AW765" s="763"/>
      <c r="AX765" s="763"/>
      <c r="AY765" s="763"/>
      <c r="AZ765" s="763"/>
      <c r="BA765" s="763"/>
      <c r="BB765" s="763"/>
      <c r="BC765" s="763"/>
      <c r="BD765" s="763"/>
      <c r="BE765" s="763"/>
      <c r="BF765" s="763"/>
      <c r="BG765" s="763" t="b">
        <f>IFERROR(__xludf.DUMMYFUNCTION("""COMPUTED_VALUE"""),FALSE)</f>
        <v>0</v>
      </c>
      <c r="BH765" s="763" t="b">
        <f>IFERROR(__xludf.DUMMYFUNCTION("""COMPUTED_VALUE"""),FALSE)</f>
        <v>0</v>
      </c>
      <c r="BI765" s="763" t="b">
        <f>IFERROR(__xludf.DUMMYFUNCTION("""COMPUTED_VALUE"""),TRUE)</f>
        <v>1</v>
      </c>
      <c r="BJ765" s="763" t="b">
        <f>IFERROR(__xludf.DUMMYFUNCTION("""COMPUTED_VALUE"""),TRUE)</f>
        <v>1</v>
      </c>
    </row>
    <row r="766">
      <c r="A766" s="763">
        <f>IFERROR(__xludf.DUMMYFUNCTION("""COMPUTED_VALUE"""),66869.0)</f>
        <v>66869</v>
      </c>
      <c r="B766" s="763">
        <f>IFERROR(__xludf.DUMMYFUNCTION("""COMPUTED_VALUE"""),66869.0)</f>
        <v>66869</v>
      </c>
      <c r="C766" s="763" t="str">
        <f>IFERROR(__xludf.DUMMYFUNCTION("""COMPUTED_VALUE"""),"2025-12-13 23:05:34")</f>
        <v>2025-12-13 23:05:34</v>
      </c>
      <c r="D766" s="763" t="str">
        <f>IFERROR(__xludf.DUMMYFUNCTION("""COMPUTED_VALUE"""),"pending")</f>
        <v>pending</v>
      </c>
      <c r="E766" s="763" t="str">
        <f>IFERROR(__xludf.DUMMYFUNCTION("""COMPUTED_VALUE"""),"cansel")</f>
        <v>cansel</v>
      </c>
      <c r="F766" s="763" t="str">
        <f>IFERROR(__xludf.DUMMYFUNCTION("""COMPUTED_VALUE"""),"gürsoy")</f>
        <v>gürsoy</v>
      </c>
      <c r="G766" s="763" t="str">
        <f>IFERROR(__xludf.DUMMYFUNCTION("""COMPUTED_VALUE"""),"canselgrsoy@gmail.com")</f>
        <v>canselgrsoy@gmail.com</v>
      </c>
      <c r="H766" s="763">
        <f>IFERROR(__xludf.DUMMYFUNCTION("""COMPUTED_VALUE"""),3.518902806E9)</f>
        <v>3518902806</v>
      </c>
      <c r="I766" s="763" t="str">
        <f>IFERROR(__xludf.DUMMYFUNCTION("""COMPUTED_VALUE"""),"milano")</f>
        <v>milano</v>
      </c>
      <c r="J766" s="763" t="str">
        <f>IFERROR(__xludf.DUMMYFUNCTION("""COMPUTED_VALUE"""),"carlo alberto pisani dossi")</f>
        <v>carlo alberto pisani dossi</v>
      </c>
      <c r="K766" s="763">
        <f>IFERROR(__xludf.DUMMYFUNCTION("""COMPUTED_VALUE"""),20134.0)</f>
        <v>20134</v>
      </c>
      <c r="L766" s="763" t="str">
        <f>IFERROR(__xludf.DUMMYFUNCTION("""COMPUTED_VALUE"""),"Scalapay - Pay in 3")</f>
        <v>Scalapay - Pay in 3</v>
      </c>
      <c r="M766" s="763" t="str">
        <f>IFERROR(__xludf.DUMMYFUNCTION("""COMPUTED_VALUE"""),"alexandra05natale")</f>
        <v>alexandra05natale</v>
      </c>
      <c r="N766" s="763"/>
      <c r="O766" s="763">
        <f>IFERROR(__xludf.DUMMYFUNCTION("""COMPUTED_VALUE"""),0.0)</f>
        <v>0</v>
      </c>
      <c r="P766" s="767">
        <f>IFERROR(__xludf.DUMMYFUNCTION("""COMPUTED_VALUE"""),0.8333333333333334)</f>
        <v>0.8333333333</v>
      </c>
      <c r="Q766" s="763" t="str">
        <f>IFERROR(__xludf.DUMMYFUNCTION("""COMPUTED_VALUE"""),"EUR")</f>
        <v>EUR</v>
      </c>
      <c r="R766" s="763">
        <f>IFERROR(__xludf.DUMMYFUNCTION("""COMPUTED_VALUE"""),1404.0)</f>
        <v>1404</v>
      </c>
      <c r="S766" s="763" t="str">
        <f>IFERROR(__xludf.DUMMYFUNCTION("""COMPUTED_VALUE"""),"Festa di Natale 2025 - Festa di natale 2025 SOLO serata 25€")</f>
        <v>Festa di Natale 2025 - Festa di natale 2025 SOLO serata 25€</v>
      </c>
      <c r="T766" s="763"/>
      <c r="U766" s="763"/>
      <c r="V766" s="763">
        <f>IFERROR(__xludf.DUMMYFUNCTION("""COMPUTED_VALUE"""),1.0)</f>
        <v>1</v>
      </c>
      <c r="W766" s="763">
        <f>IFERROR(__xludf.DUMMYFUNCTION("""COMPUTED_VALUE"""),20.0)</f>
        <v>20</v>
      </c>
      <c r="X766" s="763">
        <f>IFERROR(__xludf.DUMMYFUNCTION("""COMPUTED_VALUE"""),20.0)</f>
        <v>20</v>
      </c>
      <c r="Y766" s="763"/>
      <c r="Z766" s="768" t="str">
        <f>IFERROR(__xludf.DUMMYFUNCTION("""COMPUTED_VALUE"""),"https://studio-gem.it/wp-admin/post.php?post=66869&amp;action=edit")</f>
        <v>https://studio-gem.it/wp-admin/post.php?post=66869&amp;action=edit</v>
      </c>
      <c r="AA766" s="763"/>
      <c r="AB766" s="763"/>
      <c r="AC766" s="763"/>
      <c r="AD766" s="763"/>
      <c r="AE766" s="763"/>
      <c r="AF766" s="763"/>
      <c r="AG766" s="763"/>
      <c r="AH766" s="763"/>
      <c r="AI766" s="763"/>
      <c r="AJ766" s="763"/>
      <c r="AK766" s="763"/>
      <c r="AL766" s="763"/>
      <c r="AM766" s="763"/>
      <c r="AN766" s="763"/>
      <c r="AO766" s="763"/>
      <c r="AP766" s="763"/>
      <c r="AQ766" s="763"/>
      <c r="AR766" s="763"/>
      <c r="AS766" s="763"/>
      <c r="AT766" s="763"/>
      <c r="AU766" s="763"/>
      <c r="AV766" s="763"/>
      <c r="AW766" s="763"/>
      <c r="AX766" s="763"/>
      <c r="AY766" s="763"/>
      <c r="AZ766" s="763"/>
      <c r="BA766" s="763"/>
      <c r="BB766" s="763"/>
      <c r="BC766" s="763"/>
      <c r="BD766" s="763"/>
      <c r="BE766" s="763"/>
      <c r="BF766" s="763"/>
      <c r="BG766" s="763" t="b">
        <f>IFERROR(__xludf.DUMMYFUNCTION("""COMPUTED_VALUE"""),FALSE)</f>
        <v>0</v>
      </c>
      <c r="BH766" s="763" t="b">
        <f>IFERROR(__xludf.DUMMYFUNCTION("""COMPUTED_VALUE"""),FALSE)</f>
        <v>0</v>
      </c>
      <c r="BI766" s="763" t="b">
        <f>IFERROR(__xludf.DUMMYFUNCTION("""COMPUTED_VALUE"""),FALSE)</f>
        <v>0</v>
      </c>
      <c r="BJ766" s="763" t="b">
        <f>IFERROR(__xludf.DUMMYFUNCTION("""COMPUTED_VALUE"""),FALSE)</f>
        <v>0</v>
      </c>
    </row>
    <row r="767">
      <c r="A767" s="763">
        <f>IFERROR(__xludf.DUMMYFUNCTION("""COMPUTED_VALUE"""),66869.0)</f>
        <v>66869</v>
      </c>
      <c r="B767" s="763">
        <f>IFERROR(__xludf.DUMMYFUNCTION("""COMPUTED_VALUE"""),66869.0)</f>
        <v>66869</v>
      </c>
      <c r="C767" s="763" t="str">
        <f>IFERROR(__xludf.DUMMYFUNCTION("""COMPUTED_VALUE"""),"2025-12-13 23:05:34")</f>
        <v>2025-12-13 23:05:34</v>
      </c>
      <c r="D767" s="763" t="str">
        <f>IFERROR(__xludf.DUMMYFUNCTION("""COMPUTED_VALUE"""),"completed")</f>
        <v>completed</v>
      </c>
      <c r="E767" s="763" t="str">
        <f>IFERROR(__xludf.DUMMYFUNCTION("""COMPUTED_VALUE"""),"cansel")</f>
        <v>cansel</v>
      </c>
      <c r="F767" s="763" t="str">
        <f>IFERROR(__xludf.DUMMYFUNCTION("""COMPUTED_VALUE"""),"gürsoy")</f>
        <v>gürsoy</v>
      </c>
      <c r="G767" s="763" t="str">
        <f>IFERROR(__xludf.DUMMYFUNCTION("""COMPUTED_VALUE"""),"canselgrsoy@gmail.com")</f>
        <v>canselgrsoy@gmail.com</v>
      </c>
      <c r="H767" s="763">
        <f>IFERROR(__xludf.DUMMYFUNCTION("""COMPUTED_VALUE"""),3.518902806E9)</f>
        <v>3518902806</v>
      </c>
      <c r="I767" s="763" t="str">
        <f>IFERROR(__xludf.DUMMYFUNCTION("""COMPUTED_VALUE"""),"milano")</f>
        <v>milano</v>
      </c>
      <c r="J767" s="763" t="str">
        <f>IFERROR(__xludf.DUMMYFUNCTION("""COMPUTED_VALUE"""),"carlo alberto pisani dossi")</f>
        <v>carlo alberto pisani dossi</v>
      </c>
      <c r="K767" s="763">
        <f>IFERROR(__xludf.DUMMYFUNCTION("""COMPUTED_VALUE"""),20134.0)</f>
        <v>20134</v>
      </c>
      <c r="L767" s="763" t="str">
        <f>IFERROR(__xludf.DUMMYFUNCTION("""COMPUTED_VALUE"""),"Google Pay")</f>
        <v>Google Pay</v>
      </c>
      <c r="M767" s="763" t="str">
        <f>IFERROR(__xludf.DUMMYFUNCTION("""COMPUTED_VALUE"""),"alexandra05natale")</f>
        <v>alexandra05natale</v>
      </c>
      <c r="N767" s="763" t="str">
        <f>IFERROR(__xludf.DUMMYFUNCTION("""COMPUTED_VALUE"""),"66869-1765667708")</f>
        <v>66869-1765667708</v>
      </c>
      <c r="O767" s="763">
        <f>IFERROR(__xludf.DUMMYFUNCTION("""COMPUTED_VALUE"""),0.0)</f>
        <v>0</v>
      </c>
      <c r="P767" s="767">
        <f>IFERROR(__xludf.DUMMYFUNCTION("""COMPUTED_VALUE"""),0.8333333333333334)</f>
        <v>0.8333333333</v>
      </c>
      <c r="Q767" s="763" t="str">
        <f>IFERROR(__xludf.DUMMYFUNCTION("""COMPUTED_VALUE"""),"EUR")</f>
        <v>EUR</v>
      </c>
      <c r="R767" s="763">
        <f>IFERROR(__xludf.DUMMYFUNCTION("""COMPUTED_VALUE"""),1406.0)</f>
        <v>1406</v>
      </c>
      <c r="S767" s="763" t="str">
        <f>IFERROR(__xludf.DUMMYFUNCTION("""COMPUTED_VALUE"""),"Festa di Natale 2025 - Festa di natale 2025 SOLO serata 25€")</f>
        <v>Festa di Natale 2025 - Festa di natale 2025 SOLO serata 25€</v>
      </c>
      <c r="T767" s="763"/>
      <c r="U767" s="763"/>
      <c r="V767" s="763">
        <f>IFERROR(__xludf.DUMMYFUNCTION("""COMPUTED_VALUE"""),1.0)</f>
        <v>1</v>
      </c>
      <c r="W767" s="763">
        <f>IFERROR(__xludf.DUMMYFUNCTION("""COMPUTED_VALUE"""),20.0)</f>
        <v>20</v>
      </c>
      <c r="X767" s="763">
        <f>IFERROR(__xludf.DUMMYFUNCTION("""COMPUTED_VALUE"""),20.0)</f>
        <v>20</v>
      </c>
      <c r="Y767" s="763"/>
      <c r="Z767" s="768" t="str">
        <f>IFERROR(__xludf.DUMMYFUNCTION("""COMPUTED_VALUE"""),"https://studio-gem.it/wp-admin/post.php?post=66869&amp;action=edit")</f>
        <v>https://studio-gem.it/wp-admin/post.php?post=66869&amp;action=edit</v>
      </c>
      <c r="AA767" s="763"/>
      <c r="AB767" s="763"/>
      <c r="AC767" s="763"/>
      <c r="AD767" s="763"/>
      <c r="AE767" s="763"/>
      <c r="AF767" s="763"/>
      <c r="AG767" s="763"/>
      <c r="AH767" s="763"/>
      <c r="AI767" s="763"/>
      <c r="AJ767" s="763"/>
      <c r="AK767" s="763"/>
      <c r="AL767" s="763"/>
      <c r="AM767" s="763"/>
      <c r="AN767" s="763"/>
      <c r="AO767" s="763"/>
      <c r="AP767" s="763"/>
      <c r="AQ767" s="763"/>
      <c r="AR767" s="763"/>
      <c r="AS767" s="763"/>
      <c r="AT767" s="763"/>
      <c r="AU767" s="763"/>
      <c r="AV767" s="763"/>
      <c r="AW767" s="763"/>
      <c r="AX767" s="763"/>
      <c r="AY767" s="763"/>
      <c r="AZ767" s="763"/>
      <c r="BA767" s="763"/>
      <c r="BB767" s="763"/>
      <c r="BC767" s="763"/>
      <c r="BD767" s="763"/>
      <c r="BE767" s="763"/>
      <c r="BF767" s="763"/>
      <c r="BG767" s="763" t="b">
        <f>IFERROR(__xludf.DUMMYFUNCTION("""COMPUTED_VALUE"""),TRUE)</f>
        <v>1</v>
      </c>
      <c r="BH767" s="763" t="b">
        <f>IFERROR(__xludf.DUMMYFUNCTION("""COMPUTED_VALUE"""),FALSE)</f>
        <v>0</v>
      </c>
      <c r="BI767" s="763" t="b">
        <f>IFERROR(__xludf.DUMMYFUNCTION("""COMPUTED_VALUE"""),TRUE)</f>
        <v>1</v>
      </c>
      <c r="BJ767" s="763" t="b">
        <f>IFERROR(__xludf.DUMMYFUNCTION("""COMPUTED_VALUE"""),TRUE)</f>
        <v>1</v>
      </c>
    </row>
    <row r="768">
      <c r="A768" s="763">
        <f>IFERROR(__xludf.DUMMYFUNCTION("""COMPUTED_VALUE"""),66871.0)</f>
        <v>66871</v>
      </c>
      <c r="B768" s="763">
        <f>IFERROR(__xludf.DUMMYFUNCTION("""COMPUTED_VALUE"""),66871.0)</f>
        <v>66871</v>
      </c>
      <c r="C768" s="763" t="str">
        <f>IFERROR(__xludf.DUMMYFUNCTION("""COMPUTED_VALUE"""),"2025-12-14 00:25:31")</f>
        <v>2025-12-14 00:25:31</v>
      </c>
      <c r="D768" s="763" t="str">
        <f>IFERROR(__xludf.DUMMYFUNCTION("""COMPUTED_VALUE"""),"completed")</f>
        <v>completed</v>
      </c>
      <c r="E768" s="763" t="str">
        <f>IFERROR(__xludf.DUMMYFUNCTION("""COMPUTED_VALUE"""),"Glenda Marie")</f>
        <v>Glenda Marie</v>
      </c>
      <c r="F768" s="763" t="str">
        <f>IFERROR(__xludf.DUMMYFUNCTION("""COMPUTED_VALUE"""),"Galzote")</f>
        <v>Galzote</v>
      </c>
      <c r="G768" s="763" t="str">
        <f>IFERROR(__xludf.DUMMYFUNCTION("""COMPUTED_VALUE"""),"glendamariegalzote@gmail.com")</f>
        <v>glendamariegalzote@gmail.com</v>
      </c>
      <c r="H768" s="763">
        <f>IFERROR(__xludf.DUMMYFUNCTION("""COMPUTED_VALUE"""),3.343813915E9)</f>
        <v>3343813915</v>
      </c>
      <c r="I768" s="763" t="str">
        <f>IFERROR(__xludf.DUMMYFUNCTION("""COMPUTED_VALUE"""),"Milano")</f>
        <v>Milano</v>
      </c>
      <c r="J768" s="763" t="str">
        <f>IFERROR(__xludf.DUMMYFUNCTION("""COMPUTED_VALUE"""),"Via Giovanni Pierluigi da Palestrina 20")</f>
        <v>Via Giovanni Pierluigi da Palestrina 20</v>
      </c>
      <c r="K768" s="763">
        <f>IFERROR(__xludf.DUMMYFUNCTION("""COMPUTED_VALUE"""),20124.0)</f>
        <v>20124</v>
      </c>
      <c r="L768" s="763" t="str">
        <f>IFERROR(__xludf.DUMMYFUNCTION("""COMPUTED_VALUE"""),"Apple Pay")</f>
        <v>Apple Pay</v>
      </c>
      <c r="M768" s="763" t="str">
        <f>IFERROR(__xludf.DUMMYFUNCTION("""COMPUTED_VALUE"""),"santo05natale")</f>
        <v>santo05natale</v>
      </c>
      <c r="N768" s="763" t="str">
        <f>IFERROR(__xludf.DUMMYFUNCTION("""COMPUTED_VALUE"""),"66871-1765671933")</f>
        <v>66871-1765671933</v>
      </c>
      <c r="O768" s="763">
        <f>IFERROR(__xludf.DUMMYFUNCTION("""COMPUTED_VALUE"""),0.0)</f>
        <v>0</v>
      </c>
      <c r="P768" s="767">
        <f>IFERROR(__xludf.DUMMYFUNCTION("""COMPUTED_VALUE"""),0.8333333333333334)</f>
        <v>0.8333333333</v>
      </c>
      <c r="Q768" s="763" t="str">
        <f>IFERROR(__xludf.DUMMYFUNCTION("""COMPUTED_VALUE"""),"EUR")</f>
        <v>EUR</v>
      </c>
      <c r="R768" s="763">
        <f>IFERROR(__xludf.DUMMYFUNCTION("""COMPUTED_VALUE"""),1408.0)</f>
        <v>1408</v>
      </c>
      <c r="S768" s="763" t="str">
        <f>IFERROR(__xludf.DUMMYFUNCTION("""COMPUTED_VALUE"""),"Festa di Natale 2025 - Festa di natale 2025 SOLO serata 25€")</f>
        <v>Festa di Natale 2025 - Festa di natale 2025 SOLO serata 25€</v>
      </c>
      <c r="T768" s="763"/>
      <c r="U768" s="763"/>
      <c r="V768" s="763">
        <f>IFERROR(__xludf.DUMMYFUNCTION("""COMPUTED_VALUE"""),1.0)</f>
        <v>1</v>
      </c>
      <c r="W768" s="763">
        <f>IFERROR(__xludf.DUMMYFUNCTION("""COMPUTED_VALUE"""),20.0)</f>
        <v>20</v>
      </c>
      <c r="X768" s="763">
        <f>IFERROR(__xludf.DUMMYFUNCTION("""COMPUTED_VALUE"""),20.0)</f>
        <v>20</v>
      </c>
      <c r="Y768" s="763"/>
      <c r="Z768" s="768" t="str">
        <f>IFERROR(__xludf.DUMMYFUNCTION("""COMPUTED_VALUE"""),"https://studio-gem.it/wp-admin/post.php?post=66871&amp;action=edit")</f>
        <v>https://studio-gem.it/wp-admin/post.php?post=66871&amp;action=edit</v>
      </c>
      <c r="AA768" s="763"/>
      <c r="AB768" s="763"/>
      <c r="AC768" s="763"/>
      <c r="AD768" s="763"/>
      <c r="AE768" s="763"/>
      <c r="AF768" s="763"/>
      <c r="AG768" s="763"/>
      <c r="AH768" s="763"/>
      <c r="AI768" s="763"/>
      <c r="AJ768" s="763"/>
      <c r="AK768" s="763"/>
      <c r="AL768" s="763"/>
      <c r="AM768" s="763"/>
      <c r="AN768" s="763"/>
      <c r="AO768" s="763"/>
      <c r="AP768" s="763"/>
      <c r="AQ768" s="763"/>
      <c r="AR768" s="763"/>
      <c r="AS768" s="763"/>
      <c r="AT768" s="763"/>
      <c r="AU768" s="763"/>
      <c r="AV768" s="763"/>
      <c r="AW768" s="763"/>
      <c r="AX768" s="763"/>
      <c r="AY768" s="763"/>
      <c r="AZ768" s="763"/>
      <c r="BA768" s="763"/>
      <c r="BB768" s="763"/>
      <c r="BC768" s="763"/>
      <c r="BD768" s="763"/>
      <c r="BE768" s="763"/>
      <c r="BF768" s="763"/>
      <c r="BG768" s="763" t="b">
        <f>IFERROR(__xludf.DUMMYFUNCTION("""COMPUTED_VALUE"""),TRUE)</f>
        <v>1</v>
      </c>
      <c r="BH768" s="763" t="b">
        <f>IFERROR(__xludf.DUMMYFUNCTION("""COMPUTED_VALUE"""),FALSE)</f>
        <v>0</v>
      </c>
      <c r="BI768" s="763" t="b">
        <f>IFERROR(__xludf.DUMMYFUNCTION("""COMPUTED_VALUE"""),TRUE)</f>
        <v>1</v>
      </c>
      <c r="BJ768" s="763" t="b">
        <f>IFERROR(__xludf.DUMMYFUNCTION("""COMPUTED_VALUE"""),TRUE)</f>
        <v>1</v>
      </c>
    </row>
    <row r="769">
      <c r="A769" s="763">
        <f>IFERROR(__xludf.DUMMYFUNCTION("""COMPUTED_VALUE"""),66873.0)</f>
        <v>66873</v>
      </c>
      <c r="B769" s="763">
        <f>IFERROR(__xludf.DUMMYFUNCTION("""COMPUTED_VALUE"""),66873.0)</f>
        <v>66873</v>
      </c>
      <c r="C769" s="763" t="str">
        <f>IFERROR(__xludf.DUMMYFUNCTION("""COMPUTED_VALUE"""),"2025-12-14 11:07:06")</f>
        <v>2025-12-14 11:07:06</v>
      </c>
      <c r="D769" s="763" t="str">
        <f>IFERROR(__xludf.DUMMYFUNCTION("""COMPUTED_VALUE"""),"completed")</f>
        <v>completed</v>
      </c>
      <c r="E769" s="763" t="str">
        <f>IFERROR(__xludf.DUMMYFUNCTION("""COMPUTED_VALUE"""),"Maria Elena")</f>
        <v>Maria Elena</v>
      </c>
      <c r="F769" s="763" t="str">
        <f>IFERROR(__xludf.DUMMYFUNCTION("""COMPUTED_VALUE"""),"Morgese")</f>
        <v>Morgese</v>
      </c>
      <c r="G769" s="763" t="str">
        <f>IFERROR(__xludf.DUMMYFUNCTION("""COMPUTED_VALUE"""),"elena.morgese@gmail.com")</f>
        <v>elena.morgese@gmail.com</v>
      </c>
      <c r="H769" s="763">
        <f>IFERROR(__xludf.DUMMYFUNCTION("""COMPUTED_VALUE"""),3.38846095E9)</f>
        <v>3388460950</v>
      </c>
      <c r="I769" s="763" t="str">
        <f>IFERROR(__xludf.DUMMYFUNCTION("""COMPUTED_VALUE"""),"Milano")</f>
        <v>Milano</v>
      </c>
      <c r="J769" s="763" t="str">
        <f>IFERROR(__xludf.DUMMYFUNCTION("""COMPUTED_VALUE"""),"Largo Rio de Janeiro 5 20133")</f>
        <v>Largo Rio de Janeiro 5 20133</v>
      </c>
      <c r="K769" s="763">
        <f>IFERROR(__xludf.DUMMYFUNCTION("""COMPUTED_VALUE"""),20133.0)</f>
        <v>20133</v>
      </c>
      <c r="L769" s="763" t="str">
        <f>IFERROR(__xludf.DUMMYFUNCTION("""COMPUTED_VALUE"""),"Google Pay")</f>
        <v>Google Pay</v>
      </c>
      <c r="M769" s="763" t="str">
        <f>IFERROR(__xludf.DUMMYFUNCTION("""COMPUTED_VALUE"""),"alexandra02ws")</f>
        <v>alexandra02ws</v>
      </c>
      <c r="N769" s="763" t="str">
        <f>IFERROR(__xludf.DUMMYFUNCTION("""COMPUTED_VALUE"""),"66873-1765710429")</f>
        <v>66873-1765710429</v>
      </c>
      <c r="O769" s="763">
        <f>IFERROR(__xludf.DUMMYFUNCTION("""COMPUTED_VALUE"""),0.0)</f>
        <v>0</v>
      </c>
      <c r="P769" s="767">
        <f>IFERROR(__xludf.DUMMYFUNCTION("""COMPUTED_VALUE"""),1.25)</f>
        <v>1.25</v>
      </c>
      <c r="Q769" s="763" t="str">
        <f>IFERROR(__xludf.DUMMYFUNCTION("""COMPUTED_VALUE"""),"EUR")</f>
        <v>EUR</v>
      </c>
      <c r="R769" s="763">
        <f>IFERROR(__xludf.DUMMYFUNCTION("""COMPUTED_VALUE"""),1410.0)</f>
        <v>1410</v>
      </c>
      <c r="S769" s="763" t="str">
        <f>IFERROR(__xludf.DUMMYFUNCTION("""COMPUTED_VALUE"""),"Workshop pasitos con Nerea Perez - Workshop Nerea Pasitos")</f>
        <v>Workshop pasitos con Nerea Perez - Workshop Nerea Pasitos</v>
      </c>
      <c r="T769" s="763"/>
      <c r="U769" s="763"/>
      <c r="V769" s="763">
        <f>IFERROR(__xludf.DUMMYFUNCTION("""COMPUTED_VALUE"""),1.0)</f>
        <v>1</v>
      </c>
      <c r="W769" s="763">
        <f>IFERROR(__xludf.DUMMYFUNCTION("""COMPUTED_VALUE"""),30.0)</f>
        <v>30</v>
      </c>
      <c r="X769" s="763">
        <f>IFERROR(__xludf.DUMMYFUNCTION("""COMPUTED_VALUE"""),30.0)</f>
        <v>30</v>
      </c>
      <c r="Y769" s="763"/>
      <c r="Z769" s="768" t="str">
        <f>IFERROR(__xludf.DUMMYFUNCTION("""COMPUTED_VALUE"""),"https://studio-gem.it/wp-admin/post.php?post=66873&amp;action=edit")</f>
        <v>https://studio-gem.it/wp-admin/post.php?post=66873&amp;action=edit</v>
      </c>
      <c r="AA769" s="763"/>
      <c r="AB769" s="763"/>
      <c r="AC769" s="763"/>
      <c r="AD769" s="763"/>
      <c r="AE769" s="763"/>
      <c r="AF769" s="763"/>
      <c r="AG769" s="763"/>
      <c r="AH769" s="763"/>
      <c r="AI769" s="763"/>
      <c r="AJ769" s="763"/>
      <c r="AK769" s="763"/>
      <c r="AL769" s="763"/>
      <c r="AM769" s="763"/>
      <c r="AN769" s="763"/>
      <c r="AO769" s="763"/>
      <c r="AP769" s="763"/>
      <c r="AQ769" s="763"/>
      <c r="AR769" s="763"/>
      <c r="AS769" s="763"/>
      <c r="AT769" s="763"/>
      <c r="AU769" s="763"/>
      <c r="AV769" s="763"/>
      <c r="AW769" s="763"/>
      <c r="AX769" s="763"/>
      <c r="AY769" s="763"/>
      <c r="AZ769" s="763"/>
      <c r="BA769" s="763"/>
      <c r="BB769" s="763"/>
      <c r="BC769" s="763"/>
      <c r="BD769" s="763"/>
      <c r="BE769" s="763"/>
      <c r="BF769" s="763"/>
      <c r="BG769" s="763" t="b">
        <f>IFERROR(__xludf.DUMMYFUNCTION("""COMPUTED_VALUE"""),TRUE)</f>
        <v>1</v>
      </c>
      <c r="BH769" s="763" t="b">
        <f>IFERROR(__xludf.DUMMYFUNCTION("""COMPUTED_VALUE"""),FALSE)</f>
        <v>0</v>
      </c>
      <c r="BI769" s="763" t="b">
        <f>IFERROR(__xludf.DUMMYFUNCTION("""COMPUTED_VALUE"""),TRUE)</f>
        <v>1</v>
      </c>
      <c r="BJ769" s="763" t="b">
        <f>IFERROR(__xludf.DUMMYFUNCTION("""COMPUTED_VALUE"""),TRUE)</f>
        <v>1</v>
      </c>
    </row>
    <row r="770">
      <c r="A770" s="763">
        <f>IFERROR(__xludf.DUMMYFUNCTION("""COMPUTED_VALUE"""),66874.0)</f>
        <v>66874</v>
      </c>
      <c r="B770" s="763">
        <f>IFERROR(__xludf.DUMMYFUNCTION("""COMPUTED_VALUE"""),66874.0)</f>
        <v>66874</v>
      </c>
      <c r="C770" s="763" t="str">
        <f>IFERROR(__xludf.DUMMYFUNCTION("""COMPUTED_VALUE"""),"2025-12-14 11:08:10")</f>
        <v>2025-12-14 11:08:10</v>
      </c>
      <c r="D770" s="763" t="str">
        <f>IFERROR(__xludf.DUMMYFUNCTION("""COMPUTED_VALUE"""),"pending")</f>
        <v>pending</v>
      </c>
      <c r="E770" s="763" t="str">
        <f>IFERROR(__xludf.DUMMYFUNCTION("""COMPUTED_VALUE"""),"Mariachiara")</f>
        <v>Mariachiara</v>
      </c>
      <c r="F770" s="763" t="str">
        <f>IFERROR(__xludf.DUMMYFUNCTION("""COMPUTED_VALUE"""),"Santacroce")</f>
        <v>Santacroce</v>
      </c>
      <c r="G770" s="763" t="str">
        <f>IFERROR(__xludf.DUMMYFUNCTION("""COMPUTED_VALUE"""),"mariachiara.santacroce@gmail.com")</f>
        <v>mariachiara.santacroce@gmail.com</v>
      </c>
      <c r="H770" s="763">
        <f>IFERROR(__xludf.DUMMYFUNCTION("""COMPUTED_VALUE"""),3.471319446E9)</f>
        <v>3471319446</v>
      </c>
      <c r="I770" s="763" t="str">
        <f>IFERROR(__xludf.DUMMYFUNCTION("""COMPUTED_VALUE"""),"Milano")</f>
        <v>Milano</v>
      </c>
      <c r="J770" s="763" t="str">
        <f>IFERROR(__xludf.DUMMYFUNCTION("""COMPUTED_VALUE"""),"Via San Rocco, 12")</f>
        <v>Via San Rocco, 12</v>
      </c>
      <c r="K770" s="763">
        <f>IFERROR(__xludf.DUMMYFUNCTION("""COMPUTED_VALUE"""),20135.0)</f>
        <v>20135</v>
      </c>
      <c r="L770" s="763" t="str">
        <f>IFERROR(__xludf.DUMMYFUNCTION("""COMPUTED_VALUE"""),"Carte di pagamento")</f>
        <v>Carte di pagamento</v>
      </c>
      <c r="M770" s="763" t="str">
        <f>IFERROR(__xludf.DUMMYFUNCTION("""COMPUTED_VALUE"""),"santo05natale")</f>
        <v>santo05natale</v>
      </c>
      <c r="N770" s="763"/>
      <c r="O770" s="763">
        <f>IFERROR(__xludf.DUMMYFUNCTION("""COMPUTED_VALUE"""),0.0)</f>
        <v>0</v>
      </c>
      <c r="P770" s="767">
        <f>IFERROR(__xludf.DUMMYFUNCTION("""COMPUTED_VALUE"""),0.8333333333333334)</f>
        <v>0.8333333333</v>
      </c>
      <c r="Q770" s="763" t="str">
        <f>IFERROR(__xludf.DUMMYFUNCTION("""COMPUTED_VALUE"""),"EUR")</f>
        <v>EUR</v>
      </c>
      <c r="R770" s="763">
        <f>IFERROR(__xludf.DUMMYFUNCTION("""COMPUTED_VALUE"""),1412.0)</f>
        <v>1412</v>
      </c>
      <c r="S770" s="763" t="str">
        <f>IFERROR(__xludf.DUMMYFUNCTION("""COMPUTED_VALUE"""),"Festa di Natale 2025 - Festa di natale 2025 SOLO serata 25€")</f>
        <v>Festa di Natale 2025 - Festa di natale 2025 SOLO serata 25€</v>
      </c>
      <c r="T770" s="763"/>
      <c r="U770" s="763"/>
      <c r="V770" s="763">
        <f>IFERROR(__xludf.DUMMYFUNCTION("""COMPUTED_VALUE"""),1.0)</f>
        <v>1</v>
      </c>
      <c r="W770" s="763">
        <f>IFERROR(__xludf.DUMMYFUNCTION("""COMPUTED_VALUE"""),20.0)</f>
        <v>20</v>
      </c>
      <c r="X770" s="763">
        <f>IFERROR(__xludf.DUMMYFUNCTION("""COMPUTED_VALUE"""),20.0)</f>
        <v>20</v>
      </c>
      <c r="Y770" s="763"/>
      <c r="Z770" s="768" t="str">
        <f>IFERROR(__xludf.DUMMYFUNCTION("""COMPUTED_VALUE"""),"https://studio-gem.it/wp-admin/post.php?post=66874&amp;action=edit")</f>
        <v>https://studio-gem.it/wp-admin/post.php?post=66874&amp;action=edit</v>
      </c>
      <c r="AA770" s="763"/>
      <c r="AB770" s="763"/>
      <c r="AC770" s="763"/>
      <c r="AD770" s="763"/>
      <c r="AE770" s="763"/>
      <c r="AF770" s="763"/>
      <c r="AG770" s="763"/>
      <c r="AH770" s="763"/>
      <c r="AI770" s="763"/>
      <c r="AJ770" s="763"/>
      <c r="AK770" s="763"/>
      <c r="AL770" s="763"/>
      <c r="AM770" s="763"/>
      <c r="AN770" s="763"/>
      <c r="AO770" s="763"/>
      <c r="AP770" s="763"/>
      <c r="AQ770" s="763"/>
      <c r="AR770" s="763"/>
      <c r="AS770" s="763"/>
      <c r="AT770" s="763"/>
      <c r="AU770" s="763"/>
      <c r="AV770" s="763"/>
      <c r="AW770" s="763"/>
      <c r="AX770" s="763"/>
      <c r="AY770" s="763"/>
      <c r="AZ770" s="763"/>
      <c r="BA770" s="763"/>
      <c r="BB770" s="763"/>
      <c r="BC770" s="763"/>
      <c r="BD770" s="763"/>
      <c r="BE770" s="763"/>
      <c r="BF770" s="763"/>
      <c r="BG770" s="763" t="b">
        <f>IFERROR(__xludf.DUMMYFUNCTION("""COMPUTED_VALUE"""),FALSE)</f>
        <v>0</v>
      </c>
      <c r="BH770" s="763" t="b">
        <f>IFERROR(__xludf.DUMMYFUNCTION("""COMPUTED_VALUE"""),FALSE)</f>
        <v>0</v>
      </c>
      <c r="BI770" s="763" t="b">
        <f>IFERROR(__xludf.DUMMYFUNCTION("""COMPUTED_VALUE"""),FALSE)</f>
        <v>0</v>
      </c>
      <c r="BJ770" s="763" t="b">
        <f>IFERROR(__xludf.DUMMYFUNCTION("""COMPUTED_VALUE"""),FALSE)</f>
        <v>0</v>
      </c>
    </row>
    <row r="771">
      <c r="A771" s="763">
        <f>IFERROR(__xludf.DUMMYFUNCTION("""COMPUTED_VALUE"""),66874.0)</f>
        <v>66874</v>
      </c>
      <c r="B771" s="763">
        <f>IFERROR(__xludf.DUMMYFUNCTION("""COMPUTED_VALUE"""),66874.0)</f>
        <v>66874</v>
      </c>
      <c r="C771" s="763" t="str">
        <f>IFERROR(__xludf.DUMMYFUNCTION("""COMPUTED_VALUE"""),"2025-12-14 11:08:10")</f>
        <v>2025-12-14 11:08:10</v>
      </c>
      <c r="D771" s="763" t="str">
        <f>IFERROR(__xludf.DUMMYFUNCTION("""COMPUTED_VALUE"""),"completed")</f>
        <v>completed</v>
      </c>
      <c r="E771" s="763" t="str">
        <f>IFERROR(__xludf.DUMMYFUNCTION("""COMPUTED_VALUE"""),"Mariachiara")</f>
        <v>Mariachiara</v>
      </c>
      <c r="F771" s="763" t="str">
        <f>IFERROR(__xludf.DUMMYFUNCTION("""COMPUTED_VALUE"""),"Santacroce")</f>
        <v>Santacroce</v>
      </c>
      <c r="G771" s="763" t="str">
        <f>IFERROR(__xludf.DUMMYFUNCTION("""COMPUTED_VALUE"""),"mariachiara.santacroce@gmail.com")</f>
        <v>mariachiara.santacroce@gmail.com</v>
      </c>
      <c r="H771" s="763">
        <f>IFERROR(__xludf.DUMMYFUNCTION("""COMPUTED_VALUE"""),3.471319446E9)</f>
        <v>3471319446</v>
      </c>
      <c r="I771" s="763" t="str">
        <f>IFERROR(__xludf.DUMMYFUNCTION("""COMPUTED_VALUE"""),"Milano")</f>
        <v>Milano</v>
      </c>
      <c r="J771" s="763" t="str">
        <f>IFERROR(__xludf.DUMMYFUNCTION("""COMPUTED_VALUE"""),"Via San Rocco, 12")</f>
        <v>Via San Rocco, 12</v>
      </c>
      <c r="K771" s="763">
        <f>IFERROR(__xludf.DUMMYFUNCTION("""COMPUTED_VALUE"""),20135.0)</f>
        <v>20135</v>
      </c>
      <c r="L771" s="763" t="str">
        <f>IFERROR(__xludf.DUMMYFUNCTION("""COMPUTED_VALUE"""),"Apple Pay")</f>
        <v>Apple Pay</v>
      </c>
      <c r="M771" s="763" t="str">
        <f>IFERROR(__xludf.DUMMYFUNCTION("""COMPUTED_VALUE"""),"santo05natale")</f>
        <v>santo05natale</v>
      </c>
      <c r="N771" s="763" t="str">
        <f>IFERROR(__xludf.DUMMYFUNCTION("""COMPUTED_VALUE"""),"66874-1765710843")</f>
        <v>66874-1765710843</v>
      </c>
      <c r="O771" s="763">
        <f>IFERROR(__xludf.DUMMYFUNCTION("""COMPUTED_VALUE"""),0.0)</f>
        <v>0</v>
      </c>
      <c r="P771" s="767">
        <f>IFERROR(__xludf.DUMMYFUNCTION("""COMPUTED_VALUE"""),0.8333333333333334)</f>
        <v>0.8333333333</v>
      </c>
      <c r="Q771" s="763" t="str">
        <f>IFERROR(__xludf.DUMMYFUNCTION("""COMPUTED_VALUE"""),"EUR")</f>
        <v>EUR</v>
      </c>
      <c r="R771" s="763">
        <f>IFERROR(__xludf.DUMMYFUNCTION("""COMPUTED_VALUE"""),1414.0)</f>
        <v>1414</v>
      </c>
      <c r="S771" s="763" t="str">
        <f>IFERROR(__xludf.DUMMYFUNCTION("""COMPUTED_VALUE"""),"Festa di Natale 2025 - Festa di natale 2025 SOLO serata 25€")</f>
        <v>Festa di Natale 2025 - Festa di natale 2025 SOLO serata 25€</v>
      </c>
      <c r="T771" s="763"/>
      <c r="U771" s="763"/>
      <c r="V771" s="763">
        <f>IFERROR(__xludf.DUMMYFUNCTION("""COMPUTED_VALUE"""),1.0)</f>
        <v>1</v>
      </c>
      <c r="W771" s="763">
        <f>IFERROR(__xludf.DUMMYFUNCTION("""COMPUTED_VALUE"""),20.0)</f>
        <v>20</v>
      </c>
      <c r="X771" s="763">
        <f>IFERROR(__xludf.DUMMYFUNCTION("""COMPUTED_VALUE"""),20.0)</f>
        <v>20</v>
      </c>
      <c r="Y771" s="763"/>
      <c r="Z771" s="768" t="str">
        <f>IFERROR(__xludf.DUMMYFUNCTION("""COMPUTED_VALUE"""),"https://studio-gem.it/wp-admin/post.php?post=66874&amp;action=edit")</f>
        <v>https://studio-gem.it/wp-admin/post.php?post=66874&amp;action=edit</v>
      </c>
      <c r="AA771" s="763"/>
      <c r="AB771" s="763"/>
      <c r="AC771" s="763"/>
      <c r="AD771" s="763"/>
      <c r="AE771" s="763"/>
      <c r="AF771" s="763"/>
      <c r="AG771" s="763"/>
      <c r="AH771" s="763"/>
      <c r="AI771" s="763"/>
      <c r="AJ771" s="763"/>
      <c r="AK771" s="763"/>
      <c r="AL771" s="763"/>
      <c r="AM771" s="763"/>
      <c r="AN771" s="763"/>
      <c r="AO771" s="763"/>
      <c r="AP771" s="763"/>
      <c r="AQ771" s="763"/>
      <c r="AR771" s="763"/>
      <c r="AS771" s="763"/>
      <c r="AT771" s="763"/>
      <c r="AU771" s="763"/>
      <c r="AV771" s="763"/>
      <c r="AW771" s="763"/>
      <c r="AX771" s="763"/>
      <c r="AY771" s="763"/>
      <c r="AZ771" s="763"/>
      <c r="BA771" s="763"/>
      <c r="BB771" s="763"/>
      <c r="BC771" s="763"/>
      <c r="BD771" s="763"/>
      <c r="BE771" s="763"/>
      <c r="BF771" s="763"/>
      <c r="BG771" s="763" t="b">
        <f>IFERROR(__xludf.DUMMYFUNCTION("""COMPUTED_VALUE"""),TRUE)</f>
        <v>1</v>
      </c>
      <c r="BH771" s="763" t="b">
        <f>IFERROR(__xludf.DUMMYFUNCTION("""COMPUTED_VALUE"""),FALSE)</f>
        <v>0</v>
      </c>
      <c r="BI771" s="763" t="b">
        <f>IFERROR(__xludf.DUMMYFUNCTION("""COMPUTED_VALUE"""),TRUE)</f>
        <v>1</v>
      </c>
      <c r="BJ771" s="763" t="b">
        <f>IFERROR(__xludf.DUMMYFUNCTION("""COMPUTED_VALUE"""),TRUE)</f>
        <v>1</v>
      </c>
    </row>
    <row r="772">
      <c r="A772" s="763">
        <f>IFERROR(__xludf.DUMMYFUNCTION("""COMPUTED_VALUE"""),66877.0)</f>
        <v>66877</v>
      </c>
      <c r="B772" s="763">
        <f>IFERROR(__xludf.DUMMYFUNCTION("""COMPUTED_VALUE"""),66877.0)</f>
        <v>66877</v>
      </c>
      <c r="C772" s="763" t="str">
        <f>IFERROR(__xludf.DUMMYFUNCTION("""COMPUTED_VALUE"""),"2025-12-14 13:18:28")</f>
        <v>2025-12-14 13:18:28</v>
      </c>
      <c r="D772" s="763" t="str">
        <f>IFERROR(__xludf.DUMMYFUNCTION("""COMPUTED_VALUE"""),"processing")</f>
        <v>processing</v>
      </c>
      <c r="E772" s="763" t="str">
        <f>IFERROR(__xludf.DUMMYFUNCTION("""COMPUTED_VALUE"""),"Luigipaolo")</f>
        <v>Luigipaolo</v>
      </c>
      <c r="F772" s="763" t="str">
        <f>IFERROR(__xludf.DUMMYFUNCTION("""COMPUTED_VALUE"""),"Marino")</f>
        <v>Marino</v>
      </c>
      <c r="G772" s="763" t="str">
        <f>IFERROR(__xludf.DUMMYFUNCTION("""COMPUTED_VALUE"""),"luigipaolomarino@gmail.com")</f>
        <v>luigipaolomarino@gmail.com</v>
      </c>
      <c r="H772" s="763">
        <f>IFERROR(__xludf.DUMMYFUNCTION("""COMPUTED_VALUE"""),3.899580502E9)</f>
        <v>3899580502</v>
      </c>
      <c r="I772" s="763" t="str">
        <f>IFERROR(__xludf.DUMMYFUNCTION("""COMPUTED_VALUE"""),"Milano")</f>
        <v>Milano</v>
      </c>
      <c r="J772" s="763" t="str">
        <f>IFERROR(__xludf.DUMMYFUNCTION("""COMPUTED_VALUE"""),"Via Cadibona 18")</f>
        <v>Via Cadibona 18</v>
      </c>
      <c r="K772" s="763">
        <f>IFERROR(__xludf.DUMMYFUNCTION("""COMPUTED_VALUE"""),20137.0)</f>
        <v>20137</v>
      </c>
      <c r="L772" s="763" t="str">
        <f>IFERROR(__xludf.DUMMYFUNCTION("""COMPUTED_VALUE"""),"Carte di pagamento")</f>
        <v>Carte di pagamento</v>
      </c>
      <c r="M772" s="763" t="str">
        <f>IFERROR(__xludf.DUMMYFUNCTION("""COMPUTED_VALUE"""),"santo05natale")</f>
        <v>santo05natale</v>
      </c>
      <c r="N772" s="763" t="str">
        <f>IFERROR(__xludf.DUMMYFUNCTION("""COMPUTED_VALUE"""),"66877-1765718339")</f>
        <v>66877-1765718339</v>
      </c>
      <c r="O772" s="763">
        <f>IFERROR(__xludf.DUMMYFUNCTION("""COMPUTED_VALUE"""),0.0)</f>
        <v>0</v>
      </c>
      <c r="P772" s="767">
        <f>IFERROR(__xludf.DUMMYFUNCTION("""COMPUTED_VALUE"""),0.8333333333333334)</f>
        <v>0.8333333333</v>
      </c>
      <c r="Q772" s="763" t="str">
        <f>IFERROR(__xludf.DUMMYFUNCTION("""COMPUTED_VALUE"""),"EUR")</f>
        <v>EUR</v>
      </c>
      <c r="R772" s="763">
        <f>IFERROR(__xludf.DUMMYFUNCTION("""COMPUTED_VALUE"""),1418.0)</f>
        <v>1418</v>
      </c>
      <c r="S772" s="763" t="str">
        <f>IFERROR(__xludf.DUMMYFUNCTION("""COMPUTED_VALUE"""),"Festa di Natale 2025 - Festa di natale 2025 SOLO serata 25€")</f>
        <v>Festa di Natale 2025 - Festa di natale 2025 SOLO serata 25€</v>
      </c>
      <c r="T772" s="763"/>
      <c r="U772" s="763"/>
      <c r="V772" s="763">
        <f>IFERROR(__xludf.DUMMYFUNCTION("""COMPUTED_VALUE"""),1.0)</f>
        <v>1</v>
      </c>
      <c r="W772" s="763">
        <f>IFERROR(__xludf.DUMMYFUNCTION("""COMPUTED_VALUE"""),20.0)</f>
        <v>20</v>
      </c>
      <c r="X772" s="763">
        <f>IFERROR(__xludf.DUMMYFUNCTION("""COMPUTED_VALUE"""),20.0)</f>
        <v>20</v>
      </c>
      <c r="Y772" s="763"/>
      <c r="Z772" s="768" t="str">
        <f>IFERROR(__xludf.DUMMYFUNCTION("""COMPUTED_VALUE"""),"https://studio-gem.it/wp-admin/post.php?post=66877&amp;action=edit")</f>
        <v>https://studio-gem.it/wp-admin/post.php?post=66877&amp;action=edit</v>
      </c>
      <c r="AA772" s="763"/>
      <c r="AB772" s="763"/>
      <c r="AC772" s="763"/>
      <c r="AD772" s="763"/>
      <c r="AE772" s="763"/>
      <c r="AF772" s="763"/>
      <c r="AG772" s="763"/>
      <c r="AH772" s="763"/>
      <c r="AI772" s="763"/>
      <c r="AJ772" s="763"/>
      <c r="AK772" s="763"/>
      <c r="AL772" s="763"/>
      <c r="AM772" s="763"/>
      <c r="AN772" s="763"/>
      <c r="AO772" s="763"/>
      <c r="AP772" s="763"/>
      <c r="AQ772" s="763"/>
      <c r="AR772" s="763"/>
      <c r="AS772" s="763"/>
      <c r="AT772" s="763"/>
      <c r="AU772" s="763"/>
      <c r="AV772" s="763"/>
      <c r="AW772" s="763"/>
      <c r="AX772" s="763"/>
      <c r="AY772" s="763"/>
      <c r="AZ772" s="763"/>
      <c r="BA772" s="763"/>
      <c r="BB772" s="763"/>
      <c r="BC772" s="763"/>
      <c r="BD772" s="763"/>
      <c r="BE772" s="763"/>
      <c r="BF772" s="763"/>
      <c r="BG772" s="763" t="b">
        <f>IFERROR(__xludf.DUMMYFUNCTION("""COMPUTED_VALUE"""),TRUE)</f>
        <v>1</v>
      </c>
      <c r="BH772" s="763" t="b">
        <f>IFERROR(__xludf.DUMMYFUNCTION("""COMPUTED_VALUE"""),FALSE)</f>
        <v>0</v>
      </c>
      <c r="BI772" s="763" t="b">
        <f>IFERROR(__xludf.DUMMYFUNCTION("""COMPUTED_VALUE"""),TRUE)</f>
        <v>1</v>
      </c>
      <c r="BJ772" s="763" t="b">
        <f>IFERROR(__xludf.DUMMYFUNCTION("""COMPUTED_VALUE"""),TRUE)</f>
        <v>1</v>
      </c>
    </row>
    <row r="773">
      <c r="A773" s="763">
        <f>IFERROR(__xludf.DUMMYFUNCTION("""COMPUTED_VALUE"""),66909.0)</f>
        <v>66909</v>
      </c>
      <c r="B773" s="763">
        <f>IFERROR(__xludf.DUMMYFUNCTION("""COMPUTED_VALUE"""),66909.0)</f>
        <v>66909</v>
      </c>
      <c r="C773" s="763" t="str">
        <f>IFERROR(__xludf.DUMMYFUNCTION("""COMPUTED_VALUE"""),"2025-12-15 17:36:59")</f>
        <v>2025-12-15 17:36:59</v>
      </c>
      <c r="D773" s="763" t="str">
        <f>IFERROR(__xludf.DUMMYFUNCTION("""COMPUTED_VALUE"""),"completed")</f>
        <v>completed</v>
      </c>
      <c r="E773" s="763" t="str">
        <f>IFERROR(__xludf.DUMMYFUNCTION("""COMPUTED_VALUE"""),"Linda")</f>
        <v>Linda</v>
      </c>
      <c r="F773" s="763" t="str">
        <f>IFERROR(__xludf.DUMMYFUNCTION("""COMPUTED_VALUE"""),"Micheli")</f>
        <v>Micheli</v>
      </c>
      <c r="G773" s="763" t="str">
        <f>IFERROR(__xludf.DUMMYFUNCTION("""COMPUTED_VALUE"""),"lindamicheli@icloud.com")</f>
        <v>lindamicheli@icloud.com</v>
      </c>
      <c r="H773" s="763">
        <f>IFERROR(__xludf.DUMMYFUNCTION("""COMPUTED_VALUE"""),3.317286206E9)</f>
        <v>3317286206</v>
      </c>
      <c r="I773" s="763" t="str">
        <f>IFERROR(__xludf.DUMMYFUNCTION("""COMPUTED_VALUE"""),"Cavacurta")</f>
        <v>Cavacurta</v>
      </c>
      <c r="J773" s="763" t="str">
        <f>IFERROR(__xludf.DUMMYFUNCTION("""COMPUTED_VALUE"""),"Via Don Giuseppe Sfondrini 3")</f>
        <v>Via Don Giuseppe Sfondrini 3</v>
      </c>
      <c r="K773" s="763">
        <f>IFERROR(__xludf.DUMMYFUNCTION("""COMPUTED_VALUE"""),26844.0)</f>
        <v>26844</v>
      </c>
      <c r="L773" s="763" t="str">
        <f>IFERROR(__xludf.DUMMYFUNCTION("""COMPUTED_VALUE"""),"Apple Pay")</f>
        <v>Apple Pay</v>
      </c>
      <c r="M773" s="763"/>
      <c r="N773" s="763" t="str">
        <f>IFERROR(__xludf.DUMMYFUNCTION("""COMPUTED_VALUE"""),"66909-1765820556")</f>
        <v>66909-1765820556</v>
      </c>
      <c r="O773" s="763">
        <f>IFERROR(__xludf.DUMMYFUNCTION("""COMPUTED_VALUE"""),0.0)</f>
        <v>0</v>
      </c>
      <c r="P773" s="767">
        <f>IFERROR(__xludf.DUMMYFUNCTION("""COMPUTED_VALUE"""),1.875)</f>
        <v>1.875</v>
      </c>
      <c r="Q773" s="763" t="str">
        <f>IFERROR(__xludf.DUMMYFUNCTION("""COMPUTED_VALUE"""),"EUR")</f>
        <v>EUR</v>
      </c>
      <c r="R773" s="763">
        <f>IFERROR(__xludf.DUMMYFUNCTION("""COMPUTED_VALUE"""),1421.0)</f>
        <v>1421</v>
      </c>
      <c r="S773" s="763" t="str">
        <f>IFERROR(__xludf.DUMMYFUNCTION("""COMPUTED_VALUE"""),"Workshop Hip Hop Emanuel Lo 2026 - Workshop Emanuel Lo 2 febbraio 2026")</f>
        <v>Workshop Hip Hop Emanuel Lo 2026 - Workshop Emanuel Lo 2 febbraio 2026</v>
      </c>
      <c r="T773" s="763"/>
      <c r="U773" s="763"/>
      <c r="V773" s="763">
        <f>IFERROR(__xludf.DUMMYFUNCTION("""COMPUTED_VALUE"""),1.0)</f>
        <v>1</v>
      </c>
      <c r="W773" s="763">
        <f>IFERROR(__xludf.DUMMYFUNCTION("""COMPUTED_VALUE"""),45.0)</f>
        <v>45</v>
      </c>
      <c r="X773" s="763">
        <f>IFERROR(__xludf.DUMMYFUNCTION("""COMPUTED_VALUE"""),45.0)</f>
        <v>45</v>
      </c>
      <c r="Y773" s="763"/>
      <c r="Z773" s="768" t="str">
        <f>IFERROR(__xludf.DUMMYFUNCTION("""COMPUTED_VALUE"""),"https://studio-gem.it/wp-admin/post.php?post=66909&amp;action=edit")</f>
        <v>https://studio-gem.it/wp-admin/post.php?post=66909&amp;action=edit</v>
      </c>
      <c r="AA773" s="763"/>
      <c r="AB773" s="763"/>
      <c r="AC773" s="763"/>
      <c r="AD773" s="763"/>
      <c r="AE773" s="763"/>
      <c r="AF773" s="763"/>
      <c r="AG773" s="763"/>
      <c r="AH773" s="763"/>
      <c r="AI773" s="763"/>
      <c r="AJ773" s="763"/>
      <c r="AK773" s="763"/>
      <c r="AL773" s="763"/>
      <c r="AM773" s="763"/>
      <c r="AN773" s="763"/>
      <c r="AO773" s="763"/>
      <c r="AP773" s="763"/>
      <c r="AQ773" s="763"/>
      <c r="AR773" s="763"/>
      <c r="AS773" s="763"/>
      <c r="AT773" s="763"/>
      <c r="AU773" s="763"/>
      <c r="AV773" s="763"/>
      <c r="AW773" s="763"/>
      <c r="AX773" s="763"/>
      <c r="AY773" s="763"/>
      <c r="AZ773" s="763"/>
      <c r="BA773" s="763"/>
      <c r="BB773" s="763"/>
      <c r="BC773" s="763"/>
      <c r="BD773" s="763"/>
      <c r="BE773" s="763"/>
      <c r="BF773" s="763"/>
      <c r="BG773" s="763" t="b">
        <f>IFERROR(__xludf.DUMMYFUNCTION("""COMPUTED_VALUE"""),TRUE)</f>
        <v>1</v>
      </c>
      <c r="BH773" s="763" t="b">
        <f>IFERROR(__xludf.DUMMYFUNCTION("""COMPUTED_VALUE"""),FALSE)</f>
        <v>0</v>
      </c>
      <c r="BI773" s="763" t="b">
        <f>IFERROR(__xludf.DUMMYFUNCTION("""COMPUTED_VALUE"""),TRUE)</f>
        <v>1</v>
      </c>
      <c r="BJ773" s="763" t="b">
        <f>IFERROR(__xludf.DUMMYFUNCTION("""COMPUTED_VALUE"""),TRUE)</f>
        <v>1</v>
      </c>
    </row>
    <row r="774">
      <c r="A774" s="763">
        <f>IFERROR(__xludf.DUMMYFUNCTION("""COMPUTED_VALUE"""),66911.0)</f>
        <v>66911</v>
      </c>
      <c r="B774" s="763">
        <f>IFERROR(__xludf.DUMMYFUNCTION("""COMPUTED_VALUE"""),66911.0)</f>
        <v>66911</v>
      </c>
      <c r="C774" s="763" t="str">
        <f>IFERROR(__xludf.DUMMYFUNCTION("""COMPUTED_VALUE"""),"2025-12-16 07:32:53")</f>
        <v>2025-12-16 07:32:53</v>
      </c>
      <c r="D774" s="763" t="str">
        <f>IFERROR(__xludf.DUMMYFUNCTION("""COMPUTED_VALUE"""),"completed")</f>
        <v>completed</v>
      </c>
      <c r="E774" s="763" t="str">
        <f>IFERROR(__xludf.DUMMYFUNCTION("""COMPUTED_VALUE"""),"Marta")</f>
        <v>Marta</v>
      </c>
      <c r="F774" s="763" t="str">
        <f>IFERROR(__xludf.DUMMYFUNCTION("""COMPUTED_VALUE"""),"Vigone")</f>
        <v>Vigone</v>
      </c>
      <c r="G774" s="763" t="str">
        <f>IFERROR(__xludf.DUMMYFUNCTION("""COMPUTED_VALUE"""),"pasquale.saggiomo90@gmail.com")</f>
        <v>pasquale.saggiomo90@gmail.com</v>
      </c>
      <c r="H774" s="763">
        <f>IFERROR(__xludf.DUMMYFUNCTION("""COMPUTED_VALUE"""),3.49729414E9)</f>
        <v>3497294140</v>
      </c>
      <c r="I774" s="763" t="str">
        <f>IFERROR(__xludf.DUMMYFUNCTION("""COMPUTED_VALUE"""),"Biandrate")</f>
        <v>Biandrate</v>
      </c>
      <c r="J774" s="763" t="str">
        <f>IFERROR(__xludf.DUMMYFUNCTION("""COMPUTED_VALUE"""),"Via Matteotti 30")</f>
        <v>Via Matteotti 30</v>
      </c>
      <c r="K774" s="763">
        <f>IFERROR(__xludf.DUMMYFUNCTION("""COMPUTED_VALUE"""),28061.0)</f>
        <v>28061</v>
      </c>
      <c r="L774" s="763" t="str">
        <f>IFERROR(__xludf.DUMMYFUNCTION("""COMPUTED_VALUE"""),"Carte di pagamento")</f>
        <v>Carte di pagamento</v>
      </c>
      <c r="M774" s="763"/>
      <c r="N774" s="763" t="str">
        <f>IFERROR(__xludf.DUMMYFUNCTION("""COMPUTED_VALUE"""),"66911-1765870374")</f>
        <v>66911-1765870374</v>
      </c>
      <c r="O774" s="763">
        <f>IFERROR(__xludf.DUMMYFUNCTION("""COMPUTED_VALUE"""),0.0)</f>
        <v>0</v>
      </c>
      <c r="P774" s="767">
        <f>IFERROR(__xludf.DUMMYFUNCTION("""COMPUTED_VALUE"""),1.875)</f>
        <v>1.875</v>
      </c>
      <c r="Q774" s="763" t="str">
        <f>IFERROR(__xludf.DUMMYFUNCTION("""COMPUTED_VALUE"""),"EUR")</f>
        <v>EUR</v>
      </c>
      <c r="R774" s="763">
        <f>IFERROR(__xludf.DUMMYFUNCTION("""COMPUTED_VALUE"""),1422.0)</f>
        <v>1422</v>
      </c>
      <c r="S774" s="763" t="str">
        <f>IFERROR(__xludf.DUMMYFUNCTION("""COMPUTED_VALUE"""),"Workshop Hip Hop Emanuel Lo 2026 - Workshop Emanuel Lo 2 febbraio 2026")</f>
        <v>Workshop Hip Hop Emanuel Lo 2026 - Workshop Emanuel Lo 2 febbraio 2026</v>
      </c>
      <c r="T774" s="763"/>
      <c r="U774" s="763"/>
      <c r="V774" s="763">
        <f>IFERROR(__xludf.DUMMYFUNCTION("""COMPUTED_VALUE"""),1.0)</f>
        <v>1</v>
      </c>
      <c r="W774" s="763">
        <f>IFERROR(__xludf.DUMMYFUNCTION("""COMPUTED_VALUE"""),45.0)</f>
        <v>45</v>
      </c>
      <c r="X774" s="763">
        <f>IFERROR(__xludf.DUMMYFUNCTION("""COMPUTED_VALUE"""),45.0)</f>
        <v>45</v>
      </c>
      <c r="Y774" s="763"/>
      <c r="Z774" s="768" t="str">
        <f>IFERROR(__xludf.DUMMYFUNCTION("""COMPUTED_VALUE"""),"https://studio-gem.it/wp-admin/post.php?post=66911&amp;action=edit")</f>
        <v>https://studio-gem.it/wp-admin/post.php?post=66911&amp;action=edit</v>
      </c>
      <c r="AA774" s="763"/>
      <c r="AB774" s="763"/>
      <c r="AC774" s="763"/>
      <c r="AD774" s="763"/>
      <c r="AE774" s="763"/>
      <c r="AF774" s="763"/>
      <c r="AG774" s="763"/>
      <c r="AH774" s="763"/>
      <c r="AI774" s="763"/>
      <c r="AJ774" s="763"/>
      <c r="AK774" s="763"/>
      <c r="AL774" s="763"/>
      <c r="AM774" s="763"/>
      <c r="AN774" s="763"/>
      <c r="AO774" s="763"/>
      <c r="AP774" s="763"/>
      <c r="AQ774" s="763"/>
      <c r="AR774" s="763"/>
      <c r="AS774" s="763"/>
      <c r="AT774" s="763"/>
      <c r="AU774" s="763"/>
      <c r="AV774" s="763"/>
      <c r="AW774" s="763"/>
      <c r="AX774" s="763"/>
      <c r="AY774" s="763"/>
      <c r="AZ774" s="763"/>
      <c r="BA774" s="763"/>
      <c r="BB774" s="763"/>
      <c r="BC774" s="763"/>
      <c r="BD774" s="763"/>
      <c r="BE774" s="763"/>
      <c r="BF774" s="763"/>
      <c r="BG774" s="763" t="b">
        <f>IFERROR(__xludf.DUMMYFUNCTION("""COMPUTED_VALUE"""),TRUE)</f>
        <v>1</v>
      </c>
      <c r="BH774" s="763" t="b">
        <f>IFERROR(__xludf.DUMMYFUNCTION("""COMPUTED_VALUE"""),FALSE)</f>
        <v>0</v>
      </c>
      <c r="BI774" s="763" t="b">
        <f>IFERROR(__xludf.DUMMYFUNCTION("""COMPUTED_VALUE"""),TRUE)</f>
        <v>1</v>
      </c>
      <c r="BJ774" s="763" t="b">
        <f>IFERROR(__xludf.DUMMYFUNCTION("""COMPUTED_VALUE"""),TRUE)</f>
        <v>1</v>
      </c>
    </row>
    <row r="775">
      <c r="A775" s="763">
        <f>IFERROR(__xludf.DUMMYFUNCTION("""COMPUTED_VALUE"""),66935.0)</f>
        <v>66935</v>
      </c>
      <c r="B775" s="763">
        <f>IFERROR(__xludf.DUMMYFUNCTION("""COMPUTED_VALUE"""),66935.0)</f>
        <v>66935</v>
      </c>
      <c r="C775" s="763" t="str">
        <f>IFERROR(__xludf.DUMMYFUNCTION("""COMPUTED_VALUE"""),"2025-12-16 11:02:56")</f>
        <v>2025-12-16 11:02:56</v>
      </c>
      <c r="D775" s="763" t="str">
        <f>IFERROR(__xludf.DUMMYFUNCTION("""COMPUTED_VALUE"""),"completed")</f>
        <v>completed</v>
      </c>
      <c r="E775" s="763" t="str">
        <f>IFERROR(__xludf.DUMMYFUNCTION("""COMPUTED_VALUE"""),"Jhissel")</f>
        <v>Jhissel</v>
      </c>
      <c r="F775" s="763" t="str">
        <f>IFERROR(__xludf.DUMMYFUNCTION("""COMPUTED_VALUE"""),"Gomez")</f>
        <v>Gomez</v>
      </c>
      <c r="G775" s="763" t="str">
        <f>IFERROR(__xludf.DUMMYFUNCTION("""COMPUTED_VALUE"""),"chaveznini26@gmail.com")</f>
        <v>chaveznini26@gmail.com</v>
      </c>
      <c r="H775" s="763">
        <f>IFERROR(__xludf.DUMMYFUNCTION("""COMPUTED_VALUE"""),3.801039339E9)</f>
        <v>3801039339</v>
      </c>
      <c r="I775" s="763" t="str">
        <f>IFERROR(__xludf.DUMMYFUNCTION("""COMPUTED_VALUE"""),"Milano")</f>
        <v>Milano</v>
      </c>
      <c r="J775" s="763" t="str">
        <f>IFERROR(__xludf.DUMMYFUNCTION("""COMPUTED_VALUE"""),"Via Pietro crespi 11")</f>
        <v>Via Pietro crespi 11</v>
      </c>
      <c r="K775" s="763">
        <f>IFERROR(__xludf.DUMMYFUNCTION("""COMPUTED_VALUE"""),20127.0)</f>
        <v>20127</v>
      </c>
      <c r="L775" s="763" t="str">
        <f>IFERROR(__xludf.DUMMYFUNCTION("""COMPUTED_VALUE"""),"Apple Pay")</f>
        <v>Apple Pay</v>
      </c>
      <c r="M775" s="763" t="str">
        <f>IFERROR(__xludf.DUMMYFUNCTION("""COMPUTED_VALUE"""),"nura02ws")</f>
        <v>nura02ws</v>
      </c>
      <c r="N775" s="763" t="str">
        <f>IFERROR(__xludf.DUMMYFUNCTION("""COMPUTED_VALUE"""),"66935-1765882978")</f>
        <v>66935-1765882978</v>
      </c>
      <c r="O775" s="763">
        <f>IFERROR(__xludf.DUMMYFUNCTION("""COMPUTED_VALUE"""),0.0)</f>
        <v>0</v>
      </c>
      <c r="P775" s="767">
        <f>IFERROR(__xludf.DUMMYFUNCTION("""COMPUTED_VALUE"""),1.7916666666666667)</f>
        <v>1.791666667</v>
      </c>
      <c r="Q775" s="763" t="str">
        <f>IFERROR(__xludf.DUMMYFUNCTION("""COMPUTED_VALUE"""),"EUR")</f>
        <v>EUR</v>
      </c>
      <c r="R775" s="763">
        <f>IFERROR(__xludf.DUMMYFUNCTION("""COMPUTED_VALUE"""),1423.0)</f>
        <v>1423</v>
      </c>
      <c r="S775" s="763" t="str">
        <f>IFERROR(__xludf.DUMMYFUNCTION("""COMPUTED_VALUE"""),"Workshop Hip Hop Emanuel Lo 2026 - Workshop Emanuel Lo 2 febbraio 2026")</f>
        <v>Workshop Hip Hop Emanuel Lo 2026 - Workshop Emanuel Lo 2 febbraio 2026</v>
      </c>
      <c r="T775" s="763"/>
      <c r="U775" s="763"/>
      <c r="V775" s="763">
        <f>IFERROR(__xludf.DUMMYFUNCTION("""COMPUTED_VALUE"""),1.0)</f>
        <v>1</v>
      </c>
      <c r="W775" s="763">
        <f>IFERROR(__xludf.DUMMYFUNCTION("""COMPUTED_VALUE"""),43.0)</f>
        <v>43</v>
      </c>
      <c r="X775" s="763">
        <f>IFERROR(__xludf.DUMMYFUNCTION("""COMPUTED_VALUE"""),43.0)</f>
        <v>43</v>
      </c>
      <c r="Y775" s="763"/>
      <c r="Z775" s="768" t="str">
        <f>IFERROR(__xludf.DUMMYFUNCTION("""COMPUTED_VALUE"""),"https://studio-gem.it/wp-admin/post.php?post=66935&amp;action=edit")</f>
        <v>https://studio-gem.it/wp-admin/post.php?post=66935&amp;action=edit</v>
      </c>
      <c r="AA775" s="763"/>
      <c r="AB775" s="763"/>
      <c r="AC775" s="763"/>
      <c r="AD775" s="763"/>
      <c r="AE775" s="763"/>
      <c r="AF775" s="763"/>
      <c r="AG775" s="763"/>
      <c r="AH775" s="763"/>
      <c r="AI775" s="763"/>
      <c r="AJ775" s="763"/>
      <c r="AK775" s="763"/>
      <c r="AL775" s="763"/>
      <c r="AM775" s="763"/>
      <c r="AN775" s="763"/>
      <c r="AO775" s="763"/>
      <c r="AP775" s="763"/>
      <c r="AQ775" s="763"/>
      <c r="AR775" s="763"/>
      <c r="AS775" s="763"/>
      <c r="AT775" s="763"/>
      <c r="AU775" s="763"/>
      <c r="AV775" s="763"/>
      <c r="AW775" s="763"/>
      <c r="AX775" s="763"/>
      <c r="AY775" s="763"/>
      <c r="AZ775" s="763"/>
      <c r="BA775" s="763"/>
      <c r="BB775" s="763"/>
      <c r="BC775" s="763"/>
      <c r="BD775" s="763"/>
      <c r="BE775" s="763"/>
      <c r="BF775" s="763"/>
      <c r="BG775" s="763" t="b">
        <f>IFERROR(__xludf.DUMMYFUNCTION("""COMPUTED_VALUE"""),TRUE)</f>
        <v>1</v>
      </c>
      <c r="BH775" s="763" t="b">
        <f>IFERROR(__xludf.DUMMYFUNCTION("""COMPUTED_VALUE"""),FALSE)</f>
        <v>0</v>
      </c>
      <c r="BI775" s="763" t="b">
        <f>IFERROR(__xludf.DUMMYFUNCTION("""COMPUTED_VALUE"""),TRUE)</f>
        <v>1</v>
      </c>
      <c r="BJ775" s="763" t="b">
        <f>IFERROR(__xludf.DUMMYFUNCTION("""COMPUTED_VALUE"""),TRUE)</f>
        <v>1</v>
      </c>
    </row>
    <row r="776">
      <c r="A776" s="763">
        <f>IFERROR(__xludf.DUMMYFUNCTION("""COMPUTED_VALUE"""),66947.0)</f>
        <v>66947</v>
      </c>
      <c r="B776" s="763">
        <f>IFERROR(__xludf.DUMMYFUNCTION("""COMPUTED_VALUE"""),66947.0)</f>
        <v>66947</v>
      </c>
      <c r="C776" s="763" t="str">
        <f>IFERROR(__xludf.DUMMYFUNCTION("""COMPUTED_VALUE"""),"2025-12-16 20:20:46")</f>
        <v>2025-12-16 20:20:46</v>
      </c>
      <c r="D776" s="763" t="str">
        <f>IFERROR(__xludf.DUMMYFUNCTION("""COMPUTED_VALUE"""),"processing")</f>
        <v>processing</v>
      </c>
      <c r="E776" s="763" t="str">
        <f>IFERROR(__xludf.DUMMYFUNCTION("""COMPUTED_VALUE"""),"Alex")</f>
        <v>Alex</v>
      </c>
      <c r="F776" s="763" t="str">
        <f>IFERROR(__xludf.DUMMYFUNCTION("""COMPUTED_VALUE"""),"Arcaro")</f>
        <v>Arcaro</v>
      </c>
      <c r="G776" s="763" t="str">
        <f>IFERROR(__xludf.DUMMYFUNCTION("""COMPUTED_VALUE"""),"alex-x91@hotmail.it")</f>
        <v>alex-x91@hotmail.it</v>
      </c>
      <c r="H776" s="763">
        <f>IFERROR(__xludf.DUMMYFUNCTION("""COMPUTED_VALUE"""),3.460773693E9)</f>
        <v>3460773693</v>
      </c>
      <c r="I776" s="763" t="str">
        <f>IFERROR(__xludf.DUMMYFUNCTION("""COMPUTED_VALUE"""),"Milano")</f>
        <v>Milano</v>
      </c>
      <c r="J776" s="763" t="str">
        <f>IFERROR(__xludf.DUMMYFUNCTION("""COMPUTED_VALUE"""),"Via Carlo Farini 65")</f>
        <v>Via Carlo Farini 65</v>
      </c>
      <c r="K776" s="763">
        <f>IFERROR(__xludf.DUMMYFUNCTION("""COMPUTED_VALUE"""),20159.0)</f>
        <v>20159</v>
      </c>
      <c r="L776" s="763" t="str">
        <f>IFERROR(__xludf.DUMMYFUNCTION("""COMPUTED_VALUE"""),"Google Pay")</f>
        <v>Google Pay</v>
      </c>
      <c r="M776" s="763"/>
      <c r="N776" s="763" t="str">
        <f>IFERROR(__xludf.DUMMYFUNCTION("""COMPUTED_VALUE"""),"66947-1765916447")</f>
        <v>66947-1765916447</v>
      </c>
      <c r="O776" s="763">
        <f>IFERROR(__xludf.DUMMYFUNCTION("""COMPUTED_VALUE"""),0.0)</f>
        <v>0</v>
      </c>
      <c r="P776" s="767">
        <f>IFERROR(__xludf.DUMMYFUNCTION("""COMPUTED_VALUE"""),4.166666666666667)</f>
        <v>4.166666667</v>
      </c>
      <c r="Q776" s="763" t="str">
        <f>IFERROR(__xludf.DUMMYFUNCTION("""COMPUTED_VALUE"""),"EUR")</f>
        <v>EUR</v>
      </c>
      <c r="R776" s="763">
        <f>IFERROR(__xludf.DUMMYFUNCTION("""COMPUTED_VALUE"""),1425.0)</f>
        <v>1425</v>
      </c>
      <c r="S776" s="763" t="str">
        <f>IFERROR(__xludf.DUMMYFUNCTION("""COMPUTED_VALUE"""),"Gift Card - Gift card 100€")</f>
        <v>Gift Card - Gift card 100€</v>
      </c>
      <c r="T776" s="763"/>
      <c r="U776" s="763"/>
      <c r="V776" s="763">
        <f>IFERROR(__xludf.DUMMYFUNCTION("""COMPUTED_VALUE"""),1.0)</f>
        <v>1</v>
      </c>
      <c r="W776" s="763">
        <f>IFERROR(__xludf.DUMMYFUNCTION("""COMPUTED_VALUE"""),100.0)</f>
        <v>100</v>
      </c>
      <c r="X776" s="763">
        <f>IFERROR(__xludf.DUMMYFUNCTION("""COMPUTED_VALUE"""),100.0)</f>
        <v>100</v>
      </c>
      <c r="Y776" s="763"/>
      <c r="Z776" s="768" t="str">
        <f>IFERROR(__xludf.DUMMYFUNCTION("""COMPUTED_VALUE"""),"https://studio-gem.it/wp-admin/post.php?post=66947&amp;action=edit")</f>
        <v>https://studio-gem.it/wp-admin/post.php?post=66947&amp;action=edit</v>
      </c>
      <c r="AA776" s="763"/>
      <c r="AB776" s="763"/>
      <c r="AC776" s="763"/>
      <c r="AD776" s="763"/>
      <c r="AE776" s="763"/>
      <c r="AF776" s="763"/>
      <c r="AG776" s="763"/>
      <c r="AH776" s="763"/>
      <c r="AI776" s="763"/>
      <c r="AJ776" s="763"/>
      <c r="AK776" s="763"/>
      <c r="AL776" s="763"/>
      <c r="AM776" s="763"/>
      <c r="AN776" s="763"/>
      <c r="AO776" s="763"/>
      <c r="AP776" s="763"/>
      <c r="AQ776" s="763"/>
      <c r="AR776" s="763"/>
      <c r="AS776" s="763"/>
      <c r="AT776" s="763"/>
      <c r="AU776" s="763"/>
      <c r="AV776" s="763"/>
      <c r="AW776" s="763"/>
      <c r="AX776" s="763"/>
      <c r="AY776" s="763"/>
      <c r="AZ776" s="763"/>
      <c r="BA776" s="763"/>
      <c r="BB776" s="763"/>
      <c r="BC776" s="763"/>
      <c r="BD776" s="763"/>
      <c r="BE776" s="763"/>
      <c r="BF776" s="763"/>
      <c r="BG776" s="763" t="b">
        <f>IFERROR(__xludf.DUMMYFUNCTION("""COMPUTED_VALUE"""),TRUE)</f>
        <v>1</v>
      </c>
      <c r="BH776" s="763" t="b">
        <f>IFERROR(__xludf.DUMMYFUNCTION("""COMPUTED_VALUE"""),FALSE)</f>
        <v>0</v>
      </c>
      <c r="BI776" s="763" t="b">
        <f>IFERROR(__xludf.DUMMYFUNCTION("""COMPUTED_VALUE"""),FALSE)</f>
        <v>0</v>
      </c>
      <c r="BJ776" s="763" t="b">
        <f>IFERROR(__xludf.DUMMYFUNCTION("""COMPUTED_VALUE"""),TRUE)</f>
        <v>1</v>
      </c>
    </row>
    <row r="777">
      <c r="A777" s="763">
        <f>IFERROR(__xludf.DUMMYFUNCTION("""COMPUTED_VALUE"""),66970.0)</f>
        <v>66970</v>
      </c>
      <c r="B777" s="763">
        <f>IFERROR(__xludf.DUMMYFUNCTION("""COMPUTED_VALUE"""),66970.0)</f>
        <v>66970</v>
      </c>
      <c r="C777" s="763" t="str">
        <f>IFERROR(__xludf.DUMMYFUNCTION("""COMPUTED_VALUE"""),"2025-12-17 08:47:07")</f>
        <v>2025-12-17 08:47:07</v>
      </c>
      <c r="D777" s="763" t="str">
        <f>IFERROR(__xludf.DUMMYFUNCTION("""COMPUTED_VALUE"""),"completed")</f>
        <v>completed</v>
      </c>
      <c r="E777" s="763" t="str">
        <f>IFERROR(__xludf.DUMMYFUNCTION("""COMPUTED_VALUE"""),"Alessio")</f>
        <v>Alessio</v>
      </c>
      <c r="F777" s="763" t="str">
        <f>IFERROR(__xludf.DUMMYFUNCTION("""COMPUTED_VALUE"""),"Campagna")</f>
        <v>Campagna</v>
      </c>
      <c r="G777" s="763" t="str">
        <f>IFERROR(__xludf.DUMMYFUNCTION("""COMPUTED_VALUE"""),"alessiotcgtrade@gmail.com")</f>
        <v>alessiotcgtrade@gmail.com</v>
      </c>
      <c r="H777" s="763">
        <f>IFERROR(__xludf.DUMMYFUNCTION("""COMPUTED_VALUE"""),3.517240804E9)</f>
        <v>3517240804</v>
      </c>
      <c r="I777" s="763" t="str">
        <f>IFERROR(__xludf.DUMMYFUNCTION("""COMPUTED_VALUE"""),"Milano")</f>
        <v>Milano</v>
      </c>
      <c r="J777" s="763" t="str">
        <f>IFERROR(__xludf.DUMMYFUNCTION("""COMPUTED_VALUE"""),"Corso di porta vigentina 38")</f>
        <v>Corso di porta vigentina 38</v>
      </c>
      <c r="K777" s="763">
        <f>IFERROR(__xludf.DUMMYFUNCTION("""COMPUTED_VALUE"""),20122.0)</f>
        <v>20122</v>
      </c>
      <c r="L777" s="763" t="str">
        <f>IFERROR(__xludf.DUMMYFUNCTION("""COMPUTED_VALUE"""),"Carte di pagamento")</f>
        <v>Carte di pagamento</v>
      </c>
      <c r="M777" s="763" t="str">
        <f>IFERROR(__xludf.DUMMYFUNCTION("""COMPUTED_VALUE"""),"joel02ws")</f>
        <v>joel02ws</v>
      </c>
      <c r="N777" s="763" t="str">
        <f>IFERROR(__xludf.DUMMYFUNCTION("""COMPUTED_VALUE"""),"66970-1765961264")</f>
        <v>66970-1765961264</v>
      </c>
      <c r="O777" s="763">
        <f>IFERROR(__xludf.DUMMYFUNCTION("""COMPUTED_VALUE"""),0.0)</f>
        <v>0</v>
      </c>
      <c r="P777" s="767">
        <f>IFERROR(__xludf.DUMMYFUNCTION("""COMPUTED_VALUE"""),1.7916666666666667)</f>
        <v>1.791666667</v>
      </c>
      <c r="Q777" s="763" t="str">
        <f>IFERROR(__xludf.DUMMYFUNCTION("""COMPUTED_VALUE"""),"EUR")</f>
        <v>EUR</v>
      </c>
      <c r="R777" s="763">
        <f>IFERROR(__xludf.DUMMYFUNCTION("""COMPUTED_VALUE"""),1426.0)</f>
        <v>1426</v>
      </c>
      <c r="S777" s="763" t="str">
        <f>IFERROR(__xludf.DUMMYFUNCTION("""COMPUTED_VALUE"""),"Workshop Hip Hop Emanuel Lo 2026 - Workshop Emanuel Lo 2 febbraio 2026")</f>
        <v>Workshop Hip Hop Emanuel Lo 2026 - Workshop Emanuel Lo 2 febbraio 2026</v>
      </c>
      <c r="T777" s="763"/>
      <c r="U777" s="763"/>
      <c r="V777" s="763">
        <f>IFERROR(__xludf.DUMMYFUNCTION("""COMPUTED_VALUE"""),1.0)</f>
        <v>1</v>
      </c>
      <c r="W777" s="763">
        <f>IFERROR(__xludf.DUMMYFUNCTION("""COMPUTED_VALUE"""),43.0)</f>
        <v>43</v>
      </c>
      <c r="X777" s="763">
        <f>IFERROR(__xludf.DUMMYFUNCTION("""COMPUTED_VALUE"""),43.0)</f>
        <v>43</v>
      </c>
      <c r="Y777" s="763"/>
      <c r="Z777" s="768" t="str">
        <f>IFERROR(__xludf.DUMMYFUNCTION("""COMPUTED_VALUE"""),"https://studio-gem.it/wp-admin/post.php?post=66970&amp;action=edit")</f>
        <v>https://studio-gem.it/wp-admin/post.php?post=66970&amp;action=edit</v>
      </c>
      <c r="AA777" s="763"/>
      <c r="AB777" s="763"/>
      <c r="AC777" s="763"/>
      <c r="AD777" s="763"/>
      <c r="AE777" s="763"/>
      <c r="AF777" s="763"/>
      <c r="AG777" s="763"/>
      <c r="AH777" s="763"/>
      <c r="AI777" s="763"/>
      <c r="AJ777" s="763"/>
      <c r="AK777" s="763"/>
      <c r="AL777" s="763"/>
      <c r="AM777" s="763"/>
      <c r="AN777" s="763"/>
      <c r="AO777" s="763"/>
      <c r="AP777" s="763"/>
      <c r="AQ777" s="763"/>
      <c r="AR777" s="763"/>
      <c r="AS777" s="763"/>
      <c r="AT777" s="763"/>
      <c r="AU777" s="763"/>
      <c r="AV777" s="763"/>
      <c r="AW777" s="763"/>
      <c r="AX777" s="763"/>
      <c r="AY777" s="763"/>
      <c r="AZ777" s="763"/>
      <c r="BA777" s="763"/>
      <c r="BB777" s="763"/>
      <c r="BC777" s="763"/>
      <c r="BD777" s="763"/>
      <c r="BE777" s="763"/>
      <c r="BF777" s="763"/>
      <c r="BG777" s="763" t="b">
        <f>IFERROR(__xludf.DUMMYFUNCTION("""COMPUTED_VALUE"""),TRUE)</f>
        <v>1</v>
      </c>
      <c r="BH777" s="763" t="b">
        <f>IFERROR(__xludf.DUMMYFUNCTION("""COMPUTED_VALUE"""),FALSE)</f>
        <v>0</v>
      </c>
      <c r="BI777" s="763" t="b">
        <f>IFERROR(__xludf.DUMMYFUNCTION("""COMPUTED_VALUE"""),TRUE)</f>
        <v>1</v>
      </c>
      <c r="BJ777" s="763" t="b">
        <f>IFERROR(__xludf.DUMMYFUNCTION("""COMPUTED_VALUE"""),TRUE)</f>
        <v>1</v>
      </c>
    </row>
    <row r="778">
      <c r="A778" s="763">
        <f>IFERROR(__xludf.DUMMYFUNCTION("""COMPUTED_VALUE"""),66972.0)</f>
        <v>66972</v>
      </c>
      <c r="B778" s="763">
        <f>IFERROR(__xludf.DUMMYFUNCTION("""COMPUTED_VALUE"""),66972.0)</f>
        <v>66972</v>
      </c>
      <c r="C778" s="763" t="str">
        <f>IFERROR(__xludf.DUMMYFUNCTION("""COMPUTED_VALUE"""),"2025-12-17 09:01:56")</f>
        <v>2025-12-17 09:01:56</v>
      </c>
      <c r="D778" s="763" t="str">
        <f>IFERROR(__xludf.DUMMYFUNCTION("""COMPUTED_VALUE"""),"completed")</f>
        <v>completed</v>
      </c>
      <c r="E778" s="763" t="str">
        <f>IFERROR(__xludf.DUMMYFUNCTION("""COMPUTED_VALUE"""),"LUDOVICA")</f>
        <v>LUDOVICA</v>
      </c>
      <c r="F778" s="763" t="str">
        <f>IFERROR(__xludf.DUMMYFUNCTION("""COMPUTED_VALUE"""),"Corbetta")</f>
        <v>Corbetta</v>
      </c>
      <c r="G778" s="763" t="str">
        <f>IFERROR(__xludf.DUMMYFUNCTION("""COMPUTED_VALUE"""),"roberta.villa@grandi11law.com")</f>
        <v>roberta.villa@grandi11law.com</v>
      </c>
      <c r="H778" s="763">
        <f>IFERROR(__xludf.DUMMYFUNCTION("""COMPUTED_VALUE"""),3.49887812E9)</f>
        <v>3498878120</v>
      </c>
      <c r="I778" s="763" t="str">
        <f>IFERROR(__xludf.DUMMYFUNCTION("""COMPUTED_VALUE"""),"Milano")</f>
        <v>Milano</v>
      </c>
      <c r="J778" s="763" t="str">
        <f>IFERROR(__xludf.DUMMYFUNCTION("""COMPUTED_VALUE"""),"Via Luigi Capranica 16")</f>
        <v>Via Luigi Capranica 16</v>
      </c>
      <c r="K778" s="763">
        <f>IFERROR(__xludf.DUMMYFUNCTION("""COMPUTED_VALUE"""),20131.0)</f>
        <v>20131</v>
      </c>
      <c r="L778" s="763" t="str">
        <f>IFERROR(__xludf.DUMMYFUNCTION("""COMPUTED_VALUE"""),"Apple Pay")</f>
        <v>Apple Pay</v>
      </c>
      <c r="M778" s="763" t="str">
        <f>IFERROR(__xludf.DUMMYFUNCTION("""COMPUTED_VALUE"""),"nura02ws")</f>
        <v>nura02ws</v>
      </c>
      <c r="N778" s="763" t="str">
        <f>IFERROR(__xludf.DUMMYFUNCTION("""COMPUTED_VALUE"""),"66972-1765962119")</f>
        <v>66972-1765962119</v>
      </c>
      <c r="O778" s="763">
        <f>IFERROR(__xludf.DUMMYFUNCTION("""COMPUTED_VALUE"""),0.0)</f>
        <v>0</v>
      </c>
      <c r="P778" s="767">
        <f>IFERROR(__xludf.DUMMYFUNCTION("""COMPUTED_VALUE"""),1.7916666666666667)</f>
        <v>1.791666667</v>
      </c>
      <c r="Q778" s="763" t="str">
        <f>IFERROR(__xludf.DUMMYFUNCTION("""COMPUTED_VALUE"""),"EUR")</f>
        <v>EUR</v>
      </c>
      <c r="R778" s="763">
        <f>IFERROR(__xludf.DUMMYFUNCTION("""COMPUTED_VALUE"""),1428.0)</f>
        <v>1428</v>
      </c>
      <c r="S778" s="763" t="str">
        <f>IFERROR(__xludf.DUMMYFUNCTION("""COMPUTED_VALUE"""),"Workshop Hip Hop Emanuel Lo 2026 - Workshop Emanuel Lo 2 febbraio 2026")</f>
        <v>Workshop Hip Hop Emanuel Lo 2026 - Workshop Emanuel Lo 2 febbraio 2026</v>
      </c>
      <c r="T778" s="763"/>
      <c r="U778" s="763"/>
      <c r="V778" s="763">
        <f>IFERROR(__xludf.DUMMYFUNCTION("""COMPUTED_VALUE"""),1.0)</f>
        <v>1</v>
      </c>
      <c r="W778" s="763">
        <f>IFERROR(__xludf.DUMMYFUNCTION("""COMPUTED_VALUE"""),43.0)</f>
        <v>43</v>
      </c>
      <c r="X778" s="763">
        <f>IFERROR(__xludf.DUMMYFUNCTION("""COMPUTED_VALUE"""),43.0)</f>
        <v>43</v>
      </c>
      <c r="Y778" s="763"/>
      <c r="Z778" s="768" t="str">
        <f>IFERROR(__xludf.DUMMYFUNCTION("""COMPUTED_VALUE"""),"https://studio-gem.it/wp-admin/post.php?post=66972&amp;action=edit")</f>
        <v>https://studio-gem.it/wp-admin/post.php?post=66972&amp;action=edit</v>
      </c>
      <c r="AA778" s="763"/>
      <c r="AB778" s="763"/>
      <c r="AC778" s="763"/>
      <c r="AD778" s="763"/>
      <c r="AE778" s="763"/>
      <c r="AF778" s="763"/>
      <c r="AG778" s="763"/>
      <c r="AH778" s="763"/>
      <c r="AI778" s="763"/>
      <c r="AJ778" s="763"/>
      <c r="AK778" s="763"/>
      <c r="AL778" s="763"/>
      <c r="AM778" s="763"/>
      <c r="AN778" s="763"/>
      <c r="AO778" s="763"/>
      <c r="AP778" s="763"/>
      <c r="AQ778" s="763"/>
      <c r="AR778" s="763"/>
      <c r="AS778" s="763"/>
      <c r="AT778" s="763"/>
      <c r="AU778" s="763"/>
      <c r="AV778" s="763"/>
      <c r="AW778" s="763"/>
      <c r="AX778" s="763"/>
      <c r="AY778" s="763"/>
      <c r="AZ778" s="763"/>
      <c r="BA778" s="763"/>
      <c r="BB778" s="763"/>
      <c r="BC778" s="763"/>
      <c r="BD778" s="763"/>
      <c r="BE778" s="763"/>
      <c r="BF778" s="763"/>
      <c r="BG778" s="763" t="b">
        <f>IFERROR(__xludf.DUMMYFUNCTION("""COMPUTED_VALUE"""),TRUE)</f>
        <v>1</v>
      </c>
      <c r="BH778" s="763" t="b">
        <f>IFERROR(__xludf.DUMMYFUNCTION("""COMPUTED_VALUE"""),FALSE)</f>
        <v>0</v>
      </c>
      <c r="BI778" s="763" t="b">
        <f>IFERROR(__xludf.DUMMYFUNCTION("""COMPUTED_VALUE"""),TRUE)</f>
        <v>1</v>
      </c>
      <c r="BJ778" s="763" t="b">
        <f>IFERROR(__xludf.DUMMYFUNCTION("""COMPUTED_VALUE"""),TRUE)</f>
        <v>1</v>
      </c>
    </row>
    <row r="779">
      <c r="A779" s="763">
        <f>IFERROR(__xludf.DUMMYFUNCTION("""COMPUTED_VALUE"""),66988.0)</f>
        <v>66988</v>
      </c>
      <c r="B779" s="763">
        <f>IFERROR(__xludf.DUMMYFUNCTION("""COMPUTED_VALUE"""),66988.0)</f>
        <v>66988</v>
      </c>
      <c r="C779" s="763" t="str">
        <f>IFERROR(__xludf.DUMMYFUNCTION("""COMPUTED_VALUE"""),"2025-12-17 20:24:52")</f>
        <v>2025-12-17 20:24:52</v>
      </c>
      <c r="D779" s="763" t="str">
        <f>IFERROR(__xludf.DUMMYFUNCTION("""COMPUTED_VALUE"""),"processing")</f>
        <v>processing</v>
      </c>
      <c r="E779" s="763" t="str">
        <f>IFERROR(__xludf.DUMMYFUNCTION("""COMPUTED_VALUE"""),"Martina")</f>
        <v>Martina</v>
      </c>
      <c r="F779" s="763" t="str">
        <f>IFERROR(__xludf.DUMMYFUNCTION("""COMPUTED_VALUE"""),"Maiorino")</f>
        <v>Maiorino</v>
      </c>
      <c r="G779" s="763" t="str">
        <f>IFERROR(__xludf.DUMMYFUNCTION("""COMPUTED_VALUE"""),"martilove17@live.it")</f>
        <v>martilove17@live.it</v>
      </c>
      <c r="H779" s="763">
        <f>IFERROR(__xludf.DUMMYFUNCTION("""COMPUTED_VALUE"""),3.883659924E9)</f>
        <v>3883659924</v>
      </c>
      <c r="I779" s="763" t="str">
        <f>IFERROR(__xludf.DUMMYFUNCTION("""COMPUTED_VALUE"""),"Milano")</f>
        <v>Milano</v>
      </c>
      <c r="J779" s="763" t="str">
        <f>IFERROR(__xludf.DUMMYFUNCTION("""COMPUTED_VALUE"""),"Ugo Betti 40")</f>
        <v>Ugo Betti 40</v>
      </c>
      <c r="K779" s="763">
        <f>IFERROR(__xludf.DUMMYFUNCTION("""COMPUTED_VALUE"""),20151.0)</f>
        <v>20151</v>
      </c>
      <c r="L779" s="763" t="str">
        <f>IFERROR(__xludf.DUMMYFUNCTION("""COMPUTED_VALUE"""),"Carte di pagamento")</f>
        <v>Carte di pagamento</v>
      </c>
      <c r="M779" s="763" t="str">
        <f>IFERROR(__xludf.DUMMYFUNCTION("""COMPUTED_VALUE"""),"nura02ws")</f>
        <v>nura02ws</v>
      </c>
      <c r="N779" s="763" t="str">
        <f>IFERROR(__xludf.DUMMYFUNCTION("""COMPUTED_VALUE"""),"66988-1766003094")</f>
        <v>66988-1766003094</v>
      </c>
      <c r="O779" s="763">
        <f>IFERROR(__xludf.DUMMYFUNCTION("""COMPUTED_VALUE"""),0.0)</f>
        <v>0</v>
      </c>
      <c r="P779" s="767">
        <f>IFERROR(__xludf.DUMMYFUNCTION("""COMPUTED_VALUE"""),1.7916666666666667)</f>
        <v>1.791666667</v>
      </c>
      <c r="Q779" s="763" t="str">
        <f>IFERROR(__xludf.DUMMYFUNCTION("""COMPUTED_VALUE"""),"EUR")</f>
        <v>EUR</v>
      </c>
      <c r="R779" s="763">
        <f>IFERROR(__xludf.DUMMYFUNCTION("""COMPUTED_VALUE"""),1430.0)</f>
        <v>1430</v>
      </c>
      <c r="S779" s="763" t="str">
        <f>IFERROR(__xludf.DUMMYFUNCTION("""COMPUTED_VALUE"""),"Workshop Hip Hop Emanuel Lo 2026 - Workshop Emanuel Lo 2 febbraio 2026")</f>
        <v>Workshop Hip Hop Emanuel Lo 2026 - Workshop Emanuel Lo 2 febbraio 2026</v>
      </c>
      <c r="T779" s="763"/>
      <c r="U779" s="763"/>
      <c r="V779" s="763">
        <f>IFERROR(__xludf.DUMMYFUNCTION("""COMPUTED_VALUE"""),1.0)</f>
        <v>1</v>
      </c>
      <c r="W779" s="763">
        <f>IFERROR(__xludf.DUMMYFUNCTION("""COMPUTED_VALUE"""),43.0)</f>
        <v>43</v>
      </c>
      <c r="X779" s="763">
        <f>IFERROR(__xludf.DUMMYFUNCTION("""COMPUTED_VALUE"""),43.0)</f>
        <v>43</v>
      </c>
      <c r="Y779" s="763"/>
      <c r="Z779" s="768" t="str">
        <f>IFERROR(__xludf.DUMMYFUNCTION("""COMPUTED_VALUE"""),"https://studio-gem.it/wp-admin/post.php?post=66988&amp;action=edit")</f>
        <v>https://studio-gem.it/wp-admin/post.php?post=66988&amp;action=edit</v>
      </c>
      <c r="AA779" s="763"/>
      <c r="AB779" s="763"/>
      <c r="AC779" s="763"/>
      <c r="AD779" s="763"/>
      <c r="AE779" s="763"/>
      <c r="AF779" s="763"/>
      <c r="AG779" s="763"/>
      <c r="AH779" s="763"/>
      <c r="AI779" s="763"/>
      <c r="AJ779" s="763"/>
      <c r="AK779" s="763"/>
      <c r="AL779" s="763"/>
      <c r="AM779" s="763"/>
      <c r="AN779" s="763"/>
      <c r="AO779" s="763"/>
      <c r="AP779" s="763"/>
      <c r="AQ779" s="763"/>
      <c r="AR779" s="763"/>
      <c r="AS779" s="763"/>
      <c r="AT779" s="763"/>
      <c r="AU779" s="763"/>
      <c r="AV779" s="763"/>
      <c r="AW779" s="763"/>
      <c r="AX779" s="763"/>
      <c r="AY779" s="763"/>
      <c r="AZ779" s="763"/>
      <c r="BA779" s="763"/>
      <c r="BB779" s="763"/>
      <c r="BC779" s="763"/>
      <c r="BD779" s="763"/>
      <c r="BE779" s="763"/>
      <c r="BF779" s="763"/>
      <c r="BG779" s="763" t="b">
        <f>IFERROR(__xludf.DUMMYFUNCTION("""COMPUTED_VALUE"""),TRUE)</f>
        <v>1</v>
      </c>
      <c r="BH779" s="763" t="b">
        <f>IFERROR(__xludf.DUMMYFUNCTION("""COMPUTED_VALUE"""),FALSE)</f>
        <v>0</v>
      </c>
      <c r="BI779" s="763" t="b">
        <f>IFERROR(__xludf.DUMMYFUNCTION("""COMPUTED_VALUE"""),TRUE)</f>
        <v>1</v>
      </c>
      <c r="BJ779" s="763" t="b">
        <f>IFERROR(__xludf.DUMMYFUNCTION("""COMPUTED_VALUE"""),TRUE)</f>
        <v>1</v>
      </c>
    </row>
    <row r="780">
      <c r="A780" s="763">
        <f>IFERROR(__xludf.DUMMYFUNCTION("""COMPUTED_VALUE"""),66991.0)</f>
        <v>66991</v>
      </c>
      <c r="B780" s="763">
        <f>IFERROR(__xludf.DUMMYFUNCTION("""COMPUTED_VALUE"""),66991.0)</f>
        <v>66991</v>
      </c>
      <c r="C780" s="763" t="str">
        <f>IFERROR(__xludf.DUMMYFUNCTION("""COMPUTED_VALUE"""),"2025-12-18 11:57:11")</f>
        <v>2025-12-18 11:57:11</v>
      </c>
      <c r="D780" s="763" t="str">
        <f>IFERROR(__xludf.DUMMYFUNCTION("""COMPUTED_VALUE"""),"cancelled")</f>
        <v>cancelled</v>
      </c>
      <c r="E780" s="763" t="str">
        <f>IFERROR(__xludf.DUMMYFUNCTION("""COMPUTED_VALUE"""),"ago")</f>
        <v>ago</v>
      </c>
      <c r="F780" s="763" t="str">
        <f>IFERROR(__xludf.DUMMYFUNCTION("""COMPUTED_VALUE"""),"genc")</f>
        <v>genc</v>
      </c>
      <c r="G780" s="763" t="str">
        <f>IFERROR(__xludf.DUMMYFUNCTION("""COMPUTED_VALUE"""),"ago@agogo.it")</f>
        <v>ago@agogo.it</v>
      </c>
      <c r="H780" s="763">
        <f>IFERROR(__xludf.DUMMYFUNCTION("""COMPUTED_VALUE"""),3.356385854E9)</f>
        <v>3356385854</v>
      </c>
      <c r="I780" s="763" t="str">
        <f>IFERROR(__xludf.DUMMYFUNCTION("""COMPUTED_VALUE"""),"Bresso")</f>
        <v>Bresso</v>
      </c>
      <c r="J780" s="763" t="str">
        <f>IFERROR(__xludf.DUMMYFUNCTION("""COMPUTED_VALUE"""),"Via Aldo villa 16")</f>
        <v>Via Aldo villa 16</v>
      </c>
      <c r="K780" s="763">
        <f>IFERROR(__xludf.DUMMYFUNCTION("""COMPUTED_VALUE"""),20900.0)</f>
        <v>20900</v>
      </c>
      <c r="L780" s="763" t="str">
        <f>IFERROR(__xludf.DUMMYFUNCTION("""COMPUTED_VALUE"""),"Satispay")</f>
        <v>Satispay</v>
      </c>
      <c r="M780" s="763"/>
      <c r="N780" s="763" t="str">
        <f>IFERROR(__xludf.DUMMYFUNCTION("""COMPUTED_VALUE"""),"019b3152-3d4c-79ee-b7a9-54d77c72d427")</f>
        <v>019b3152-3d4c-79ee-b7a9-54d77c72d427</v>
      </c>
      <c r="O780" s="763">
        <f>IFERROR(__xludf.DUMMYFUNCTION("""COMPUTED_VALUE"""),0.0)</f>
        <v>0</v>
      </c>
      <c r="P780" s="767">
        <f>IFERROR(__xludf.DUMMYFUNCTION("""COMPUTED_VALUE"""),1.875)</f>
        <v>1.875</v>
      </c>
      <c r="Q780" s="763" t="str">
        <f>IFERROR(__xludf.DUMMYFUNCTION("""COMPUTED_VALUE"""),"EUR")</f>
        <v>EUR</v>
      </c>
      <c r="R780" s="763">
        <f>IFERROR(__xludf.DUMMYFUNCTION("""COMPUTED_VALUE"""),1432.0)</f>
        <v>1432</v>
      </c>
      <c r="S780" s="763" t="str">
        <f>IFERROR(__xludf.DUMMYFUNCTION("""COMPUTED_VALUE"""),"Workshop Hip Hop Emanuel Lo 2026 - Workshop Emanuel Lo 2 febbraio 2026")</f>
        <v>Workshop Hip Hop Emanuel Lo 2026 - Workshop Emanuel Lo 2 febbraio 2026</v>
      </c>
      <c r="T780" s="763"/>
      <c r="U780" s="763"/>
      <c r="V780" s="763">
        <f>IFERROR(__xludf.DUMMYFUNCTION("""COMPUTED_VALUE"""),1.0)</f>
        <v>1</v>
      </c>
      <c r="W780" s="763">
        <f>IFERROR(__xludf.DUMMYFUNCTION("""COMPUTED_VALUE"""),45.0)</f>
        <v>45</v>
      </c>
      <c r="X780" s="763">
        <f>IFERROR(__xludf.DUMMYFUNCTION("""COMPUTED_VALUE"""),45.0)</f>
        <v>45</v>
      </c>
      <c r="Y780" s="763"/>
      <c r="Z780" s="768" t="str">
        <f>IFERROR(__xludf.DUMMYFUNCTION("""COMPUTED_VALUE"""),"https://studio-gem.it/wp-admin/post.php?post=66991&amp;action=edit")</f>
        <v>https://studio-gem.it/wp-admin/post.php?post=66991&amp;action=edit</v>
      </c>
      <c r="AA780" s="763"/>
      <c r="AB780" s="763"/>
      <c r="AC780" s="763"/>
      <c r="AD780" s="763"/>
      <c r="AE780" s="763"/>
      <c r="AF780" s="763"/>
      <c r="AG780" s="763"/>
      <c r="AH780" s="763"/>
      <c r="AI780" s="763"/>
      <c r="AJ780" s="763"/>
      <c r="AK780" s="763"/>
      <c r="AL780" s="763"/>
      <c r="AM780" s="763"/>
      <c r="AN780" s="763"/>
      <c r="AO780" s="763"/>
      <c r="AP780" s="763"/>
      <c r="AQ780" s="763"/>
      <c r="AR780" s="763"/>
      <c r="AS780" s="763"/>
      <c r="AT780" s="763"/>
      <c r="AU780" s="763"/>
      <c r="AV780" s="763"/>
      <c r="AW780" s="763"/>
      <c r="AX780" s="763"/>
      <c r="AY780" s="763"/>
      <c r="AZ780" s="763"/>
      <c r="BA780" s="763"/>
      <c r="BB780" s="763"/>
      <c r="BC780" s="763"/>
      <c r="BD780" s="763"/>
      <c r="BE780" s="763"/>
      <c r="BF780" s="763"/>
      <c r="BG780" s="763" t="b">
        <f>IFERROR(__xludf.DUMMYFUNCTION("""COMPUTED_VALUE"""),FALSE)</f>
        <v>0</v>
      </c>
      <c r="BH780" s="763" t="b">
        <f>IFERROR(__xludf.DUMMYFUNCTION("""COMPUTED_VALUE"""),FALSE)</f>
        <v>0</v>
      </c>
      <c r="BI780" s="763" t="b">
        <f>IFERROR(__xludf.DUMMYFUNCTION("""COMPUTED_VALUE"""),FALSE)</f>
        <v>0</v>
      </c>
      <c r="BJ780" s="763" t="b">
        <f>IFERROR(__xludf.DUMMYFUNCTION("""COMPUTED_VALUE"""),FALSE)</f>
        <v>0</v>
      </c>
    </row>
    <row r="781">
      <c r="A781" s="763">
        <f>IFERROR(__xludf.DUMMYFUNCTION("""COMPUTED_VALUE"""),66994.0)</f>
        <v>66994</v>
      </c>
      <c r="B781" s="763">
        <f>IFERROR(__xludf.DUMMYFUNCTION("""COMPUTED_VALUE"""),66994.0)</f>
        <v>66994</v>
      </c>
      <c r="C781" s="763" t="str">
        <f>IFERROR(__xludf.DUMMYFUNCTION("""COMPUTED_VALUE"""),"2025-12-18 12:40:21")</f>
        <v>2025-12-18 12:40:21</v>
      </c>
      <c r="D781" s="763" t="str">
        <f>IFERROR(__xludf.DUMMYFUNCTION("""COMPUTED_VALUE"""),"cancelled")</f>
        <v>cancelled</v>
      </c>
      <c r="E781" s="763" t="str">
        <f>IFERROR(__xludf.DUMMYFUNCTION("""COMPUTED_VALUE"""),"ago")</f>
        <v>ago</v>
      </c>
      <c r="F781" s="763" t="str">
        <f>IFERROR(__xludf.DUMMYFUNCTION("""COMPUTED_VALUE"""),"genc")</f>
        <v>genc</v>
      </c>
      <c r="G781" s="763" t="str">
        <f>IFERROR(__xludf.DUMMYFUNCTION("""COMPUTED_VALUE"""),"ago@agogo.it")</f>
        <v>ago@agogo.it</v>
      </c>
      <c r="H781" s="763">
        <f>IFERROR(__xludf.DUMMYFUNCTION("""COMPUTED_VALUE"""),3.356385854E9)</f>
        <v>3356385854</v>
      </c>
      <c r="I781" s="763" t="str">
        <f>IFERROR(__xludf.DUMMYFUNCTION("""COMPUTED_VALUE"""),"Bresso")</f>
        <v>Bresso</v>
      </c>
      <c r="J781" s="763" t="str">
        <f>IFERROR(__xludf.DUMMYFUNCTION("""COMPUTED_VALUE"""),"Via Aldo villa 16")</f>
        <v>Via Aldo villa 16</v>
      </c>
      <c r="K781" s="763">
        <f>IFERROR(__xludf.DUMMYFUNCTION("""COMPUTED_VALUE"""),20900.0)</f>
        <v>20900</v>
      </c>
      <c r="L781" s="763" t="str">
        <f>IFERROR(__xludf.DUMMYFUNCTION("""COMPUTED_VALUE"""),"Satispay")</f>
        <v>Satispay</v>
      </c>
      <c r="M781" s="763"/>
      <c r="N781" s="763" t="str">
        <f>IFERROR(__xludf.DUMMYFUNCTION("""COMPUTED_VALUE"""),"019b3179-c18b-70fb-87fb-4c821f4d63ab")</f>
        <v>019b3179-c18b-70fb-87fb-4c821f4d63ab</v>
      </c>
      <c r="O781" s="763">
        <f>IFERROR(__xludf.DUMMYFUNCTION("""COMPUTED_VALUE"""),0.0)</f>
        <v>0</v>
      </c>
      <c r="P781" s="767">
        <f>IFERROR(__xludf.DUMMYFUNCTION("""COMPUTED_VALUE"""),3.75)</f>
        <v>3.75</v>
      </c>
      <c r="Q781" s="763" t="str">
        <f>IFERROR(__xludf.DUMMYFUNCTION("""COMPUTED_VALUE"""),"EUR")</f>
        <v>EUR</v>
      </c>
      <c r="R781" s="763">
        <f>IFERROR(__xludf.DUMMYFUNCTION("""COMPUTED_VALUE"""),1433.0)</f>
        <v>1433</v>
      </c>
      <c r="S781" s="763" t="str">
        <f>IFERROR(__xludf.DUMMYFUNCTION("""COMPUTED_VALUE"""),"Workshop Hip Hop Emanuel Lo 2026 - Workshop Emanuel Lo 2 febbraio 2026")</f>
        <v>Workshop Hip Hop Emanuel Lo 2026 - Workshop Emanuel Lo 2 febbraio 2026</v>
      </c>
      <c r="T781" s="763"/>
      <c r="U781" s="763"/>
      <c r="V781" s="763">
        <f>IFERROR(__xludf.DUMMYFUNCTION("""COMPUTED_VALUE"""),2.0)</f>
        <v>2</v>
      </c>
      <c r="W781" s="763">
        <f>IFERROR(__xludf.DUMMYFUNCTION("""COMPUTED_VALUE"""),45.0)</f>
        <v>45</v>
      </c>
      <c r="X781" s="763">
        <f>IFERROR(__xludf.DUMMYFUNCTION("""COMPUTED_VALUE"""),90.0)</f>
        <v>90</v>
      </c>
      <c r="Y781" s="763"/>
      <c r="Z781" s="768" t="str">
        <f>IFERROR(__xludf.DUMMYFUNCTION("""COMPUTED_VALUE"""),"https://studio-gem.it/wp-admin/post.php?post=66994&amp;action=edit")</f>
        <v>https://studio-gem.it/wp-admin/post.php?post=66994&amp;action=edit</v>
      </c>
      <c r="AA781" s="763"/>
      <c r="AB781" s="763"/>
      <c r="AC781" s="763"/>
      <c r="AD781" s="763"/>
      <c r="AE781" s="763"/>
      <c r="AF781" s="763"/>
      <c r="AG781" s="763"/>
      <c r="AH781" s="763"/>
      <c r="AI781" s="763"/>
      <c r="AJ781" s="763"/>
      <c r="AK781" s="763"/>
      <c r="AL781" s="763"/>
      <c r="AM781" s="763"/>
      <c r="AN781" s="763"/>
      <c r="AO781" s="763"/>
      <c r="AP781" s="763"/>
      <c r="AQ781" s="763"/>
      <c r="AR781" s="763"/>
      <c r="AS781" s="763"/>
      <c r="AT781" s="763"/>
      <c r="AU781" s="763"/>
      <c r="AV781" s="763"/>
      <c r="AW781" s="763"/>
      <c r="AX781" s="763"/>
      <c r="AY781" s="763"/>
      <c r="AZ781" s="763"/>
      <c r="BA781" s="763"/>
      <c r="BB781" s="763"/>
      <c r="BC781" s="763"/>
      <c r="BD781" s="763"/>
      <c r="BE781" s="763"/>
      <c r="BF781" s="763"/>
      <c r="BG781" s="763" t="b">
        <f>IFERROR(__xludf.DUMMYFUNCTION("""COMPUTED_VALUE"""),FALSE)</f>
        <v>0</v>
      </c>
      <c r="BH781" s="763" t="b">
        <f>IFERROR(__xludf.DUMMYFUNCTION("""COMPUTED_VALUE"""),FALSE)</f>
        <v>0</v>
      </c>
      <c r="BI781" s="763" t="b">
        <f>IFERROR(__xludf.DUMMYFUNCTION("""COMPUTED_VALUE"""),FALSE)</f>
        <v>0</v>
      </c>
      <c r="BJ781" s="763" t="b">
        <f>IFERROR(__xludf.DUMMYFUNCTION("""COMPUTED_VALUE"""),FALSE)</f>
        <v>0</v>
      </c>
    </row>
    <row r="782">
      <c r="A782" s="763">
        <f>IFERROR(__xludf.DUMMYFUNCTION("""COMPUTED_VALUE"""),67017.0)</f>
        <v>67017</v>
      </c>
      <c r="B782" s="763">
        <f>IFERROR(__xludf.DUMMYFUNCTION("""COMPUTED_VALUE"""),67017.0)</f>
        <v>67017</v>
      </c>
      <c r="C782" s="763" t="str">
        <f>IFERROR(__xludf.DUMMYFUNCTION("""COMPUTED_VALUE"""),"2025-12-18 14:39:52")</f>
        <v>2025-12-18 14:39:52</v>
      </c>
      <c r="D782" s="763" t="str">
        <f>IFERROR(__xludf.DUMMYFUNCTION("""COMPUTED_VALUE"""),"pending")</f>
        <v>pending</v>
      </c>
      <c r="E782" s="763" t="str">
        <f>IFERROR(__xludf.DUMMYFUNCTION("""COMPUTED_VALUE"""),"Sonia")</f>
        <v>Sonia</v>
      </c>
      <c r="F782" s="763" t="str">
        <f>IFERROR(__xludf.DUMMYFUNCTION("""COMPUTED_VALUE"""),"Mazzucca")</f>
        <v>Mazzucca</v>
      </c>
      <c r="G782" s="763" t="str">
        <f>IFERROR(__xludf.DUMMYFUNCTION("""COMPUTED_VALUE"""),"soniamazzucca@tiscali.it")</f>
        <v>soniamazzucca@tiscali.it</v>
      </c>
      <c r="H782" s="763">
        <f>IFERROR(__xludf.DUMMYFUNCTION("""COMPUTED_VALUE"""),3.398561783E9)</f>
        <v>3398561783</v>
      </c>
      <c r="I782" s="763" t="str">
        <f>IFERROR(__xludf.DUMMYFUNCTION("""COMPUTED_VALUE"""),"Rosate")</f>
        <v>Rosate</v>
      </c>
      <c r="J782" s="763" t="str">
        <f>IFERROR(__xludf.DUMMYFUNCTION("""COMPUTED_VALUE"""),"Via Giuseppe Mazzini 6")</f>
        <v>Via Giuseppe Mazzini 6</v>
      </c>
      <c r="K782" s="763">
        <f>IFERROR(__xludf.DUMMYFUNCTION("""COMPUTED_VALUE"""),20088.0)</f>
        <v>20088</v>
      </c>
      <c r="L782" s="763" t="str">
        <f>IFERROR(__xludf.DUMMYFUNCTION("""COMPUTED_VALUE"""),"Carte di pagamento")</f>
        <v>Carte di pagamento</v>
      </c>
      <c r="M782" s="763"/>
      <c r="N782" s="763"/>
      <c r="O782" s="763">
        <f>IFERROR(__xludf.DUMMYFUNCTION("""COMPUTED_VALUE"""),0.0)</f>
        <v>0</v>
      </c>
      <c r="P782" s="767">
        <f>IFERROR(__xludf.DUMMYFUNCTION("""COMPUTED_VALUE"""),1.875)</f>
        <v>1.875</v>
      </c>
      <c r="Q782" s="763" t="str">
        <f>IFERROR(__xludf.DUMMYFUNCTION("""COMPUTED_VALUE"""),"EUR")</f>
        <v>EUR</v>
      </c>
      <c r="R782" s="763">
        <f>IFERROR(__xludf.DUMMYFUNCTION("""COMPUTED_VALUE"""),1434.0)</f>
        <v>1434</v>
      </c>
      <c r="S782" s="763" t="str">
        <f>IFERROR(__xludf.DUMMYFUNCTION("""COMPUTED_VALUE"""),"Workshop Hip Hop Emanuel Lo 2026 - Workshop Emanuel Lo 2 febbraio 2026")</f>
        <v>Workshop Hip Hop Emanuel Lo 2026 - Workshop Emanuel Lo 2 febbraio 2026</v>
      </c>
      <c r="T782" s="763"/>
      <c r="U782" s="763"/>
      <c r="V782" s="763">
        <f>IFERROR(__xludf.DUMMYFUNCTION("""COMPUTED_VALUE"""),1.0)</f>
        <v>1</v>
      </c>
      <c r="W782" s="763">
        <f>IFERROR(__xludf.DUMMYFUNCTION("""COMPUTED_VALUE"""),45.0)</f>
        <v>45</v>
      </c>
      <c r="X782" s="763">
        <f>IFERROR(__xludf.DUMMYFUNCTION("""COMPUTED_VALUE"""),45.0)</f>
        <v>45</v>
      </c>
      <c r="Y782" s="763"/>
      <c r="Z782" s="768" t="str">
        <f>IFERROR(__xludf.DUMMYFUNCTION("""COMPUTED_VALUE"""),"https://studio-gem.it/wp-admin/post.php?post=67017&amp;action=edit")</f>
        <v>https://studio-gem.it/wp-admin/post.php?post=67017&amp;action=edit</v>
      </c>
      <c r="AA782" s="763"/>
      <c r="AB782" s="763"/>
      <c r="AC782" s="763"/>
      <c r="AD782" s="763"/>
      <c r="AE782" s="763"/>
      <c r="AF782" s="763"/>
      <c r="AG782" s="763"/>
      <c r="AH782" s="763"/>
      <c r="AI782" s="763"/>
      <c r="AJ782" s="763"/>
      <c r="AK782" s="763"/>
      <c r="AL782" s="763"/>
      <c r="AM782" s="763"/>
      <c r="AN782" s="763"/>
      <c r="AO782" s="763"/>
      <c r="AP782" s="763"/>
      <c r="AQ782" s="763"/>
      <c r="AR782" s="763"/>
      <c r="AS782" s="763"/>
      <c r="AT782" s="763"/>
      <c r="AU782" s="763"/>
      <c r="AV782" s="763"/>
      <c r="AW782" s="763"/>
      <c r="AX782" s="763"/>
      <c r="AY782" s="763"/>
      <c r="AZ782" s="763"/>
      <c r="BA782" s="763"/>
      <c r="BB782" s="763"/>
      <c r="BC782" s="763"/>
      <c r="BD782" s="763"/>
      <c r="BE782" s="763"/>
      <c r="BF782" s="763"/>
      <c r="BG782" s="763" t="b">
        <f>IFERROR(__xludf.DUMMYFUNCTION("""COMPUTED_VALUE"""),FALSE)</f>
        <v>0</v>
      </c>
      <c r="BH782" s="763" t="b">
        <f>IFERROR(__xludf.DUMMYFUNCTION("""COMPUTED_VALUE"""),FALSE)</f>
        <v>0</v>
      </c>
      <c r="BI782" s="763" t="b">
        <f>IFERROR(__xludf.DUMMYFUNCTION("""COMPUTED_VALUE"""),FALSE)</f>
        <v>0</v>
      </c>
      <c r="BJ782" s="763" t="b">
        <f>IFERROR(__xludf.DUMMYFUNCTION("""COMPUTED_VALUE"""),FALSE)</f>
        <v>0</v>
      </c>
    </row>
    <row r="783">
      <c r="A783" s="763">
        <f>IFERROR(__xludf.DUMMYFUNCTION("""COMPUTED_VALUE"""),67018.0)</f>
        <v>67018</v>
      </c>
      <c r="B783" s="763">
        <f>IFERROR(__xludf.DUMMYFUNCTION("""COMPUTED_VALUE"""),67018.0)</f>
        <v>67018</v>
      </c>
      <c r="C783" s="763" t="str">
        <f>IFERROR(__xludf.DUMMYFUNCTION("""COMPUTED_VALUE"""),"2025-12-18 18:14:38")</f>
        <v>2025-12-18 18:14:38</v>
      </c>
      <c r="D783" s="763" t="str">
        <f>IFERROR(__xludf.DUMMYFUNCTION("""COMPUTED_VALUE"""),"cancelled")</f>
        <v>cancelled</v>
      </c>
      <c r="E783" s="763" t="str">
        <f>IFERROR(__xludf.DUMMYFUNCTION("""COMPUTED_VALUE"""),"ago")</f>
        <v>ago</v>
      </c>
      <c r="F783" s="763" t="str">
        <f>IFERROR(__xludf.DUMMYFUNCTION("""COMPUTED_VALUE"""),"genc")</f>
        <v>genc</v>
      </c>
      <c r="G783" s="763" t="str">
        <f>IFERROR(__xludf.DUMMYFUNCTION("""COMPUTED_VALUE"""),"ago@agogo.it")</f>
        <v>ago@agogo.it</v>
      </c>
      <c r="H783" s="763">
        <f>IFERROR(__xludf.DUMMYFUNCTION("""COMPUTED_VALUE"""),3.356385854E9)</f>
        <v>3356385854</v>
      </c>
      <c r="I783" s="763" t="str">
        <f>IFERROR(__xludf.DUMMYFUNCTION("""COMPUTED_VALUE"""),"Bresso")</f>
        <v>Bresso</v>
      </c>
      <c r="J783" s="763" t="str">
        <f>IFERROR(__xludf.DUMMYFUNCTION("""COMPUTED_VALUE"""),"Via Aldo villa 16")</f>
        <v>Via Aldo villa 16</v>
      </c>
      <c r="K783" s="763">
        <f>IFERROR(__xludf.DUMMYFUNCTION("""COMPUTED_VALUE"""),20900.0)</f>
        <v>20900</v>
      </c>
      <c r="L783" s="763" t="str">
        <f>IFERROR(__xludf.DUMMYFUNCTION("""COMPUTED_VALUE"""),"Scalapay - Pay in 3")</f>
        <v>Scalapay - Pay in 3</v>
      </c>
      <c r="M783" s="763"/>
      <c r="N783" s="763"/>
      <c r="O783" s="763">
        <f>IFERROR(__xludf.DUMMYFUNCTION("""COMPUTED_VALUE"""),0.0)</f>
        <v>0</v>
      </c>
      <c r="P783" s="767">
        <f>IFERROR(__xludf.DUMMYFUNCTION("""COMPUTED_VALUE"""),4.375)</f>
        <v>4.375</v>
      </c>
      <c r="Q783" s="763" t="str">
        <f>IFERROR(__xludf.DUMMYFUNCTION("""COMPUTED_VALUE"""),"EUR")</f>
        <v>EUR</v>
      </c>
      <c r="R783" s="763">
        <f>IFERROR(__xludf.DUMMYFUNCTION("""COMPUTED_VALUE"""),1435.0)</f>
        <v>1435</v>
      </c>
      <c r="S783" s="763" t="str">
        <f>IFERROR(__xludf.DUMMYFUNCTION("""COMPUTED_VALUE"""),"Workshop Hip Hop Emanuel Lo 2026 - Workshop Emanuel Lo 2 febbraio 2026")</f>
        <v>Workshop Hip Hop Emanuel Lo 2026 - Workshop Emanuel Lo 2 febbraio 2026</v>
      </c>
      <c r="T783" s="763"/>
      <c r="U783" s="763"/>
      <c r="V783" s="763">
        <f>IFERROR(__xludf.DUMMYFUNCTION("""COMPUTED_VALUE"""),2.0)</f>
        <v>2</v>
      </c>
      <c r="W783" s="763">
        <f>IFERROR(__xludf.DUMMYFUNCTION("""COMPUTED_VALUE"""),45.0)</f>
        <v>45</v>
      </c>
      <c r="X783" s="763">
        <f>IFERROR(__xludf.DUMMYFUNCTION("""COMPUTED_VALUE"""),90.0)</f>
        <v>90</v>
      </c>
      <c r="Y783" s="763"/>
      <c r="Z783" s="768" t="str">
        <f>IFERROR(__xludf.DUMMYFUNCTION("""COMPUTED_VALUE"""),"https://studio-gem.it/wp-admin/post.php?post=67018&amp;action=edit")</f>
        <v>https://studio-gem.it/wp-admin/post.php?post=67018&amp;action=edit</v>
      </c>
      <c r="AA783" s="763"/>
      <c r="AB783" s="763"/>
      <c r="AC783" s="763"/>
      <c r="AD783" s="763"/>
      <c r="AE783" s="763"/>
      <c r="AF783" s="763"/>
      <c r="AG783" s="763"/>
      <c r="AH783" s="763"/>
      <c r="AI783" s="763"/>
      <c r="AJ783" s="763"/>
      <c r="AK783" s="763"/>
      <c r="AL783" s="763"/>
      <c r="AM783" s="763"/>
      <c r="AN783" s="763"/>
      <c r="AO783" s="763"/>
      <c r="AP783" s="763"/>
      <c r="AQ783" s="763"/>
      <c r="AR783" s="763"/>
      <c r="AS783" s="763"/>
      <c r="AT783" s="763"/>
      <c r="AU783" s="763"/>
      <c r="AV783" s="763"/>
      <c r="AW783" s="763"/>
      <c r="AX783" s="763"/>
      <c r="AY783" s="763"/>
      <c r="AZ783" s="763"/>
      <c r="BA783" s="763"/>
      <c r="BB783" s="763"/>
      <c r="BC783" s="763"/>
      <c r="BD783" s="763"/>
      <c r="BE783" s="763"/>
      <c r="BF783" s="763"/>
      <c r="BG783" s="763" t="b">
        <f>IFERROR(__xludf.DUMMYFUNCTION("""COMPUTED_VALUE"""),FALSE)</f>
        <v>0</v>
      </c>
      <c r="BH783" s="763" t="b">
        <f>IFERROR(__xludf.DUMMYFUNCTION("""COMPUTED_VALUE"""),FALSE)</f>
        <v>0</v>
      </c>
      <c r="BI783" s="763" t="b">
        <f>IFERROR(__xludf.DUMMYFUNCTION("""COMPUTED_VALUE"""),FALSE)</f>
        <v>0</v>
      </c>
      <c r="BJ783" s="763" t="b">
        <f>IFERROR(__xludf.DUMMYFUNCTION("""COMPUTED_VALUE"""),FALSE)</f>
        <v>0</v>
      </c>
    </row>
    <row r="784">
      <c r="A784" s="763">
        <f>IFERROR(__xludf.DUMMYFUNCTION("""COMPUTED_VALUE"""),67018.0)</f>
        <v>67018</v>
      </c>
      <c r="B784" s="763">
        <f>IFERROR(__xludf.DUMMYFUNCTION("""COMPUTED_VALUE"""),67018.0)</f>
        <v>67018</v>
      </c>
      <c r="C784" s="763" t="str">
        <f>IFERROR(__xludf.DUMMYFUNCTION("""COMPUTED_VALUE"""),"2025-12-18 18:14:38")</f>
        <v>2025-12-18 18:14:38</v>
      </c>
      <c r="D784" s="763" t="str">
        <f>IFERROR(__xludf.DUMMYFUNCTION("""COMPUTED_VALUE"""),"cancelled")</f>
        <v>cancelled</v>
      </c>
      <c r="E784" s="763" t="str">
        <f>IFERROR(__xludf.DUMMYFUNCTION("""COMPUTED_VALUE"""),"ago")</f>
        <v>ago</v>
      </c>
      <c r="F784" s="763" t="str">
        <f>IFERROR(__xludf.DUMMYFUNCTION("""COMPUTED_VALUE"""),"genc")</f>
        <v>genc</v>
      </c>
      <c r="G784" s="763" t="str">
        <f>IFERROR(__xludf.DUMMYFUNCTION("""COMPUTED_VALUE"""),"ago@agogo.it")</f>
        <v>ago@agogo.it</v>
      </c>
      <c r="H784" s="763">
        <f>IFERROR(__xludf.DUMMYFUNCTION("""COMPUTED_VALUE"""),3.356385854E9)</f>
        <v>3356385854</v>
      </c>
      <c r="I784" s="763" t="str">
        <f>IFERROR(__xludf.DUMMYFUNCTION("""COMPUTED_VALUE"""),"Bresso")</f>
        <v>Bresso</v>
      </c>
      <c r="J784" s="763" t="str">
        <f>IFERROR(__xludf.DUMMYFUNCTION("""COMPUTED_VALUE"""),"Via Aldo villa 16")</f>
        <v>Via Aldo villa 16</v>
      </c>
      <c r="K784" s="763">
        <f>IFERROR(__xludf.DUMMYFUNCTION("""COMPUTED_VALUE"""),20900.0)</f>
        <v>20900</v>
      </c>
      <c r="L784" s="763" t="str">
        <f>IFERROR(__xludf.DUMMYFUNCTION("""COMPUTED_VALUE"""),"Scalapay - Pay in 3")</f>
        <v>Scalapay - Pay in 3</v>
      </c>
      <c r="M784" s="763"/>
      <c r="N784" s="763"/>
      <c r="O784" s="763">
        <f>IFERROR(__xludf.DUMMYFUNCTION("""COMPUTED_VALUE"""),0.0)</f>
        <v>0</v>
      </c>
      <c r="P784" s="767">
        <f>IFERROR(__xludf.DUMMYFUNCTION("""COMPUTED_VALUE"""),4.375)</f>
        <v>4.375</v>
      </c>
      <c r="Q784" s="763" t="str">
        <f>IFERROR(__xludf.DUMMYFUNCTION("""COMPUTED_VALUE"""),"EUR")</f>
        <v>EUR</v>
      </c>
      <c r="R784" s="763">
        <f>IFERROR(__xludf.DUMMYFUNCTION("""COMPUTED_VALUE"""),1436.0)</f>
        <v>1436</v>
      </c>
      <c r="S784" s="763" t="str">
        <f>IFERROR(__xludf.DUMMYFUNCTION("""COMPUTED_VALUE"""),"Domeniche in movimento - 1 lezione - Dalle 11 alle 11.50 con Dorian Kuqi €15")</f>
        <v>Domeniche in movimento - 1 lezione - Dalle 11 alle 11.50 con Dorian Kuqi €15</v>
      </c>
      <c r="T784" s="763"/>
      <c r="U784" s="763"/>
      <c r="V784" s="763">
        <f>IFERROR(__xludf.DUMMYFUNCTION("""COMPUTED_VALUE"""),1.0)</f>
        <v>1</v>
      </c>
      <c r="W784" s="763">
        <f>IFERROR(__xludf.DUMMYFUNCTION("""COMPUTED_VALUE"""),15.0)</f>
        <v>15</v>
      </c>
      <c r="X784" s="763">
        <f>IFERROR(__xludf.DUMMYFUNCTION("""COMPUTED_VALUE"""),15.0)</f>
        <v>15</v>
      </c>
      <c r="Y784" s="763"/>
      <c r="Z784" s="768" t="str">
        <f>IFERROR(__xludf.DUMMYFUNCTION("""COMPUTED_VALUE"""),"https://studio-gem.it/wp-admin/post.php?post=67018&amp;action=edit")</f>
        <v>https://studio-gem.it/wp-admin/post.php?post=67018&amp;action=edit</v>
      </c>
      <c r="AA784" s="763"/>
      <c r="AB784" s="763"/>
      <c r="AC784" s="763"/>
      <c r="AD784" s="763"/>
      <c r="AE784" s="763"/>
      <c r="AF784" s="763"/>
      <c r="AG784" s="763"/>
      <c r="AH784" s="763"/>
      <c r="AI784" s="763"/>
      <c r="AJ784" s="763"/>
      <c r="AK784" s="763"/>
      <c r="AL784" s="763"/>
      <c r="AM784" s="763"/>
      <c r="AN784" s="763"/>
      <c r="AO784" s="763"/>
      <c r="AP784" s="763"/>
      <c r="AQ784" s="763"/>
      <c r="AR784" s="763"/>
      <c r="AS784" s="763"/>
      <c r="AT784" s="763"/>
      <c r="AU784" s="763"/>
      <c r="AV784" s="763"/>
      <c r="AW784" s="763"/>
      <c r="AX784" s="763"/>
      <c r="AY784" s="763"/>
      <c r="AZ784" s="763"/>
      <c r="BA784" s="763"/>
      <c r="BB784" s="763"/>
      <c r="BC784" s="763"/>
      <c r="BD784" s="763"/>
      <c r="BE784" s="763"/>
      <c r="BF784" s="763"/>
      <c r="BG784" s="763" t="b">
        <f>IFERROR(__xludf.DUMMYFUNCTION("""COMPUTED_VALUE"""),FALSE)</f>
        <v>0</v>
      </c>
      <c r="BH784" s="763" t="b">
        <f>IFERROR(__xludf.DUMMYFUNCTION("""COMPUTED_VALUE"""),FALSE)</f>
        <v>0</v>
      </c>
      <c r="BI784" s="763" t="b">
        <f>IFERROR(__xludf.DUMMYFUNCTION("""COMPUTED_VALUE"""),FALSE)</f>
        <v>0</v>
      </c>
      <c r="BJ784" s="763" t="b">
        <f>IFERROR(__xludf.DUMMYFUNCTION("""COMPUTED_VALUE"""),FALSE)</f>
        <v>0</v>
      </c>
    </row>
    <row r="785">
      <c r="A785" s="763">
        <f>IFERROR(__xludf.DUMMYFUNCTION("""COMPUTED_VALUE"""),67037.0)</f>
        <v>67037</v>
      </c>
      <c r="B785" s="763">
        <f>IFERROR(__xludf.DUMMYFUNCTION("""COMPUTED_VALUE"""),67037.0)</f>
        <v>67037</v>
      </c>
      <c r="C785" s="763" t="str">
        <f>IFERROR(__xludf.DUMMYFUNCTION("""COMPUTED_VALUE"""),"2025-12-19 17:04:48")</f>
        <v>2025-12-19 17:04:48</v>
      </c>
      <c r="D785" s="763" t="str">
        <f>IFERROR(__xludf.DUMMYFUNCTION("""COMPUTED_VALUE"""),"pending")</f>
        <v>pending</v>
      </c>
      <c r="E785" s="763" t="str">
        <f>IFERROR(__xludf.DUMMYFUNCTION("""COMPUTED_VALUE"""),"Linda")</f>
        <v>Linda</v>
      </c>
      <c r="F785" s="763" t="str">
        <f>IFERROR(__xludf.DUMMYFUNCTION("""COMPUTED_VALUE"""),"Micheli")</f>
        <v>Micheli</v>
      </c>
      <c r="G785" s="763" t="str">
        <f>IFERROR(__xludf.DUMMYFUNCTION("""COMPUTED_VALUE"""),"lindamicheli@icloud.com")</f>
        <v>lindamicheli@icloud.com</v>
      </c>
      <c r="H785" s="763">
        <f>IFERROR(__xludf.DUMMYFUNCTION("""COMPUTED_VALUE"""),3.317286206E9)</f>
        <v>3317286206</v>
      </c>
      <c r="I785" s="763" t="str">
        <f>IFERROR(__xludf.DUMMYFUNCTION("""COMPUTED_VALUE"""),"Cavacurta")</f>
        <v>Cavacurta</v>
      </c>
      <c r="J785" s="763" t="str">
        <f>IFERROR(__xludf.DUMMYFUNCTION("""COMPUTED_VALUE"""),"Via Don Giuseppe Sfondrini 3")</f>
        <v>Via Don Giuseppe Sfondrini 3</v>
      </c>
      <c r="K785" s="763">
        <f>IFERROR(__xludf.DUMMYFUNCTION("""COMPUTED_VALUE"""),26844.0)</f>
        <v>26844</v>
      </c>
      <c r="L785" s="763" t="str">
        <f>IFERROR(__xludf.DUMMYFUNCTION("""COMPUTED_VALUE"""),"Apple Pay")</f>
        <v>Apple Pay</v>
      </c>
      <c r="M785" s="763"/>
      <c r="N785" s="763"/>
      <c r="O785" s="763">
        <f>IFERROR(__xludf.DUMMYFUNCTION("""COMPUTED_VALUE"""),0.0)</f>
        <v>0</v>
      </c>
      <c r="P785" s="767">
        <f>IFERROR(__xludf.DUMMYFUNCTION("""COMPUTED_VALUE"""),1.5416666666666667)</f>
        <v>1.541666667</v>
      </c>
      <c r="Q785" s="763" t="str">
        <f>IFERROR(__xludf.DUMMYFUNCTION("""COMPUTED_VALUE"""),"EUR")</f>
        <v>EUR</v>
      </c>
      <c r="R785" s="763">
        <f>IFERROR(__xludf.DUMMYFUNCTION("""COMPUTED_VALUE"""),1437.0)</f>
        <v>1437</v>
      </c>
      <c r="S785" s="763" t="str">
        <f>IFERROR(__xludf.DUMMYFUNCTION("""COMPUTED_VALUE"""),"Workshop Urban Alessio Cavaliere 2026 - Workshop Alessio Cavaliere 1 febbraio 2026")</f>
        <v>Workshop Urban Alessio Cavaliere 2026 - Workshop Alessio Cavaliere 1 febbraio 2026</v>
      </c>
      <c r="T785" s="763"/>
      <c r="U785" s="763"/>
      <c r="V785" s="763">
        <f>IFERROR(__xludf.DUMMYFUNCTION("""COMPUTED_VALUE"""),1.0)</f>
        <v>1</v>
      </c>
      <c r="W785" s="763">
        <f>IFERROR(__xludf.DUMMYFUNCTION("""COMPUTED_VALUE"""),37.0)</f>
        <v>37</v>
      </c>
      <c r="X785" s="763">
        <f>IFERROR(__xludf.DUMMYFUNCTION("""COMPUTED_VALUE"""),37.0)</f>
        <v>37</v>
      </c>
      <c r="Y785" s="763"/>
      <c r="Z785" s="768" t="str">
        <f>IFERROR(__xludf.DUMMYFUNCTION("""COMPUTED_VALUE"""),"https://studio-gem.it/wp-admin/post.php?post=67037&amp;action=edit")</f>
        <v>https://studio-gem.it/wp-admin/post.php?post=67037&amp;action=edit</v>
      </c>
      <c r="AA785" s="763"/>
      <c r="AB785" s="763"/>
      <c r="AC785" s="763"/>
      <c r="AD785" s="763"/>
      <c r="AE785" s="763"/>
      <c r="AF785" s="763"/>
      <c r="AG785" s="763"/>
      <c r="AH785" s="763"/>
      <c r="AI785" s="763"/>
      <c r="AJ785" s="763"/>
      <c r="AK785" s="763"/>
      <c r="AL785" s="763"/>
      <c r="AM785" s="763"/>
      <c r="AN785" s="763"/>
      <c r="AO785" s="763"/>
      <c r="AP785" s="763"/>
      <c r="AQ785" s="763"/>
      <c r="AR785" s="763"/>
      <c r="AS785" s="763"/>
      <c r="AT785" s="763"/>
      <c r="AU785" s="763"/>
      <c r="AV785" s="763"/>
      <c r="AW785" s="763"/>
      <c r="AX785" s="763"/>
      <c r="AY785" s="763"/>
      <c r="AZ785" s="763"/>
      <c r="BA785" s="763"/>
      <c r="BB785" s="763"/>
      <c r="BC785" s="763"/>
      <c r="BD785" s="763"/>
      <c r="BE785" s="763"/>
      <c r="BF785" s="763"/>
      <c r="BG785" s="763" t="b">
        <f>IFERROR(__xludf.DUMMYFUNCTION("""COMPUTED_VALUE"""),FALSE)</f>
        <v>0</v>
      </c>
      <c r="BH785" s="763" t="b">
        <f>IFERROR(__xludf.DUMMYFUNCTION("""COMPUTED_VALUE"""),FALSE)</f>
        <v>0</v>
      </c>
      <c r="BI785" s="763" t="b">
        <f>IFERROR(__xludf.DUMMYFUNCTION("""COMPUTED_VALUE"""),FALSE)</f>
        <v>0</v>
      </c>
      <c r="BJ785" s="763" t="b">
        <f>IFERROR(__xludf.DUMMYFUNCTION("""COMPUTED_VALUE"""),FALSE)</f>
        <v>0</v>
      </c>
    </row>
    <row r="786">
      <c r="A786" s="763">
        <f>IFERROR(__xludf.DUMMYFUNCTION("""COMPUTED_VALUE"""),67038.0)</f>
        <v>67038</v>
      </c>
      <c r="B786" s="763">
        <f>IFERROR(__xludf.DUMMYFUNCTION("""COMPUTED_VALUE"""),67038.0)</f>
        <v>67038</v>
      </c>
      <c r="C786" s="763" t="str">
        <f>IFERROR(__xludf.DUMMYFUNCTION("""COMPUTED_VALUE"""),"2025-12-19 17:09:44")</f>
        <v>2025-12-19 17:09:44</v>
      </c>
      <c r="D786" s="763" t="str">
        <f>IFERROR(__xludf.DUMMYFUNCTION("""COMPUTED_VALUE"""),"pending")</f>
        <v>pending</v>
      </c>
      <c r="E786" s="763" t="str">
        <f>IFERROR(__xludf.DUMMYFUNCTION("""COMPUTED_VALUE"""),"Linda")</f>
        <v>Linda</v>
      </c>
      <c r="F786" s="763" t="str">
        <f>IFERROR(__xludf.DUMMYFUNCTION("""COMPUTED_VALUE"""),"Micheli")</f>
        <v>Micheli</v>
      </c>
      <c r="G786" s="763" t="str">
        <f>IFERROR(__xludf.DUMMYFUNCTION("""COMPUTED_VALUE"""),"lindamicheli@icloud.com")</f>
        <v>lindamicheli@icloud.com</v>
      </c>
      <c r="H786" s="763">
        <f>IFERROR(__xludf.DUMMYFUNCTION("""COMPUTED_VALUE"""),3.317286206E9)</f>
        <v>3317286206</v>
      </c>
      <c r="I786" s="763" t="str">
        <f>IFERROR(__xludf.DUMMYFUNCTION("""COMPUTED_VALUE"""),"Cavacurta")</f>
        <v>Cavacurta</v>
      </c>
      <c r="J786" s="763" t="str">
        <f>IFERROR(__xludf.DUMMYFUNCTION("""COMPUTED_VALUE"""),"Via Don Giuseppe Sfondrini 3")</f>
        <v>Via Don Giuseppe Sfondrini 3</v>
      </c>
      <c r="K786" s="763">
        <f>IFERROR(__xludf.DUMMYFUNCTION("""COMPUTED_VALUE"""),26844.0)</f>
        <v>26844</v>
      </c>
      <c r="L786" s="763" t="str">
        <f>IFERROR(__xludf.DUMMYFUNCTION("""COMPUTED_VALUE"""),"Carte di pagamento")</f>
        <v>Carte di pagamento</v>
      </c>
      <c r="M786" s="763" t="str">
        <f>IFERROR(__xludf.DUMMYFUNCTION("""COMPUTED_VALUE"""),"nura02ws")</f>
        <v>nura02ws</v>
      </c>
      <c r="N786" s="763"/>
      <c r="O786" s="763">
        <f>IFERROR(__xludf.DUMMYFUNCTION("""COMPUTED_VALUE"""),0.0)</f>
        <v>0</v>
      </c>
      <c r="P786" s="767">
        <f>IFERROR(__xludf.DUMMYFUNCTION("""COMPUTED_VALUE"""),1.4583333333333333)</f>
        <v>1.458333333</v>
      </c>
      <c r="Q786" s="763" t="str">
        <f>IFERROR(__xludf.DUMMYFUNCTION("""COMPUTED_VALUE"""),"EUR")</f>
        <v>EUR</v>
      </c>
      <c r="R786" s="763">
        <f>IFERROR(__xludf.DUMMYFUNCTION("""COMPUTED_VALUE"""),1438.0)</f>
        <v>1438</v>
      </c>
      <c r="S786" s="763" t="str">
        <f>IFERROR(__xludf.DUMMYFUNCTION("""COMPUTED_VALUE"""),"Workshop Urban Alessio Cavaliere 2026 - Workshop Alessio Cavaliere 1 febbraio 2026")</f>
        <v>Workshop Urban Alessio Cavaliere 2026 - Workshop Alessio Cavaliere 1 febbraio 2026</v>
      </c>
      <c r="T786" s="763"/>
      <c r="U786" s="763"/>
      <c r="V786" s="763">
        <f>IFERROR(__xludf.DUMMYFUNCTION("""COMPUTED_VALUE"""),1.0)</f>
        <v>1</v>
      </c>
      <c r="W786" s="763">
        <f>IFERROR(__xludf.DUMMYFUNCTION("""COMPUTED_VALUE"""),35.0)</f>
        <v>35</v>
      </c>
      <c r="X786" s="763">
        <f>IFERROR(__xludf.DUMMYFUNCTION("""COMPUTED_VALUE"""),35.0)</f>
        <v>35</v>
      </c>
      <c r="Y786" s="763"/>
      <c r="Z786" s="768" t="str">
        <f>IFERROR(__xludf.DUMMYFUNCTION("""COMPUTED_VALUE"""),"https://studio-gem.it/wp-admin/post.php?post=67038&amp;action=edit")</f>
        <v>https://studio-gem.it/wp-admin/post.php?post=67038&amp;action=edit</v>
      </c>
      <c r="AA786" s="763"/>
      <c r="AB786" s="763"/>
      <c r="AC786" s="763"/>
      <c r="AD786" s="763"/>
      <c r="AE786" s="763"/>
      <c r="AF786" s="763"/>
      <c r="AG786" s="763"/>
      <c r="AH786" s="763"/>
      <c r="AI786" s="763"/>
      <c r="AJ786" s="763"/>
      <c r="AK786" s="763"/>
      <c r="AL786" s="763"/>
      <c r="AM786" s="763"/>
      <c r="AN786" s="763"/>
      <c r="AO786" s="763"/>
      <c r="AP786" s="763"/>
      <c r="AQ786" s="763"/>
      <c r="AR786" s="763"/>
      <c r="AS786" s="763"/>
      <c r="AT786" s="763"/>
      <c r="AU786" s="763"/>
      <c r="AV786" s="763"/>
      <c r="AW786" s="763"/>
      <c r="AX786" s="763"/>
      <c r="AY786" s="763"/>
      <c r="AZ786" s="763"/>
      <c r="BA786" s="763"/>
      <c r="BB786" s="763"/>
      <c r="BC786" s="763"/>
      <c r="BD786" s="763"/>
      <c r="BE786" s="763"/>
      <c r="BF786" s="763"/>
      <c r="BG786" s="763" t="b">
        <f>IFERROR(__xludf.DUMMYFUNCTION("""COMPUTED_VALUE"""),FALSE)</f>
        <v>0</v>
      </c>
      <c r="BH786" s="763" t="b">
        <f>IFERROR(__xludf.DUMMYFUNCTION("""COMPUTED_VALUE"""),FALSE)</f>
        <v>0</v>
      </c>
      <c r="BI786" s="763" t="b">
        <f>IFERROR(__xludf.DUMMYFUNCTION("""COMPUTED_VALUE"""),FALSE)</f>
        <v>0</v>
      </c>
      <c r="BJ786" s="763" t="b">
        <f>IFERROR(__xludf.DUMMYFUNCTION("""COMPUTED_VALUE"""),FALSE)</f>
        <v>0</v>
      </c>
    </row>
    <row r="787">
      <c r="A787" s="763">
        <f>IFERROR(__xludf.DUMMYFUNCTION("""COMPUTED_VALUE"""),67039.0)</f>
        <v>67039</v>
      </c>
      <c r="B787" s="763">
        <f>IFERROR(__xludf.DUMMYFUNCTION("""COMPUTED_VALUE"""),67039.0)</f>
        <v>67039</v>
      </c>
      <c r="C787" s="763" t="str">
        <f>IFERROR(__xludf.DUMMYFUNCTION("""COMPUTED_VALUE"""),"2025-12-19 17:13:52")</f>
        <v>2025-12-19 17:13:52</v>
      </c>
      <c r="D787" s="763" t="str">
        <f>IFERROR(__xludf.DUMMYFUNCTION("""COMPUTED_VALUE"""),"pending")</f>
        <v>pending</v>
      </c>
      <c r="E787" s="763" t="str">
        <f>IFERROR(__xludf.DUMMYFUNCTION("""COMPUTED_VALUE"""),"Linda")</f>
        <v>Linda</v>
      </c>
      <c r="F787" s="763" t="str">
        <f>IFERROR(__xludf.DUMMYFUNCTION("""COMPUTED_VALUE"""),"Micheli")</f>
        <v>Micheli</v>
      </c>
      <c r="G787" s="763" t="str">
        <f>IFERROR(__xludf.DUMMYFUNCTION("""COMPUTED_VALUE"""),"lindamicheli@icloud.com")</f>
        <v>lindamicheli@icloud.com</v>
      </c>
      <c r="H787" s="763">
        <f>IFERROR(__xludf.DUMMYFUNCTION("""COMPUTED_VALUE"""),3.317286206E9)</f>
        <v>3317286206</v>
      </c>
      <c r="I787" s="763" t="str">
        <f>IFERROR(__xludf.DUMMYFUNCTION("""COMPUTED_VALUE"""),"Cavacurta")</f>
        <v>Cavacurta</v>
      </c>
      <c r="J787" s="763" t="str">
        <f>IFERROR(__xludf.DUMMYFUNCTION("""COMPUTED_VALUE"""),"Via Don Giuseppe Sfondrini 3")</f>
        <v>Via Don Giuseppe Sfondrini 3</v>
      </c>
      <c r="K787" s="763">
        <f>IFERROR(__xludf.DUMMYFUNCTION("""COMPUTED_VALUE"""),26844.0)</f>
        <v>26844</v>
      </c>
      <c r="L787" s="763" t="str">
        <f>IFERROR(__xludf.DUMMYFUNCTION("""COMPUTED_VALUE"""),"Scalapay - Pay in 3")</f>
        <v>Scalapay - Pay in 3</v>
      </c>
      <c r="M787" s="763"/>
      <c r="N787" s="763"/>
      <c r="O787" s="763">
        <f>IFERROR(__xludf.DUMMYFUNCTION("""COMPUTED_VALUE"""),0.0)</f>
        <v>0</v>
      </c>
      <c r="P787" s="767">
        <f>IFERROR(__xludf.DUMMYFUNCTION("""COMPUTED_VALUE"""),1.5416666666666667)</f>
        <v>1.541666667</v>
      </c>
      <c r="Q787" s="763" t="str">
        <f>IFERROR(__xludf.DUMMYFUNCTION("""COMPUTED_VALUE"""),"EUR")</f>
        <v>EUR</v>
      </c>
      <c r="R787" s="763">
        <f>IFERROR(__xludf.DUMMYFUNCTION("""COMPUTED_VALUE"""),1440.0)</f>
        <v>1440</v>
      </c>
      <c r="S787" s="763" t="str">
        <f>IFERROR(__xludf.DUMMYFUNCTION("""COMPUTED_VALUE"""),"Workshop Urban Alessio Cavaliere 2026 - Workshop Alessio Cavaliere 1 febbraio 2026")</f>
        <v>Workshop Urban Alessio Cavaliere 2026 - Workshop Alessio Cavaliere 1 febbraio 2026</v>
      </c>
      <c r="T787" s="763"/>
      <c r="U787" s="763"/>
      <c r="V787" s="763">
        <f>IFERROR(__xludf.DUMMYFUNCTION("""COMPUTED_VALUE"""),1.0)</f>
        <v>1</v>
      </c>
      <c r="W787" s="763">
        <f>IFERROR(__xludf.DUMMYFUNCTION("""COMPUTED_VALUE"""),37.0)</f>
        <v>37</v>
      </c>
      <c r="X787" s="763">
        <f>IFERROR(__xludf.DUMMYFUNCTION("""COMPUTED_VALUE"""),37.0)</f>
        <v>37</v>
      </c>
      <c r="Y787" s="763"/>
      <c r="Z787" s="768" t="str">
        <f>IFERROR(__xludf.DUMMYFUNCTION("""COMPUTED_VALUE"""),"https://studio-gem.it/wp-admin/post.php?post=67039&amp;action=edit")</f>
        <v>https://studio-gem.it/wp-admin/post.php?post=67039&amp;action=edit</v>
      </c>
      <c r="AA787" s="763"/>
      <c r="AB787" s="763"/>
      <c r="AC787" s="763"/>
      <c r="AD787" s="763"/>
      <c r="AE787" s="763"/>
      <c r="AF787" s="763"/>
      <c r="AG787" s="763"/>
      <c r="AH787" s="763"/>
      <c r="AI787" s="763"/>
      <c r="AJ787" s="763"/>
      <c r="AK787" s="763"/>
      <c r="AL787" s="763"/>
      <c r="AM787" s="763"/>
      <c r="AN787" s="763"/>
      <c r="AO787" s="763"/>
      <c r="AP787" s="763"/>
      <c r="AQ787" s="763"/>
      <c r="AR787" s="763"/>
      <c r="AS787" s="763"/>
      <c r="AT787" s="763"/>
      <c r="AU787" s="763"/>
      <c r="AV787" s="763"/>
      <c r="AW787" s="763"/>
      <c r="AX787" s="763"/>
      <c r="AY787" s="763"/>
      <c r="AZ787" s="763"/>
      <c r="BA787" s="763"/>
      <c r="BB787" s="763"/>
      <c r="BC787" s="763"/>
      <c r="BD787" s="763"/>
      <c r="BE787" s="763"/>
      <c r="BF787" s="763"/>
      <c r="BG787" s="763" t="b">
        <f>IFERROR(__xludf.DUMMYFUNCTION("""COMPUTED_VALUE"""),FALSE)</f>
        <v>0</v>
      </c>
      <c r="BH787" s="763" t="b">
        <f>IFERROR(__xludf.DUMMYFUNCTION("""COMPUTED_VALUE"""),FALSE)</f>
        <v>0</v>
      </c>
      <c r="BI787" s="763" t="b">
        <f>IFERROR(__xludf.DUMMYFUNCTION("""COMPUTED_VALUE"""),FALSE)</f>
        <v>0</v>
      </c>
      <c r="BJ787" s="763" t="b">
        <f>IFERROR(__xludf.DUMMYFUNCTION("""COMPUTED_VALUE"""),FALSE)</f>
        <v>0</v>
      </c>
    </row>
    <row r="788">
      <c r="A788" s="763">
        <f>IFERROR(__xludf.DUMMYFUNCTION("""COMPUTED_VALUE"""),67040.0)</f>
        <v>67040</v>
      </c>
      <c r="B788" s="763">
        <f>IFERROR(__xludf.DUMMYFUNCTION("""COMPUTED_VALUE"""),67040.0)</f>
        <v>67040</v>
      </c>
      <c r="C788" s="763" t="str">
        <f>IFERROR(__xludf.DUMMYFUNCTION("""COMPUTED_VALUE"""),"2025-12-19 17:44:28")</f>
        <v>2025-12-19 17:44:28</v>
      </c>
      <c r="D788" s="763" t="str">
        <f>IFERROR(__xludf.DUMMYFUNCTION("""COMPUTED_VALUE"""),"pending")</f>
        <v>pending</v>
      </c>
      <c r="E788" s="763" t="str">
        <f>IFERROR(__xludf.DUMMYFUNCTION("""COMPUTED_VALUE"""),"Angelica")</f>
        <v>Angelica</v>
      </c>
      <c r="F788" s="763" t="str">
        <f>IFERROR(__xludf.DUMMYFUNCTION("""COMPUTED_VALUE"""),"Colombo")</f>
        <v>Colombo</v>
      </c>
      <c r="G788" s="763" t="str">
        <f>IFERROR(__xludf.DUMMYFUNCTION("""COMPUTED_VALUE"""),"robysax77@yahoo.it")</f>
        <v>robysax77@yahoo.it</v>
      </c>
      <c r="H788" s="763">
        <f>IFERROR(__xludf.DUMMYFUNCTION("""COMPUTED_VALUE"""),3.489301939E9)</f>
        <v>3489301939</v>
      </c>
      <c r="I788" s="763" t="str">
        <f>IFERROR(__xludf.DUMMYFUNCTION("""COMPUTED_VALUE"""),"Busto Arsizio")</f>
        <v>Busto Arsizio</v>
      </c>
      <c r="J788" s="763" t="str">
        <f>IFERROR(__xludf.DUMMYFUNCTION("""COMPUTED_VALUE"""),"Via Brindisi 6")</f>
        <v>Via Brindisi 6</v>
      </c>
      <c r="K788" s="763">
        <f>IFERROR(__xludf.DUMMYFUNCTION("""COMPUTED_VALUE"""),21052.0)</f>
        <v>21052</v>
      </c>
      <c r="L788" s="763" t="str">
        <f>IFERROR(__xludf.DUMMYFUNCTION("""COMPUTED_VALUE"""),"Carte di pagamento")</f>
        <v>Carte di pagamento</v>
      </c>
      <c r="M788" s="763"/>
      <c r="N788" s="763"/>
      <c r="O788" s="763">
        <f>IFERROR(__xludf.DUMMYFUNCTION("""COMPUTED_VALUE"""),0.0)</f>
        <v>0</v>
      </c>
      <c r="P788" s="767">
        <f>IFERROR(__xludf.DUMMYFUNCTION("""COMPUTED_VALUE"""),1.875)</f>
        <v>1.875</v>
      </c>
      <c r="Q788" s="763" t="str">
        <f>IFERROR(__xludf.DUMMYFUNCTION("""COMPUTED_VALUE"""),"EUR")</f>
        <v>EUR</v>
      </c>
      <c r="R788" s="763">
        <f>IFERROR(__xludf.DUMMYFUNCTION("""COMPUTED_VALUE"""),1441.0)</f>
        <v>1441</v>
      </c>
      <c r="S788" s="763" t="str">
        <f>IFERROR(__xludf.DUMMYFUNCTION("""COMPUTED_VALUE"""),"Workshop Hip Hop Emanuel Lo 2026 - Workshop Emanuel Lo 22 febbraio 2026")</f>
        <v>Workshop Hip Hop Emanuel Lo 2026 - Workshop Emanuel Lo 22 febbraio 2026</v>
      </c>
      <c r="T788" s="763"/>
      <c r="U788" s="763"/>
      <c r="V788" s="763">
        <f>IFERROR(__xludf.DUMMYFUNCTION("""COMPUTED_VALUE"""),1.0)</f>
        <v>1</v>
      </c>
      <c r="W788" s="763">
        <f>IFERROR(__xludf.DUMMYFUNCTION("""COMPUTED_VALUE"""),45.0)</f>
        <v>45</v>
      </c>
      <c r="X788" s="763">
        <f>IFERROR(__xludf.DUMMYFUNCTION("""COMPUTED_VALUE"""),45.0)</f>
        <v>45</v>
      </c>
      <c r="Y788" s="763"/>
      <c r="Z788" s="768" t="str">
        <f>IFERROR(__xludf.DUMMYFUNCTION("""COMPUTED_VALUE"""),"https://studio-gem.it/wp-admin/post.php?post=67040&amp;action=edit")</f>
        <v>https://studio-gem.it/wp-admin/post.php?post=67040&amp;action=edit</v>
      </c>
      <c r="AA788" s="763"/>
      <c r="AB788" s="763"/>
      <c r="AC788" s="763"/>
      <c r="AD788" s="763"/>
      <c r="AE788" s="763"/>
      <c r="AF788" s="763"/>
      <c r="AG788" s="763"/>
      <c r="AH788" s="763"/>
      <c r="AI788" s="763"/>
      <c r="AJ788" s="763"/>
      <c r="AK788" s="763"/>
      <c r="AL788" s="763"/>
      <c r="AM788" s="763"/>
      <c r="AN788" s="763"/>
      <c r="AO788" s="763"/>
      <c r="AP788" s="763"/>
      <c r="AQ788" s="763"/>
      <c r="AR788" s="763"/>
      <c r="AS788" s="763"/>
      <c r="AT788" s="763"/>
      <c r="AU788" s="763"/>
      <c r="AV788" s="763"/>
      <c r="AW788" s="763"/>
      <c r="AX788" s="763"/>
      <c r="AY788" s="763"/>
      <c r="AZ788" s="763"/>
      <c r="BA788" s="763"/>
      <c r="BB788" s="763"/>
      <c r="BC788" s="763"/>
      <c r="BD788" s="763"/>
      <c r="BE788" s="763"/>
      <c r="BF788" s="763"/>
      <c r="BG788" s="763" t="b">
        <f>IFERROR(__xludf.DUMMYFUNCTION("""COMPUTED_VALUE"""),FALSE)</f>
        <v>0</v>
      </c>
      <c r="BH788" s="763" t="b">
        <f>IFERROR(__xludf.DUMMYFUNCTION("""COMPUTED_VALUE"""),FALSE)</f>
        <v>0</v>
      </c>
      <c r="BI788" s="763" t="b">
        <f>IFERROR(__xludf.DUMMYFUNCTION("""COMPUTED_VALUE"""),FALSE)</f>
        <v>0</v>
      </c>
      <c r="BJ788" s="763" t="b">
        <f>IFERROR(__xludf.DUMMYFUNCTION("""COMPUTED_VALUE"""),FALSE)</f>
        <v>0</v>
      </c>
    </row>
    <row r="789">
      <c r="A789" s="763">
        <f>IFERROR(__xludf.DUMMYFUNCTION("""COMPUTED_VALUE"""),67041.0)</f>
        <v>67041</v>
      </c>
      <c r="B789" s="763">
        <f>IFERROR(__xludf.DUMMYFUNCTION("""COMPUTED_VALUE"""),67041.0)</f>
        <v>67041</v>
      </c>
      <c r="C789" s="763" t="str">
        <f>IFERROR(__xludf.DUMMYFUNCTION("""COMPUTED_VALUE"""),"2025-12-19 17:50:38")</f>
        <v>2025-12-19 17:50:38</v>
      </c>
      <c r="D789" s="763" t="str">
        <f>IFERROR(__xludf.DUMMYFUNCTION("""COMPUTED_VALUE"""),"pending")</f>
        <v>pending</v>
      </c>
      <c r="E789" s="763" t="str">
        <f>IFERROR(__xludf.DUMMYFUNCTION("""COMPUTED_VALUE"""),"Angelica")</f>
        <v>Angelica</v>
      </c>
      <c r="F789" s="763" t="str">
        <f>IFERROR(__xludf.DUMMYFUNCTION("""COMPUTED_VALUE"""),"Colombo")</f>
        <v>Colombo</v>
      </c>
      <c r="G789" s="763" t="str">
        <f>IFERROR(__xludf.DUMMYFUNCTION("""COMPUTED_VALUE"""),"robysax77@yahoo.it")</f>
        <v>robysax77@yahoo.it</v>
      </c>
      <c r="H789" s="763">
        <f>IFERROR(__xludf.DUMMYFUNCTION("""COMPUTED_VALUE"""),3.489301939E9)</f>
        <v>3489301939</v>
      </c>
      <c r="I789" s="763" t="str">
        <f>IFERROR(__xludf.DUMMYFUNCTION("""COMPUTED_VALUE"""),"Busto Arsizio")</f>
        <v>Busto Arsizio</v>
      </c>
      <c r="J789" s="763" t="str">
        <f>IFERROR(__xludf.DUMMYFUNCTION("""COMPUTED_VALUE"""),"Via Brindisi 6")</f>
        <v>Via Brindisi 6</v>
      </c>
      <c r="K789" s="763">
        <f>IFERROR(__xludf.DUMMYFUNCTION("""COMPUTED_VALUE"""),21052.0)</f>
        <v>21052</v>
      </c>
      <c r="L789" s="763" t="str">
        <f>IFERROR(__xludf.DUMMYFUNCTION("""COMPUTED_VALUE"""),"Carte di pagamento")</f>
        <v>Carte di pagamento</v>
      </c>
      <c r="M789" s="763"/>
      <c r="N789" s="763"/>
      <c r="O789" s="763">
        <f>IFERROR(__xludf.DUMMYFUNCTION("""COMPUTED_VALUE"""),0.0)</f>
        <v>0</v>
      </c>
      <c r="P789" s="767">
        <f>IFERROR(__xludf.DUMMYFUNCTION("""COMPUTED_VALUE"""),1.875)</f>
        <v>1.875</v>
      </c>
      <c r="Q789" s="763" t="str">
        <f>IFERROR(__xludf.DUMMYFUNCTION("""COMPUTED_VALUE"""),"EUR")</f>
        <v>EUR</v>
      </c>
      <c r="R789" s="763">
        <f>IFERROR(__xludf.DUMMYFUNCTION("""COMPUTED_VALUE"""),1442.0)</f>
        <v>1442</v>
      </c>
      <c r="S789" s="763" t="str">
        <f>IFERROR(__xludf.DUMMYFUNCTION("""COMPUTED_VALUE"""),"Workshop Hip Hop Emanuel Lo 2026 - Workshop Emanuel Lo 22 febbraio 2026")</f>
        <v>Workshop Hip Hop Emanuel Lo 2026 - Workshop Emanuel Lo 22 febbraio 2026</v>
      </c>
      <c r="T789" s="763"/>
      <c r="U789" s="763"/>
      <c r="V789" s="763">
        <f>IFERROR(__xludf.DUMMYFUNCTION("""COMPUTED_VALUE"""),1.0)</f>
        <v>1</v>
      </c>
      <c r="W789" s="763">
        <f>IFERROR(__xludf.DUMMYFUNCTION("""COMPUTED_VALUE"""),45.0)</f>
        <v>45</v>
      </c>
      <c r="X789" s="763">
        <f>IFERROR(__xludf.DUMMYFUNCTION("""COMPUTED_VALUE"""),45.0)</f>
        <v>45</v>
      </c>
      <c r="Y789" s="763"/>
      <c r="Z789" s="768" t="str">
        <f>IFERROR(__xludf.DUMMYFUNCTION("""COMPUTED_VALUE"""),"https://studio-gem.it/wp-admin/post.php?post=67041&amp;action=edit")</f>
        <v>https://studio-gem.it/wp-admin/post.php?post=67041&amp;action=edit</v>
      </c>
      <c r="AA789" s="763"/>
      <c r="AB789" s="763"/>
      <c r="AC789" s="763"/>
      <c r="AD789" s="763"/>
      <c r="AE789" s="763"/>
      <c r="AF789" s="763"/>
      <c r="AG789" s="763"/>
      <c r="AH789" s="763"/>
      <c r="AI789" s="763"/>
      <c r="AJ789" s="763"/>
      <c r="AK789" s="763"/>
      <c r="AL789" s="763"/>
      <c r="AM789" s="763"/>
      <c r="AN789" s="763"/>
      <c r="AO789" s="763"/>
      <c r="AP789" s="763"/>
      <c r="AQ789" s="763"/>
      <c r="AR789" s="763"/>
      <c r="AS789" s="763"/>
      <c r="AT789" s="763"/>
      <c r="AU789" s="763"/>
      <c r="AV789" s="763"/>
      <c r="AW789" s="763"/>
      <c r="AX789" s="763"/>
      <c r="AY789" s="763"/>
      <c r="AZ789" s="763"/>
      <c r="BA789" s="763"/>
      <c r="BB789" s="763"/>
      <c r="BC789" s="763"/>
      <c r="BD789" s="763"/>
      <c r="BE789" s="763"/>
      <c r="BF789" s="763"/>
      <c r="BG789" s="763" t="b">
        <f>IFERROR(__xludf.DUMMYFUNCTION("""COMPUTED_VALUE"""),FALSE)</f>
        <v>0</v>
      </c>
      <c r="BH789" s="763" t="b">
        <f>IFERROR(__xludf.DUMMYFUNCTION("""COMPUTED_VALUE"""),FALSE)</f>
        <v>0</v>
      </c>
      <c r="BI789" s="763" t="b">
        <f>IFERROR(__xludf.DUMMYFUNCTION("""COMPUTED_VALUE"""),FALSE)</f>
        <v>0</v>
      </c>
      <c r="BJ789" s="763" t="b">
        <f>IFERROR(__xludf.DUMMYFUNCTION("""COMPUTED_VALUE"""),FALSE)</f>
        <v>0</v>
      </c>
    </row>
    <row r="790">
      <c r="A790" s="763">
        <f>IFERROR(__xludf.DUMMYFUNCTION("""COMPUTED_VALUE"""),67043.0)</f>
        <v>67043</v>
      </c>
      <c r="B790" s="763">
        <f>IFERROR(__xludf.DUMMYFUNCTION("""COMPUTED_VALUE"""),67043.0)</f>
        <v>67043</v>
      </c>
      <c r="C790" s="763" t="str">
        <f>IFERROR(__xludf.DUMMYFUNCTION("""COMPUTED_VALUE"""),"2025-12-20 15:36:20")</f>
        <v>2025-12-20 15:36:20</v>
      </c>
      <c r="D790" s="763" t="str">
        <f>IFERROR(__xludf.DUMMYFUNCTION("""COMPUTED_VALUE"""),"pending")</f>
        <v>pending</v>
      </c>
      <c r="E790" s="763" t="str">
        <f>IFERROR(__xludf.DUMMYFUNCTION("""COMPUTED_VALUE"""),"Angelica")</f>
        <v>Angelica</v>
      </c>
      <c r="F790" s="763" t="str">
        <f>IFERROR(__xludf.DUMMYFUNCTION("""COMPUTED_VALUE"""),"Colombo")</f>
        <v>Colombo</v>
      </c>
      <c r="G790" s="763" t="str">
        <f>IFERROR(__xludf.DUMMYFUNCTION("""COMPUTED_VALUE"""),"robysax77@yahoo.it")</f>
        <v>robysax77@yahoo.it</v>
      </c>
      <c r="H790" s="763">
        <f>IFERROR(__xludf.DUMMYFUNCTION("""COMPUTED_VALUE"""),3.489301939E9)</f>
        <v>3489301939</v>
      </c>
      <c r="I790" s="763" t="str">
        <f>IFERROR(__xludf.DUMMYFUNCTION("""COMPUTED_VALUE"""),"Busto Arsizio")</f>
        <v>Busto Arsizio</v>
      </c>
      <c r="J790" s="763" t="str">
        <f>IFERROR(__xludf.DUMMYFUNCTION("""COMPUTED_VALUE"""),"Via Brindisi 6")</f>
        <v>Via Brindisi 6</v>
      </c>
      <c r="K790" s="763">
        <f>IFERROR(__xludf.DUMMYFUNCTION("""COMPUTED_VALUE"""),21052.0)</f>
        <v>21052</v>
      </c>
      <c r="L790" s="763" t="str">
        <f>IFERROR(__xludf.DUMMYFUNCTION("""COMPUTED_VALUE"""),"Scalapay - Pay in 3")</f>
        <v>Scalapay - Pay in 3</v>
      </c>
      <c r="M790" s="763" t="str">
        <f>IFERROR(__xludf.DUMMYFUNCTION("""COMPUTED_VALUE"""),"alexandra02ws")</f>
        <v>alexandra02ws</v>
      </c>
      <c r="N790" s="763"/>
      <c r="O790" s="763">
        <f>IFERROR(__xludf.DUMMYFUNCTION("""COMPUTED_VALUE"""),0.0)</f>
        <v>0</v>
      </c>
      <c r="P790" s="767">
        <f>IFERROR(__xludf.DUMMYFUNCTION("""COMPUTED_VALUE"""),1.7916666666666667)</f>
        <v>1.791666667</v>
      </c>
      <c r="Q790" s="763" t="str">
        <f>IFERROR(__xludf.DUMMYFUNCTION("""COMPUTED_VALUE"""),"EUR")</f>
        <v>EUR</v>
      </c>
      <c r="R790" s="763">
        <f>IFERROR(__xludf.DUMMYFUNCTION("""COMPUTED_VALUE"""),1445.0)</f>
        <v>1445</v>
      </c>
      <c r="S790" s="763" t="str">
        <f>IFERROR(__xludf.DUMMYFUNCTION("""COMPUTED_VALUE"""),"Workshop Hip Hop Emanuel Lo 2026 - Workshop Emanuel Lo 22 febbraio 2026")</f>
        <v>Workshop Hip Hop Emanuel Lo 2026 - Workshop Emanuel Lo 22 febbraio 2026</v>
      </c>
      <c r="T790" s="763"/>
      <c r="U790" s="763"/>
      <c r="V790" s="763">
        <f>IFERROR(__xludf.DUMMYFUNCTION("""COMPUTED_VALUE"""),1.0)</f>
        <v>1</v>
      </c>
      <c r="W790" s="763">
        <f>IFERROR(__xludf.DUMMYFUNCTION("""COMPUTED_VALUE"""),43.0)</f>
        <v>43</v>
      </c>
      <c r="X790" s="763">
        <f>IFERROR(__xludf.DUMMYFUNCTION("""COMPUTED_VALUE"""),43.0)</f>
        <v>43</v>
      </c>
      <c r="Y790" s="763"/>
      <c r="Z790" s="768" t="str">
        <f>IFERROR(__xludf.DUMMYFUNCTION("""COMPUTED_VALUE"""),"https://studio-gem.it/wp-admin/post.php?post=67043&amp;action=edit")</f>
        <v>https://studio-gem.it/wp-admin/post.php?post=67043&amp;action=edit</v>
      </c>
      <c r="AA790" s="763"/>
      <c r="AB790" s="763"/>
      <c r="AC790" s="763"/>
      <c r="AD790" s="763"/>
      <c r="AE790" s="763"/>
      <c r="AF790" s="763"/>
      <c r="AG790" s="763"/>
      <c r="AH790" s="763"/>
      <c r="AI790" s="763"/>
      <c r="AJ790" s="763"/>
      <c r="AK790" s="763"/>
      <c r="AL790" s="763"/>
      <c r="AM790" s="763"/>
      <c r="AN790" s="763"/>
      <c r="AO790" s="763"/>
      <c r="AP790" s="763"/>
      <c r="AQ790" s="763"/>
      <c r="AR790" s="763"/>
      <c r="AS790" s="763"/>
      <c r="AT790" s="763"/>
      <c r="AU790" s="763"/>
      <c r="AV790" s="763"/>
      <c r="AW790" s="763"/>
      <c r="AX790" s="763"/>
      <c r="AY790" s="763"/>
      <c r="AZ790" s="763"/>
      <c r="BA790" s="763"/>
      <c r="BB790" s="763"/>
      <c r="BC790" s="763"/>
      <c r="BD790" s="763"/>
      <c r="BE790" s="763"/>
      <c r="BF790" s="763"/>
      <c r="BG790" s="763" t="b">
        <f>IFERROR(__xludf.DUMMYFUNCTION("""COMPUTED_VALUE"""),FALSE)</f>
        <v>0</v>
      </c>
      <c r="BH790" s="763" t="b">
        <f>IFERROR(__xludf.DUMMYFUNCTION("""COMPUTED_VALUE"""),FALSE)</f>
        <v>0</v>
      </c>
      <c r="BI790" s="763" t="b">
        <f>IFERROR(__xludf.DUMMYFUNCTION("""COMPUTED_VALUE"""),FALSE)</f>
        <v>0</v>
      </c>
      <c r="BJ790" s="763" t="b">
        <f>IFERROR(__xludf.DUMMYFUNCTION("""COMPUTED_VALUE"""),FALSE)</f>
        <v>0</v>
      </c>
    </row>
    <row r="791">
      <c r="A791" s="763">
        <f>IFERROR(__xludf.DUMMYFUNCTION("""COMPUTED_VALUE"""),67044.0)</f>
        <v>67044</v>
      </c>
      <c r="B791" s="763">
        <f>IFERROR(__xludf.DUMMYFUNCTION("""COMPUTED_VALUE"""),67044.0)</f>
        <v>67044</v>
      </c>
      <c r="C791" s="763" t="str">
        <f>IFERROR(__xludf.DUMMYFUNCTION("""COMPUTED_VALUE"""),"2025-12-21 08:48:47")</f>
        <v>2025-12-21 08:48:47</v>
      </c>
      <c r="D791" s="763" t="str">
        <f>IFERROR(__xludf.DUMMYFUNCTION("""COMPUTED_VALUE"""),"processing")</f>
        <v>processing</v>
      </c>
      <c r="E791" s="763" t="str">
        <f>IFERROR(__xludf.DUMMYFUNCTION("""COMPUTED_VALUE"""),"Arianna")</f>
        <v>Arianna</v>
      </c>
      <c r="F791" s="763" t="str">
        <f>IFERROR(__xludf.DUMMYFUNCTION("""COMPUTED_VALUE"""),"Valsecchi")</f>
        <v>Valsecchi</v>
      </c>
      <c r="G791" s="763" t="str">
        <f>IFERROR(__xludf.DUMMYFUNCTION("""COMPUTED_VALUE"""),"valsecchiarianna74@gmail.com")</f>
        <v>valsecchiarianna74@gmail.com</v>
      </c>
      <c r="H791" s="763">
        <f>IFERROR(__xludf.DUMMYFUNCTION("""COMPUTED_VALUE"""),3.890786108E9)</f>
        <v>3890786108</v>
      </c>
      <c r="I791" s="763" t="str">
        <f>IFERROR(__xludf.DUMMYFUNCTION("""COMPUTED_VALUE"""),"Bareggio")</f>
        <v>Bareggio</v>
      </c>
      <c r="J791" s="763" t="str">
        <f>IFERROR(__xludf.DUMMYFUNCTION("""COMPUTED_VALUE"""),"Via Sandro Pertini 36")</f>
        <v>Via Sandro Pertini 36</v>
      </c>
      <c r="K791" s="763">
        <f>IFERROR(__xludf.DUMMYFUNCTION("""COMPUTED_VALUE"""),20008.0)</f>
        <v>20008</v>
      </c>
      <c r="L791" s="763" t="str">
        <f>IFERROR(__xludf.DUMMYFUNCTION("""COMPUTED_VALUE"""),"Carte di pagamento")</f>
        <v>Carte di pagamento</v>
      </c>
      <c r="M791" s="763"/>
      <c r="N791" s="763" t="str">
        <f>IFERROR(__xludf.DUMMYFUNCTION("""COMPUTED_VALUE"""),"67044-1766306929")</f>
        <v>67044-1766306929</v>
      </c>
      <c r="O791" s="763">
        <f>IFERROR(__xludf.DUMMYFUNCTION("""COMPUTED_VALUE"""),0.0)</f>
        <v>0</v>
      </c>
      <c r="P791" s="767">
        <f>IFERROR(__xludf.DUMMYFUNCTION("""COMPUTED_VALUE"""),1.875)</f>
        <v>1.875</v>
      </c>
      <c r="Q791" s="763" t="str">
        <f>IFERROR(__xludf.DUMMYFUNCTION("""COMPUTED_VALUE"""),"EUR")</f>
        <v>EUR</v>
      </c>
      <c r="R791" s="763">
        <f>IFERROR(__xludf.DUMMYFUNCTION("""COMPUTED_VALUE"""),1447.0)</f>
        <v>1447</v>
      </c>
      <c r="S791" s="763" t="str">
        <f>IFERROR(__xludf.DUMMYFUNCTION("""COMPUTED_VALUE"""),"Workshop Hip Hop Emanuel Lo 2026 - Workshop Emanuel Lo 22 febbraio 2026")</f>
        <v>Workshop Hip Hop Emanuel Lo 2026 - Workshop Emanuel Lo 22 febbraio 2026</v>
      </c>
      <c r="T791" s="763"/>
      <c r="U791" s="763"/>
      <c r="V791" s="763">
        <f>IFERROR(__xludf.DUMMYFUNCTION("""COMPUTED_VALUE"""),1.0)</f>
        <v>1</v>
      </c>
      <c r="W791" s="763">
        <f>IFERROR(__xludf.DUMMYFUNCTION("""COMPUTED_VALUE"""),45.0)</f>
        <v>45</v>
      </c>
      <c r="X791" s="763">
        <f>IFERROR(__xludf.DUMMYFUNCTION("""COMPUTED_VALUE"""),45.0)</f>
        <v>45</v>
      </c>
      <c r="Y791" s="763"/>
      <c r="Z791" s="768" t="str">
        <f>IFERROR(__xludf.DUMMYFUNCTION("""COMPUTED_VALUE"""),"https://studio-gem.it/wp-admin/post.php?post=67044&amp;action=edit")</f>
        <v>https://studio-gem.it/wp-admin/post.php?post=67044&amp;action=edit</v>
      </c>
      <c r="AA791" s="763"/>
      <c r="AB791" s="763"/>
      <c r="AC791" s="763"/>
      <c r="AD791" s="763"/>
      <c r="AE791" s="763"/>
      <c r="AF791" s="763"/>
      <c r="AG791" s="763"/>
      <c r="AH791" s="763"/>
      <c r="AI791" s="763"/>
      <c r="AJ791" s="763"/>
      <c r="AK791" s="763"/>
      <c r="AL791" s="763"/>
      <c r="AM791" s="763"/>
      <c r="AN791" s="763"/>
      <c r="AO791" s="763"/>
      <c r="AP791" s="763"/>
      <c r="AQ791" s="763"/>
      <c r="AR791" s="763"/>
      <c r="AS791" s="763"/>
      <c r="AT791" s="763"/>
      <c r="AU791" s="763"/>
      <c r="AV791" s="763"/>
      <c r="AW791" s="763"/>
      <c r="AX791" s="763"/>
      <c r="AY791" s="763"/>
      <c r="AZ791" s="763"/>
      <c r="BA791" s="763"/>
      <c r="BB791" s="763"/>
      <c r="BC791" s="763"/>
      <c r="BD791" s="763"/>
      <c r="BE791" s="763"/>
      <c r="BF791" s="763"/>
      <c r="BG791" s="763" t="b">
        <f>IFERROR(__xludf.DUMMYFUNCTION("""COMPUTED_VALUE"""),FALSE)</f>
        <v>0</v>
      </c>
      <c r="BH791" s="763" t="b">
        <f>IFERROR(__xludf.DUMMYFUNCTION("""COMPUTED_VALUE"""),FALSE)</f>
        <v>0</v>
      </c>
      <c r="BI791" s="763" t="b">
        <f>IFERROR(__xludf.DUMMYFUNCTION("""COMPUTED_VALUE"""),TRUE)</f>
        <v>1</v>
      </c>
      <c r="BJ791" s="763" t="b">
        <f>IFERROR(__xludf.DUMMYFUNCTION("""COMPUTED_VALUE"""),TRUE)</f>
        <v>1</v>
      </c>
    </row>
    <row r="792">
      <c r="A792" s="763">
        <f>IFERROR(__xludf.DUMMYFUNCTION("""COMPUTED_VALUE"""),67045.0)</f>
        <v>67045</v>
      </c>
      <c r="B792" s="763">
        <f>IFERROR(__xludf.DUMMYFUNCTION("""COMPUTED_VALUE"""),67045.0)</f>
        <v>67045</v>
      </c>
      <c r="C792" s="763" t="str">
        <f>IFERROR(__xludf.DUMMYFUNCTION("""COMPUTED_VALUE"""),"2025-12-21 13:48:20")</f>
        <v>2025-12-21 13:48:20</v>
      </c>
      <c r="D792" s="763" t="str">
        <f>IFERROR(__xludf.DUMMYFUNCTION("""COMPUTED_VALUE"""),"processing")</f>
        <v>processing</v>
      </c>
      <c r="E792" s="763" t="str">
        <f>IFERROR(__xludf.DUMMYFUNCTION("""COMPUTED_VALUE"""),"Alex")</f>
        <v>Alex</v>
      </c>
      <c r="F792" s="763" t="str">
        <f>IFERROR(__xludf.DUMMYFUNCTION("""COMPUTED_VALUE"""),"Antonelli")</f>
        <v>Antonelli</v>
      </c>
      <c r="G792" s="763" t="str">
        <f>IFERROR(__xludf.DUMMYFUNCTION("""COMPUTED_VALUE"""),"Alessandraantonelli2006@gmail.com")</f>
        <v>Alessandraantonelli2006@gmail.com</v>
      </c>
      <c r="H792" s="763">
        <f>IFERROR(__xludf.DUMMYFUNCTION("""COMPUTED_VALUE"""),3.423863248E9)</f>
        <v>3423863248</v>
      </c>
      <c r="I792" s="763" t="str">
        <f>IFERROR(__xludf.DUMMYFUNCTION("""COMPUTED_VALUE"""),"Milano")</f>
        <v>Milano</v>
      </c>
      <c r="J792" s="763" t="str">
        <f>IFERROR(__xludf.DUMMYFUNCTION("""COMPUTED_VALUE"""),"Via Carlo crivelli 26")</f>
        <v>Via Carlo crivelli 26</v>
      </c>
      <c r="K792" s="763">
        <f>IFERROR(__xludf.DUMMYFUNCTION("""COMPUTED_VALUE"""),20122.0)</f>
        <v>20122</v>
      </c>
      <c r="L792" s="763" t="str">
        <f>IFERROR(__xludf.DUMMYFUNCTION("""COMPUTED_VALUE"""),"Carte di pagamento")</f>
        <v>Carte di pagamento</v>
      </c>
      <c r="M792" s="763" t="str">
        <f>IFERROR(__xludf.DUMMYFUNCTION("""COMPUTED_VALUE"""),"sara02ws")</f>
        <v>sara02ws</v>
      </c>
      <c r="N792" s="763" t="str">
        <f>IFERROR(__xludf.DUMMYFUNCTION("""COMPUTED_VALUE"""),"67045-1766324987")</f>
        <v>67045-1766324987</v>
      </c>
      <c r="O792" s="763">
        <f>IFERROR(__xludf.DUMMYFUNCTION("""COMPUTED_VALUE"""),0.0)</f>
        <v>0</v>
      </c>
      <c r="P792" s="767">
        <f>IFERROR(__xludf.DUMMYFUNCTION("""COMPUTED_VALUE"""),1.4583333333333333)</f>
        <v>1.458333333</v>
      </c>
      <c r="Q792" s="763" t="str">
        <f>IFERROR(__xludf.DUMMYFUNCTION("""COMPUTED_VALUE"""),"EUR")</f>
        <v>EUR</v>
      </c>
      <c r="R792" s="763">
        <f>IFERROR(__xludf.DUMMYFUNCTION("""COMPUTED_VALUE"""),1450.0)</f>
        <v>1450</v>
      </c>
      <c r="S792" s="763" t="str">
        <f>IFERROR(__xludf.DUMMYFUNCTION("""COMPUTED_VALUE"""),"Workshop Urban Alessio Cavaliere 2026 - Workshop Alessio Cavaliere 1 febbraio 2026")</f>
        <v>Workshop Urban Alessio Cavaliere 2026 - Workshop Alessio Cavaliere 1 febbraio 2026</v>
      </c>
      <c r="T792" s="763"/>
      <c r="U792" s="763"/>
      <c r="V792" s="763">
        <f>IFERROR(__xludf.DUMMYFUNCTION("""COMPUTED_VALUE"""),1.0)</f>
        <v>1</v>
      </c>
      <c r="W792" s="763">
        <f>IFERROR(__xludf.DUMMYFUNCTION("""COMPUTED_VALUE"""),35.0)</f>
        <v>35</v>
      </c>
      <c r="X792" s="763">
        <f>IFERROR(__xludf.DUMMYFUNCTION("""COMPUTED_VALUE"""),35.0)</f>
        <v>35</v>
      </c>
      <c r="Y792" s="763"/>
      <c r="Z792" s="768" t="str">
        <f>IFERROR(__xludf.DUMMYFUNCTION("""COMPUTED_VALUE"""),"https://studio-gem.it/wp-admin/post.php?post=67045&amp;action=edit")</f>
        <v>https://studio-gem.it/wp-admin/post.php?post=67045&amp;action=edit</v>
      </c>
      <c r="AA792" s="763"/>
      <c r="AB792" s="763"/>
      <c r="AC792" s="763"/>
      <c r="AD792" s="763"/>
      <c r="AE792" s="763"/>
      <c r="AF792" s="763"/>
      <c r="AG792" s="763"/>
      <c r="AH792" s="763"/>
      <c r="AI792" s="763"/>
      <c r="AJ792" s="763"/>
      <c r="AK792" s="763"/>
      <c r="AL792" s="763"/>
      <c r="AM792" s="763"/>
      <c r="AN792" s="763"/>
      <c r="AO792" s="763"/>
      <c r="AP792" s="763"/>
      <c r="AQ792" s="763"/>
      <c r="AR792" s="763"/>
      <c r="AS792" s="763"/>
      <c r="AT792" s="763"/>
      <c r="AU792" s="763"/>
      <c r="AV792" s="763"/>
      <c r="AW792" s="763"/>
      <c r="AX792" s="763"/>
      <c r="AY792" s="763"/>
      <c r="AZ792" s="763"/>
      <c r="BA792" s="763"/>
      <c r="BB792" s="763"/>
      <c r="BC792" s="763"/>
      <c r="BD792" s="763"/>
      <c r="BE792" s="763"/>
      <c r="BF792" s="763"/>
      <c r="BG792" s="763" t="b">
        <f>IFERROR(__xludf.DUMMYFUNCTION("""COMPUTED_VALUE"""),FALSE)</f>
        <v>0</v>
      </c>
      <c r="BH792" s="763" t="b">
        <f>IFERROR(__xludf.DUMMYFUNCTION("""COMPUTED_VALUE"""),FALSE)</f>
        <v>0</v>
      </c>
      <c r="BI792" s="763" t="b">
        <f>IFERROR(__xludf.DUMMYFUNCTION("""COMPUTED_VALUE"""),TRUE)</f>
        <v>1</v>
      </c>
      <c r="BJ792" s="763" t="b">
        <f>IFERROR(__xludf.DUMMYFUNCTION("""COMPUTED_VALUE"""),TRUE)</f>
        <v>1</v>
      </c>
    </row>
    <row r="793">
      <c r="A793" s="763">
        <f>IFERROR(__xludf.DUMMYFUNCTION("""COMPUTED_VALUE"""),67046.0)</f>
        <v>67046</v>
      </c>
      <c r="B793" s="763">
        <f>IFERROR(__xludf.DUMMYFUNCTION("""COMPUTED_VALUE"""),67046.0)</f>
        <v>67046</v>
      </c>
      <c r="C793" s="763" t="str">
        <f>IFERROR(__xludf.DUMMYFUNCTION("""COMPUTED_VALUE"""),"2025-12-21 14:36:48")</f>
        <v>2025-12-21 14:36:48</v>
      </c>
      <c r="D793" s="763" t="str">
        <f>IFERROR(__xludf.DUMMYFUNCTION("""COMPUTED_VALUE"""),"processing")</f>
        <v>processing</v>
      </c>
      <c r="E793" s="763" t="str">
        <f>IFERROR(__xludf.DUMMYFUNCTION("""COMPUTED_VALUE"""),"Melissa")</f>
        <v>Melissa</v>
      </c>
      <c r="F793" s="763" t="str">
        <f>IFERROR(__xludf.DUMMYFUNCTION("""COMPUTED_VALUE"""),"Doria")</f>
        <v>Doria</v>
      </c>
      <c r="G793" s="763" t="str">
        <f>IFERROR(__xludf.DUMMYFUNCTION("""COMPUTED_VALUE"""),"melissa.doria98@gmail.com")</f>
        <v>melissa.doria98@gmail.com</v>
      </c>
      <c r="H793" s="763">
        <f>IFERROR(__xludf.DUMMYFUNCTION("""COMPUTED_VALUE"""),3.460474709E9)</f>
        <v>3460474709</v>
      </c>
      <c r="I793" s="763" t="str">
        <f>IFERROR(__xludf.DUMMYFUNCTION("""COMPUTED_VALUE"""),"Milano")</f>
        <v>Milano</v>
      </c>
      <c r="J793" s="763" t="str">
        <f>IFERROR(__xludf.DUMMYFUNCTION("""COMPUTED_VALUE"""),"Via Giambellino 34")</f>
        <v>Via Giambellino 34</v>
      </c>
      <c r="K793" s="763">
        <f>IFERROR(__xludf.DUMMYFUNCTION("""COMPUTED_VALUE"""),20146.0)</f>
        <v>20146</v>
      </c>
      <c r="L793" s="763" t="str">
        <f>IFERROR(__xludf.DUMMYFUNCTION("""COMPUTED_VALUE"""),"Carte di pagamento")</f>
        <v>Carte di pagamento</v>
      </c>
      <c r="M793" s="763"/>
      <c r="N793" s="763" t="str">
        <f>IFERROR(__xludf.DUMMYFUNCTION("""COMPUTED_VALUE"""),"67046-1766327809")</f>
        <v>67046-1766327809</v>
      </c>
      <c r="O793" s="763">
        <f>IFERROR(__xludf.DUMMYFUNCTION("""COMPUTED_VALUE"""),0.0)</f>
        <v>0</v>
      </c>
      <c r="P793" s="767">
        <f>IFERROR(__xludf.DUMMYFUNCTION("""COMPUTED_VALUE"""),1.875)</f>
        <v>1.875</v>
      </c>
      <c r="Q793" s="763" t="str">
        <f>IFERROR(__xludf.DUMMYFUNCTION("""COMPUTED_VALUE"""),"EUR")</f>
        <v>EUR</v>
      </c>
      <c r="R793" s="763">
        <f>IFERROR(__xludf.DUMMYFUNCTION("""COMPUTED_VALUE"""),1452.0)</f>
        <v>1452</v>
      </c>
      <c r="S793" s="763" t="str">
        <f>IFERROR(__xludf.DUMMYFUNCTION("""COMPUTED_VALUE"""),"Workshop Hip Hop Emanuel Lo 2026 - Workshop Emanuel Lo 22 febbraio 2026")</f>
        <v>Workshop Hip Hop Emanuel Lo 2026 - Workshop Emanuel Lo 22 febbraio 2026</v>
      </c>
      <c r="T793" s="763"/>
      <c r="U793" s="763"/>
      <c r="V793" s="763">
        <f>IFERROR(__xludf.DUMMYFUNCTION("""COMPUTED_VALUE"""),1.0)</f>
        <v>1</v>
      </c>
      <c r="W793" s="763">
        <f>IFERROR(__xludf.DUMMYFUNCTION("""COMPUTED_VALUE"""),45.0)</f>
        <v>45</v>
      </c>
      <c r="X793" s="763">
        <f>IFERROR(__xludf.DUMMYFUNCTION("""COMPUTED_VALUE"""),45.0)</f>
        <v>45</v>
      </c>
      <c r="Y793" s="763"/>
      <c r="Z793" s="768" t="str">
        <f>IFERROR(__xludf.DUMMYFUNCTION("""COMPUTED_VALUE"""),"https://studio-gem.it/wp-admin/post.php?post=67046&amp;action=edit")</f>
        <v>https://studio-gem.it/wp-admin/post.php?post=67046&amp;action=edit</v>
      </c>
      <c r="AA793" s="763"/>
      <c r="AB793" s="763"/>
      <c r="AC793" s="763"/>
      <c r="AD793" s="763"/>
      <c r="AE793" s="763"/>
      <c r="AF793" s="763"/>
      <c r="AG793" s="763"/>
      <c r="AH793" s="763"/>
      <c r="AI793" s="763"/>
      <c r="AJ793" s="763"/>
      <c r="AK793" s="763"/>
      <c r="AL793" s="763"/>
      <c r="AM793" s="763"/>
      <c r="AN793" s="763"/>
      <c r="AO793" s="763"/>
      <c r="AP793" s="763"/>
      <c r="AQ793" s="763"/>
      <c r="AR793" s="763"/>
      <c r="AS793" s="763"/>
      <c r="AT793" s="763"/>
      <c r="AU793" s="763"/>
      <c r="AV793" s="763"/>
      <c r="AW793" s="763"/>
      <c r="AX793" s="763"/>
      <c r="AY793" s="763"/>
      <c r="AZ793" s="763"/>
      <c r="BA793" s="763"/>
      <c r="BB793" s="763"/>
      <c r="BC793" s="763"/>
      <c r="BD793" s="763"/>
      <c r="BE793" s="763"/>
      <c r="BF793" s="763"/>
      <c r="BG793" s="763" t="b">
        <f>IFERROR(__xludf.DUMMYFUNCTION("""COMPUTED_VALUE"""),FALSE)</f>
        <v>0</v>
      </c>
      <c r="BH793" s="763" t="b">
        <f>IFERROR(__xludf.DUMMYFUNCTION("""COMPUTED_VALUE"""),FALSE)</f>
        <v>0</v>
      </c>
      <c r="BI793" s="763" t="b">
        <f>IFERROR(__xludf.DUMMYFUNCTION("""COMPUTED_VALUE"""),TRUE)</f>
        <v>1</v>
      </c>
      <c r="BJ793" s="763" t="b">
        <f>IFERROR(__xludf.DUMMYFUNCTION("""COMPUTED_VALUE"""),TRUE)</f>
        <v>1</v>
      </c>
    </row>
    <row r="794">
      <c r="A794" s="763">
        <f>IFERROR(__xludf.DUMMYFUNCTION("""COMPUTED_VALUE"""),67047.0)</f>
        <v>67047</v>
      </c>
      <c r="B794" s="763">
        <f>IFERROR(__xludf.DUMMYFUNCTION("""COMPUTED_VALUE"""),67047.0)</f>
        <v>67047</v>
      </c>
      <c r="C794" s="763" t="str">
        <f>IFERROR(__xludf.DUMMYFUNCTION("""COMPUTED_VALUE"""),"2025-12-22 07:29:51")</f>
        <v>2025-12-22 07:29:51</v>
      </c>
      <c r="D794" s="763" t="str">
        <f>IFERROR(__xludf.DUMMYFUNCTION("""COMPUTED_VALUE"""),"completed")</f>
        <v>completed</v>
      </c>
      <c r="E794" s="763" t="str">
        <f>IFERROR(__xludf.DUMMYFUNCTION("""COMPUTED_VALUE"""),"Aleksandra")</f>
        <v>Aleksandra</v>
      </c>
      <c r="F794" s="763" t="str">
        <f>IFERROR(__xludf.DUMMYFUNCTION("""COMPUTED_VALUE"""),"Kostanecka")</f>
        <v>Kostanecka</v>
      </c>
      <c r="G794" s="763" t="str">
        <f>IFERROR(__xludf.DUMMYFUNCTION("""COMPUTED_VALUE"""),"ola.kostanecka2005@gmail.com")</f>
        <v>ola.kostanecka2005@gmail.com</v>
      </c>
      <c r="H794" s="763">
        <f>IFERROR(__xludf.DUMMYFUNCTION("""COMPUTED_VALUE"""),3.47856998E9)</f>
        <v>3478569980</v>
      </c>
      <c r="I794" s="763" t="str">
        <f>IFERROR(__xludf.DUMMYFUNCTION("""COMPUTED_VALUE"""),"Milano")</f>
        <v>Milano</v>
      </c>
      <c r="J794" s="763" t="str">
        <f>IFERROR(__xludf.DUMMYFUNCTION("""COMPUTED_VALUE"""),"Via Castiglioni 8")</f>
        <v>Via Castiglioni 8</v>
      </c>
      <c r="K794" s="763">
        <f>IFERROR(__xludf.DUMMYFUNCTION("""COMPUTED_VALUE"""),20136.0)</f>
        <v>20136</v>
      </c>
      <c r="L794" s="763" t="str">
        <f>IFERROR(__xludf.DUMMYFUNCTION("""COMPUTED_VALUE"""),"Apple Pay")</f>
        <v>Apple Pay</v>
      </c>
      <c r="M794" s="763"/>
      <c r="N794" s="763" t="str">
        <f>IFERROR(__xludf.DUMMYFUNCTION("""COMPUTED_VALUE"""),"67047-1766389074")</f>
        <v>67047-1766389074</v>
      </c>
      <c r="O794" s="763">
        <f>IFERROR(__xludf.DUMMYFUNCTION("""COMPUTED_VALUE"""),0.0)</f>
        <v>0</v>
      </c>
      <c r="P794" s="767">
        <f>IFERROR(__xludf.DUMMYFUNCTION("""COMPUTED_VALUE"""),1.875)</f>
        <v>1.875</v>
      </c>
      <c r="Q794" s="763" t="str">
        <f>IFERROR(__xludf.DUMMYFUNCTION("""COMPUTED_VALUE"""),"EUR")</f>
        <v>EUR</v>
      </c>
      <c r="R794" s="763">
        <f>IFERROR(__xludf.DUMMYFUNCTION("""COMPUTED_VALUE"""),1454.0)</f>
        <v>1454</v>
      </c>
      <c r="S794" s="763" t="str">
        <f>IFERROR(__xludf.DUMMYFUNCTION("""COMPUTED_VALUE"""),"Workshop Hip Hop Emanuel Lo 2026 - Workshop Emanuel Lo 22 febbraio 2026")</f>
        <v>Workshop Hip Hop Emanuel Lo 2026 - Workshop Emanuel Lo 22 febbraio 2026</v>
      </c>
      <c r="T794" s="763"/>
      <c r="U794" s="763"/>
      <c r="V794" s="763">
        <f>IFERROR(__xludf.DUMMYFUNCTION("""COMPUTED_VALUE"""),1.0)</f>
        <v>1</v>
      </c>
      <c r="W794" s="763">
        <f>IFERROR(__xludf.DUMMYFUNCTION("""COMPUTED_VALUE"""),45.0)</f>
        <v>45</v>
      </c>
      <c r="X794" s="763">
        <f>IFERROR(__xludf.DUMMYFUNCTION("""COMPUTED_VALUE"""),45.0)</f>
        <v>45</v>
      </c>
      <c r="Y794" s="763"/>
      <c r="Z794" s="768" t="str">
        <f>IFERROR(__xludf.DUMMYFUNCTION("""COMPUTED_VALUE"""),"https://studio-gem.it/wp-admin/post.php?post=67047&amp;action=edit")</f>
        <v>https://studio-gem.it/wp-admin/post.php?post=67047&amp;action=edit</v>
      </c>
      <c r="AA794" s="763"/>
      <c r="AB794" s="763"/>
      <c r="AC794" s="763"/>
      <c r="AD794" s="763"/>
      <c r="AE794" s="763"/>
      <c r="AF794" s="763"/>
      <c r="AG794" s="763"/>
      <c r="AH794" s="763"/>
      <c r="AI794" s="763"/>
      <c r="AJ794" s="763"/>
      <c r="AK794" s="763"/>
      <c r="AL794" s="763"/>
      <c r="AM794" s="763"/>
      <c r="AN794" s="763"/>
      <c r="AO794" s="763"/>
      <c r="AP794" s="763"/>
      <c r="AQ794" s="763"/>
      <c r="AR794" s="763"/>
      <c r="AS794" s="763"/>
      <c r="AT794" s="763"/>
      <c r="AU794" s="763"/>
      <c r="AV794" s="763"/>
      <c r="AW794" s="763"/>
      <c r="AX794" s="763"/>
      <c r="AY794" s="763"/>
      <c r="AZ794" s="763"/>
      <c r="BA794" s="763"/>
      <c r="BB794" s="763"/>
      <c r="BC794" s="763"/>
      <c r="BD794" s="763"/>
      <c r="BE794" s="763"/>
      <c r="BF794" s="763"/>
      <c r="BG794" s="763" t="b">
        <f>IFERROR(__xludf.DUMMYFUNCTION("""COMPUTED_VALUE"""),FALSE)</f>
        <v>0</v>
      </c>
      <c r="BH794" s="763" t="b">
        <f>IFERROR(__xludf.DUMMYFUNCTION("""COMPUTED_VALUE"""),FALSE)</f>
        <v>0</v>
      </c>
      <c r="BI794" s="763" t="b">
        <f>IFERROR(__xludf.DUMMYFUNCTION("""COMPUTED_VALUE"""),TRUE)</f>
        <v>1</v>
      </c>
      <c r="BJ794" s="763" t="b">
        <f>IFERROR(__xludf.DUMMYFUNCTION("""COMPUTED_VALUE"""),TRUE)</f>
        <v>1</v>
      </c>
    </row>
    <row r="795">
      <c r="A795" s="763">
        <f>IFERROR(__xludf.DUMMYFUNCTION("""COMPUTED_VALUE"""),67049.0)</f>
        <v>67049</v>
      </c>
      <c r="B795" s="763">
        <f>IFERROR(__xludf.DUMMYFUNCTION("""COMPUTED_VALUE"""),67049.0)</f>
        <v>67049</v>
      </c>
      <c r="C795" s="763" t="str">
        <f>IFERROR(__xludf.DUMMYFUNCTION("""COMPUTED_VALUE"""),"2025-12-22 11:47:30")</f>
        <v>2025-12-22 11:47:30</v>
      </c>
      <c r="D795" s="763" t="str">
        <f>IFERROR(__xludf.DUMMYFUNCTION("""COMPUTED_VALUE"""),"completed")</f>
        <v>completed</v>
      </c>
      <c r="E795" s="763" t="str">
        <f>IFERROR(__xludf.DUMMYFUNCTION("""COMPUTED_VALUE"""),"Luca")</f>
        <v>Luca</v>
      </c>
      <c r="F795" s="763" t="str">
        <f>IFERROR(__xludf.DUMMYFUNCTION("""COMPUTED_VALUE"""),"Marzolini")</f>
        <v>Marzolini</v>
      </c>
      <c r="G795" s="763" t="str">
        <f>IFERROR(__xludf.DUMMYFUNCTION("""COMPUTED_VALUE"""),"marzolini@hotmail.it")</f>
        <v>marzolini@hotmail.it</v>
      </c>
      <c r="H795" s="763">
        <f>IFERROR(__xludf.DUMMYFUNCTION("""COMPUTED_VALUE"""),3.334945783E9)</f>
        <v>3334945783</v>
      </c>
      <c r="I795" s="763" t="str">
        <f>IFERROR(__xludf.DUMMYFUNCTION("""COMPUTED_VALUE"""),"Milano")</f>
        <v>Milano</v>
      </c>
      <c r="J795" s="763" t="str">
        <f>IFERROR(__xludf.DUMMYFUNCTION("""COMPUTED_VALUE"""),"Via del Passaro 3")</f>
        <v>Via del Passaro 3</v>
      </c>
      <c r="K795" s="763">
        <f>IFERROR(__xludf.DUMMYFUNCTION("""COMPUTED_VALUE"""),20147.0)</f>
        <v>20147</v>
      </c>
      <c r="L795" s="763" t="str">
        <f>IFERROR(__xludf.DUMMYFUNCTION("""COMPUTED_VALUE"""),"Carte di pagamento")</f>
        <v>Carte di pagamento</v>
      </c>
      <c r="M795" s="763"/>
      <c r="N795" s="763" t="str">
        <f>IFERROR(__xludf.DUMMYFUNCTION("""COMPUTED_VALUE"""),"67049-1766404051")</f>
        <v>67049-1766404051</v>
      </c>
      <c r="O795" s="763">
        <f>IFERROR(__xludf.DUMMYFUNCTION("""COMPUTED_VALUE"""),0.0)</f>
        <v>0</v>
      </c>
      <c r="P795" s="767">
        <f>IFERROR(__xludf.DUMMYFUNCTION("""COMPUTED_VALUE"""),2.0833333333333335)</f>
        <v>2.083333333</v>
      </c>
      <c r="Q795" s="763" t="str">
        <f>IFERROR(__xludf.DUMMYFUNCTION("""COMPUTED_VALUE"""),"EUR")</f>
        <v>EUR</v>
      </c>
      <c r="R795" s="763">
        <f>IFERROR(__xludf.DUMMYFUNCTION("""COMPUTED_VALUE"""),1455.0)</f>
        <v>1455</v>
      </c>
      <c r="S795" s="763" t="str">
        <f>IFERROR(__xludf.DUMMYFUNCTION("""COMPUTED_VALUE"""),"Gift Card - Gift card 50€")</f>
        <v>Gift Card - Gift card 50€</v>
      </c>
      <c r="T795" s="763"/>
      <c r="U795" s="763"/>
      <c r="V795" s="763">
        <f>IFERROR(__xludf.DUMMYFUNCTION("""COMPUTED_VALUE"""),1.0)</f>
        <v>1</v>
      </c>
      <c r="W795" s="763">
        <f>IFERROR(__xludf.DUMMYFUNCTION("""COMPUTED_VALUE"""),50.0)</f>
        <v>50</v>
      </c>
      <c r="X795" s="763">
        <f>IFERROR(__xludf.DUMMYFUNCTION("""COMPUTED_VALUE"""),50.0)</f>
        <v>50</v>
      </c>
      <c r="Y795" s="763"/>
      <c r="Z795" s="768" t="str">
        <f>IFERROR(__xludf.DUMMYFUNCTION("""COMPUTED_VALUE"""),"https://studio-gem.it/wp-admin/post.php?post=67049&amp;action=edit")</f>
        <v>https://studio-gem.it/wp-admin/post.php?post=67049&amp;action=edit</v>
      </c>
      <c r="AA795" s="763"/>
      <c r="AB795" s="763"/>
      <c r="AC795" s="763"/>
      <c r="AD795" s="763"/>
      <c r="AE795" s="763"/>
      <c r="AF795" s="763"/>
      <c r="AG795" s="763"/>
      <c r="AH795" s="763"/>
      <c r="AI795" s="763"/>
      <c r="AJ795" s="763"/>
      <c r="AK795" s="763"/>
      <c r="AL795" s="763"/>
      <c r="AM795" s="763"/>
      <c r="AN795" s="763"/>
      <c r="AO795" s="763"/>
      <c r="AP795" s="763"/>
      <c r="AQ795" s="763"/>
      <c r="AR795" s="763"/>
      <c r="AS795" s="763"/>
      <c r="AT795" s="763"/>
      <c r="AU795" s="763"/>
      <c r="AV795" s="763"/>
      <c r="AW795" s="763"/>
      <c r="AX795" s="763"/>
      <c r="AY795" s="763"/>
      <c r="AZ795" s="763"/>
      <c r="BA795" s="763"/>
      <c r="BB795" s="763"/>
      <c r="BC795" s="763"/>
      <c r="BD795" s="763"/>
      <c r="BE795" s="763"/>
      <c r="BF795" s="763"/>
      <c r="BG795" s="763" t="b">
        <f>IFERROR(__xludf.DUMMYFUNCTION("""COMPUTED_VALUE"""),FALSE)</f>
        <v>0</v>
      </c>
      <c r="BH795" s="763" t="b">
        <f>IFERROR(__xludf.DUMMYFUNCTION("""COMPUTED_VALUE"""),FALSE)</f>
        <v>0</v>
      </c>
      <c r="BI795" s="763" t="b">
        <f>IFERROR(__xludf.DUMMYFUNCTION("""COMPUTED_VALUE"""),FALSE)</f>
        <v>0</v>
      </c>
      <c r="BJ795" s="763" t="b">
        <f>IFERROR(__xludf.DUMMYFUNCTION("""COMPUTED_VALUE"""),TRUE)</f>
        <v>1</v>
      </c>
    </row>
    <row r="796">
      <c r="A796" s="763">
        <f>IFERROR(__xludf.DUMMYFUNCTION("""COMPUTED_VALUE"""),67052.0)</f>
        <v>67052</v>
      </c>
      <c r="B796" s="763">
        <f>IFERROR(__xludf.DUMMYFUNCTION("""COMPUTED_VALUE"""),67052.0)</f>
        <v>67052</v>
      </c>
      <c r="C796" s="763" t="str">
        <f>IFERROR(__xludf.DUMMYFUNCTION("""COMPUTED_VALUE"""),"2025-12-22 13:04:55")</f>
        <v>2025-12-22 13:04:55</v>
      </c>
      <c r="D796" s="763" t="str">
        <f>IFERROR(__xludf.DUMMYFUNCTION("""COMPUTED_VALUE"""),"pending")</f>
        <v>pending</v>
      </c>
      <c r="E796" s="763" t="str">
        <f>IFERROR(__xludf.DUMMYFUNCTION("""COMPUTED_VALUE"""),"Rebecca")</f>
        <v>Rebecca</v>
      </c>
      <c r="F796" s="763" t="str">
        <f>IFERROR(__xludf.DUMMYFUNCTION("""COMPUTED_VALUE"""),"Muciaccia")</f>
        <v>Muciaccia</v>
      </c>
      <c r="G796" s="763" t="str">
        <f>IFERROR(__xludf.DUMMYFUNCTION("""COMPUTED_VALUE"""),"rebeccamuciaccia2096@gmail.com")</f>
        <v>rebeccamuciaccia2096@gmail.com</v>
      </c>
      <c r="H796" s="763">
        <f>IFERROR(__xludf.DUMMYFUNCTION("""COMPUTED_VALUE"""),3.475605123E9)</f>
        <v>3475605123</v>
      </c>
      <c r="I796" s="763" t="str">
        <f>IFERROR(__xludf.DUMMYFUNCTION("""COMPUTED_VALUE"""),"Milano")</f>
        <v>Milano</v>
      </c>
      <c r="J796" s="763" t="str">
        <f>IFERROR(__xludf.DUMMYFUNCTION("""COMPUTED_VALUE"""),"Via Giuseppe Ripamonti 246")</f>
        <v>Via Giuseppe Ripamonti 246</v>
      </c>
      <c r="K796" s="763">
        <f>IFERROR(__xludf.DUMMYFUNCTION("""COMPUTED_VALUE"""),20141.0)</f>
        <v>20141</v>
      </c>
      <c r="L796" s="763" t="str">
        <f>IFERROR(__xludf.DUMMYFUNCTION("""COMPUTED_VALUE"""),"Apple Pay")</f>
        <v>Apple Pay</v>
      </c>
      <c r="M796" s="763"/>
      <c r="N796" s="763"/>
      <c r="O796" s="763">
        <f>IFERROR(__xludf.DUMMYFUNCTION("""COMPUTED_VALUE"""),0.0)</f>
        <v>0</v>
      </c>
      <c r="P796" s="767">
        <f>IFERROR(__xludf.DUMMYFUNCTION("""COMPUTED_VALUE"""),1.875)</f>
        <v>1.875</v>
      </c>
      <c r="Q796" s="763" t="str">
        <f>IFERROR(__xludf.DUMMYFUNCTION("""COMPUTED_VALUE"""),"EUR")</f>
        <v>EUR</v>
      </c>
      <c r="R796" s="763">
        <f>IFERROR(__xludf.DUMMYFUNCTION("""COMPUTED_VALUE"""),1456.0)</f>
        <v>1456</v>
      </c>
      <c r="S796" s="763" t="str">
        <f>IFERROR(__xludf.DUMMYFUNCTION("""COMPUTED_VALUE"""),"Workshop Hip Hop Emanuel Lo 2026 - Workshop Emanuel Lo 22 febbraio 2026")</f>
        <v>Workshop Hip Hop Emanuel Lo 2026 - Workshop Emanuel Lo 22 febbraio 2026</v>
      </c>
      <c r="T796" s="763"/>
      <c r="U796" s="763"/>
      <c r="V796" s="763">
        <f>IFERROR(__xludf.DUMMYFUNCTION("""COMPUTED_VALUE"""),1.0)</f>
        <v>1</v>
      </c>
      <c r="W796" s="763">
        <f>IFERROR(__xludf.DUMMYFUNCTION("""COMPUTED_VALUE"""),45.0)</f>
        <v>45</v>
      </c>
      <c r="X796" s="763">
        <f>IFERROR(__xludf.DUMMYFUNCTION("""COMPUTED_VALUE"""),45.0)</f>
        <v>45</v>
      </c>
      <c r="Y796" s="763"/>
      <c r="Z796" s="768" t="str">
        <f>IFERROR(__xludf.DUMMYFUNCTION("""COMPUTED_VALUE"""),"https://studio-gem.it/wp-admin/post.php?post=67052&amp;action=edit")</f>
        <v>https://studio-gem.it/wp-admin/post.php?post=67052&amp;action=edit</v>
      </c>
      <c r="AA796" s="763"/>
      <c r="AB796" s="763"/>
      <c r="AC796" s="763"/>
      <c r="AD796" s="763"/>
      <c r="AE796" s="763"/>
      <c r="AF796" s="763"/>
      <c r="AG796" s="763"/>
      <c r="AH796" s="763"/>
      <c r="AI796" s="763"/>
      <c r="AJ796" s="763"/>
      <c r="AK796" s="763"/>
      <c r="AL796" s="763"/>
      <c r="AM796" s="763"/>
      <c r="AN796" s="763"/>
      <c r="AO796" s="763"/>
      <c r="AP796" s="763"/>
      <c r="AQ796" s="763"/>
      <c r="AR796" s="763"/>
      <c r="AS796" s="763"/>
      <c r="AT796" s="763"/>
      <c r="AU796" s="763"/>
      <c r="AV796" s="763"/>
      <c r="AW796" s="763"/>
      <c r="AX796" s="763"/>
      <c r="AY796" s="763"/>
      <c r="AZ796" s="763"/>
      <c r="BA796" s="763"/>
      <c r="BB796" s="763"/>
      <c r="BC796" s="763"/>
      <c r="BD796" s="763"/>
      <c r="BE796" s="763"/>
      <c r="BF796" s="763"/>
      <c r="BG796" s="763" t="b">
        <f>IFERROR(__xludf.DUMMYFUNCTION("""COMPUTED_VALUE"""),FALSE)</f>
        <v>0</v>
      </c>
      <c r="BH796" s="763" t="b">
        <f>IFERROR(__xludf.DUMMYFUNCTION("""COMPUTED_VALUE"""),FALSE)</f>
        <v>0</v>
      </c>
      <c r="BI796" s="763" t="b">
        <f>IFERROR(__xludf.DUMMYFUNCTION("""COMPUTED_VALUE"""),FALSE)</f>
        <v>0</v>
      </c>
      <c r="BJ796" s="763" t="b">
        <f>IFERROR(__xludf.DUMMYFUNCTION("""COMPUTED_VALUE"""),FALSE)</f>
        <v>0</v>
      </c>
    </row>
    <row r="797">
      <c r="A797" s="763">
        <f>IFERROR(__xludf.DUMMYFUNCTION("""COMPUTED_VALUE"""),67057.0)</f>
        <v>67057</v>
      </c>
      <c r="B797" s="763">
        <f>IFERROR(__xludf.DUMMYFUNCTION("""COMPUTED_VALUE"""),67057.0)</f>
        <v>67057</v>
      </c>
      <c r="C797" s="763" t="str">
        <f>IFERROR(__xludf.DUMMYFUNCTION("""COMPUTED_VALUE"""),"2025-12-22 16:47:18")</f>
        <v>2025-12-22 16:47:18</v>
      </c>
      <c r="D797" s="763" t="str">
        <f>IFERROR(__xludf.DUMMYFUNCTION("""COMPUTED_VALUE"""),"completed")</f>
        <v>completed</v>
      </c>
      <c r="E797" s="763" t="str">
        <f>IFERROR(__xludf.DUMMYFUNCTION("""COMPUTED_VALUE"""),"VALENTINA")</f>
        <v>VALENTINA</v>
      </c>
      <c r="F797" s="763" t="str">
        <f>IFERROR(__xludf.DUMMYFUNCTION("""COMPUTED_VALUE"""),"VOLTOLINA")</f>
        <v>VOLTOLINA</v>
      </c>
      <c r="G797" s="763" t="str">
        <f>IFERROR(__xludf.DUMMYFUNCTION("""COMPUTED_VALUE"""),"voltolina.valentina@gmail.com")</f>
        <v>voltolina.valentina@gmail.com</v>
      </c>
      <c r="H797" s="763">
        <f>IFERROR(__xludf.DUMMYFUNCTION("""COMPUTED_VALUE"""),3.468321647E9)</f>
        <v>3468321647</v>
      </c>
      <c r="I797" s="763" t="str">
        <f>IFERROR(__xludf.DUMMYFUNCTION("""COMPUTED_VALUE"""),"CHIOGGIA")</f>
        <v>CHIOGGIA</v>
      </c>
      <c r="J797" s="763" t="str">
        <f>IFERROR(__xludf.DUMMYFUNCTION("""COMPUTED_VALUE"""),"VIA PAPA GIOVANNI XXIII 84")</f>
        <v>VIA PAPA GIOVANNI XXIII 84</v>
      </c>
      <c r="K797" s="763">
        <f>IFERROR(__xludf.DUMMYFUNCTION("""COMPUTED_VALUE"""),30015.0)</f>
        <v>30015</v>
      </c>
      <c r="L797" s="763" t="str">
        <f>IFERROR(__xludf.DUMMYFUNCTION("""COMPUTED_VALUE"""),"Carte di pagamento")</f>
        <v>Carte di pagamento</v>
      </c>
      <c r="M797" s="763"/>
      <c r="N797" s="763" t="str">
        <f>IFERROR(__xludf.DUMMYFUNCTION("""COMPUTED_VALUE"""),"67057-1766422039")</f>
        <v>67057-1766422039</v>
      </c>
      <c r="O797" s="763">
        <f>IFERROR(__xludf.DUMMYFUNCTION("""COMPUTED_VALUE"""),0.0)</f>
        <v>0</v>
      </c>
      <c r="P797" s="767">
        <f>IFERROR(__xludf.DUMMYFUNCTION("""COMPUTED_VALUE"""),1.875)</f>
        <v>1.875</v>
      </c>
      <c r="Q797" s="763" t="str">
        <f>IFERROR(__xludf.DUMMYFUNCTION("""COMPUTED_VALUE"""),"EUR")</f>
        <v>EUR</v>
      </c>
      <c r="R797" s="763">
        <f>IFERROR(__xludf.DUMMYFUNCTION("""COMPUTED_VALUE"""),1457.0)</f>
        <v>1457</v>
      </c>
      <c r="S797" s="763" t="str">
        <f>IFERROR(__xludf.DUMMYFUNCTION("""COMPUTED_VALUE"""),"Workshop Hip Hop Emanuel Lo 2026 - Workshop Emanuel Lo 22 febbraio 2026")</f>
        <v>Workshop Hip Hop Emanuel Lo 2026 - Workshop Emanuel Lo 22 febbraio 2026</v>
      </c>
      <c r="T797" s="763"/>
      <c r="U797" s="763"/>
      <c r="V797" s="763">
        <f>IFERROR(__xludf.DUMMYFUNCTION("""COMPUTED_VALUE"""),1.0)</f>
        <v>1</v>
      </c>
      <c r="W797" s="763">
        <f>IFERROR(__xludf.DUMMYFUNCTION("""COMPUTED_VALUE"""),45.0)</f>
        <v>45</v>
      </c>
      <c r="X797" s="763">
        <f>IFERROR(__xludf.DUMMYFUNCTION("""COMPUTED_VALUE"""),45.0)</f>
        <v>45</v>
      </c>
      <c r="Y797" s="763"/>
      <c r="Z797" s="768" t="str">
        <f>IFERROR(__xludf.DUMMYFUNCTION("""COMPUTED_VALUE"""),"https://studio-gem.it/wp-admin/post.php?post=67057&amp;action=edit")</f>
        <v>https://studio-gem.it/wp-admin/post.php?post=67057&amp;action=edit</v>
      </c>
      <c r="AA797" s="763"/>
      <c r="AB797" s="763"/>
      <c r="AC797" s="763"/>
      <c r="AD797" s="763"/>
      <c r="AE797" s="763"/>
      <c r="AF797" s="763"/>
      <c r="AG797" s="763"/>
      <c r="AH797" s="763"/>
      <c r="AI797" s="763"/>
      <c r="AJ797" s="763"/>
      <c r="AK797" s="763"/>
      <c r="AL797" s="763"/>
      <c r="AM797" s="763"/>
      <c r="AN797" s="763"/>
      <c r="AO797" s="763"/>
      <c r="AP797" s="763"/>
      <c r="AQ797" s="763"/>
      <c r="AR797" s="763"/>
      <c r="AS797" s="763"/>
      <c r="AT797" s="763"/>
      <c r="AU797" s="763"/>
      <c r="AV797" s="763"/>
      <c r="AW797" s="763"/>
      <c r="AX797" s="763"/>
      <c r="AY797" s="763"/>
      <c r="AZ797" s="763"/>
      <c r="BA797" s="763"/>
      <c r="BB797" s="763"/>
      <c r="BC797" s="763"/>
      <c r="BD797" s="763"/>
      <c r="BE797" s="763"/>
      <c r="BF797" s="763"/>
      <c r="BG797" s="763" t="b">
        <f>IFERROR(__xludf.DUMMYFUNCTION("""COMPUTED_VALUE"""),FALSE)</f>
        <v>0</v>
      </c>
      <c r="BH797" s="763" t="b">
        <f>IFERROR(__xludf.DUMMYFUNCTION("""COMPUTED_VALUE"""),FALSE)</f>
        <v>0</v>
      </c>
      <c r="BI797" s="763" t="b">
        <f>IFERROR(__xludf.DUMMYFUNCTION("""COMPUTED_VALUE"""),TRUE)</f>
        <v>1</v>
      </c>
      <c r="BJ797" s="763" t="b">
        <f>IFERROR(__xludf.DUMMYFUNCTION("""COMPUTED_VALUE"""),TRUE)</f>
        <v>1</v>
      </c>
    </row>
    <row r="798">
      <c r="A798" s="763">
        <f>IFERROR(__xludf.DUMMYFUNCTION("""COMPUTED_VALUE"""),67074.0)</f>
        <v>67074</v>
      </c>
      <c r="B798" s="763">
        <f>IFERROR(__xludf.DUMMYFUNCTION("""COMPUTED_VALUE"""),67074.0)</f>
        <v>67074</v>
      </c>
      <c r="C798" s="763" t="str">
        <f>IFERROR(__xludf.DUMMYFUNCTION("""COMPUTED_VALUE"""),"2025-12-23 10:31:49")</f>
        <v>2025-12-23 10:31:49</v>
      </c>
      <c r="D798" s="763" t="str">
        <f>IFERROR(__xludf.DUMMYFUNCTION("""COMPUTED_VALUE"""),"completed")</f>
        <v>completed</v>
      </c>
      <c r="E798" s="763" t="str">
        <f>IFERROR(__xludf.DUMMYFUNCTION("""COMPUTED_VALUE"""),"Federico")</f>
        <v>Federico</v>
      </c>
      <c r="F798" s="763" t="str">
        <f>IFERROR(__xludf.DUMMYFUNCTION("""COMPUTED_VALUE"""),"Campaner")</f>
        <v>Campaner</v>
      </c>
      <c r="G798" s="763" t="str">
        <f>IFERROR(__xludf.DUMMYFUNCTION("""COMPUTED_VALUE"""),"federico.campaner@fastwebnet.it")</f>
        <v>federico.campaner@fastwebnet.it</v>
      </c>
      <c r="H798" s="763">
        <f>IFERROR(__xludf.DUMMYFUNCTION("""COMPUTED_VALUE"""),3.493240938E9)</f>
        <v>3493240938</v>
      </c>
      <c r="I798" s="763" t="str">
        <f>IFERROR(__xludf.DUMMYFUNCTION("""COMPUTED_VALUE"""),"Milano")</f>
        <v>Milano</v>
      </c>
      <c r="J798" s="763" t="str">
        <f>IFERROR(__xludf.DUMMYFUNCTION("""COMPUTED_VALUE"""),"Viale Evaristo Stefini, 3")</f>
        <v>Viale Evaristo Stefini, 3</v>
      </c>
      <c r="K798" s="763">
        <f>IFERROR(__xludf.DUMMYFUNCTION("""COMPUTED_VALUE"""),20125.0)</f>
        <v>20125</v>
      </c>
      <c r="L798" s="763" t="str">
        <f>IFERROR(__xludf.DUMMYFUNCTION("""COMPUTED_VALUE"""),"Apple Pay")</f>
        <v>Apple Pay</v>
      </c>
      <c r="M798" s="763" t="str">
        <f>IFERROR(__xludf.DUMMYFUNCTION("""COMPUTED_VALUE"""),"nura02ws")</f>
        <v>nura02ws</v>
      </c>
      <c r="N798" s="763" t="str">
        <f>IFERROR(__xludf.DUMMYFUNCTION("""COMPUTED_VALUE"""),"67074-1766485911")</f>
        <v>67074-1766485911</v>
      </c>
      <c r="O798" s="763">
        <f>IFERROR(__xludf.DUMMYFUNCTION("""COMPUTED_VALUE"""),0.0)</f>
        <v>0</v>
      </c>
      <c r="P798" s="767">
        <f>IFERROR(__xludf.DUMMYFUNCTION("""COMPUTED_VALUE"""),1.7916666666666667)</f>
        <v>1.791666667</v>
      </c>
      <c r="Q798" s="763" t="str">
        <f>IFERROR(__xludf.DUMMYFUNCTION("""COMPUTED_VALUE"""),"EUR")</f>
        <v>EUR</v>
      </c>
      <c r="R798" s="763">
        <f>IFERROR(__xludf.DUMMYFUNCTION("""COMPUTED_VALUE"""),1458.0)</f>
        <v>1458</v>
      </c>
      <c r="S798" s="763" t="str">
        <f>IFERROR(__xludf.DUMMYFUNCTION("""COMPUTED_VALUE"""),"Workshop Hip Hop Emanuel Lo 2026 - Workshop Emanuel Lo 22 febbraio 2026")</f>
        <v>Workshop Hip Hop Emanuel Lo 2026 - Workshop Emanuel Lo 22 febbraio 2026</v>
      </c>
      <c r="T798" s="763"/>
      <c r="U798" s="763"/>
      <c r="V798" s="763">
        <f>IFERROR(__xludf.DUMMYFUNCTION("""COMPUTED_VALUE"""),1.0)</f>
        <v>1</v>
      </c>
      <c r="W798" s="763">
        <f>IFERROR(__xludf.DUMMYFUNCTION("""COMPUTED_VALUE"""),43.0)</f>
        <v>43</v>
      </c>
      <c r="X798" s="763">
        <f>IFERROR(__xludf.DUMMYFUNCTION("""COMPUTED_VALUE"""),43.0)</f>
        <v>43</v>
      </c>
      <c r="Y798" s="763"/>
      <c r="Z798" s="768" t="str">
        <f>IFERROR(__xludf.DUMMYFUNCTION("""COMPUTED_VALUE"""),"https://studio-gem.it/wp-admin/post.php?post=67074&amp;action=edit")</f>
        <v>https://studio-gem.it/wp-admin/post.php?post=67074&amp;action=edit</v>
      </c>
      <c r="AA798" s="763"/>
      <c r="AB798" s="763"/>
      <c r="AC798" s="763"/>
      <c r="AD798" s="763"/>
      <c r="AE798" s="763"/>
      <c r="AF798" s="763"/>
      <c r="AG798" s="763"/>
      <c r="AH798" s="763"/>
      <c r="AI798" s="763"/>
      <c r="AJ798" s="763"/>
      <c r="AK798" s="763"/>
      <c r="AL798" s="763"/>
      <c r="AM798" s="763"/>
      <c r="AN798" s="763"/>
      <c r="AO798" s="763"/>
      <c r="AP798" s="763"/>
      <c r="AQ798" s="763"/>
      <c r="AR798" s="763"/>
      <c r="AS798" s="763"/>
      <c r="AT798" s="763"/>
      <c r="AU798" s="763"/>
      <c r="AV798" s="763"/>
      <c r="AW798" s="763"/>
      <c r="AX798" s="763"/>
      <c r="AY798" s="763"/>
      <c r="AZ798" s="763"/>
      <c r="BA798" s="763"/>
      <c r="BB798" s="763"/>
      <c r="BC798" s="763"/>
      <c r="BD798" s="763"/>
      <c r="BE798" s="763"/>
      <c r="BF798" s="763"/>
      <c r="BG798" s="763" t="b">
        <f>IFERROR(__xludf.DUMMYFUNCTION("""COMPUTED_VALUE"""),TRUE)</f>
        <v>1</v>
      </c>
      <c r="BH798" s="763" t="b">
        <f>IFERROR(__xludf.DUMMYFUNCTION("""COMPUTED_VALUE"""),FALSE)</f>
        <v>0</v>
      </c>
      <c r="BI798" s="763" t="b">
        <f>IFERROR(__xludf.DUMMYFUNCTION("""COMPUTED_VALUE"""),TRUE)</f>
        <v>1</v>
      </c>
      <c r="BJ798" s="763" t="b">
        <f>IFERROR(__xludf.DUMMYFUNCTION("""COMPUTED_VALUE"""),TRUE)</f>
        <v>1</v>
      </c>
    </row>
    <row r="799">
      <c r="A799" s="763">
        <f>IFERROR(__xludf.DUMMYFUNCTION("""COMPUTED_VALUE"""),67076.0)</f>
        <v>67076</v>
      </c>
      <c r="B799" s="763">
        <f>IFERROR(__xludf.DUMMYFUNCTION("""COMPUTED_VALUE"""),67076.0)</f>
        <v>67076</v>
      </c>
      <c r="C799" s="763" t="str">
        <f>IFERROR(__xludf.DUMMYFUNCTION("""COMPUTED_VALUE"""),"2025-12-23 10:41:09")</f>
        <v>2025-12-23 10:41:09</v>
      </c>
      <c r="D799" s="763" t="str">
        <f>IFERROR(__xludf.DUMMYFUNCTION("""COMPUTED_VALUE"""),"processing")</f>
        <v>processing</v>
      </c>
      <c r="E799" s="763" t="str">
        <f>IFERROR(__xludf.DUMMYFUNCTION("""COMPUTED_VALUE"""),"sebastiano")</f>
        <v>sebastiano</v>
      </c>
      <c r="F799" s="763" t="str">
        <f>IFERROR(__xludf.DUMMYFUNCTION("""COMPUTED_VALUE"""),"mura")</f>
        <v>mura</v>
      </c>
      <c r="G799" s="763" t="str">
        <f>IFERROR(__xludf.DUMMYFUNCTION("""COMPUTED_VALUE"""),"sebastiano.mura@gmail.com")</f>
        <v>sebastiano.mura@gmail.com</v>
      </c>
      <c r="H799" s="763">
        <f>IFERROR(__xludf.DUMMYFUNCTION("""COMPUTED_VALUE"""),3.714206201E9)</f>
        <v>3714206201</v>
      </c>
      <c r="I799" s="763" t="str">
        <f>IFERROR(__xludf.DUMMYFUNCTION("""COMPUTED_VALUE"""),"Milano")</f>
        <v>Milano</v>
      </c>
      <c r="J799" s="763" t="str">
        <f>IFERROR(__xludf.DUMMYFUNCTION("""COMPUTED_VALUE"""),"via maestri campionesi 5")</f>
        <v>via maestri campionesi 5</v>
      </c>
      <c r="K799" s="763">
        <f>IFERROR(__xludf.DUMMYFUNCTION("""COMPUTED_VALUE"""),20135.0)</f>
        <v>20135</v>
      </c>
      <c r="L799" s="763" t="str">
        <f>IFERROR(__xludf.DUMMYFUNCTION("""COMPUTED_VALUE"""),"Carte di pagamento")</f>
        <v>Carte di pagamento</v>
      </c>
      <c r="M799" s="763"/>
      <c r="N799" s="763" t="str">
        <f>IFERROR(__xludf.DUMMYFUNCTION("""COMPUTED_VALUE"""),"67076-1766486470")</f>
        <v>67076-1766486470</v>
      </c>
      <c r="O799" s="763">
        <f>IFERROR(__xludf.DUMMYFUNCTION("""COMPUTED_VALUE"""),0.0)</f>
        <v>0</v>
      </c>
      <c r="P799" s="767">
        <f>IFERROR(__xludf.DUMMYFUNCTION("""COMPUTED_VALUE"""),6.25)</f>
        <v>6.25</v>
      </c>
      <c r="Q799" s="763" t="str">
        <f>IFERROR(__xludf.DUMMYFUNCTION("""COMPUTED_VALUE"""),"EUR")</f>
        <v>EUR</v>
      </c>
      <c r="R799" s="763">
        <f>IFERROR(__xludf.DUMMYFUNCTION("""COMPUTED_VALUE"""),1460.0)</f>
        <v>1460</v>
      </c>
      <c r="S799" s="763" t="str">
        <f>IFERROR(__xludf.DUMMYFUNCTION("""COMPUTED_VALUE"""),"Gift Card - Gift card 150€")</f>
        <v>Gift Card - Gift card 150€</v>
      </c>
      <c r="T799" s="763"/>
      <c r="U799" s="763"/>
      <c r="V799" s="763">
        <f>IFERROR(__xludf.DUMMYFUNCTION("""COMPUTED_VALUE"""),1.0)</f>
        <v>1</v>
      </c>
      <c r="W799" s="763">
        <f>IFERROR(__xludf.DUMMYFUNCTION("""COMPUTED_VALUE"""),150.0)</f>
        <v>150</v>
      </c>
      <c r="X799" s="763">
        <f>IFERROR(__xludf.DUMMYFUNCTION("""COMPUTED_VALUE"""),150.0)</f>
        <v>150</v>
      </c>
      <c r="Y799" s="763"/>
      <c r="Z799" s="768" t="str">
        <f>IFERROR(__xludf.DUMMYFUNCTION("""COMPUTED_VALUE"""),"https://studio-gem.it/wp-admin/post.php?post=67076&amp;action=edit")</f>
        <v>https://studio-gem.it/wp-admin/post.php?post=67076&amp;action=edit</v>
      </c>
      <c r="AA799" s="763"/>
      <c r="AB799" s="763"/>
      <c r="AC799" s="763"/>
      <c r="AD799" s="763"/>
      <c r="AE799" s="763"/>
      <c r="AF799" s="763"/>
      <c r="AG799" s="763"/>
      <c r="AH799" s="763"/>
      <c r="AI799" s="763"/>
      <c r="AJ799" s="763"/>
      <c r="AK799" s="763"/>
      <c r="AL799" s="763"/>
      <c r="AM799" s="763"/>
      <c r="AN799" s="763"/>
      <c r="AO799" s="763"/>
      <c r="AP799" s="763"/>
      <c r="AQ799" s="763"/>
      <c r="AR799" s="763"/>
      <c r="AS799" s="763"/>
      <c r="AT799" s="763"/>
      <c r="AU799" s="763"/>
      <c r="AV799" s="763"/>
      <c r="AW799" s="763"/>
      <c r="AX799" s="763"/>
      <c r="AY799" s="763"/>
      <c r="AZ799" s="763"/>
      <c r="BA799" s="763"/>
      <c r="BB799" s="763"/>
      <c r="BC799" s="763"/>
      <c r="BD799" s="763"/>
      <c r="BE799" s="763"/>
      <c r="BF799" s="763"/>
      <c r="BG799" s="763" t="b">
        <f>IFERROR(__xludf.DUMMYFUNCTION("""COMPUTED_VALUE"""),TRUE)</f>
        <v>1</v>
      </c>
      <c r="BH799" s="763" t="b">
        <f>IFERROR(__xludf.DUMMYFUNCTION("""COMPUTED_VALUE"""),FALSE)</f>
        <v>0</v>
      </c>
      <c r="BI799" s="763" t="b">
        <f>IFERROR(__xludf.DUMMYFUNCTION("""COMPUTED_VALUE"""),TRUE)</f>
        <v>1</v>
      </c>
      <c r="BJ799" s="763" t="b">
        <f>IFERROR(__xludf.DUMMYFUNCTION("""COMPUTED_VALUE"""),TRUE)</f>
        <v>1</v>
      </c>
    </row>
    <row r="800">
      <c r="A800" s="763">
        <f>IFERROR(__xludf.DUMMYFUNCTION("""COMPUTED_VALUE"""),67083.0)</f>
        <v>67083</v>
      </c>
      <c r="B800" s="763">
        <f>IFERROR(__xludf.DUMMYFUNCTION("""COMPUTED_VALUE"""),67083.0)</f>
        <v>67083</v>
      </c>
      <c r="C800" s="763" t="str">
        <f>IFERROR(__xludf.DUMMYFUNCTION("""COMPUTED_VALUE"""),"2025-12-23 14:49:04")</f>
        <v>2025-12-23 14:49:04</v>
      </c>
      <c r="D800" s="763" t="str">
        <f>IFERROR(__xludf.DUMMYFUNCTION("""COMPUTED_VALUE"""),"completed")</f>
        <v>completed</v>
      </c>
      <c r="E800" s="763" t="str">
        <f>IFERROR(__xludf.DUMMYFUNCTION("""COMPUTED_VALUE"""),"Chiara maria Giulia")</f>
        <v>Chiara maria Giulia</v>
      </c>
      <c r="F800" s="763" t="str">
        <f>IFERROR(__xludf.DUMMYFUNCTION("""COMPUTED_VALUE"""),"Vismara")</f>
        <v>Vismara</v>
      </c>
      <c r="G800" s="763" t="str">
        <f>IFERROR(__xludf.DUMMYFUNCTION("""COMPUTED_VALUE"""),"chiaramaria.vismara@gmail.com")</f>
        <v>chiaramaria.vismara@gmail.com</v>
      </c>
      <c r="H800" s="763">
        <f>IFERROR(__xludf.DUMMYFUNCTION("""COMPUTED_VALUE"""),3.336214065E9)</f>
        <v>3336214065</v>
      </c>
      <c r="I800" s="763" t="str">
        <f>IFERROR(__xludf.DUMMYFUNCTION("""COMPUTED_VALUE"""),"Milano")</f>
        <v>Milano</v>
      </c>
      <c r="J800" s="763" t="str">
        <f>IFERROR(__xludf.DUMMYFUNCTION("""COMPUTED_VALUE"""),"quadronno 34")</f>
        <v>quadronno 34</v>
      </c>
      <c r="K800" s="763">
        <f>IFERROR(__xludf.DUMMYFUNCTION("""COMPUTED_VALUE"""),20122.0)</f>
        <v>20122</v>
      </c>
      <c r="L800" s="763"/>
      <c r="M800" s="763"/>
      <c r="N800" s="763"/>
      <c r="O800" s="763">
        <f>IFERROR(__xludf.DUMMYFUNCTION("""COMPUTED_VALUE"""),0.0)</f>
        <v>0</v>
      </c>
      <c r="P800" s="767">
        <f>IFERROR(__xludf.DUMMYFUNCTION("""COMPUTED_VALUE"""),0.0)</f>
        <v>0</v>
      </c>
      <c r="Q800" s="763" t="str">
        <f>IFERROR(__xludf.DUMMYFUNCTION("""COMPUTED_VALUE"""),"EUR")</f>
        <v>EUR</v>
      </c>
      <c r="R800" s="763">
        <f>IFERROR(__xludf.DUMMYFUNCTION("""COMPUTED_VALUE"""),1461.0)</f>
        <v>1461</v>
      </c>
      <c r="S800" s="763" t="str">
        <f>IFERROR(__xludf.DUMMYFUNCTION("""COMPUTED_VALUE"""),"Domeniche in movimento - Gratuito per open fitness e open mattino 2 lezioni dalle 10 alle 11.50")</f>
        <v>Domeniche in movimento - Gratuito per open fitness e open mattino 2 lezioni dalle 10 alle 11.50</v>
      </c>
      <c r="T800" s="763"/>
      <c r="U800" s="763"/>
      <c r="V800" s="763">
        <f>IFERROR(__xludf.DUMMYFUNCTION("""COMPUTED_VALUE"""),1.0)</f>
        <v>1</v>
      </c>
      <c r="W800" s="763">
        <f>IFERROR(__xludf.DUMMYFUNCTION("""COMPUTED_VALUE"""),0.0)</f>
        <v>0</v>
      </c>
      <c r="X800" s="763">
        <f>IFERROR(__xludf.DUMMYFUNCTION("""COMPUTED_VALUE"""),0.0)</f>
        <v>0</v>
      </c>
      <c r="Y800" s="763"/>
      <c r="Z800" s="768" t="str">
        <f>IFERROR(__xludf.DUMMYFUNCTION("""COMPUTED_VALUE"""),"https://studio-gem.it/wp-admin/post.php?post=67083&amp;action=edit")</f>
        <v>https://studio-gem.it/wp-admin/post.php?post=67083&amp;action=edit</v>
      </c>
      <c r="AA800" s="763"/>
      <c r="AB800" s="763"/>
      <c r="AC800" s="763"/>
      <c r="AD800" s="763"/>
      <c r="AE800" s="763"/>
      <c r="AF800" s="763"/>
      <c r="AG800" s="763"/>
      <c r="AH800" s="763"/>
      <c r="AI800" s="763"/>
      <c r="AJ800" s="763"/>
      <c r="AK800" s="763"/>
      <c r="AL800" s="763"/>
      <c r="AM800" s="763"/>
      <c r="AN800" s="763"/>
      <c r="AO800" s="763"/>
      <c r="AP800" s="763"/>
      <c r="AQ800" s="763"/>
      <c r="AR800" s="763"/>
      <c r="AS800" s="763"/>
      <c r="AT800" s="763"/>
      <c r="AU800" s="763"/>
      <c r="AV800" s="763"/>
      <c r="AW800" s="763"/>
      <c r="AX800" s="763"/>
      <c r="AY800" s="763"/>
      <c r="AZ800" s="763"/>
      <c r="BA800" s="763"/>
      <c r="BB800" s="763"/>
      <c r="BC800" s="763"/>
      <c r="BD800" s="763"/>
      <c r="BE800" s="763"/>
      <c r="BF800" s="763"/>
      <c r="BG800" s="763" t="b">
        <f>IFERROR(__xludf.DUMMYFUNCTION("""COMPUTED_VALUE"""),TRUE)</f>
        <v>1</v>
      </c>
      <c r="BH800" s="763" t="b">
        <f>IFERROR(__xludf.DUMMYFUNCTION("""COMPUTED_VALUE"""),FALSE)</f>
        <v>0</v>
      </c>
      <c r="BI800" s="763" t="b">
        <f>IFERROR(__xludf.DUMMYFUNCTION("""COMPUTED_VALUE"""),TRUE)</f>
        <v>1</v>
      </c>
      <c r="BJ800" s="763" t="b">
        <f>IFERROR(__xludf.DUMMYFUNCTION("""COMPUTED_VALUE"""),FALSE)</f>
        <v>0</v>
      </c>
    </row>
    <row r="801">
      <c r="A801" s="763">
        <f>IFERROR(__xludf.DUMMYFUNCTION("""COMPUTED_VALUE"""),67086.0)</f>
        <v>67086</v>
      </c>
      <c r="B801" s="763">
        <f>IFERROR(__xludf.DUMMYFUNCTION("""COMPUTED_VALUE"""),67086.0)</f>
        <v>67086</v>
      </c>
      <c r="C801" s="763" t="str">
        <f>IFERROR(__xludf.DUMMYFUNCTION("""COMPUTED_VALUE"""),"2025-12-23 19:27:13")</f>
        <v>2025-12-23 19:27:13</v>
      </c>
      <c r="D801" s="763" t="str">
        <f>IFERROR(__xludf.DUMMYFUNCTION("""COMPUTED_VALUE"""),"completed")</f>
        <v>completed</v>
      </c>
      <c r="E801" s="763" t="str">
        <f>IFERROR(__xludf.DUMMYFUNCTION("""COMPUTED_VALUE"""),"Maria Rosaria")</f>
        <v>Maria Rosaria</v>
      </c>
      <c r="F801" s="763" t="str">
        <f>IFERROR(__xludf.DUMMYFUNCTION("""COMPUTED_VALUE"""),"Credendino")</f>
        <v>Credendino</v>
      </c>
      <c r="G801" s="763" t="str">
        <f>IFERROR(__xludf.DUMMYFUNCTION("""COMPUTED_VALUE"""),"credendinomaria.rosaria@gmail.com")</f>
        <v>credendinomaria.rosaria@gmail.com</v>
      </c>
      <c r="H801" s="763">
        <f>IFERROR(__xludf.DUMMYFUNCTION("""COMPUTED_VALUE"""),3.294923016E9)</f>
        <v>3294923016</v>
      </c>
      <c r="I801" s="763" t="str">
        <f>IFERROR(__xludf.DUMMYFUNCTION("""COMPUTED_VALUE"""),"Novara")</f>
        <v>Novara</v>
      </c>
      <c r="J801" s="763" t="str">
        <f>IFERROR(__xludf.DUMMYFUNCTION("""COMPUTED_VALUE"""),"Strada privata pastorini n 2")</f>
        <v>Strada privata pastorini n 2</v>
      </c>
      <c r="K801" s="763">
        <f>IFERROR(__xludf.DUMMYFUNCTION("""COMPUTED_VALUE"""),28100.0)</f>
        <v>28100</v>
      </c>
      <c r="L801" s="763" t="str">
        <f>IFERROR(__xludf.DUMMYFUNCTION("""COMPUTED_VALUE"""),"Carte di pagamento")</f>
        <v>Carte di pagamento</v>
      </c>
      <c r="M801" s="763" t="str">
        <f>IFERROR(__xludf.DUMMYFUNCTION("""COMPUTED_VALUE"""),"nura02ws")</f>
        <v>nura02ws</v>
      </c>
      <c r="N801" s="763" t="str">
        <f>IFERROR(__xludf.DUMMYFUNCTION("""COMPUTED_VALUE"""),"67086-1766518034")</f>
        <v>67086-1766518034</v>
      </c>
      <c r="O801" s="763">
        <f>IFERROR(__xludf.DUMMYFUNCTION("""COMPUTED_VALUE"""),0.0)</f>
        <v>0</v>
      </c>
      <c r="P801" s="767">
        <f>IFERROR(__xludf.DUMMYFUNCTION("""COMPUTED_VALUE"""),1.7916666666666667)</f>
        <v>1.791666667</v>
      </c>
      <c r="Q801" s="763" t="str">
        <f>IFERROR(__xludf.DUMMYFUNCTION("""COMPUTED_VALUE"""),"EUR")</f>
        <v>EUR</v>
      </c>
      <c r="R801" s="763">
        <f>IFERROR(__xludf.DUMMYFUNCTION("""COMPUTED_VALUE"""),1462.0)</f>
        <v>1462</v>
      </c>
      <c r="S801" s="763" t="str">
        <f>IFERROR(__xludf.DUMMYFUNCTION("""COMPUTED_VALUE"""),"Workshop Hip Hop Emanuel Lo 2026 - Workshop Emanuel Lo 22 febbraio 2026")</f>
        <v>Workshop Hip Hop Emanuel Lo 2026 - Workshop Emanuel Lo 22 febbraio 2026</v>
      </c>
      <c r="T801" s="763"/>
      <c r="U801" s="763"/>
      <c r="V801" s="763">
        <f>IFERROR(__xludf.DUMMYFUNCTION("""COMPUTED_VALUE"""),1.0)</f>
        <v>1</v>
      </c>
      <c r="W801" s="763">
        <f>IFERROR(__xludf.DUMMYFUNCTION("""COMPUTED_VALUE"""),43.0)</f>
        <v>43</v>
      </c>
      <c r="X801" s="763">
        <f>IFERROR(__xludf.DUMMYFUNCTION("""COMPUTED_VALUE"""),43.0)</f>
        <v>43</v>
      </c>
      <c r="Y801" s="763"/>
      <c r="Z801" s="768" t="str">
        <f>IFERROR(__xludf.DUMMYFUNCTION("""COMPUTED_VALUE"""),"https://studio-gem.it/wp-admin/post.php?post=67086&amp;action=edit")</f>
        <v>https://studio-gem.it/wp-admin/post.php?post=67086&amp;action=edit</v>
      </c>
      <c r="AA801" s="763"/>
      <c r="AB801" s="763"/>
      <c r="AC801" s="763"/>
      <c r="AD801" s="763"/>
      <c r="AE801" s="763"/>
      <c r="AF801" s="763"/>
      <c r="AG801" s="763"/>
      <c r="AH801" s="763"/>
      <c r="AI801" s="763"/>
      <c r="AJ801" s="763"/>
      <c r="AK801" s="763"/>
      <c r="AL801" s="763"/>
      <c r="AM801" s="763"/>
      <c r="AN801" s="763"/>
      <c r="AO801" s="763"/>
      <c r="AP801" s="763"/>
      <c r="AQ801" s="763"/>
      <c r="AR801" s="763"/>
      <c r="AS801" s="763"/>
      <c r="AT801" s="763"/>
      <c r="AU801" s="763"/>
      <c r="AV801" s="763"/>
      <c r="AW801" s="763"/>
      <c r="AX801" s="763"/>
      <c r="AY801" s="763"/>
      <c r="AZ801" s="763"/>
      <c r="BA801" s="763"/>
      <c r="BB801" s="763"/>
      <c r="BC801" s="763"/>
      <c r="BD801" s="763"/>
      <c r="BE801" s="763"/>
      <c r="BF801" s="763"/>
      <c r="BG801" s="763" t="b">
        <f>IFERROR(__xludf.DUMMYFUNCTION("""COMPUTED_VALUE"""),TRUE)</f>
        <v>1</v>
      </c>
      <c r="BH801" s="763" t="b">
        <f>IFERROR(__xludf.DUMMYFUNCTION("""COMPUTED_VALUE"""),FALSE)</f>
        <v>0</v>
      </c>
      <c r="BI801" s="763" t="b">
        <f>IFERROR(__xludf.DUMMYFUNCTION("""COMPUTED_VALUE"""),TRUE)</f>
        <v>1</v>
      </c>
      <c r="BJ801" s="763" t="b">
        <f>IFERROR(__xludf.DUMMYFUNCTION("""COMPUTED_VALUE"""),TRUE)</f>
        <v>1</v>
      </c>
    </row>
    <row r="802">
      <c r="A802" s="763">
        <f>IFERROR(__xludf.DUMMYFUNCTION("""COMPUTED_VALUE"""),67088.0)</f>
        <v>67088</v>
      </c>
      <c r="B802" s="763">
        <f>IFERROR(__xludf.DUMMYFUNCTION("""COMPUTED_VALUE"""),67088.0)</f>
        <v>67088</v>
      </c>
      <c r="C802" s="763" t="str">
        <f>IFERROR(__xludf.DUMMYFUNCTION("""COMPUTED_VALUE"""),"2025-12-24 10:41:56")</f>
        <v>2025-12-24 10:41:56</v>
      </c>
      <c r="D802" s="763" t="str">
        <f>IFERROR(__xludf.DUMMYFUNCTION("""COMPUTED_VALUE"""),"completed")</f>
        <v>completed</v>
      </c>
      <c r="E802" s="763" t="str">
        <f>IFERROR(__xludf.DUMMYFUNCTION("""COMPUTED_VALUE"""),"Francesco")</f>
        <v>Francesco</v>
      </c>
      <c r="F802" s="763" t="str">
        <f>IFERROR(__xludf.DUMMYFUNCTION("""COMPUTED_VALUE"""),"Fusco")</f>
        <v>Fusco</v>
      </c>
      <c r="G802" s="763" t="str">
        <f>IFERROR(__xludf.DUMMYFUNCTION("""COMPUTED_VALUE"""),"francesco.fusco18@icloud.com")</f>
        <v>francesco.fusco18@icloud.com</v>
      </c>
      <c r="H802" s="763">
        <f>IFERROR(__xludf.DUMMYFUNCTION("""COMPUTED_VALUE"""),3.469611413E9)</f>
        <v>3469611413</v>
      </c>
      <c r="I802" s="763" t="str">
        <f>IFERROR(__xludf.DUMMYFUNCTION("""COMPUTED_VALUE"""),"Cologno Monzese")</f>
        <v>Cologno Monzese</v>
      </c>
      <c r="J802" s="763" t="str">
        <f>IFERROR(__xludf.DUMMYFUNCTION("""COMPUTED_VALUE"""),"Via delle Ginestre, 27/A")</f>
        <v>Via delle Ginestre, 27/A</v>
      </c>
      <c r="K802" s="763">
        <f>IFERROR(__xludf.DUMMYFUNCTION("""COMPUTED_VALUE"""),20093.0)</f>
        <v>20093</v>
      </c>
      <c r="L802" s="763" t="str">
        <f>IFERROR(__xludf.DUMMYFUNCTION("""COMPUTED_VALUE"""),"Carte di pagamento")</f>
        <v>Carte di pagamento</v>
      </c>
      <c r="M802" s="763"/>
      <c r="N802" s="763" t="str">
        <f>IFERROR(__xludf.DUMMYFUNCTION("""COMPUTED_VALUE"""),"67088-1766572918")</f>
        <v>67088-1766572918</v>
      </c>
      <c r="O802" s="763">
        <f>IFERROR(__xludf.DUMMYFUNCTION("""COMPUTED_VALUE"""),0.0)</f>
        <v>0</v>
      </c>
      <c r="P802" s="767">
        <f>IFERROR(__xludf.DUMMYFUNCTION("""COMPUTED_VALUE"""),1.875)</f>
        <v>1.875</v>
      </c>
      <c r="Q802" s="763" t="str">
        <f>IFERROR(__xludf.DUMMYFUNCTION("""COMPUTED_VALUE"""),"EUR")</f>
        <v>EUR</v>
      </c>
      <c r="R802" s="763">
        <f>IFERROR(__xludf.DUMMYFUNCTION("""COMPUTED_VALUE"""),1464.0)</f>
        <v>1464</v>
      </c>
      <c r="S802" s="763" t="str">
        <f>IFERROR(__xludf.DUMMYFUNCTION("""COMPUTED_VALUE"""),"Workshop Hip Hop Emanuel Lo 2026 - Workshop Emanuel Lo 22 febbraio 2026")</f>
        <v>Workshop Hip Hop Emanuel Lo 2026 - Workshop Emanuel Lo 22 febbraio 2026</v>
      </c>
      <c r="T802" s="763"/>
      <c r="U802" s="763"/>
      <c r="V802" s="763">
        <f>IFERROR(__xludf.DUMMYFUNCTION("""COMPUTED_VALUE"""),1.0)</f>
        <v>1</v>
      </c>
      <c r="W802" s="763">
        <f>IFERROR(__xludf.DUMMYFUNCTION("""COMPUTED_VALUE"""),45.0)</f>
        <v>45</v>
      </c>
      <c r="X802" s="763">
        <f>IFERROR(__xludf.DUMMYFUNCTION("""COMPUTED_VALUE"""),45.0)</f>
        <v>45</v>
      </c>
      <c r="Y802" s="763"/>
      <c r="Z802" s="768" t="str">
        <f>IFERROR(__xludf.DUMMYFUNCTION("""COMPUTED_VALUE"""),"https://studio-gem.it/wp-admin/post.php?post=67088&amp;action=edit")</f>
        <v>https://studio-gem.it/wp-admin/post.php?post=67088&amp;action=edit</v>
      </c>
      <c r="AA802" s="763"/>
      <c r="AB802" s="763"/>
      <c r="AC802" s="763"/>
      <c r="AD802" s="763"/>
      <c r="AE802" s="763"/>
      <c r="AF802" s="763"/>
      <c r="AG802" s="763"/>
      <c r="AH802" s="763"/>
      <c r="AI802" s="763"/>
      <c r="AJ802" s="763"/>
      <c r="AK802" s="763"/>
      <c r="AL802" s="763"/>
      <c r="AM802" s="763"/>
      <c r="AN802" s="763"/>
      <c r="AO802" s="763"/>
      <c r="AP802" s="763"/>
      <c r="AQ802" s="763"/>
      <c r="AR802" s="763"/>
      <c r="AS802" s="763"/>
      <c r="AT802" s="763"/>
      <c r="AU802" s="763"/>
      <c r="AV802" s="763"/>
      <c r="AW802" s="763"/>
      <c r="AX802" s="763"/>
      <c r="AY802" s="763"/>
      <c r="AZ802" s="763"/>
      <c r="BA802" s="763"/>
      <c r="BB802" s="763"/>
      <c r="BC802" s="763"/>
      <c r="BD802" s="763"/>
      <c r="BE802" s="763"/>
      <c r="BF802" s="763"/>
      <c r="BG802" s="763" t="b">
        <f>IFERROR(__xludf.DUMMYFUNCTION("""COMPUTED_VALUE"""),TRUE)</f>
        <v>1</v>
      </c>
      <c r="BH802" s="763" t="b">
        <f>IFERROR(__xludf.DUMMYFUNCTION("""COMPUTED_VALUE"""),FALSE)</f>
        <v>0</v>
      </c>
      <c r="BI802" s="763" t="b">
        <f>IFERROR(__xludf.DUMMYFUNCTION("""COMPUTED_VALUE"""),TRUE)</f>
        <v>1</v>
      </c>
      <c r="BJ802" s="763" t="b">
        <f>IFERROR(__xludf.DUMMYFUNCTION("""COMPUTED_VALUE"""),TRUE)</f>
        <v>1</v>
      </c>
    </row>
    <row r="803">
      <c r="A803" s="763">
        <f>IFERROR(__xludf.DUMMYFUNCTION("""COMPUTED_VALUE"""),67090.0)</f>
        <v>67090</v>
      </c>
      <c r="B803" s="763">
        <f>IFERROR(__xludf.DUMMYFUNCTION("""COMPUTED_VALUE"""),67090.0)</f>
        <v>67090</v>
      </c>
      <c r="C803" s="763" t="str">
        <f>IFERROR(__xludf.DUMMYFUNCTION("""COMPUTED_VALUE"""),"2025-12-24 11:18:25")</f>
        <v>2025-12-24 11:18:25</v>
      </c>
      <c r="D803" s="763" t="str">
        <f>IFERROR(__xludf.DUMMYFUNCTION("""COMPUTED_VALUE"""),"completed")</f>
        <v>completed</v>
      </c>
      <c r="E803" s="763" t="str">
        <f>IFERROR(__xludf.DUMMYFUNCTION("""COMPUTED_VALUE"""),"Adele")</f>
        <v>Adele</v>
      </c>
      <c r="F803" s="763" t="str">
        <f>IFERROR(__xludf.DUMMYFUNCTION("""COMPUTED_VALUE"""),"Giovannetti")</f>
        <v>Giovannetti</v>
      </c>
      <c r="G803" s="763" t="str">
        <f>IFERROR(__xludf.DUMMYFUNCTION("""COMPUTED_VALUE"""),"adele.giovannetti.77@gmail.com")</f>
        <v>adele.giovannetti.77@gmail.com</v>
      </c>
      <c r="H803" s="763">
        <f>IFERROR(__xludf.DUMMYFUNCTION("""COMPUTED_VALUE"""),3.407521135E9)</f>
        <v>3407521135</v>
      </c>
      <c r="I803" s="763" t="str">
        <f>IFERROR(__xludf.DUMMYFUNCTION("""COMPUTED_VALUE"""),"Parma")</f>
        <v>Parma</v>
      </c>
      <c r="J803" s="763" t="str">
        <f>IFERROR(__xludf.DUMMYFUNCTION("""COMPUTED_VALUE"""),"Via Marna 21")</f>
        <v>Via Marna 21</v>
      </c>
      <c r="K803" s="763">
        <f>IFERROR(__xludf.DUMMYFUNCTION("""COMPUTED_VALUE"""),43123.0)</f>
        <v>43123</v>
      </c>
      <c r="L803" s="763" t="str">
        <f>IFERROR(__xludf.DUMMYFUNCTION("""COMPUTED_VALUE"""),"Carte di pagamento")</f>
        <v>Carte di pagamento</v>
      </c>
      <c r="M803" s="763" t="str">
        <f>IFERROR(__xludf.DUMMYFUNCTION("""COMPUTED_VALUE"""),"nura02ws")</f>
        <v>nura02ws</v>
      </c>
      <c r="N803" s="763" t="str">
        <f>IFERROR(__xludf.DUMMYFUNCTION("""COMPUTED_VALUE"""),"67090-1766575107")</f>
        <v>67090-1766575107</v>
      </c>
      <c r="O803" s="763">
        <f>IFERROR(__xludf.DUMMYFUNCTION("""COMPUTED_VALUE"""),0.0)</f>
        <v>0</v>
      </c>
      <c r="P803" s="767">
        <f>IFERROR(__xludf.DUMMYFUNCTION("""COMPUTED_VALUE"""),1.7916666666666667)</f>
        <v>1.791666667</v>
      </c>
      <c r="Q803" s="763" t="str">
        <f>IFERROR(__xludf.DUMMYFUNCTION("""COMPUTED_VALUE"""),"EUR")</f>
        <v>EUR</v>
      </c>
      <c r="R803" s="763">
        <f>IFERROR(__xludf.DUMMYFUNCTION("""COMPUTED_VALUE"""),1465.0)</f>
        <v>1465</v>
      </c>
      <c r="S803" s="763" t="str">
        <f>IFERROR(__xludf.DUMMYFUNCTION("""COMPUTED_VALUE"""),"Workshop Hip Hop Emanuel Lo 2026 - Workshop Emanuel Lo 22 febbraio 2026")</f>
        <v>Workshop Hip Hop Emanuel Lo 2026 - Workshop Emanuel Lo 22 febbraio 2026</v>
      </c>
      <c r="T803" s="763"/>
      <c r="U803" s="763"/>
      <c r="V803" s="763">
        <f>IFERROR(__xludf.DUMMYFUNCTION("""COMPUTED_VALUE"""),1.0)</f>
        <v>1</v>
      </c>
      <c r="W803" s="763">
        <f>IFERROR(__xludf.DUMMYFUNCTION("""COMPUTED_VALUE"""),43.0)</f>
        <v>43</v>
      </c>
      <c r="X803" s="763">
        <f>IFERROR(__xludf.DUMMYFUNCTION("""COMPUTED_VALUE"""),43.0)</f>
        <v>43</v>
      </c>
      <c r="Y803" s="763"/>
      <c r="Z803" s="768" t="str">
        <f>IFERROR(__xludf.DUMMYFUNCTION("""COMPUTED_VALUE"""),"https://studio-gem.it/wp-admin/post.php?post=67090&amp;action=edit")</f>
        <v>https://studio-gem.it/wp-admin/post.php?post=67090&amp;action=edit</v>
      </c>
      <c r="AA803" s="763"/>
      <c r="AB803" s="763"/>
      <c r="AC803" s="763"/>
      <c r="AD803" s="763"/>
      <c r="AE803" s="763"/>
      <c r="AF803" s="763"/>
      <c r="AG803" s="763"/>
      <c r="AH803" s="763"/>
      <c r="AI803" s="763"/>
      <c r="AJ803" s="763"/>
      <c r="AK803" s="763"/>
      <c r="AL803" s="763"/>
      <c r="AM803" s="763"/>
      <c r="AN803" s="763"/>
      <c r="AO803" s="763"/>
      <c r="AP803" s="763"/>
      <c r="AQ803" s="763"/>
      <c r="AR803" s="763"/>
      <c r="AS803" s="763"/>
      <c r="AT803" s="763"/>
      <c r="AU803" s="763"/>
      <c r="AV803" s="763"/>
      <c r="AW803" s="763"/>
      <c r="AX803" s="763"/>
      <c r="AY803" s="763"/>
      <c r="AZ803" s="763"/>
      <c r="BA803" s="763"/>
      <c r="BB803" s="763"/>
      <c r="BC803" s="763"/>
      <c r="BD803" s="763"/>
      <c r="BE803" s="763"/>
      <c r="BF803" s="763"/>
      <c r="BG803" s="763" t="b">
        <f>IFERROR(__xludf.DUMMYFUNCTION("""COMPUTED_VALUE"""),TRUE)</f>
        <v>1</v>
      </c>
      <c r="BH803" s="763" t="b">
        <f>IFERROR(__xludf.DUMMYFUNCTION("""COMPUTED_VALUE"""),FALSE)</f>
        <v>0</v>
      </c>
      <c r="BI803" s="763" t="b">
        <f>IFERROR(__xludf.DUMMYFUNCTION("""COMPUTED_VALUE"""),TRUE)</f>
        <v>1</v>
      </c>
      <c r="BJ803" s="763" t="b">
        <f>IFERROR(__xludf.DUMMYFUNCTION("""COMPUTED_VALUE"""),TRUE)</f>
        <v>1</v>
      </c>
    </row>
    <row r="804">
      <c r="A804" s="763">
        <f>IFERROR(__xludf.DUMMYFUNCTION("""COMPUTED_VALUE"""),67091.0)</f>
        <v>67091</v>
      </c>
      <c r="B804" s="763">
        <f>IFERROR(__xludf.DUMMYFUNCTION("""COMPUTED_VALUE"""),67091.0)</f>
        <v>67091</v>
      </c>
      <c r="C804" s="763" t="str">
        <f>IFERROR(__xludf.DUMMYFUNCTION("""COMPUTED_VALUE"""),"2025-12-24 11:22:27")</f>
        <v>2025-12-24 11:22:27</v>
      </c>
      <c r="D804" s="763" t="str">
        <f>IFERROR(__xludf.DUMMYFUNCTION("""COMPUTED_VALUE"""),"completed")</f>
        <v>completed</v>
      </c>
      <c r="E804" s="763" t="str">
        <f>IFERROR(__xludf.DUMMYFUNCTION("""COMPUTED_VALUE"""),"Luca")</f>
        <v>Luca</v>
      </c>
      <c r="F804" s="763" t="str">
        <f>IFERROR(__xludf.DUMMYFUNCTION("""COMPUTED_VALUE"""),"Cordani")</f>
        <v>Cordani</v>
      </c>
      <c r="G804" s="763" t="str">
        <f>IFERROR(__xludf.DUMMYFUNCTION("""COMPUTED_VALUE"""),"cordaniluca@gmail.com")</f>
        <v>cordaniluca@gmail.com</v>
      </c>
      <c r="H804" s="763">
        <f>IFERROR(__xludf.DUMMYFUNCTION("""COMPUTED_VALUE"""),3.921288637E9)</f>
        <v>3921288637</v>
      </c>
      <c r="I804" s="763" t="str">
        <f>IFERROR(__xludf.DUMMYFUNCTION("""COMPUTED_VALUE"""),"Vigevano")</f>
        <v>Vigevano</v>
      </c>
      <c r="J804" s="763" t="str">
        <f>IFERROR(__xludf.DUMMYFUNCTION("""COMPUTED_VALUE"""),"Via Verdi 9")</f>
        <v>Via Verdi 9</v>
      </c>
      <c r="K804" s="763">
        <f>IFERROR(__xludf.DUMMYFUNCTION("""COMPUTED_VALUE"""),27029.0)</f>
        <v>27029</v>
      </c>
      <c r="L804" s="763" t="str">
        <f>IFERROR(__xludf.DUMMYFUNCTION("""COMPUTED_VALUE"""),"Carte di pagamento")</f>
        <v>Carte di pagamento</v>
      </c>
      <c r="M804" s="763"/>
      <c r="N804" s="763" t="str">
        <f>IFERROR(__xludf.DUMMYFUNCTION("""COMPUTED_VALUE"""),"67091-1766575348")</f>
        <v>67091-1766575348</v>
      </c>
      <c r="O804" s="763">
        <f>IFERROR(__xludf.DUMMYFUNCTION("""COMPUTED_VALUE"""),0.0)</f>
        <v>0</v>
      </c>
      <c r="P804" s="767">
        <f>IFERROR(__xludf.DUMMYFUNCTION("""COMPUTED_VALUE"""),2.0833333333333335)</f>
        <v>2.083333333</v>
      </c>
      <c r="Q804" s="763" t="str">
        <f>IFERROR(__xludf.DUMMYFUNCTION("""COMPUTED_VALUE"""),"EUR")</f>
        <v>EUR</v>
      </c>
      <c r="R804" s="763">
        <f>IFERROR(__xludf.DUMMYFUNCTION("""COMPUTED_VALUE"""),1467.0)</f>
        <v>1467</v>
      </c>
      <c r="S804" s="763" t="str">
        <f>IFERROR(__xludf.DUMMYFUNCTION("""COMPUTED_VALUE"""),"Gift Card - Gift card 50€")</f>
        <v>Gift Card - Gift card 50€</v>
      </c>
      <c r="T804" s="763"/>
      <c r="U804" s="763"/>
      <c r="V804" s="763">
        <f>IFERROR(__xludf.DUMMYFUNCTION("""COMPUTED_VALUE"""),1.0)</f>
        <v>1</v>
      </c>
      <c r="W804" s="763">
        <f>IFERROR(__xludf.DUMMYFUNCTION("""COMPUTED_VALUE"""),50.0)</f>
        <v>50</v>
      </c>
      <c r="X804" s="763">
        <f>IFERROR(__xludf.DUMMYFUNCTION("""COMPUTED_VALUE"""),50.0)</f>
        <v>50</v>
      </c>
      <c r="Y804" s="763"/>
      <c r="Z804" s="768" t="str">
        <f>IFERROR(__xludf.DUMMYFUNCTION("""COMPUTED_VALUE"""),"https://studio-gem.it/wp-admin/post.php?post=67091&amp;action=edit")</f>
        <v>https://studio-gem.it/wp-admin/post.php?post=67091&amp;action=edit</v>
      </c>
      <c r="AA804" s="763"/>
      <c r="AB804" s="763"/>
      <c r="AC804" s="763"/>
      <c r="AD804" s="763"/>
      <c r="AE804" s="763"/>
      <c r="AF804" s="763"/>
      <c r="AG804" s="763"/>
      <c r="AH804" s="763"/>
      <c r="AI804" s="763"/>
      <c r="AJ804" s="763"/>
      <c r="AK804" s="763"/>
      <c r="AL804" s="763"/>
      <c r="AM804" s="763"/>
      <c r="AN804" s="763"/>
      <c r="AO804" s="763"/>
      <c r="AP804" s="763"/>
      <c r="AQ804" s="763"/>
      <c r="AR804" s="763"/>
      <c r="AS804" s="763"/>
      <c r="AT804" s="763"/>
      <c r="AU804" s="763"/>
      <c r="AV804" s="763"/>
      <c r="AW804" s="763"/>
      <c r="AX804" s="763"/>
      <c r="AY804" s="763"/>
      <c r="AZ804" s="763"/>
      <c r="BA804" s="763"/>
      <c r="BB804" s="763"/>
      <c r="BC804" s="763"/>
      <c r="BD804" s="763"/>
      <c r="BE804" s="763"/>
      <c r="BF804" s="763"/>
      <c r="BG804" s="763" t="b">
        <f>IFERROR(__xludf.DUMMYFUNCTION("""COMPUTED_VALUE"""),TRUE)</f>
        <v>1</v>
      </c>
      <c r="BH804" s="763" t="b">
        <f>IFERROR(__xludf.DUMMYFUNCTION("""COMPUTED_VALUE"""),FALSE)</f>
        <v>0</v>
      </c>
      <c r="BI804" s="763" t="b">
        <f>IFERROR(__xludf.DUMMYFUNCTION("""COMPUTED_VALUE"""),TRUE)</f>
        <v>1</v>
      </c>
      <c r="BJ804" s="763" t="b">
        <f>IFERROR(__xludf.DUMMYFUNCTION("""COMPUTED_VALUE"""),TRUE)</f>
        <v>1</v>
      </c>
    </row>
    <row r="805">
      <c r="A805" s="763">
        <f>IFERROR(__xludf.DUMMYFUNCTION("""COMPUTED_VALUE"""),67094.0)</f>
        <v>67094</v>
      </c>
      <c r="B805" s="763">
        <f>IFERROR(__xludf.DUMMYFUNCTION("""COMPUTED_VALUE"""),67094.0)</f>
        <v>67094</v>
      </c>
      <c r="C805" s="763" t="str">
        <f>IFERROR(__xludf.DUMMYFUNCTION("""COMPUTED_VALUE"""),"2025-12-24 15:15:56")</f>
        <v>2025-12-24 15:15:56</v>
      </c>
      <c r="D805" s="763" t="str">
        <f>IFERROR(__xludf.DUMMYFUNCTION("""COMPUTED_VALUE"""),"cancelled")</f>
        <v>cancelled</v>
      </c>
      <c r="E805" s="763" t="str">
        <f>IFERROR(__xludf.DUMMYFUNCTION("""COMPUTED_VALUE"""),"Raffaele")</f>
        <v>Raffaele</v>
      </c>
      <c r="F805" s="763" t="str">
        <f>IFERROR(__xludf.DUMMYFUNCTION("""COMPUTED_VALUE"""),"Camera")</f>
        <v>Camera</v>
      </c>
      <c r="G805" s="763" t="str">
        <f>IFERROR(__xludf.DUMMYFUNCTION("""COMPUTED_VALUE"""),"cameraraffaele.cr75@gmail.com")</f>
        <v>cameraraffaele.cr75@gmail.com</v>
      </c>
      <c r="H805" s="763">
        <f>IFERROR(__xludf.DUMMYFUNCTION("""COMPUTED_VALUE"""),3.389178026E9)</f>
        <v>3389178026</v>
      </c>
      <c r="I805" s="763" t="str">
        <f>IFERROR(__xludf.DUMMYFUNCTION("""COMPUTED_VALUE"""),"Basilicagoiano")</f>
        <v>Basilicagoiano</v>
      </c>
      <c r="J805" s="763" t="str">
        <f>IFERROR(__xludf.DUMMYFUNCTION("""COMPUTED_VALUE"""),"Via 7 falli cervi 6")</f>
        <v>Via 7 falli cervi 6</v>
      </c>
      <c r="K805" s="763">
        <f>IFERROR(__xludf.DUMMYFUNCTION("""COMPUTED_VALUE"""),43022.0)</f>
        <v>43022</v>
      </c>
      <c r="L805" s="763" t="str">
        <f>IFERROR(__xludf.DUMMYFUNCTION("""COMPUTED_VALUE"""),"Google Pay")</f>
        <v>Google Pay</v>
      </c>
      <c r="M805" s="763"/>
      <c r="N805" s="763"/>
      <c r="O805" s="763">
        <f>IFERROR(__xludf.DUMMYFUNCTION("""COMPUTED_VALUE"""),0.0)</f>
        <v>0</v>
      </c>
      <c r="P805" s="767">
        <f>IFERROR(__xludf.DUMMYFUNCTION("""COMPUTED_VALUE"""),1.875)</f>
        <v>1.875</v>
      </c>
      <c r="Q805" s="763" t="str">
        <f>IFERROR(__xludf.DUMMYFUNCTION("""COMPUTED_VALUE"""),"EUR")</f>
        <v>EUR</v>
      </c>
      <c r="R805" s="763">
        <f>IFERROR(__xludf.DUMMYFUNCTION("""COMPUTED_VALUE"""),1468.0)</f>
        <v>1468</v>
      </c>
      <c r="S805" s="763" t="str">
        <f>IFERROR(__xludf.DUMMYFUNCTION("""COMPUTED_VALUE"""),"Workshop Hip Hop Emanuel Lo 2026 - Workshop Emanuel Lo 22 febbraio 2026")</f>
        <v>Workshop Hip Hop Emanuel Lo 2026 - Workshop Emanuel Lo 22 febbraio 2026</v>
      </c>
      <c r="T805" s="763"/>
      <c r="U805" s="763"/>
      <c r="V805" s="763">
        <f>IFERROR(__xludf.DUMMYFUNCTION("""COMPUTED_VALUE"""),1.0)</f>
        <v>1</v>
      </c>
      <c r="W805" s="763">
        <f>IFERROR(__xludf.DUMMYFUNCTION("""COMPUTED_VALUE"""),45.0)</f>
        <v>45</v>
      </c>
      <c r="X805" s="763">
        <f>IFERROR(__xludf.DUMMYFUNCTION("""COMPUTED_VALUE"""),45.0)</f>
        <v>45</v>
      </c>
      <c r="Y805" s="763"/>
      <c r="Z805" s="768" t="str">
        <f>IFERROR(__xludf.DUMMYFUNCTION("""COMPUTED_VALUE"""),"https://studio-gem.it/wp-admin/post.php?post=67094&amp;action=edit")</f>
        <v>https://studio-gem.it/wp-admin/post.php?post=67094&amp;action=edit</v>
      </c>
      <c r="AA805" s="763"/>
      <c r="AB805" s="763"/>
      <c r="AC805" s="763"/>
      <c r="AD805" s="763"/>
      <c r="AE805" s="763"/>
      <c r="AF805" s="763"/>
      <c r="AG805" s="763"/>
      <c r="AH805" s="763"/>
      <c r="AI805" s="763"/>
      <c r="AJ805" s="763"/>
      <c r="AK805" s="763"/>
      <c r="AL805" s="763"/>
      <c r="AM805" s="763"/>
      <c r="AN805" s="763"/>
      <c r="AO805" s="763"/>
      <c r="AP805" s="763"/>
      <c r="AQ805" s="763"/>
      <c r="AR805" s="763"/>
      <c r="AS805" s="763"/>
      <c r="AT805" s="763"/>
      <c r="AU805" s="763"/>
      <c r="AV805" s="763"/>
      <c r="AW805" s="763"/>
      <c r="AX805" s="763"/>
      <c r="AY805" s="763"/>
      <c r="AZ805" s="763"/>
      <c r="BA805" s="763"/>
      <c r="BB805" s="763"/>
      <c r="BC805" s="763"/>
      <c r="BD805" s="763"/>
      <c r="BE805" s="763"/>
      <c r="BF805" s="763"/>
      <c r="BG805" s="763" t="b">
        <f>IFERROR(__xludf.DUMMYFUNCTION("""COMPUTED_VALUE"""),FALSE)</f>
        <v>0</v>
      </c>
      <c r="BH805" s="763" t="b">
        <f>IFERROR(__xludf.DUMMYFUNCTION("""COMPUTED_VALUE"""),FALSE)</f>
        <v>0</v>
      </c>
      <c r="BI805" s="763" t="b">
        <f>IFERROR(__xludf.DUMMYFUNCTION("""COMPUTED_VALUE"""),FALSE)</f>
        <v>0</v>
      </c>
      <c r="BJ805" s="763" t="b">
        <f>IFERROR(__xludf.DUMMYFUNCTION("""COMPUTED_VALUE"""),FALSE)</f>
        <v>0</v>
      </c>
    </row>
    <row r="806">
      <c r="A806" s="763">
        <f>IFERROR(__xludf.DUMMYFUNCTION("""COMPUTED_VALUE"""),67095.0)</f>
        <v>67095</v>
      </c>
      <c r="B806" s="763">
        <f>IFERROR(__xludf.DUMMYFUNCTION("""COMPUTED_VALUE"""),67095.0)</f>
        <v>67095</v>
      </c>
      <c r="C806" s="763" t="str">
        <f>IFERROR(__xludf.DUMMYFUNCTION("""COMPUTED_VALUE"""),"2025-12-24 15:19:10")</f>
        <v>2025-12-24 15:19:10</v>
      </c>
      <c r="D806" s="763" t="str">
        <f>IFERROR(__xludf.DUMMYFUNCTION("""COMPUTED_VALUE"""),"processing")</f>
        <v>processing</v>
      </c>
      <c r="E806" s="763" t="str">
        <f>IFERROR(__xludf.DUMMYFUNCTION("""COMPUTED_VALUE"""),"Raffaele")</f>
        <v>Raffaele</v>
      </c>
      <c r="F806" s="763" t="str">
        <f>IFERROR(__xludf.DUMMYFUNCTION("""COMPUTED_VALUE"""),"Camera")</f>
        <v>Camera</v>
      </c>
      <c r="G806" s="763" t="str">
        <f>IFERROR(__xludf.DUMMYFUNCTION("""COMPUTED_VALUE"""),"cameraraffaele.cr75@gmail.com")</f>
        <v>cameraraffaele.cr75@gmail.com</v>
      </c>
      <c r="H806" s="763">
        <f>IFERROR(__xludf.DUMMYFUNCTION("""COMPUTED_VALUE"""),3.389178026E9)</f>
        <v>3389178026</v>
      </c>
      <c r="I806" s="763" t="str">
        <f>IFERROR(__xludf.DUMMYFUNCTION("""COMPUTED_VALUE"""),"Basilicagoiano")</f>
        <v>Basilicagoiano</v>
      </c>
      <c r="J806" s="763" t="str">
        <f>IFERROR(__xludf.DUMMYFUNCTION("""COMPUTED_VALUE"""),"Via 7 falli cervi 6")</f>
        <v>Via 7 falli cervi 6</v>
      </c>
      <c r="K806" s="763">
        <f>IFERROR(__xludf.DUMMYFUNCTION("""COMPUTED_VALUE"""),43022.0)</f>
        <v>43022</v>
      </c>
      <c r="L806" s="763" t="str">
        <f>IFERROR(__xludf.DUMMYFUNCTION("""COMPUTED_VALUE"""),"Carte di pagamento")</f>
        <v>Carte di pagamento</v>
      </c>
      <c r="M806" s="763"/>
      <c r="N806" s="763" t="str">
        <f>IFERROR(__xludf.DUMMYFUNCTION("""COMPUTED_VALUE"""),"67095-1766589551")</f>
        <v>67095-1766589551</v>
      </c>
      <c r="O806" s="763">
        <f>IFERROR(__xludf.DUMMYFUNCTION("""COMPUTED_VALUE"""),0.0)</f>
        <v>0</v>
      </c>
      <c r="P806" s="767">
        <f>IFERROR(__xludf.DUMMYFUNCTION("""COMPUTED_VALUE"""),1.875)</f>
        <v>1.875</v>
      </c>
      <c r="Q806" s="763" t="str">
        <f>IFERROR(__xludf.DUMMYFUNCTION("""COMPUTED_VALUE"""),"EUR")</f>
        <v>EUR</v>
      </c>
      <c r="R806" s="763">
        <f>IFERROR(__xludf.DUMMYFUNCTION("""COMPUTED_VALUE"""),1469.0)</f>
        <v>1469</v>
      </c>
      <c r="S806" s="763" t="str">
        <f>IFERROR(__xludf.DUMMYFUNCTION("""COMPUTED_VALUE"""),"Workshop Hip Hop Emanuel Lo 2026 - Workshop Emanuel Lo 22 febbraio 2026")</f>
        <v>Workshop Hip Hop Emanuel Lo 2026 - Workshop Emanuel Lo 22 febbraio 2026</v>
      </c>
      <c r="T806" s="763"/>
      <c r="U806" s="763"/>
      <c r="V806" s="763">
        <f>IFERROR(__xludf.DUMMYFUNCTION("""COMPUTED_VALUE"""),1.0)</f>
        <v>1</v>
      </c>
      <c r="W806" s="763">
        <f>IFERROR(__xludf.DUMMYFUNCTION("""COMPUTED_VALUE"""),45.0)</f>
        <v>45</v>
      </c>
      <c r="X806" s="763">
        <f>IFERROR(__xludf.DUMMYFUNCTION("""COMPUTED_VALUE"""),45.0)</f>
        <v>45</v>
      </c>
      <c r="Y806" s="763"/>
      <c r="Z806" s="768" t="str">
        <f>IFERROR(__xludf.DUMMYFUNCTION("""COMPUTED_VALUE"""),"https://studio-gem.it/wp-admin/post.php?post=67095&amp;action=edit")</f>
        <v>https://studio-gem.it/wp-admin/post.php?post=67095&amp;action=edit</v>
      </c>
      <c r="AA806" s="763"/>
      <c r="AB806" s="763"/>
      <c r="AC806" s="763"/>
      <c r="AD806" s="763"/>
      <c r="AE806" s="763"/>
      <c r="AF806" s="763"/>
      <c r="AG806" s="763"/>
      <c r="AH806" s="763"/>
      <c r="AI806" s="763"/>
      <c r="AJ806" s="763"/>
      <c r="AK806" s="763"/>
      <c r="AL806" s="763"/>
      <c r="AM806" s="763"/>
      <c r="AN806" s="763"/>
      <c r="AO806" s="763"/>
      <c r="AP806" s="763"/>
      <c r="AQ806" s="763"/>
      <c r="AR806" s="763"/>
      <c r="AS806" s="763"/>
      <c r="AT806" s="763"/>
      <c r="AU806" s="763"/>
      <c r="AV806" s="763"/>
      <c r="AW806" s="763"/>
      <c r="AX806" s="763"/>
      <c r="AY806" s="763"/>
      <c r="AZ806" s="763"/>
      <c r="BA806" s="763"/>
      <c r="BB806" s="763"/>
      <c r="BC806" s="763"/>
      <c r="BD806" s="763"/>
      <c r="BE806" s="763"/>
      <c r="BF806" s="763"/>
      <c r="BG806" s="763" t="b">
        <f>IFERROR(__xludf.DUMMYFUNCTION("""COMPUTED_VALUE"""),FALSE)</f>
        <v>0</v>
      </c>
      <c r="BH806" s="763" t="b">
        <f>IFERROR(__xludf.DUMMYFUNCTION("""COMPUTED_VALUE"""),FALSE)</f>
        <v>0</v>
      </c>
      <c r="BI806" s="763" t="b">
        <f>IFERROR(__xludf.DUMMYFUNCTION("""COMPUTED_VALUE"""),TRUE)</f>
        <v>1</v>
      </c>
      <c r="BJ806" s="763" t="b">
        <f>IFERROR(__xludf.DUMMYFUNCTION("""COMPUTED_VALUE"""),TRUE)</f>
        <v>1</v>
      </c>
    </row>
    <row r="807">
      <c r="A807" s="763">
        <f>IFERROR(__xludf.DUMMYFUNCTION("""COMPUTED_VALUE"""),67096.0)</f>
        <v>67096</v>
      </c>
      <c r="B807" s="763">
        <f>IFERROR(__xludf.DUMMYFUNCTION("""COMPUTED_VALUE"""),67096.0)</f>
        <v>67096</v>
      </c>
      <c r="C807" s="763" t="str">
        <f>IFERROR(__xludf.DUMMYFUNCTION("""COMPUTED_VALUE"""),"2025-12-26 11:16:53")</f>
        <v>2025-12-26 11:16:53</v>
      </c>
      <c r="D807" s="763" t="str">
        <f>IFERROR(__xludf.DUMMYFUNCTION("""COMPUTED_VALUE"""),"completed")</f>
        <v>completed</v>
      </c>
      <c r="E807" s="763" t="str">
        <f>IFERROR(__xludf.DUMMYFUNCTION("""COMPUTED_VALUE"""),"margherita")</f>
        <v>margherita</v>
      </c>
      <c r="F807" s="763" t="str">
        <f>IFERROR(__xludf.DUMMYFUNCTION("""COMPUTED_VALUE"""),"farano")</f>
        <v>farano</v>
      </c>
      <c r="G807" s="763" t="str">
        <f>IFERROR(__xludf.DUMMYFUNCTION("""COMPUTED_VALUE"""),"margherita.farano@gmail.com")</f>
        <v>margherita.farano@gmail.com</v>
      </c>
      <c r="H807" s="763">
        <f>IFERROR(__xludf.DUMMYFUNCTION("""COMPUTED_VALUE"""),3.738730275E9)</f>
        <v>3738730275</v>
      </c>
      <c r="I807" s="763" t="str">
        <f>IFERROR(__xludf.DUMMYFUNCTION("""COMPUTED_VALUE"""),"Milano")</f>
        <v>Milano</v>
      </c>
      <c r="J807" s="763" t="str">
        <f>IFERROR(__xludf.DUMMYFUNCTION("""COMPUTED_VALUE"""),"Via Giuseppe Candiani 29")</f>
        <v>Via Giuseppe Candiani 29</v>
      </c>
      <c r="K807" s="763">
        <f>IFERROR(__xludf.DUMMYFUNCTION("""COMPUTED_VALUE"""),20158.0)</f>
        <v>20158</v>
      </c>
      <c r="L807" s="763" t="str">
        <f>IFERROR(__xludf.DUMMYFUNCTION("""COMPUTED_VALUE"""),"Apple Pay")</f>
        <v>Apple Pay</v>
      </c>
      <c r="M807" s="763"/>
      <c r="N807" s="763" t="str">
        <f>IFERROR(__xludf.DUMMYFUNCTION("""COMPUTED_VALUE"""),"67096-1766747815")</f>
        <v>67096-1766747815</v>
      </c>
      <c r="O807" s="763">
        <f>IFERROR(__xludf.DUMMYFUNCTION("""COMPUTED_VALUE"""),0.0)</f>
        <v>0</v>
      </c>
      <c r="P807" s="767">
        <f>IFERROR(__xludf.DUMMYFUNCTION("""COMPUTED_VALUE"""),1.875)</f>
        <v>1.875</v>
      </c>
      <c r="Q807" s="763" t="str">
        <f>IFERROR(__xludf.DUMMYFUNCTION("""COMPUTED_VALUE"""),"EUR")</f>
        <v>EUR</v>
      </c>
      <c r="R807" s="763">
        <f>IFERROR(__xludf.DUMMYFUNCTION("""COMPUTED_VALUE"""),1470.0)</f>
        <v>1470</v>
      </c>
      <c r="S807" s="763" t="str">
        <f>IFERROR(__xludf.DUMMYFUNCTION("""COMPUTED_VALUE"""),"Workshop Hip Hop Emanuel Lo 2026 - Workshop Emanuel Lo 22 febbraio 2026")</f>
        <v>Workshop Hip Hop Emanuel Lo 2026 - Workshop Emanuel Lo 22 febbraio 2026</v>
      </c>
      <c r="T807" s="763"/>
      <c r="U807" s="763"/>
      <c r="V807" s="763">
        <f>IFERROR(__xludf.DUMMYFUNCTION("""COMPUTED_VALUE"""),1.0)</f>
        <v>1</v>
      </c>
      <c r="W807" s="763">
        <f>IFERROR(__xludf.DUMMYFUNCTION("""COMPUTED_VALUE"""),45.0)</f>
        <v>45</v>
      </c>
      <c r="X807" s="763">
        <f>IFERROR(__xludf.DUMMYFUNCTION("""COMPUTED_VALUE"""),45.0)</f>
        <v>45</v>
      </c>
      <c r="Y807" s="763"/>
      <c r="Z807" s="768" t="str">
        <f>IFERROR(__xludf.DUMMYFUNCTION("""COMPUTED_VALUE"""),"https://studio-gem.it/wp-admin/post.php?post=67096&amp;action=edit")</f>
        <v>https://studio-gem.it/wp-admin/post.php?post=67096&amp;action=edit</v>
      </c>
      <c r="AA807" s="763"/>
      <c r="AB807" s="763"/>
      <c r="AC807" s="763"/>
      <c r="AD807" s="763"/>
      <c r="AE807" s="763"/>
      <c r="AF807" s="763"/>
      <c r="AG807" s="763"/>
      <c r="AH807" s="763"/>
      <c r="AI807" s="763"/>
      <c r="AJ807" s="763"/>
      <c r="AK807" s="763"/>
      <c r="AL807" s="763"/>
      <c r="AM807" s="763"/>
      <c r="AN807" s="763"/>
      <c r="AO807" s="763"/>
      <c r="AP807" s="763"/>
      <c r="AQ807" s="763"/>
      <c r="AR807" s="763"/>
      <c r="AS807" s="763"/>
      <c r="AT807" s="763"/>
      <c r="AU807" s="763"/>
      <c r="AV807" s="763"/>
      <c r="AW807" s="763"/>
      <c r="AX807" s="763"/>
      <c r="AY807" s="763"/>
      <c r="AZ807" s="763"/>
      <c r="BA807" s="763"/>
      <c r="BB807" s="763"/>
      <c r="BC807" s="763"/>
      <c r="BD807" s="763"/>
      <c r="BE807" s="763"/>
      <c r="BF807" s="763"/>
      <c r="BG807" s="763" t="b">
        <f>IFERROR(__xludf.DUMMYFUNCTION("""COMPUTED_VALUE"""),FALSE)</f>
        <v>0</v>
      </c>
      <c r="BH807" s="763" t="b">
        <f>IFERROR(__xludf.DUMMYFUNCTION("""COMPUTED_VALUE"""),FALSE)</f>
        <v>0</v>
      </c>
      <c r="BI807" s="763" t="b">
        <f>IFERROR(__xludf.DUMMYFUNCTION("""COMPUTED_VALUE"""),TRUE)</f>
        <v>1</v>
      </c>
      <c r="BJ807" s="763" t="b">
        <f>IFERROR(__xludf.DUMMYFUNCTION("""COMPUTED_VALUE"""),TRUE)</f>
        <v>1</v>
      </c>
    </row>
    <row r="808">
      <c r="A808" s="763">
        <f>IFERROR(__xludf.DUMMYFUNCTION("""COMPUTED_VALUE"""),67098.0)</f>
        <v>67098</v>
      </c>
      <c r="B808" s="763">
        <f>IFERROR(__xludf.DUMMYFUNCTION("""COMPUTED_VALUE"""),67098.0)</f>
        <v>67098</v>
      </c>
      <c r="C808" s="763" t="str">
        <f>IFERROR(__xludf.DUMMYFUNCTION("""COMPUTED_VALUE"""),"2025-12-26 11:17:46")</f>
        <v>2025-12-26 11:17:46</v>
      </c>
      <c r="D808" s="763" t="str">
        <f>IFERROR(__xludf.DUMMYFUNCTION("""COMPUTED_VALUE"""),"cancelled")</f>
        <v>cancelled</v>
      </c>
      <c r="E808" s="763" t="str">
        <f>IFERROR(__xludf.DUMMYFUNCTION("""COMPUTED_VALUE"""),"Valentina")</f>
        <v>Valentina</v>
      </c>
      <c r="F808" s="763" t="str">
        <f>IFERROR(__xludf.DUMMYFUNCTION("""COMPUTED_VALUE"""),"Lupo")</f>
        <v>Lupo</v>
      </c>
      <c r="G808" s="763" t="str">
        <f>IFERROR(__xludf.DUMMYFUNCTION("""COMPUTED_VALUE"""),"lupo_valentina@outlook.it")</f>
        <v>lupo_valentina@outlook.it</v>
      </c>
      <c r="H808" s="763">
        <f>IFERROR(__xludf.DUMMYFUNCTION("""COMPUTED_VALUE"""),3.47068541E9)</f>
        <v>3470685410</v>
      </c>
      <c r="I808" s="763" t="str">
        <f>IFERROR(__xludf.DUMMYFUNCTION("""COMPUTED_VALUE"""),"Appiano Gentile")</f>
        <v>Appiano Gentile</v>
      </c>
      <c r="J808" s="763" t="str">
        <f>IFERROR(__xludf.DUMMYFUNCTION("""COMPUTED_VALUE"""),"Via Pedrosi 17")</f>
        <v>Via Pedrosi 17</v>
      </c>
      <c r="K808" s="763">
        <f>IFERROR(__xludf.DUMMYFUNCTION("""COMPUTED_VALUE"""),22070.0)</f>
        <v>22070</v>
      </c>
      <c r="L808" s="763" t="str">
        <f>IFERROR(__xludf.DUMMYFUNCTION("""COMPUTED_VALUE"""),"Apple Pay")</f>
        <v>Apple Pay</v>
      </c>
      <c r="M808" s="763"/>
      <c r="N808" s="763"/>
      <c r="O808" s="763">
        <f>IFERROR(__xludf.DUMMYFUNCTION("""COMPUTED_VALUE"""),0.0)</f>
        <v>0</v>
      </c>
      <c r="P808" s="767">
        <f>IFERROR(__xludf.DUMMYFUNCTION("""COMPUTED_VALUE"""),1.875)</f>
        <v>1.875</v>
      </c>
      <c r="Q808" s="763" t="str">
        <f>IFERROR(__xludf.DUMMYFUNCTION("""COMPUTED_VALUE"""),"EUR")</f>
        <v>EUR</v>
      </c>
      <c r="R808" s="763">
        <f>IFERROR(__xludf.DUMMYFUNCTION("""COMPUTED_VALUE"""),1471.0)</f>
        <v>1471</v>
      </c>
      <c r="S808" s="763" t="str">
        <f>IFERROR(__xludf.DUMMYFUNCTION("""COMPUTED_VALUE"""),"Workshop Hip Hop Emanuel Lo 2026 - Workshop Emanuel Lo 22 febbraio 2026")</f>
        <v>Workshop Hip Hop Emanuel Lo 2026 - Workshop Emanuel Lo 22 febbraio 2026</v>
      </c>
      <c r="T808" s="763"/>
      <c r="U808" s="763"/>
      <c r="V808" s="763">
        <f>IFERROR(__xludf.DUMMYFUNCTION("""COMPUTED_VALUE"""),1.0)</f>
        <v>1</v>
      </c>
      <c r="W808" s="763">
        <f>IFERROR(__xludf.DUMMYFUNCTION("""COMPUTED_VALUE"""),45.0)</f>
        <v>45</v>
      </c>
      <c r="X808" s="763">
        <f>IFERROR(__xludf.DUMMYFUNCTION("""COMPUTED_VALUE"""),45.0)</f>
        <v>45</v>
      </c>
      <c r="Y808" s="763"/>
      <c r="Z808" s="768" t="str">
        <f>IFERROR(__xludf.DUMMYFUNCTION("""COMPUTED_VALUE"""),"https://studio-gem.it/wp-admin/post.php?post=67098&amp;action=edit")</f>
        <v>https://studio-gem.it/wp-admin/post.php?post=67098&amp;action=edit</v>
      </c>
      <c r="AA808" s="763"/>
      <c r="AB808" s="763"/>
      <c r="AC808" s="763"/>
      <c r="AD808" s="763"/>
      <c r="AE808" s="763"/>
      <c r="AF808" s="763"/>
      <c r="AG808" s="763"/>
      <c r="AH808" s="763"/>
      <c r="AI808" s="763"/>
      <c r="AJ808" s="763"/>
      <c r="AK808" s="763"/>
      <c r="AL808" s="763"/>
      <c r="AM808" s="763"/>
      <c r="AN808" s="763"/>
      <c r="AO808" s="763"/>
      <c r="AP808" s="763"/>
      <c r="AQ808" s="763"/>
      <c r="AR808" s="763"/>
      <c r="AS808" s="763"/>
      <c r="AT808" s="763"/>
      <c r="AU808" s="763"/>
      <c r="AV808" s="763"/>
      <c r="AW808" s="763"/>
      <c r="AX808" s="763"/>
      <c r="AY808" s="763"/>
      <c r="AZ808" s="763"/>
      <c r="BA808" s="763"/>
      <c r="BB808" s="763"/>
      <c r="BC808" s="763"/>
      <c r="BD808" s="763"/>
      <c r="BE808" s="763"/>
      <c r="BF808" s="763"/>
      <c r="BG808" s="763" t="b">
        <f>IFERROR(__xludf.DUMMYFUNCTION("""COMPUTED_VALUE"""),FALSE)</f>
        <v>0</v>
      </c>
      <c r="BH808" s="763" t="b">
        <f>IFERROR(__xludf.DUMMYFUNCTION("""COMPUTED_VALUE"""),FALSE)</f>
        <v>0</v>
      </c>
      <c r="BI808" s="763" t="b">
        <f>IFERROR(__xludf.DUMMYFUNCTION("""COMPUTED_VALUE"""),FALSE)</f>
        <v>0</v>
      </c>
      <c r="BJ808" s="763" t="b">
        <f>IFERROR(__xludf.DUMMYFUNCTION("""COMPUTED_VALUE"""),FALSE)</f>
        <v>0</v>
      </c>
    </row>
    <row r="809">
      <c r="A809" s="763">
        <f>IFERROR(__xludf.DUMMYFUNCTION("""COMPUTED_VALUE"""),67099.0)</f>
        <v>67099</v>
      </c>
      <c r="B809" s="763">
        <f>IFERROR(__xludf.DUMMYFUNCTION("""COMPUTED_VALUE"""),67099.0)</f>
        <v>67099</v>
      </c>
      <c r="C809" s="763" t="str">
        <f>IFERROR(__xludf.DUMMYFUNCTION("""COMPUTED_VALUE"""),"2025-12-26 11:18:22")</f>
        <v>2025-12-26 11:18:22</v>
      </c>
      <c r="D809" s="763" t="str">
        <f>IFERROR(__xludf.DUMMYFUNCTION("""COMPUTED_VALUE"""),"completed")</f>
        <v>completed</v>
      </c>
      <c r="E809" s="763" t="str">
        <f>IFERROR(__xludf.DUMMYFUNCTION("""COMPUTED_VALUE"""),"Valentina")</f>
        <v>Valentina</v>
      </c>
      <c r="F809" s="763" t="str">
        <f>IFERROR(__xludf.DUMMYFUNCTION("""COMPUTED_VALUE"""),"Lupo")</f>
        <v>Lupo</v>
      </c>
      <c r="G809" s="763" t="str">
        <f>IFERROR(__xludf.DUMMYFUNCTION("""COMPUTED_VALUE"""),"lupo_valentina@outlook.it")</f>
        <v>lupo_valentina@outlook.it</v>
      </c>
      <c r="H809" s="763">
        <f>IFERROR(__xludf.DUMMYFUNCTION("""COMPUTED_VALUE"""),3.47068541E9)</f>
        <v>3470685410</v>
      </c>
      <c r="I809" s="763" t="str">
        <f>IFERROR(__xludf.DUMMYFUNCTION("""COMPUTED_VALUE"""),"Appiano Gentile")</f>
        <v>Appiano Gentile</v>
      </c>
      <c r="J809" s="763" t="str">
        <f>IFERROR(__xludf.DUMMYFUNCTION("""COMPUTED_VALUE"""),"Via Pedrosi 17")</f>
        <v>Via Pedrosi 17</v>
      </c>
      <c r="K809" s="763">
        <f>IFERROR(__xludf.DUMMYFUNCTION("""COMPUTED_VALUE"""),22070.0)</f>
        <v>22070</v>
      </c>
      <c r="L809" s="763" t="str">
        <f>IFERROR(__xludf.DUMMYFUNCTION("""COMPUTED_VALUE"""),"Apple Pay")</f>
        <v>Apple Pay</v>
      </c>
      <c r="M809" s="763"/>
      <c r="N809" s="763" t="str">
        <f>IFERROR(__xludf.DUMMYFUNCTION("""COMPUTED_VALUE"""),"67099-1766747904")</f>
        <v>67099-1766747904</v>
      </c>
      <c r="O809" s="763">
        <f>IFERROR(__xludf.DUMMYFUNCTION("""COMPUTED_VALUE"""),0.0)</f>
        <v>0</v>
      </c>
      <c r="P809" s="767">
        <f>IFERROR(__xludf.DUMMYFUNCTION("""COMPUTED_VALUE"""),1.875)</f>
        <v>1.875</v>
      </c>
      <c r="Q809" s="763" t="str">
        <f>IFERROR(__xludf.DUMMYFUNCTION("""COMPUTED_VALUE"""),"EUR")</f>
        <v>EUR</v>
      </c>
      <c r="R809" s="763">
        <f>IFERROR(__xludf.DUMMYFUNCTION("""COMPUTED_VALUE"""),1472.0)</f>
        <v>1472</v>
      </c>
      <c r="S809" s="763" t="str">
        <f>IFERROR(__xludf.DUMMYFUNCTION("""COMPUTED_VALUE"""),"Workshop Hip Hop Emanuel Lo 2026 - Workshop Emanuel Lo 22 febbraio 2026")</f>
        <v>Workshop Hip Hop Emanuel Lo 2026 - Workshop Emanuel Lo 22 febbraio 2026</v>
      </c>
      <c r="T809" s="763"/>
      <c r="U809" s="763"/>
      <c r="V809" s="763">
        <f>IFERROR(__xludf.DUMMYFUNCTION("""COMPUTED_VALUE"""),1.0)</f>
        <v>1</v>
      </c>
      <c r="W809" s="763">
        <f>IFERROR(__xludf.DUMMYFUNCTION("""COMPUTED_VALUE"""),45.0)</f>
        <v>45</v>
      </c>
      <c r="X809" s="763">
        <f>IFERROR(__xludf.DUMMYFUNCTION("""COMPUTED_VALUE"""),45.0)</f>
        <v>45</v>
      </c>
      <c r="Y809" s="763"/>
      <c r="Z809" s="768" t="str">
        <f>IFERROR(__xludf.DUMMYFUNCTION("""COMPUTED_VALUE"""),"https://studio-gem.it/wp-admin/post.php?post=67099&amp;action=edit")</f>
        <v>https://studio-gem.it/wp-admin/post.php?post=67099&amp;action=edit</v>
      </c>
      <c r="AA809" s="763"/>
      <c r="AB809" s="763"/>
      <c r="AC809" s="763"/>
      <c r="AD809" s="763"/>
      <c r="AE809" s="763"/>
      <c r="AF809" s="763"/>
      <c r="AG809" s="763"/>
      <c r="AH809" s="763"/>
      <c r="AI809" s="763"/>
      <c r="AJ809" s="763"/>
      <c r="AK809" s="763"/>
      <c r="AL809" s="763"/>
      <c r="AM809" s="763"/>
      <c r="AN809" s="763"/>
      <c r="AO809" s="763"/>
      <c r="AP809" s="763"/>
      <c r="AQ809" s="763"/>
      <c r="AR809" s="763"/>
      <c r="AS809" s="763"/>
      <c r="AT809" s="763"/>
      <c r="AU809" s="763"/>
      <c r="AV809" s="763"/>
      <c r="AW809" s="763"/>
      <c r="AX809" s="763"/>
      <c r="AY809" s="763"/>
      <c r="AZ809" s="763"/>
      <c r="BA809" s="763"/>
      <c r="BB809" s="763"/>
      <c r="BC809" s="763"/>
      <c r="BD809" s="763"/>
      <c r="BE809" s="763"/>
      <c r="BF809" s="763"/>
      <c r="BG809" s="763" t="b">
        <f>IFERROR(__xludf.DUMMYFUNCTION("""COMPUTED_VALUE"""),FALSE)</f>
        <v>0</v>
      </c>
      <c r="BH809" s="763" t="b">
        <f>IFERROR(__xludf.DUMMYFUNCTION("""COMPUTED_VALUE"""),FALSE)</f>
        <v>0</v>
      </c>
      <c r="BI809" s="763" t="b">
        <f>IFERROR(__xludf.DUMMYFUNCTION("""COMPUTED_VALUE"""),TRUE)</f>
        <v>1</v>
      </c>
      <c r="BJ809" s="763" t="b">
        <f>IFERROR(__xludf.DUMMYFUNCTION("""COMPUTED_VALUE"""),TRUE)</f>
        <v>1</v>
      </c>
    </row>
    <row r="810">
      <c r="A810" s="763">
        <f>IFERROR(__xludf.DUMMYFUNCTION("""COMPUTED_VALUE"""),67101.0)</f>
        <v>67101</v>
      </c>
      <c r="B810" s="763">
        <f>IFERROR(__xludf.DUMMYFUNCTION("""COMPUTED_VALUE"""),67101.0)</f>
        <v>67101</v>
      </c>
      <c r="C810" s="763" t="str">
        <f>IFERROR(__xludf.DUMMYFUNCTION("""COMPUTED_VALUE"""),"2025-12-27 15:40:54")</f>
        <v>2025-12-27 15:40:54</v>
      </c>
      <c r="D810" s="763" t="str">
        <f>IFERROR(__xludf.DUMMYFUNCTION("""COMPUTED_VALUE"""),"processing")</f>
        <v>processing</v>
      </c>
      <c r="E810" s="763" t="str">
        <f>IFERROR(__xludf.DUMMYFUNCTION("""COMPUTED_VALUE"""),"REBECCA")</f>
        <v>REBECCA</v>
      </c>
      <c r="F810" s="763" t="str">
        <f>IFERROR(__xludf.DUMMYFUNCTION("""COMPUTED_VALUE"""),"RANIERI")</f>
        <v>RANIERI</v>
      </c>
      <c r="G810" s="763" t="str">
        <f>IFERROR(__xludf.DUMMYFUNCTION("""COMPUTED_VALUE"""),"ranieri.rebecca.2007@gmail.com")</f>
        <v>ranieri.rebecca.2007@gmail.com</v>
      </c>
      <c r="H810" s="763">
        <f>IFERROR(__xludf.DUMMYFUNCTION("""COMPUTED_VALUE"""),3.668728379E9)</f>
        <v>3668728379</v>
      </c>
      <c r="I810" s="763" t="str">
        <f>IFERROR(__xludf.DUMMYFUNCTION("""COMPUTED_VALUE"""),"COLLECCHIO")</f>
        <v>COLLECCHIO</v>
      </c>
      <c r="J810" s="763" t="str">
        <f>IFERROR(__xludf.DUMMYFUNCTION("""COMPUTED_VALUE"""),"STRADA BUCA, 3")</f>
        <v>STRADA BUCA, 3</v>
      </c>
      <c r="K810" s="763">
        <f>IFERROR(__xludf.DUMMYFUNCTION("""COMPUTED_VALUE"""),43044.0)</f>
        <v>43044</v>
      </c>
      <c r="L810" s="763" t="str">
        <f>IFERROR(__xludf.DUMMYFUNCTION("""COMPUTED_VALUE"""),"Carte di pagamento")</f>
        <v>Carte di pagamento</v>
      </c>
      <c r="M810" s="763" t="str">
        <f>IFERROR(__xludf.DUMMYFUNCTION("""COMPUTED_VALUE"""),"nura02ws")</f>
        <v>nura02ws</v>
      </c>
      <c r="N810" s="763" t="str">
        <f>IFERROR(__xludf.DUMMYFUNCTION("""COMPUTED_VALUE"""),"67101-1766850055")</f>
        <v>67101-1766850055</v>
      </c>
      <c r="O810" s="763">
        <f>IFERROR(__xludf.DUMMYFUNCTION("""COMPUTED_VALUE"""),0.0)</f>
        <v>0</v>
      </c>
      <c r="P810" s="767">
        <f>IFERROR(__xludf.DUMMYFUNCTION("""COMPUTED_VALUE"""),1.7916666666666667)</f>
        <v>1.791666667</v>
      </c>
      <c r="Q810" s="763" t="str">
        <f>IFERROR(__xludf.DUMMYFUNCTION("""COMPUTED_VALUE"""),"EUR")</f>
        <v>EUR</v>
      </c>
      <c r="R810" s="763">
        <f>IFERROR(__xludf.DUMMYFUNCTION("""COMPUTED_VALUE"""),1473.0)</f>
        <v>1473</v>
      </c>
      <c r="S810" s="763" t="str">
        <f>IFERROR(__xludf.DUMMYFUNCTION("""COMPUTED_VALUE"""),"Workshop Hip Hop Emanuel Lo 2026 - Workshop Emanuel Lo 22 febbraio 2026")</f>
        <v>Workshop Hip Hop Emanuel Lo 2026 - Workshop Emanuel Lo 22 febbraio 2026</v>
      </c>
      <c r="T810" s="763"/>
      <c r="U810" s="763"/>
      <c r="V810" s="763">
        <f>IFERROR(__xludf.DUMMYFUNCTION("""COMPUTED_VALUE"""),1.0)</f>
        <v>1</v>
      </c>
      <c r="W810" s="763">
        <f>IFERROR(__xludf.DUMMYFUNCTION("""COMPUTED_VALUE"""),43.0)</f>
        <v>43</v>
      </c>
      <c r="X810" s="763">
        <f>IFERROR(__xludf.DUMMYFUNCTION("""COMPUTED_VALUE"""),43.0)</f>
        <v>43</v>
      </c>
      <c r="Y810" s="763"/>
      <c r="Z810" s="768" t="str">
        <f>IFERROR(__xludf.DUMMYFUNCTION("""COMPUTED_VALUE"""),"https://studio-gem.it/wp-admin/post.php?post=67101&amp;action=edit")</f>
        <v>https://studio-gem.it/wp-admin/post.php?post=67101&amp;action=edit</v>
      </c>
      <c r="AA810" s="763"/>
      <c r="AB810" s="763"/>
      <c r="AC810" s="763"/>
      <c r="AD810" s="763"/>
      <c r="AE810" s="763"/>
      <c r="AF810" s="763"/>
      <c r="AG810" s="763"/>
      <c r="AH810" s="763"/>
      <c r="AI810" s="763"/>
      <c r="AJ810" s="763"/>
      <c r="AK810" s="763"/>
      <c r="AL810" s="763"/>
      <c r="AM810" s="763"/>
      <c r="AN810" s="763"/>
      <c r="AO810" s="763"/>
      <c r="AP810" s="763"/>
      <c r="AQ810" s="763"/>
      <c r="AR810" s="763"/>
      <c r="AS810" s="763"/>
      <c r="AT810" s="763"/>
      <c r="AU810" s="763"/>
      <c r="AV810" s="763"/>
      <c r="AW810" s="763"/>
      <c r="AX810" s="763"/>
      <c r="AY810" s="763"/>
      <c r="AZ810" s="763"/>
      <c r="BA810" s="763"/>
      <c r="BB810" s="763"/>
      <c r="BC810" s="763"/>
      <c r="BD810" s="763"/>
      <c r="BE810" s="763"/>
      <c r="BF810" s="763"/>
      <c r="BG810" s="763" t="b">
        <f>IFERROR(__xludf.DUMMYFUNCTION("""COMPUTED_VALUE"""),FALSE)</f>
        <v>0</v>
      </c>
      <c r="BH810" s="763" t="b">
        <f>IFERROR(__xludf.DUMMYFUNCTION("""COMPUTED_VALUE"""),FALSE)</f>
        <v>0</v>
      </c>
      <c r="BI810" s="763" t="b">
        <f>IFERROR(__xludf.DUMMYFUNCTION("""COMPUTED_VALUE"""),TRUE)</f>
        <v>1</v>
      </c>
      <c r="BJ810" s="763" t="b">
        <f>IFERROR(__xludf.DUMMYFUNCTION("""COMPUTED_VALUE"""),TRUE)</f>
        <v>1</v>
      </c>
    </row>
    <row r="811">
      <c r="A811" s="763">
        <f>IFERROR(__xludf.DUMMYFUNCTION("""COMPUTED_VALUE"""),67102.0)</f>
        <v>67102</v>
      </c>
      <c r="B811" s="763">
        <f>IFERROR(__xludf.DUMMYFUNCTION("""COMPUTED_VALUE"""),67102.0)</f>
        <v>67102</v>
      </c>
      <c r="C811" s="763" t="str">
        <f>IFERROR(__xludf.DUMMYFUNCTION("""COMPUTED_VALUE"""),"2025-12-28 12:16:27")</f>
        <v>2025-12-28 12:16:27</v>
      </c>
      <c r="D811" s="763" t="str">
        <f>IFERROR(__xludf.DUMMYFUNCTION("""COMPUTED_VALUE"""),"completed")</f>
        <v>completed</v>
      </c>
      <c r="E811" s="763" t="str">
        <f>IFERROR(__xludf.DUMMYFUNCTION("""COMPUTED_VALUE"""),"Alessia")</f>
        <v>Alessia</v>
      </c>
      <c r="F811" s="763" t="str">
        <f>IFERROR(__xludf.DUMMYFUNCTION("""COMPUTED_VALUE"""),"Colosimo")</f>
        <v>Colosimo</v>
      </c>
      <c r="G811" s="763" t="str">
        <f>IFERROR(__xludf.DUMMYFUNCTION("""COMPUTED_VALUE"""),"alessiacolosimo8@gmail.com")</f>
        <v>alessiacolosimo8@gmail.com</v>
      </c>
      <c r="H811" s="763">
        <f>IFERROR(__xludf.DUMMYFUNCTION("""COMPUTED_VALUE"""),3.314597068E9)</f>
        <v>3314597068</v>
      </c>
      <c r="I811" s="763" t="str">
        <f>IFERROR(__xludf.DUMMYFUNCTION("""COMPUTED_VALUE"""),"Limbiate")</f>
        <v>Limbiate</v>
      </c>
      <c r="J811" s="763" t="str">
        <f>IFERROR(__xludf.DUMMYFUNCTION("""COMPUTED_VALUE"""),"Via Trieste")</f>
        <v>Via Trieste</v>
      </c>
      <c r="K811" s="763">
        <f>IFERROR(__xludf.DUMMYFUNCTION("""COMPUTED_VALUE"""),20812.0)</f>
        <v>20812</v>
      </c>
      <c r="L811" s="763" t="str">
        <f>IFERROR(__xludf.DUMMYFUNCTION("""COMPUTED_VALUE"""),"Apple Pay")</f>
        <v>Apple Pay</v>
      </c>
      <c r="M811" s="763"/>
      <c r="N811" s="763" t="str">
        <f>IFERROR(__xludf.DUMMYFUNCTION("""COMPUTED_VALUE"""),"67102-1766924188")</f>
        <v>67102-1766924188</v>
      </c>
      <c r="O811" s="763">
        <f>IFERROR(__xludf.DUMMYFUNCTION("""COMPUTED_VALUE"""),0.0)</f>
        <v>0</v>
      </c>
      <c r="P811" s="767">
        <f>IFERROR(__xludf.DUMMYFUNCTION("""COMPUTED_VALUE"""),1.875)</f>
        <v>1.875</v>
      </c>
      <c r="Q811" s="763" t="str">
        <f>IFERROR(__xludf.DUMMYFUNCTION("""COMPUTED_VALUE"""),"EUR")</f>
        <v>EUR</v>
      </c>
      <c r="R811" s="763">
        <f>IFERROR(__xludf.DUMMYFUNCTION("""COMPUTED_VALUE"""),1475.0)</f>
        <v>1475</v>
      </c>
      <c r="S811" s="763" t="str">
        <f>IFERROR(__xludf.DUMMYFUNCTION("""COMPUTED_VALUE"""),"Workshop Hip Hop Emanuel Lo 2026 - Workshop Emanuel Lo 22 febbraio 2026")</f>
        <v>Workshop Hip Hop Emanuel Lo 2026 - Workshop Emanuel Lo 22 febbraio 2026</v>
      </c>
      <c r="T811" s="763"/>
      <c r="U811" s="763"/>
      <c r="V811" s="763">
        <f>IFERROR(__xludf.DUMMYFUNCTION("""COMPUTED_VALUE"""),1.0)</f>
        <v>1</v>
      </c>
      <c r="W811" s="763">
        <f>IFERROR(__xludf.DUMMYFUNCTION("""COMPUTED_VALUE"""),45.0)</f>
        <v>45</v>
      </c>
      <c r="X811" s="763">
        <f>IFERROR(__xludf.DUMMYFUNCTION("""COMPUTED_VALUE"""),45.0)</f>
        <v>45</v>
      </c>
      <c r="Y811" s="763"/>
      <c r="Z811" s="768" t="str">
        <f>IFERROR(__xludf.DUMMYFUNCTION("""COMPUTED_VALUE"""),"https://studio-gem.it/wp-admin/post.php?post=67102&amp;action=edit")</f>
        <v>https://studio-gem.it/wp-admin/post.php?post=67102&amp;action=edit</v>
      </c>
      <c r="AA811" s="763"/>
      <c r="AB811" s="763"/>
      <c r="AC811" s="763"/>
      <c r="AD811" s="763"/>
      <c r="AE811" s="763"/>
      <c r="AF811" s="763"/>
      <c r="AG811" s="763"/>
      <c r="AH811" s="763"/>
      <c r="AI811" s="763"/>
      <c r="AJ811" s="763"/>
      <c r="AK811" s="763"/>
      <c r="AL811" s="763"/>
      <c r="AM811" s="763"/>
      <c r="AN811" s="763"/>
      <c r="AO811" s="763"/>
      <c r="AP811" s="763"/>
      <c r="AQ811" s="763"/>
      <c r="AR811" s="763"/>
      <c r="AS811" s="763"/>
      <c r="AT811" s="763"/>
      <c r="AU811" s="763"/>
      <c r="AV811" s="763"/>
      <c r="AW811" s="763"/>
      <c r="AX811" s="763"/>
      <c r="AY811" s="763"/>
      <c r="AZ811" s="763"/>
      <c r="BA811" s="763"/>
      <c r="BB811" s="763"/>
      <c r="BC811" s="763"/>
      <c r="BD811" s="763"/>
      <c r="BE811" s="763"/>
      <c r="BF811" s="763"/>
      <c r="BG811" s="763" t="b">
        <f>IFERROR(__xludf.DUMMYFUNCTION("""COMPUTED_VALUE"""),FALSE)</f>
        <v>0</v>
      </c>
      <c r="BH811" s="763" t="b">
        <f>IFERROR(__xludf.DUMMYFUNCTION("""COMPUTED_VALUE"""),FALSE)</f>
        <v>0</v>
      </c>
      <c r="BI811" s="763" t="b">
        <f>IFERROR(__xludf.DUMMYFUNCTION("""COMPUTED_VALUE"""),TRUE)</f>
        <v>1</v>
      </c>
      <c r="BJ811" s="763" t="b">
        <f>IFERROR(__xludf.DUMMYFUNCTION("""COMPUTED_VALUE"""),TRUE)</f>
        <v>1</v>
      </c>
    </row>
    <row r="812">
      <c r="A812" s="763">
        <f>IFERROR(__xludf.DUMMYFUNCTION("""COMPUTED_VALUE"""),67104.0)</f>
        <v>67104</v>
      </c>
      <c r="B812" s="763">
        <f>IFERROR(__xludf.DUMMYFUNCTION("""COMPUTED_VALUE"""),67104.0)</f>
        <v>67104</v>
      </c>
      <c r="C812" s="763" t="str">
        <f>IFERROR(__xludf.DUMMYFUNCTION("""COMPUTED_VALUE"""),"2025-12-28 16:20:28")</f>
        <v>2025-12-28 16:20:28</v>
      </c>
      <c r="D812" s="763" t="str">
        <f>IFERROR(__xludf.DUMMYFUNCTION("""COMPUTED_VALUE"""),"cancelled")</f>
        <v>cancelled</v>
      </c>
      <c r="E812" s="763" t="str">
        <f>IFERROR(__xludf.DUMMYFUNCTION("""COMPUTED_VALUE"""),"Aurora")</f>
        <v>Aurora</v>
      </c>
      <c r="F812" s="763" t="str">
        <f>IFERROR(__xludf.DUMMYFUNCTION("""COMPUTED_VALUE"""),"Vatalaro")</f>
        <v>Vatalaro</v>
      </c>
      <c r="G812" s="763" t="str">
        <f>IFERROR(__xludf.DUMMYFUNCTION("""COMPUTED_VALUE"""),"vatalaroaurora22@gmail.com")</f>
        <v>vatalaroaurora22@gmail.com</v>
      </c>
      <c r="H812" s="763">
        <f>IFERROR(__xludf.DUMMYFUNCTION("""COMPUTED_VALUE"""),4.1782030722E10)</f>
        <v>41782030722</v>
      </c>
      <c r="I812" s="763" t="str">
        <f>IFERROR(__xludf.DUMMYFUNCTION("""COMPUTED_VALUE"""),"Chur")</f>
        <v>Chur</v>
      </c>
      <c r="J812" s="763" t="str">
        <f>IFERROR(__xludf.DUMMYFUNCTION("""COMPUTED_VALUE"""),"Giacomettistrasse 77")</f>
        <v>Giacomettistrasse 77</v>
      </c>
      <c r="K812" s="763">
        <f>IFERROR(__xludf.DUMMYFUNCTION("""COMPUTED_VALUE"""),7000.0)</f>
        <v>7000</v>
      </c>
      <c r="L812" s="763" t="str">
        <f>IFERROR(__xludf.DUMMYFUNCTION("""COMPUTED_VALUE"""),"Carte di pagamento")</f>
        <v>Carte di pagamento</v>
      </c>
      <c r="M812" s="763"/>
      <c r="N812" s="763"/>
      <c r="O812" s="763">
        <f>IFERROR(__xludf.DUMMYFUNCTION("""COMPUTED_VALUE"""),0.0)</f>
        <v>0</v>
      </c>
      <c r="P812" s="767">
        <f>IFERROR(__xludf.DUMMYFUNCTION("""COMPUTED_VALUE"""),1.875)</f>
        <v>1.875</v>
      </c>
      <c r="Q812" s="763" t="str">
        <f>IFERROR(__xludf.DUMMYFUNCTION("""COMPUTED_VALUE"""),"EUR")</f>
        <v>EUR</v>
      </c>
      <c r="R812" s="763">
        <f>IFERROR(__xludf.DUMMYFUNCTION("""COMPUTED_VALUE"""),1477.0)</f>
        <v>1477</v>
      </c>
      <c r="S812" s="763" t="str">
        <f>IFERROR(__xludf.DUMMYFUNCTION("""COMPUTED_VALUE"""),"Workshop Hip Hop Emanuel Lo 2026 - Workshop Emanuel Lo 22 febbraio 2026")</f>
        <v>Workshop Hip Hop Emanuel Lo 2026 - Workshop Emanuel Lo 22 febbraio 2026</v>
      </c>
      <c r="T812" s="763"/>
      <c r="U812" s="763"/>
      <c r="V812" s="763">
        <f>IFERROR(__xludf.DUMMYFUNCTION("""COMPUTED_VALUE"""),1.0)</f>
        <v>1</v>
      </c>
      <c r="W812" s="763">
        <f>IFERROR(__xludf.DUMMYFUNCTION("""COMPUTED_VALUE"""),45.0)</f>
        <v>45</v>
      </c>
      <c r="X812" s="763">
        <f>IFERROR(__xludf.DUMMYFUNCTION("""COMPUTED_VALUE"""),45.0)</f>
        <v>45</v>
      </c>
      <c r="Y812" s="763"/>
      <c r="Z812" s="768" t="str">
        <f>IFERROR(__xludf.DUMMYFUNCTION("""COMPUTED_VALUE"""),"https://studio-gem.it/wp-admin/post.php?post=67104&amp;action=edit")</f>
        <v>https://studio-gem.it/wp-admin/post.php?post=67104&amp;action=edit</v>
      </c>
      <c r="AA812" s="763"/>
      <c r="AB812" s="763"/>
      <c r="AC812" s="763"/>
      <c r="AD812" s="763"/>
      <c r="AE812" s="763"/>
      <c r="AF812" s="763"/>
      <c r="AG812" s="763"/>
      <c r="AH812" s="763"/>
      <c r="AI812" s="763"/>
      <c r="AJ812" s="763"/>
      <c r="AK812" s="763"/>
      <c r="AL812" s="763"/>
      <c r="AM812" s="763"/>
      <c r="AN812" s="763"/>
      <c r="AO812" s="763"/>
      <c r="AP812" s="763"/>
      <c r="AQ812" s="763"/>
      <c r="AR812" s="763"/>
      <c r="AS812" s="763"/>
      <c r="AT812" s="763"/>
      <c r="AU812" s="763"/>
      <c r="AV812" s="763"/>
      <c r="AW812" s="763"/>
      <c r="AX812" s="763"/>
      <c r="AY812" s="763"/>
      <c r="AZ812" s="763"/>
      <c r="BA812" s="763"/>
      <c r="BB812" s="763"/>
      <c r="BC812" s="763"/>
      <c r="BD812" s="763"/>
      <c r="BE812" s="763"/>
      <c r="BF812" s="763"/>
      <c r="BG812" s="763" t="b">
        <f>IFERROR(__xludf.DUMMYFUNCTION("""COMPUTED_VALUE"""),FALSE)</f>
        <v>0</v>
      </c>
      <c r="BH812" s="763" t="b">
        <f>IFERROR(__xludf.DUMMYFUNCTION("""COMPUTED_VALUE"""),FALSE)</f>
        <v>0</v>
      </c>
      <c r="BI812" s="763" t="b">
        <f>IFERROR(__xludf.DUMMYFUNCTION("""COMPUTED_VALUE"""),FALSE)</f>
        <v>0</v>
      </c>
      <c r="BJ812" s="763" t="b">
        <f>IFERROR(__xludf.DUMMYFUNCTION("""COMPUTED_VALUE"""),FALSE)</f>
        <v>0</v>
      </c>
    </row>
    <row r="813">
      <c r="A813" s="763">
        <f>IFERROR(__xludf.DUMMYFUNCTION("""COMPUTED_VALUE"""),67105.0)</f>
        <v>67105</v>
      </c>
      <c r="B813" s="763">
        <f>IFERROR(__xludf.DUMMYFUNCTION("""COMPUTED_VALUE"""),67105.0)</f>
        <v>67105</v>
      </c>
      <c r="C813" s="763" t="str">
        <f>IFERROR(__xludf.DUMMYFUNCTION("""COMPUTED_VALUE"""),"2025-12-28 16:41:17")</f>
        <v>2025-12-28 16:41:17</v>
      </c>
      <c r="D813" s="763" t="str">
        <f>IFERROR(__xludf.DUMMYFUNCTION("""COMPUTED_VALUE"""),"completed")</f>
        <v>completed</v>
      </c>
      <c r="E813" s="763" t="str">
        <f>IFERROR(__xludf.DUMMYFUNCTION("""COMPUTED_VALUE"""),"Aurora")</f>
        <v>Aurora</v>
      </c>
      <c r="F813" s="763" t="str">
        <f>IFERROR(__xludf.DUMMYFUNCTION("""COMPUTED_VALUE"""),"Vatalaro")</f>
        <v>Vatalaro</v>
      </c>
      <c r="G813" s="763" t="str">
        <f>IFERROR(__xludf.DUMMYFUNCTION("""COMPUTED_VALUE"""),"vatalaroaurora22@gmail.com")</f>
        <v>vatalaroaurora22@gmail.com</v>
      </c>
      <c r="H813" s="763">
        <f>IFERROR(__xludf.DUMMYFUNCTION("""COMPUTED_VALUE"""),4.1782030722E10)</f>
        <v>41782030722</v>
      </c>
      <c r="I813" s="763" t="str">
        <f>IFERROR(__xludf.DUMMYFUNCTION("""COMPUTED_VALUE"""),"Chur")</f>
        <v>Chur</v>
      </c>
      <c r="J813" s="763" t="str">
        <f>IFERROR(__xludf.DUMMYFUNCTION("""COMPUTED_VALUE"""),"Giacomettistrasse 77")</f>
        <v>Giacomettistrasse 77</v>
      </c>
      <c r="K813" s="763">
        <f>IFERROR(__xludf.DUMMYFUNCTION("""COMPUTED_VALUE"""),7000.0)</f>
        <v>7000</v>
      </c>
      <c r="L813" s="763" t="str">
        <f>IFERROR(__xludf.DUMMYFUNCTION("""COMPUTED_VALUE"""),"Carte di pagamento")</f>
        <v>Carte di pagamento</v>
      </c>
      <c r="M813" s="763"/>
      <c r="N813" s="763" t="str">
        <f>IFERROR(__xludf.DUMMYFUNCTION("""COMPUTED_VALUE"""),"67105-1766940078")</f>
        <v>67105-1766940078</v>
      </c>
      <c r="O813" s="763">
        <f>IFERROR(__xludf.DUMMYFUNCTION("""COMPUTED_VALUE"""),0.0)</f>
        <v>0</v>
      </c>
      <c r="P813" s="767">
        <f>IFERROR(__xludf.DUMMYFUNCTION("""COMPUTED_VALUE"""),1.875)</f>
        <v>1.875</v>
      </c>
      <c r="Q813" s="763" t="str">
        <f>IFERROR(__xludf.DUMMYFUNCTION("""COMPUTED_VALUE"""),"EUR")</f>
        <v>EUR</v>
      </c>
      <c r="R813" s="763">
        <f>IFERROR(__xludf.DUMMYFUNCTION("""COMPUTED_VALUE"""),1478.0)</f>
        <v>1478</v>
      </c>
      <c r="S813" s="763" t="str">
        <f>IFERROR(__xludf.DUMMYFUNCTION("""COMPUTED_VALUE"""),"Workshop Hip Hop Emanuel Lo 2026 - Workshop Emanuel Lo 22 febbraio 2026")</f>
        <v>Workshop Hip Hop Emanuel Lo 2026 - Workshop Emanuel Lo 22 febbraio 2026</v>
      </c>
      <c r="T813" s="763"/>
      <c r="U813" s="763"/>
      <c r="V813" s="763">
        <f>IFERROR(__xludf.DUMMYFUNCTION("""COMPUTED_VALUE"""),1.0)</f>
        <v>1</v>
      </c>
      <c r="W813" s="763">
        <f>IFERROR(__xludf.DUMMYFUNCTION("""COMPUTED_VALUE"""),45.0)</f>
        <v>45</v>
      </c>
      <c r="X813" s="763">
        <f>IFERROR(__xludf.DUMMYFUNCTION("""COMPUTED_VALUE"""),45.0)</f>
        <v>45</v>
      </c>
      <c r="Y813" s="763"/>
      <c r="Z813" s="768" t="str">
        <f>IFERROR(__xludf.DUMMYFUNCTION("""COMPUTED_VALUE"""),"https://studio-gem.it/wp-admin/post.php?post=67105&amp;action=edit")</f>
        <v>https://studio-gem.it/wp-admin/post.php?post=67105&amp;action=edit</v>
      </c>
      <c r="AA813" s="763"/>
      <c r="AB813" s="763"/>
      <c r="AC813" s="763"/>
      <c r="AD813" s="763"/>
      <c r="AE813" s="763"/>
      <c r="AF813" s="763"/>
      <c r="AG813" s="763"/>
      <c r="AH813" s="763"/>
      <c r="AI813" s="763"/>
      <c r="AJ813" s="763"/>
      <c r="AK813" s="763"/>
      <c r="AL813" s="763"/>
      <c r="AM813" s="763"/>
      <c r="AN813" s="763"/>
      <c r="AO813" s="763"/>
      <c r="AP813" s="763"/>
      <c r="AQ813" s="763"/>
      <c r="AR813" s="763"/>
      <c r="AS813" s="763"/>
      <c r="AT813" s="763"/>
      <c r="AU813" s="763"/>
      <c r="AV813" s="763"/>
      <c r="AW813" s="763"/>
      <c r="AX813" s="763"/>
      <c r="AY813" s="763"/>
      <c r="AZ813" s="763"/>
      <c r="BA813" s="763"/>
      <c r="BB813" s="763"/>
      <c r="BC813" s="763"/>
      <c r="BD813" s="763"/>
      <c r="BE813" s="763"/>
      <c r="BF813" s="763"/>
      <c r="BG813" s="763" t="b">
        <f>IFERROR(__xludf.DUMMYFUNCTION("""COMPUTED_VALUE"""),FALSE)</f>
        <v>0</v>
      </c>
      <c r="BH813" s="763" t="b">
        <f>IFERROR(__xludf.DUMMYFUNCTION("""COMPUTED_VALUE"""),FALSE)</f>
        <v>0</v>
      </c>
      <c r="BI813" s="763" t="b">
        <f>IFERROR(__xludf.DUMMYFUNCTION("""COMPUTED_VALUE"""),TRUE)</f>
        <v>1</v>
      </c>
      <c r="BJ813" s="763" t="b">
        <f>IFERROR(__xludf.DUMMYFUNCTION("""COMPUTED_VALUE"""),TRUE)</f>
        <v>1</v>
      </c>
    </row>
    <row r="814">
      <c r="A814" s="763">
        <f>IFERROR(__xludf.DUMMYFUNCTION("""COMPUTED_VALUE"""),67108.0)</f>
        <v>67108</v>
      </c>
      <c r="B814" s="763">
        <f>IFERROR(__xludf.DUMMYFUNCTION("""COMPUTED_VALUE"""),67108.0)</f>
        <v>67108</v>
      </c>
      <c r="C814" s="763" t="str">
        <f>IFERROR(__xludf.DUMMYFUNCTION("""COMPUTED_VALUE"""),"2025-12-29 11:31:11")</f>
        <v>2025-12-29 11:31:11</v>
      </c>
      <c r="D814" s="763" t="str">
        <f>IFERROR(__xludf.DUMMYFUNCTION("""COMPUTED_VALUE"""),"completed")</f>
        <v>completed</v>
      </c>
      <c r="E814" s="763" t="str">
        <f>IFERROR(__xludf.DUMMYFUNCTION("""COMPUTED_VALUE"""),"Karin")</f>
        <v>Karin</v>
      </c>
      <c r="F814" s="763" t="str">
        <f>IFERROR(__xludf.DUMMYFUNCTION("""COMPUTED_VALUE"""),"Borromeo")</f>
        <v>Borromeo</v>
      </c>
      <c r="G814" s="763" t="str">
        <f>IFERROR(__xludf.DUMMYFUNCTION("""COMPUTED_VALUE"""),"karinborromeo@gmail.com")</f>
        <v>karinborromeo@gmail.com</v>
      </c>
      <c r="H814" s="763">
        <f>IFERROR(__xludf.DUMMYFUNCTION("""COMPUTED_VALUE"""),3.404751247E9)</f>
        <v>3404751247</v>
      </c>
      <c r="I814" s="763" t="str">
        <f>IFERROR(__xludf.DUMMYFUNCTION("""COMPUTED_VALUE"""),"Milano")</f>
        <v>Milano</v>
      </c>
      <c r="J814" s="763" t="str">
        <f>IFERROR(__xludf.DUMMYFUNCTION("""COMPUTED_VALUE"""),"Valsugana 7/a")</f>
        <v>Valsugana 7/a</v>
      </c>
      <c r="K814" s="763">
        <f>IFERROR(__xludf.DUMMYFUNCTION("""COMPUTED_VALUE"""),20139.0)</f>
        <v>20139</v>
      </c>
      <c r="L814" s="763" t="str">
        <f>IFERROR(__xludf.DUMMYFUNCTION("""COMPUTED_VALUE"""),"Apple Pay")</f>
        <v>Apple Pay</v>
      </c>
      <c r="M814" s="763"/>
      <c r="N814" s="763" t="str">
        <f>IFERROR(__xludf.DUMMYFUNCTION("""COMPUTED_VALUE"""),"67108-1767007872")</f>
        <v>67108-1767007872</v>
      </c>
      <c r="O814" s="763">
        <f>IFERROR(__xludf.DUMMYFUNCTION("""COMPUTED_VALUE"""),0.0)</f>
        <v>0</v>
      </c>
      <c r="P814" s="767">
        <f>IFERROR(__xludf.DUMMYFUNCTION("""COMPUTED_VALUE"""),1.875)</f>
        <v>1.875</v>
      </c>
      <c r="Q814" s="763" t="str">
        <f>IFERROR(__xludf.DUMMYFUNCTION("""COMPUTED_VALUE"""),"EUR")</f>
        <v>EUR</v>
      </c>
      <c r="R814" s="763">
        <f>IFERROR(__xludf.DUMMYFUNCTION("""COMPUTED_VALUE"""),1479.0)</f>
        <v>1479</v>
      </c>
      <c r="S814" s="763" t="str">
        <f>IFERROR(__xludf.DUMMYFUNCTION("""COMPUTED_VALUE"""),"Workshop Hip Hop Emanuel Lo 2026 - Workshop Emanuel Lo 22 febbraio 2026")</f>
        <v>Workshop Hip Hop Emanuel Lo 2026 - Workshop Emanuel Lo 22 febbraio 2026</v>
      </c>
      <c r="T814" s="763"/>
      <c r="U814" s="763"/>
      <c r="V814" s="763">
        <f>IFERROR(__xludf.DUMMYFUNCTION("""COMPUTED_VALUE"""),1.0)</f>
        <v>1</v>
      </c>
      <c r="W814" s="763">
        <f>IFERROR(__xludf.DUMMYFUNCTION("""COMPUTED_VALUE"""),45.0)</f>
        <v>45</v>
      </c>
      <c r="X814" s="763">
        <f>IFERROR(__xludf.DUMMYFUNCTION("""COMPUTED_VALUE"""),45.0)</f>
        <v>45</v>
      </c>
      <c r="Y814" s="763"/>
      <c r="Z814" s="768" t="str">
        <f>IFERROR(__xludf.DUMMYFUNCTION("""COMPUTED_VALUE"""),"https://studio-gem.it/wp-admin/post.php?post=67108&amp;action=edit")</f>
        <v>https://studio-gem.it/wp-admin/post.php?post=67108&amp;action=edit</v>
      </c>
      <c r="AA814" s="763"/>
      <c r="AB814" s="763"/>
      <c r="AC814" s="763"/>
      <c r="AD814" s="763"/>
      <c r="AE814" s="763"/>
      <c r="AF814" s="763"/>
      <c r="AG814" s="763"/>
      <c r="AH814" s="763"/>
      <c r="AI814" s="763"/>
      <c r="AJ814" s="763"/>
      <c r="AK814" s="763"/>
      <c r="AL814" s="763"/>
      <c r="AM814" s="763"/>
      <c r="AN814" s="763"/>
      <c r="AO814" s="763"/>
      <c r="AP814" s="763"/>
      <c r="AQ814" s="763"/>
      <c r="AR814" s="763"/>
      <c r="AS814" s="763"/>
      <c r="AT814" s="763"/>
      <c r="AU814" s="763"/>
      <c r="AV814" s="763"/>
      <c r="AW814" s="763"/>
      <c r="AX814" s="763"/>
      <c r="AY814" s="763"/>
      <c r="AZ814" s="763"/>
      <c r="BA814" s="763"/>
      <c r="BB814" s="763"/>
      <c r="BC814" s="763"/>
      <c r="BD814" s="763"/>
      <c r="BE814" s="763"/>
      <c r="BF814" s="763"/>
      <c r="BG814" s="763" t="b">
        <f>IFERROR(__xludf.DUMMYFUNCTION("""COMPUTED_VALUE"""),FALSE)</f>
        <v>0</v>
      </c>
      <c r="BH814" s="763" t="b">
        <f>IFERROR(__xludf.DUMMYFUNCTION("""COMPUTED_VALUE"""),FALSE)</f>
        <v>0</v>
      </c>
      <c r="BI814" s="763" t="b">
        <f>IFERROR(__xludf.DUMMYFUNCTION("""COMPUTED_VALUE"""),TRUE)</f>
        <v>1</v>
      </c>
      <c r="BJ814" s="763" t="b">
        <f>IFERROR(__xludf.DUMMYFUNCTION("""COMPUTED_VALUE"""),TRUE)</f>
        <v>1</v>
      </c>
    </row>
    <row r="815">
      <c r="A815" s="763">
        <f>IFERROR(__xludf.DUMMYFUNCTION("""COMPUTED_VALUE"""),67110.0)</f>
        <v>67110</v>
      </c>
      <c r="B815" s="763">
        <f>IFERROR(__xludf.DUMMYFUNCTION("""COMPUTED_VALUE"""),67110.0)</f>
        <v>67110</v>
      </c>
      <c r="C815" s="763" t="str">
        <f>IFERROR(__xludf.DUMMYFUNCTION("""COMPUTED_VALUE"""),"2025-12-29 11:41:49")</f>
        <v>2025-12-29 11:41:49</v>
      </c>
      <c r="D815" s="763" t="str">
        <f>IFERROR(__xludf.DUMMYFUNCTION("""COMPUTED_VALUE"""),"completed")</f>
        <v>completed</v>
      </c>
      <c r="E815" s="763" t="str">
        <f>IFERROR(__xludf.DUMMYFUNCTION("""COMPUTED_VALUE"""),"Aline")</f>
        <v>Aline</v>
      </c>
      <c r="F815" s="763" t="str">
        <f>IFERROR(__xludf.DUMMYFUNCTION("""COMPUTED_VALUE"""),"Rodrigues Barbosa")</f>
        <v>Rodrigues Barbosa</v>
      </c>
      <c r="G815" s="763" t="str">
        <f>IFERROR(__xludf.DUMMYFUNCTION("""COMPUTED_VALUE"""),"alineparma84@gmail.com")</f>
        <v>alineparma84@gmail.com</v>
      </c>
      <c r="H815" s="763">
        <f>IFERROR(__xludf.DUMMYFUNCTION("""COMPUTED_VALUE"""),3.779585466E9)</f>
        <v>3779585466</v>
      </c>
      <c r="I815" s="763" t="str">
        <f>IFERROR(__xludf.DUMMYFUNCTION("""COMPUTED_VALUE"""),"Traversetolo")</f>
        <v>Traversetolo</v>
      </c>
      <c r="J815" s="763" t="str">
        <f>IFERROR(__xludf.DUMMYFUNCTION("""COMPUTED_VALUE"""),"Via Antonio Pedretti 22")</f>
        <v>Via Antonio Pedretti 22</v>
      </c>
      <c r="K815" s="763">
        <f>IFERROR(__xludf.DUMMYFUNCTION("""COMPUTED_VALUE"""),43029.0)</f>
        <v>43029</v>
      </c>
      <c r="L815" s="763" t="str">
        <f>IFERROR(__xludf.DUMMYFUNCTION("""COMPUTED_VALUE"""),"Google Pay")</f>
        <v>Google Pay</v>
      </c>
      <c r="M815" s="763"/>
      <c r="N815" s="763" t="str">
        <f>IFERROR(__xludf.DUMMYFUNCTION("""COMPUTED_VALUE"""),"67110-1767008511")</f>
        <v>67110-1767008511</v>
      </c>
      <c r="O815" s="763">
        <f>IFERROR(__xludf.DUMMYFUNCTION("""COMPUTED_VALUE"""),0.0)</f>
        <v>0</v>
      </c>
      <c r="P815" s="767">
        <f>IFERROR(__xludf.DUMMYFUNCTION("""COMPUTED_VALUE"""),1.875)</f>
        <v>1.875</v>
      </c>
      <c r="Q815" s="763" t="str">
        <f>IFERROR(__xludf.DUMMYFUNCTION("""COMPUTED_VALUE"""),"EUR")</f>
        <v>EUR</v>
      </c>
      <c r="R815" s="763">
        <f>IFERROR(__xludf.DUMMYFUNCTION("""COMPUTED_VALUE"""),1480.0)</f>
        <v>1480</v>
      </c>
      <c r="S815" s="763" t="str">
        <f>IFERROR(__xludf.DUMMYFUNCTION("""COMPUTED_VALUE"""),"Workshop Hip Hop Emanuel Lo 2026 - Workshop Emanuel Lo 22 febbraio 2026")</f>
        <v>Workshop Hip Hop Emanuel Lo 2026 - Workshop Emanuel Lo 22 febbraio 2026</v>
      </c>
      <c r="T815" s="763"/>
      <c r="U815" s="763"/>
      <c r="V815" s="763">
        <f>IFERROR(__xludf.DUMMYFUNCTION("""COMPUTED_VALUE"""),1.0)</f>
        <v>1</v>
      </c>
      <c r="W815" s="763">
        <f>IFERROR(__xludf.DUMMYFUNCTION("""COMPUTED_VALUE"""),45.0)</f>
        <v>45</v>
      </c>
      <c r="X815" s="763">
        <f>IFERROR(__xludf.DUMMYFUNCTION("""COMPUTED_VALUE"""),45.0)</f>
        <v>45</v>
      </c>
      <c r="Y815" s="763"/>
      <c r="Z815" s="768" t="str">
        <f>IFERROR(__xludf.DUMMYFUNCTION("""COMPUTED_VALUE"""),"https://studio-gem.it/wp-admin/post.php?post=67110&amp;action=edit")</f>
        <v>https://studio-gem.it/wp-admin/post.php?post=67110&amp;action=edit</v>
      </c>
      <c r="AA815" s="763"/>
      <c r="AB815" s="763"/>
      <c r="AC815" s="763"/>
      <c r="AD815" s="763"/>
      <c r="AE815" s="763"/>
      <c r="AF815" s="763"/>
      <c r="AG815" s="763"/>
      <c r="AH815" s="763"/>
      <c r="AI815" s="763"/>
      <c r="AJ815" s="763"/>
      <c r="AK815" s="763"/>
      <c r="AL815" s="763"/>
      <c r="AM815" s="763"/>
      <c r="AN815" s="763"/>
      <c r="AO815" s="763"/>
      <c r="AP815" s="763"/>
      <c r="AQ815" s="763"/>
      <c r="AR815" s="763"/>
      <c r="AS815" s="763"/>
      <c r="AT815" s="763"/>
      <c r="AU815" s="763"/>
      <c r="AV815" s="763"/>
      <c r="AW815" s="763"/>
      <c r="AX815" s="763"/>
      <c r="AY815" s="763"/>
      <c r="AZ815" s="763"/>
      <c r="BA815" s="763"/>
      <c r="BB815" s="763"/>
      <c r="BC815" s="763"/>
      <c r="BD815" s="763"/>
      <c r="BE815" s="763"/>
      <c r="BF815" s="763"/>
      <c r="BG815" s="763" t="b">
        <f>IFERROR(__xludf.DUMMYFUNCTION("""COMPUTED_VALUE"""),FALSE)</f>
        <v>0</v>
      </c>
      <c r="BH815" s="763" t="b">
        <f>IFERROR(__xludf.DUMMYFUNCTION("""COMPUTED_VALUE"""),FALSE)</f>
        <v>0</v>
      </c>
      <c r="BI815" s="763" t="b">
        <f>IFERROR(__xludf.DUMMYFUNCTION("""COMPUTED_VALUE"""),TRUE)</f>
        <v>1</v>
      </c>
      <c r="BJ815" s="763" t="b">
        <f>IFERROR(__xludf.DUMMYFUNCTION("""COMPUTED_VALUE"""),TRUE)</f>
        <v>1</v>
      </c>
    </row>
    <row r="816">
      <c r="A816" s="763">
        <f>IFERROR(__xludf.DUMMYFUNCTION("""COMPUTED_VALUE"""),67112.0)</f>
        <v>67112</v>
      </c>
      <c r="B816" s="763">
        <f>IFERROR(__xludf.DUMMYFUNCTION("""COMPUTED_VALUE"""),67112.0)</f>
        <v>67112</v>
      </c>
      <c r="C816" s="763" t="str">
        <f>IFERROR(__xludf.DUMMYFUNCTION("""COMPUTED_VALUE"""),"2025-12-29 14:58:48")</f>
        <v>2025-12-29 14:58:48</v>
      </c>
      <c r="D816" s="763" t="str">
        <f>IFERROR(__xludf.DUMMYFUNCTION("""COMPUTED_VALUE"""),"processing")</f>
        <v>processing</v>
      </c>
      <c r="E816" s="763" t="str">
        <f>IFERROR(__xludf.DUMMYFUNCTION("""COMPUTED_VALUE"""),"Ece")</f>
        <v>Ece</v>
      </c>
      <c r="F816" s="763" t="str">
        <f>IFERROR(__xludf.DUMMYFUNCTION("""COMPUTED_VALUE"""),"Oner")</f>
        <v>Oner</v>
      </c>
      <c r="G816" s="763" t="str">
        <f>IFERROR(__xludf.DUMMYFUNCTION("""COMPUTED_VALUE"""),"eceoner1459@hotmail.com")</f>
        <v>eceoner1459@hotmail.com</v>
      </c>
      <c r="H816" s="763">
        <f>IFERROR(__xludf.DUMMYFUNCTION("""COMPUTED_VALUE"""),3.806930002E9)</f>
        <v>3806930002</v>
      </c>
      <c r="I816" s="763" t="str">
        <f>IFERROR(__xludf.DUMMYFUNCTION("""COMPUTED_VALUE"""),"Milano")</f>
        <v>Milano</v>
      </c>
      <c r="J816" s="763" t="str">
        <f>IFERROR(__xludf.DUMMYFUNCTION("""COMPUTED_VALUE"""),"Via Edoardo Bassini 47")</f>
        <v>Via Edoardo Bassini 47</v>
      </c>
      <c r="K816" s="763">
        <f>IFERROR(__xludf.DUMMYFUNCTION("""COMPUTED_VALUE"""),20133.0)</f>
        <v>20133</v>
      </c>
      <c r="L816" s="763" t="str">
        <f>IFERROR(__xludf.DUMMYFUNCTION("""COMPUTED_VALUE"""),"Carte di pagamento")</f>
        <v>Carte di pagamento</v>
      </c>
      <c r="M816" s="763"/>
      <c r="N816" s="763" t="str">
        <f>IFERROR(__xludf.DUMMYFUNCTION("""COMPUTED_VALUE"""),"67112-1767020329")</f>
        <v>67112-1767020329</v>
      </c>
      <c r="O816" s="763">
        <f>IFERROR(__xludf.DUMMYFUNCTION("""COMPUTED_VALUE"""),0.0)</f>
        <v>0</v>
      </c>
      <c r="P816" s="767">
        <f>IFERROR(__xludf.DUMMYFUNCTION("""COMPUTED_VALUE"""),1.5416666666666667)</f>
        <v>1.541666667</v>
      </c>
      <c r="Q816" s="763" t="str">
        <f>IFERROR(__xludf.DUMMYFUNCTION("""COMPUTED_VALUE"""),"EUR")</f>
        <v>EUR</v>
      </c>
      <c r="R816" s="763">
        <f>IFERROR(__xludf.DUMMYFUNCTION("""COMPUTED_VALUE"""),1481.0)</f>
        <v>1481</v>
      </c>
      <c r="S816" s="763" t="str">
        <f>IFERROR(__xludf.DUMMYFUNCTION("""COMPUTED_VALUE"""),"Workshop Urban Alessio Cavaliere 2026 - Workshop Alessio Cavaliere 1 febbraio 2026")</f>
        <v>Workshop Urban Alessio Cavaliere 2026 - Workshop Alessio Cavaliere 1 febbraio 2026</v>
      </c>
      <c r="T816" s="763"/>
      <c r="U816" s="763"/>
      <c r="V816" s="763">
        <f>IFERROR(__xludf.DUMMYFUNCTION("""COMPUTED_VALUE"""),1.0)</f>
        <v>1</v>
      </c>
      <c r="W816" s="763">
        <f>IFERROR(__xludf.DUMMYFUNCTION("""COMPUTED_VALUE"""),37.0)</f>
        <v>37</v>
      </c>
      <c r="X816" s="763">
        <f>IFERROR(__xludf.DUMMYFUNCTION("""COMPUTED_VALUE"""),37.0)</f>
        <v>37</v>
      </c>
      <c r="Y816" s="763"/>
      <c r="Z816" s="768" t="str">
        <f>IFERROR(__xludf.DUMMYFUNCTION("""COMPUTED_VALUE"""),"https://studio-gem.it/wp-admin/post.php?post=67112&amp;action=edit")</f>
        <v>https://studio-gem.it/wp-admin/post.php?post=67112&amp;action=edit</v>
      </c>
      <c r="AA816" s="763"/>
      <c r="AB816" s="763"/>
      <c r="AC816" s="763"/>
      <c r="AD816" s="763"/>
      <c r="AE816" s="763"/>
      <c r="AF816" s="763"/>
      <c r="AG816" s="763"/>
      <c r="AH816" s="763"/>
      <c r="AI816" s="763"/>
      <c r="AJ816" s="763"/>
      <c r="AK816" s="763"/>
      <c r="AL816" s="763"/>
      <c r="AM816" s="763"/>
      <c r="AN816" s="763"/>
      <c r="AO816" s="763"/>
      <c r="AP816" s="763"/>
      <c r="AQ816" s="763"/>
      <c r="AR816" s="763"/>
      <c r="AS816" s="763"/>
      <c r="AT816" s="763"/>
      <c r="AU816" s="763"/>
      <c r="AV816" s="763"/>
      <c r="AW816" s="763"/>
      <c r="AX816" s="763"/>
      <c r="AY816" s="763"/>
      <c r="AZ816" s="763"/>
      <c r="BA816" s="763"/>
      <c r="BB816" s="763"/>
      <c r="BC816" s="763"/>
      <c r="BD816" s="763"/>
      <c r="BE816" s="763"/>
      <c r="BF816" s="763"/>
      <c r="BG816" s="763" t="b">
        <f>IFERROR(__xludf.DUMMYFUNCTION("""COMPUTED_VALUE"""),FALSE)</f>
        <v>0</v>
      </c>
      <c r="BH816" s="763" t="b">
        <f>IFERROR(__xludf.DUMMYFUNCTION("""COMPUTED_VALUE"""),FALSE)</f>
        <v>0</v>
      </c>
      <c r="BI816" s="763" t="b">
        <f>IFERROR(__xludf.DUMMYFUNCTION("""COMPUTED_VALUE"""),TRUE)</f>
        <v>1</v>
      </c>
      <c r="BJ816" s="763" t="b">
        <f>IFERROR(__xludf.DUMMYFUNCTION("""COMPUTED_VALUE"""),TRUE)</f>
        <v>1</v>
      </c>
    </row>
    <row r="817">
      <c r="A817" s="763">
        <f>IFERROR(__xludf.DUMMYFUNCTION("""COMPUTED_VALUE"""),67116.0)</f>
        <v>67116</v>
      </c>
      <c r="B817" s="763">
        <f>IFERROR(__xludf.DUMMYFUNCTION("""COMPUTED_VALUE"""),67116.0)</f>
        <v>67116</v>
      </c>
      <c r="C817" s="763" t="str">
        <f>IFERROR(__xludf.DUMMYFUNCTION("""COMPUTED_VALUE"""),"2025-12-30 10:28:07")</f>
        <v>2025-12-30 10:28:07</v>
      </c>
      <c r="D817" s="763" t="str">
        <f>IFERROR(__xludf.DUMMYFUNCTION("""COMPUTED_VALUE"""),"failed")</f>
        <v>failed</v>
      </c>
      <c r="E817" s="763" t="str">
        <f>IFERROR(__xludf.DUMMYFUNCTION("""COMPUTED_VALUE"""),"Roberta")</f>
        <v>Roberta</v>
      </c>
      <c r="F817" s="763" t="str">
        <f>IFERROR(__xludf.DUMMYFUNCTION("""COMPUTED_VALUE"""),"Trotti")</f>
        <v>Trotti</v>
      </c>
      <c r="G817" s="763" t="str">
        <f>IFERROR(__xludf.DUMMYFUNCTION("""COMPUTED_VALUE"""),"robysax77@yahoo.it")</f>
        <v>robysax77@yahoo.it</v>
      </c>
      <c r="H817" s="763">
        <f>IFERROR(__xludf.DUMMYFUNCTION("""COMPUTED_VALUE"""),3.489301939E9)</f>
        <v>3489301939</v>
      </c>
      <c r="I817" s="763" t="str">
        <f>IFERROR(__xludf.DUMMYFUNCTION("""COMPUTED_VALUE"""),"Busto Arsizio")</f>
        <v>Busto Arsizio</v>
      </c>
      <c r="J817" s="763" t="str">
        <f>IFERROR(__xludf.DUMMYFUNCTION("""COMPUTED_VALUE"""),"via Brindisi 6")</f>
        <v>via Brindisi 6</v>
      </c>
      <c r="K817" s="763">
        <f>IFERROR(__xludf.DUMMYFUNCTION("""COMPUTED_VALUE"""),21052.0)</f>
        <v>21052</v>
      </c>
      <c r="L817" s="763" t="str">
        <f>IFERROR(__xludf.DUMMYFUNCTION("""COMPUTED_VALUE"""),"Carte di pagamento")</f>
        <v>Carte di pagamento</v>
      </c>
      <c r="M817" s="763" t="str">
        <f>IFERROR(__xludf.DUMMYFUNCTION("""COMPUTED_VALUE"""),"alexandra02ws")</f>
        <v>alexandra02ws</v>
      </c>
      <c r="N817" s="763"/>
      <c r="O817" s="763">
        <f>IFERROR(__xludf.DUMMYFUNCTION("""COMPUTED_VALUE"""),0.0)</f>
        <v>0</v>
      </c>
      <c r="P817" s="767">
        <f>IFERROR(__xludf.DUMMYFUNCTION("""COMPUTED_VALUE"""),1.7916666666666667)</f>
        <v>1.791666667</v>
      </c>
      <c r="Q817" s="763" t="str">
        <f>IFERROR(__xludf.DUMMYFUNCTION("""COMPUTED_VALUE"""),"EUR")</f>
        <v>EUR</v>
      </c>
      <c r="R817" s="763">
        <f>IFERROR(__xludf.DUMMYFUNCTION("""COMPUTED_VALUE"""),1489.0)</f>
        <v>1489</v>
      </c>
      <c r="S817" s="763" t="str">
        <f>IFERROR(__xludf.DUMMYFUNCTION("""COMPUTED_VALUE"""),"Workshop Hip Hop Emanuel Lo 2026 - Workshop Emanuel Lo 22 febbraio 2026")</f>
        <v>Workshop Hip Hop Emanuel Lo 2026 - Workshop Emanuel Lo 22 febbraio 2026</v>
      </c>
      <c r="T817" s="763"/>
      <c r="U817" s="763"/>
      <c r="V817" s="763">
        <f>IFERROR(__xludf.DUMMYFUNCTION("""COMPUTED_VALUE"""),1.0)</f>
        <v>1</v>
      </c>
      <c r="W817" s="763">
        <f>IFERROR(__xludf.DUMMYFUNCTION("""COMPUTED_VALUE"""),43.0)</f>
        <v>43</v>
      </c>
      <c r="X817" s="763">
        <f>IFERROR(__xludf.DUMMYFUNCTION("""COMPUTED_VALUE"""),43.0)</f>
        <v>43</v>
      </c>
      <c r="Y817" s="763"/>
      <c r="Z817" s="768" t="str">
        <f>IFERROR(__xludf.DUMMYFUNCTION("""COMPUTED_VALUE"""),"https://studio-gem.it/wp-admin/post.php?post=67116&amp;action=edit")</f>
        <v>https://studio-gem.it/wp-admin/post.php?post=67116&amp;action=edit</v>
      </c>
      <c r="AA817" s="763"/>
      <c r="AB817" s="763"/>
      <c r="AC817" s="763"/>
      <c r="AD817" s="763"/>
      <c r="AE817" s="763"/>
      <c r="AF817" s="763"/>
      <c r="AG817" s="763"/>
      <c r="AH817" s="763"/>
      <c r="AI817" s="763"/>
      <c r="AJ817" s="763"/>
      <c r="AK817" s="763"/>
      <c r="AL817" s="763"/>
      <c r="AM817" s="763"/>
      <c r="AN817" s="763"/>
      <c r="AO817" s="763"/>
      <c r="AP817" s="763"/>
      <c r="AQ817" s="763"/>
      <c r="AR817" s="763"/>
      <c r="AS817" s="763"/>
      <c r="AT817" s="763"/>
      <c r="AU817" s="763"/>
      <c r="AV817" s="763"/>
      <c r="AW817" s="763"/>
      <c r="AX817" s="763"/>
      <c r="AY817" s="763"/>
      <c r="AZ817" s="763"/>
      <c r="BA817" s="763"/>
      <c r="BB817" s="763"/>
      <c r="BC817" s="763"/>
      <c r="BD817" s="763"/>
      <c r="BE817" s="763"/>
      <c r="BF817" s="763"/>
      <c r="BG817" s="763" t="b">
        <f>IFERROR(__xludf.DUMMYFUNCTION("""COMPUTED_VALUE"""),FALSE)</f>
        <v>0</v>
      </c>
      <c r="BH817" s="763" t="b">
        <f>IFERROR(__xludf.DUMMYFUNCTION("""COMPUTED_VALUE"""),FALSE)</f>
        <v>0</v>
      </c>
      <c r="BI817" s="763" t="b">
        <f>IFERROR(__xludf.DUMMYFUNCTION("""COMPUTED_VALUE"""),FALSE)</f>
        <v>0</v>
      </c>
      <c r="BJ817" s="763" t="b">
        <f>IFERROR(__xludf.DUMMYFUNCTION("""COMPUTED_VALUE"""),FALSE)</f>
        <v>0</v>
      </c>
    </row>
    <row r="818">
      <c r="A818" s="763">
        <f>IFERROR(__xludf.DUMMYFUNCTION("""COMPUTED_VALUE"""),67117.0)</f>
        <v>67117</v>
      </c>
      <c r="B818" s="763">
        <f>IFERROR(__xludf.DUMMYFUNCTION("""COMPUTED_VALUE"""),67117.0)</f>
        <v>67117</v>
      </c>
      <c r="C818" s="763" t="str">
        <f>IFERROR(__xludf.DUMMYFUNCTION("""COMPUTED_VALUE"""),"2025-12-30 10:40:58")</f>
        <v>2025-12-30 10:40:58</v>
      </c>
      <c r="D818" s="763" t="str">
        <f>IFERROR(__xludf.DUMMYFUNCTION("""COMPUTED_VALUE"""),"cancelled")</f>
        <v>cancelled</v>
      </c>
      <c r="E818" s="763" t="str">
        <f>IFERROR(__xludf.DUMMYFUNCTION("""COMPUTED_VALUE"""),"Joel")</f>
        <v>Joel</v>
      </c>
      <c r="F818" s="763" t="str">
        <f>IFERROR(__xludf.DUMMYFUNCTION("""COMPUTED_VALUE"""),"Villon")</f>
        <v>Villon</v>
      </c>
      <c r="G818" s="763" t="str">
        <f>IFERROR(__xludf.DUMMYFUNCTION("""COMPUTED_VALUE"""),"joel@studio-gem.it")</f>
        <v>joel@studio-gem.it</v>
      </c>
      <c r="H818" s="763">
        <f>IFERROR(__xludf.DUMMYFUNCTION("""COMPUTED_VALUE"""),3.281346607E9)</f>
        <v>3281346607</v>
      </c>
      <c r="I818" s="763" t="str">
        <f>IFERROR(__xludf.DUMMYFUNCTION("""COMPUTED_VALUE"""),"Milano")</f>
        <v>Milano</v>
      </c>
      <c r="J818" s="763" t="str">
        <f>IFERROR(__xludf.DUMMYFUNCTION("""COMPUTED_VALUE"""),"Via Novara")</f>
        <v>Via Novara</v>
      </c>
      <c r="K818" s="763">
        <f>IFERROR(__xludf.DUMMYFUNCTION("""COMPUTED_VALUE"""),20153.0)</f>
        <v>20153</v>
      </c>
      <c r="L818" s="763" t="str">
        <f>IFERROR(__xludf.DUMMYFUNCTION("""COMPUTED_VALUE"""),"Satispay")</f>
        <v>Satispay</v>
      </c>
      <c r="M818" s="763" t="str">
        <f>IFERROR(__xludf.DUMMYFUNCTION("""COMPUTED_VALUE"""),"joel02ws")</f>
        <v>joel02ws</v>
      </c>
      <c r="N818" s="763" t="str">
        <f>IFERROR(__xludf.DUMMYFUNCTION("""COMPUTED_VALUE"""),"019b6ed8-c40a-7b4b-9727-aa4df3e09ca4")</f>
        <v>019b6ed8-c40a-7b4b-9727-aa4df3e09ca4</v>
      </c>
      <c r="O818" s="763">
        <f>IFERROR(__xludf.DUMMYFUNCTION("""COMPUTED_VALUE"""),0.0)</f>
        <v>0</v>
      </c>
      <c r="P818" s="767">
        <f>IFERROR(__xludf.DUMMYFUNCTION("""COMPUTED_VALUE"""),1.7916666666666667)</f>
        <v>1.791666667</v>
      </c>
      <c r="Q818" s="763" t="str">
        <f>IFERROR(__xludf.DUMMYFUNCTION("""COMPUTED_VALUE"""),"EUR")</f>
        <v>EUR</v>
      </c>
      <c r="R818" s="763">
        <f>IFERROR(__xludf.DUMMYFUNCTION("""COMPUTED_VALUE"""),1484.0)</f>
        <v>1484</v>
      </c>
      <c r="S818" s="763" t="str">
        <f>IFERROR(__xludf.DUMMYFUNCTION("""COMPUTED_VALUE"""),"Workshop Hip Hop Emanuel Lo 2026 - Workshop Emanuel Lo 22 febbraio 2026")</f>
        <v>Workshop Hip Hop Emanuel Lo 2026 - Workshop Emanuel Lo 22 febbraio 2026</v>
      </c>
      <c r="T818" s="763"/>
      <c r="U818" s="763"/>
      <c r="V818" s="763">
        <f>IFERROR(__xludf.DUMMYFUNCTION("""COMPUTED_VALUE"""),1.0)</f>
        <v>1</v>
      </c>
      <c r="W818" s="763">
        <f>IFERROR(__xludf.DUMMYFUNCTION("""COMPUTED_VALUE"""),43.0)</f>
        <v>43</v>
      </c>
      <c r="X818" s="763">
        <f>IFERROR(__xludf.DUMMYFUNCTION("""COMPUTED_VALUE"""),43.0)</f>
        <v>43</v>
      </c>
      <c r="Y818" s="763"/>
      <c r="Z818" s="768" t="str">
        <f>IFERROR(__xludf.DUMMYFUNCTION("""COMPUTED_VALUE"""),"https://studio-gem.it/wp-admin/post.php?post=67117&amp;action=edit")</f>
        <v>https://studio-gem.it/wp-admin/post.php?post=67117&amp;action=edit</v>
      </c>
      <c r="AA818" s="763"/>
      <c r="AB818" s="763"/>
      <c r="AC818" s="763"/>
      <c r="AD818" s="763"/>
      <c r="AE818" s="763"/>
      <c r="AF818" s="763"/>
      <c r="AG818" s="763"/>
      <c r="AH818" s="763"/>
      <c r="AI818" s="763"/>
      <c r="AJ818" s="763"/>
      <c r="AK818" s="763"/>
      <c r="AL818" s="763"/>
      <c r="AM818" s="763"/>
      <c r="AN818" s="763"/>
      <c r="AO818" s="763"/>
      <c r="AP818" s="763"/>
      <c r="AQ818" s="763"/>
      <c r="AR818" s="763"/>
      <c r="AS818" s="763"/>
      <c r="AT818" s="763"/>
      <c r="AU818" s="763"/>
      <c r="AV818" s="763"/>
      <c r="AW818" s="763"/>
      <c r="AX818" s="763"/>
      <c r="AY818" s="763"/>
      <c r="AZ818" s="763"/>
      <c r="BA818" s="763"/>
      <c r="BB818" s="763"/>
      <c r="BC818" s="763"/>
      <c r="BD818" s="763"/>
      <c r="BE818" s="763"/>
      <c r="BF818" s="763"/>
      <c r="BG818" s="763" t="b">
        <f>IFERROR(__xludf.DUMMYFUNCTION("""COMPUTED_VALUE"""),FALSE)</f>
        <v>0</v>
      </c>
      <c r="BH818" s="763" t="b">
        <f>IFERROR(__xludf.DUMMYFUNCTION("""COMPUTED_VALUE"""),FALSE)</f>
        <v>0</v>
      </c>
      <c r="BI818" s="763" t="b">
        <f>IFERROR(__xludf.DUMMYFUNCTION("""COMPUTED_VALUE"""),FALSE)</f>
        <v>0</v>
      </c>
      <c r="BJ818" s="763" t="b">
        <f>IFERROR(__xludf.DUMMYFUNCTION("""COMPUTED_VALUE"""),FALSE)</f>
        <v>0</v>
      </c>
    </row>
    <row r="819">
      <c r="A819" s="763">
        <f>IFERROR(__xludf.DUMMYFUNCTION("""COMPUTED_VALUE"""),67118.0)</f>
        <v>67118</v>
      </c>
      <c r="B819" s="763">
        <f>IFERROR(__xludf.DUMMYFUNCTION("""COMPUTED_VALUE"""),67118.0)</f>
        <v>67118</v>
      </c>
      <c r="C819" s="763" t="str">
        <f>IFERROR(__xludf.DUMMYFUNCTION("""COMPUTED_VALUE"""),"2025-12-30 10:51:49")</f>
        <v>2025-12-30 10:51:49</v>
      </c>
      <c r="D819" s="763" t="str">
        <f>IFERROR(__xludf.DUMMYFUNCTION("""COMPUTED_VALUE"""),"cancelled")</f>
        <v>cancelled</v>
      </c>
      <c r="E819" s="763" t="str">
        <f>IFERROR(__xludf.DUMMYFUNCTION("""COMPUTED_VALUE"""),"alexandra")</f>
        <v>alexandra</v>
      </c>
      <c r="F819" s="763" t="str">
        <f>IFERROR(__xludf.DUMMYFUNCTION("""COMPUTED_VALUE"""),"maldonado")</f>
        <v>maldonado</v>
      </c>
      <c r="G819" s="763" t="str">
        <f>IFERROR(__xludf.DUMMYFUNCTION("""COMPUTED_VALUE"""),"matias070213@gmail.com")</f>
        <v>matias070213@gmail.com</v>
      </c>
      <c r="H819" s="763">
        <f>IFERROR(__xludf.DUMMYFUNCTION("""COMPUTED_VALUE"""),3333.0)</f>
        <v>3333</v>
      </c>
      <c r="I819" s="763" t="str">
        <f>IFERROR(__xludf.DUMMYFUNCTION("""COMPUTED_VALUE"""),"Milano")</f>
        <v>Milano</v>
      </c>
      <c r="J819" s="763" t="str">
        <f>IFERROR(__xludf.DUMMYFUNCTION("""COMPUTED_VALUE"""),"camillo giussani 17")</f>
        <v>camillo giussani 17</v>
      </c>
      <c r="K819" s="763">
        <f>IFERROR(__xludf.DUMMYFUNCTION("""COMPUTED_VALUE"""),20143.0)</f>
        <v>20143</v>
      </c>
      <c r="L819" s="763" t="str">
        <f>IFERROR(__xludf.DUMMYFUNCTION("""COMPUTED_VALUE"""),"Carte di pagamento")</f>
        <v>Carte di pagamento</v>
      </c>
      <c r="M819" s="763" t="str">
        <f>IFERROR(__xludf.DUMMYFUNCTION("""COMPUTED_VALUE"""),"alexandra02ws")</f>
        <v>alexandra02ws</v>
      </c>
      <c r="N819" s="763"/>
      <c r="O819" s="763">
        <f>IFERROR(__xludf.DUMMYFUNCTION("""COMPUTED_VALUE"""),0.0)</f>
        <v>0</v>
      </c>
      <c r="P819" s="767">
        <f>IFERROR(__xludf.DUMMYFUNCTION("""COMPUTED_VALUE"""),1.7916666666666667)</f>
        <v>1.791666667</v>
      </c>
      <c r="Q819" s="763" t="str">
        <f>IFERROR(__xludf.DUMMYFUNCTION("""COMPUTED_VALUE"""),"EUR")</f>
        <v>EUR</v>
      </c>
      <c r="R819" s="763">
        <f>IFERROR(__xludf.DUMMYFUNCTION("""COMPUTED_VALUE"""),1486.0)</f>
        <v>1486</v>
      </c>
      <c r="S819" s="763" t="str">
        <f>IFERROR(__xludf.DUMMYFUNCTION("""COMPUTED_VALUE"""),"Workshop Hip Hop Emanuel Lo 2026 - Workshop Emanuel Lo 22 febbraio 2026")</f>
        <v>Workshop Hip Hop Emanuel Lo 2026 - Workshop Emanuel Lo 22 febbraio 2026</v>
      </c>
      <c r="T819" s="763"/>
      <c r="U819" s="763"/>
      <c r="V819" s="763">
        <f>IFERROR(__xludf.DUMMYFUNCTION("""COMPUTED_VALUE"""),1.0)</f>
        <v>1</v>
      </c>
      <c r="W819" s="763">
        <f>IFERROR(__xludf.DUMMYFUNCTION("""COMPUTED_VALUE"""),43.0)</f>
        <v>43</v>
      </c>
      <c r="X819" s="763">
        <f>IFERROR(__xludf.DUMMYFUNCTION("""COMPUTED_VALUE"""),43.0)</f>
        <v>43</v>
      </c>
      <c r="Y819" s="763"/>
      <c r="Z819" s="768" t="str">
        <f>IFERROR(__xludf.DUMMYFUNCTION("""COMPUTED_VALUE"""),"https://studio-gem.it/wp-admin/post.php?post=67118&amp;action=edit")</f>
        <v>https://studio-gem.it/wp-admin/post.php?post=67118&amp;action=edit</v>
      </c>
      <c r="AA819" s="763"/>
      <c r="AB819" s="763"/>
      <c r="AC819" s="763"/>
      <c r="AD819" s="763"/>
      <c r="AE819" s="763"/>
      <c r="AF819" s="763"/>
      <c r="AG819" s="763"/>
      <c r="AH819" s="763"/>
      <c r="AI819" s="763"/>
      <c r="AJ819" s="763"/>
      <c r="AK819" s="763"/>
      <c r="AL819" s="763"/>
      <c r="AM819" s="763"/>
      <c r="AN819" s="763"/>
      <c r="AO819" s="763"/>
      <c r="AP819" s="763"/>
      <c r="AQ819" s="763"/>
      <c r="AR819" s="763"/>
      <c r="AS819" s="763"/>
      <c r="AT819" s="763"/>
      <c r="AU819" s="763"/>
      <c r="AV819" s="763"/>
      <c r="AW819" s="763"/>
      <c r="AX819" s="763"/>
      <c r="AY819" s="763"/>
      <c r="AZ819" s="763"/>
      <c r="BA819" s="763"/>
      <c r="BB819" s="763"/>
      <c r="BC819" s="763"/>
      <c r="BD819" s="763"/>
      <c r="BE819" s="763"/>
      <c r="BF819" s="763"/>
      <c r="BG819" s="763" t="b">
        <f>IFERROR(__xludf.DUMMYFUNCTION("""COMPUTED_VALUE"""),FALSE)</f>
        <v>0</v>
      </c>
      <c r="BH819" s="763" t="b">
        <f>IFERROR(__xludf.DUMMYFUNCTION("""COMPUTED_VALUE"""),FALSE)</f>
        <v>0</v>
      </c>
      <c r="BI819" s="763" t="b">
        <f>IFERROR(__xludf.DUMMYFUNCTION("""COMPUTED_VALUE"""),FALSE)</f>
        <v>0</v>
      </c>
      <c r="BJ819" s="763" t="b">
        <f>IFERROR(__xludf.DUMMYFUNCTION("""COMPUTED_VALUE"""),FALSE)</f>
        <v>0</v>
      </c>
    </row>
    <row r="820">
      <c r="A820" s="763">
        <f>IFERROR(__xludf.DUMMYFUNCTION("""COMPUTED_VALUE"""),67119.0)</f>
        <v>67119</v>
      </c>
      <c r="B820" s="763">
        <f>IFERROR(__xludf.DUMMYFUNCTION("""COMPUTED_VALUE"""),67119.0)</f>
        <v>67119</v>
      </c>
      <c r="C820" s="763" t="str">
        <f>IFERROR(__xludf.DUMMYFUNCTION("""COMPUTED_VALUE"""),"2025-12-30 10:57:13")</f>
        <v>2025-12-30 10:57:13</v>
      </c>
      <c r="D820" s="763" t="str">
        <f>IFERROR(__xludf.DUMMYFUNCTION("""COMPUTED_VALUE"""),"pending")</f>
        <v>pending</v>
      </c>
      <c r="E820" s="763" t="str">
        <f>IFERROR(__xludf.DUMMYFUNCTION("""COMPUTED_VALUE"""),"alexandra")</f>
        <v>alexandra</v>
      </c>
      <c r="F820" s="763" t="str">
        <f>IFERROR(__xludf.DUMMYFUNCTION("""COMPUTED_VALUE"""),"maldonado")</f>
        <v>maldonado</v>
      </c>
      <c r="G820" s="763" t="str">
        <f>IFERROR(__xludf.DUMMYFUNCTION("""COMPUTED_VALUE"""),"matias070213@gmail.com")</f>
        <v>matias070213@gmail.com</v>
      </c>
      <c r="H820" s="763">
        <f>IFERROR(__xludf.DUMMYFUNCTION("""COMPUTED_VALUE"""),3333.0)</f>
        <v>3333</v>
      </c>
      <c r="I820" s="763" t="str">
        <f>IFERROR(__xludf.DUMMYFUNCTION("""COMPUTED_VALUE"""),"Milano")</f>
        <v>Milano</v>
      </c>
      <c r="J820" s="763" t="str">
        <f>IFERROR(__xludf.DUMMYFUNCTION("""COMPUTED_VALUE"""),"camillo giussani 17")</f>
        <v>camillo giussani 17</v>
      </c>
      <c r="K820" s="763">
        <f>IFERROR(__xludf.DUMMYFUNCTION("""COMPUTED_VALUE"""),20143.0)</f>
        <v>20143</v>
      </c>
      <c r="L820" s="763" t="str">
        <f>IFERROR(__xludf.DUMMYFUNCTION("""COMPUTED_VALUE"""),"Carte di pagamento")</f>
        <v>Carte di pagamento</v>
      </c>
      <c r="M820" s="763"/>
      <c r="N820" s="763"/>
      <c r="O820" s="763">
        <f>IFERROR(__xludf.DUMMYFUNCTION("""COMPUTED_VALUE"""),0.0)</f>
        <v>0</v>
      </c>
      <c r="P820" s="767">
        <f>IFERROR(__xludf.DUMMYFUNCTION("""COMPUTED_VALUE"""),1.875)</f>
        <v>1.875</v>
      </c>
      <c r="Q820" s="763" t="str">
        <f>IFERROR(__xludf.DUMMYFUNCTION("""COMPUTED_VALUE"""),"EUR")</f>
        <v>EUR</v>
      </c>
      <c r="R820" s="763">
        <f>IFERROR(__xludf.DUMMYFUNCTION("""COMPUTED_VALUE"""),1488.0)</f>
        <v>1488</v>
      </c>
      <c r="S820" s="763" t="str">
        <f>IFERROR(__xludf.DUMMYFUNCTION("""COMPUTED_VALUE"""),"Workshop Hip Hop Emanuel Lo 2026 - Workshop Emanuel Lo 22 febbraio 2026")</f>
        <v>Workshop Hip Hop Emanuel Lo 2026 - Workshop Emanuel Lo 22 febbraio 2026</v>
      </c>
      <c r="T820" s="763"/>
      <c r="U820" s="763"/>
      <c r="V820" s="763">
        <f>IFERROR(__xludf.DUMMYFUNCTION("""COMPUTED_VALUE"""),1.0)</f>
        <v>1</v>
      </c>
      <c r="W820" s="763">
        <f>IFERROR(__xludf.DUMMYFUNCTION("""COMPUTED_VALUE"""),45.0)</f>
        <v>45</v>
      </c>
      <c r="X820" s="763">
        <f>IFERROR(__xludf.DUMMYFUNCTION("""COMPUTED_VALUE"""),45.0)</f>
        <v>45</v>
      </c>
      <c r="Y820" s="763"/>
      <c r="Z820" s="768" t="str">
        <f>IFERROR(__xludf.DUMMYFUNCTION("""COMPUTED_VALUE"""),"https://studio-gem.it/wp-admin/post.php?post=67119&amp;action=edit")</f>
        <v>https://studio-gem.it/wp-admin/post.php?post=67119&amp;action=edit</v>
      </c>
      <c r="AA820" s="763"/>
      <c r="AB820" s="763"/>
      <c r="AC820" s="763"/>
      <c r="AD820" s="763"/>
      <c r="AE820" s="763"/>
      <c r="AF820" s="763"/>
      <c r="AG820" s="763"/>
      <c r="AH820" s="763"/>
      <c r="AI820" s="763"/>
      <c r="AJ820" s="763"/>
      <c r="AK820" s="763"/>
      <c r="AL820" s="763"/>
      <c r="AM820" s="763"/>
      <c r="AN820" s="763"/>
      <c r="AO820" s="763"/>
      <c r="AP820" s="763"/>
      <c r="AQ820" s="763"/>
      <c r="AR820" s="763"/>
      <c r="AS820" s="763"/>
      <c r="AT820" s="763"/>
      <c r="AU820" s="763"/>
      <c r="AV820" s="763"/>
      <c r="AW820" s="763"/>
      <c r="AX820" s="763"/>
      <c r="AY820" s="763"/>
      <c r="AZ820" s="763"/>
      <c r="BA820" s="763"/>
      <c r="BB820" s="763"/>
      <c r="BC820" s="763"/>
      <c r="BD820" s="763"/>
      <c r="BE820" s="763"/>
      <c r="BF820" s="763"/>
      <c r="BG820" s="763" t="b">
        <f>IFERROR(__xludf.DUMMYFUNCTION("""COMPUTED_VALUE"""),FALSE)</f>
        <v>0</v>
      </c>
      <c r="BH820" s="763" t="b">
        <f>IFERROR(__xludf.DUMMYFUNCTION("""COMPUTED_VALUE"""),FALSE)</f>
        <v>0</v>
      </c>
      <c r="BI820" s="763" t="b">
        <f>IFERROR(__xludf.DUMMYFUNCTION("""COMPUTED_VALUE"""),FALSE)</f>
        <v>0</v>
      </c>
      <c r="BJ820" s="763" t="b">
        <f>IFERROR(__xludf.DUMMYFUNCTION("""COMPUTED_VALUE"""),FALSE)</f>
        <v>0</v>
      </c>
    </row>
    <row r="821">
      <c r="A821" s="763">
        <f>IFERROR(__xludf.DUMMYFUNCTION("""COMPUTED_VALUE"""),67120.0)</f>
        <v>67120</v>
      </c>
      <c r="B821" s="763">
        <f>IFERROR(__xludf.DUMMYFUNCTION("""COMPUTED_VALUE"""),67120.0)</f>
        <v>67120</v>
      </c>
      <c r="C821" s="763" t="str">
        <f>IFERROR(__xludf.DUMMYFUNCTION("""COMPUTED_VALUE"""),"2025-12-30 16:00:59")</f>
        <v>2025-12-30 16:00:59</v>
      </c>
      <c r="D821" s="763" t="str">
        <f>IFERROR(__xludf.DUMMYFUNCTION("""COMPUTED_VALUE"""),"completed")</f>
        <v>completed</v>
      </c>
      <c r="E821" s="763" t="str">
        <f>IFERROR(__xludf.DUMMYFUNCTION("""COMPUTED_VALUE"""),"Cinzia")</f>
        <v>Cinzia</v>
      </c>
      <c r="F821" s="763" t="str">
        <f>IFERROR(__xludf.DUMMYFUNCTION("""COMPUTED_VALUE"""),"Speranza")</f>
        <v>Speranza</v>
      </c>
      <c r="G821" s="763" t="str">
        <f>IFERROR(__xludf.DUMMYFUNCTION("""COMPUTED_VALUE"""),"Mentrastigiada@gmail.com")</f>
        <v>Mentrastigiada@gmail.com</v>
      </c>
      <c r="H821" s="763">
        <f>IFERROR(__xludf.DUMMYFUNCTION("""COMPUTED_VALUE"""),3.484279112E9)</f>
        <v>3484279112</v>
      </c>
      <c r="I821" s="763" t="str">
        <f>IFERROR(__xludf.DUMMYFUNCTION("""COMPUTED_VALUE"""),"Ancona")</f>
        <v>Ancona</v>
      </c>
      <c r="J821" s="763" t="str">
        <f>IFERROR(__xludf.DUMMYFUNCTION("""COMPUTED_VALUE"""),"Via delle grazie 68")</f>
        <v>Via delle grazie 68</v>
      </c>
      <c r="K821" s="763">
        <f>IFERROR(__xludf.DUMMYFUNCTION("""COMPUTED_VALUE"""),60128.0)</f>
        <v>60128</v>
      </c>
      <c r="L821" s="763" t="str">
        <f>IFERROR(__xludf.DUMMYFUNCTION("""COMPUTED_VALUE"""),"Carte di pagamento")</f>
        <v>Carte di pagamento</v>
      </c>
      <c r="M821" s="763"/>
      <c r="N821" s="763" t="str">
        <f>IFERROR(__xludf.DUMMYFUNCTION("""COMPUTED_VALUE"""),"67120-1767110460")</f>
        <v>67120-1767110460</v>
      </c>
      <c r="O821" s="763">
        <f>IFERROR(__xludf.DUMMYFUNCTION("""COMPUTED_VALUE"""),0.0)</f>
        <v>0</v>
      </c>
      <c r="P821" s="767">
        <f>IFERROR(__xludf.DUMMYFUNCTION("""COMPUTED_VALUE"""),1.5416666666666667)</f>
        <v>1.541666667</v>
      </c>
      <c r="Q821" s="763" t="str">
        <f>IFERROR(__xludf.DUMMYFUNCTION("""COMPUTED_VALUE"""),"EUR")</f>
        <v>EUR</v>
      </c>
      <c r="R821" s="763">
        <f>IFERROR(__xludf.DUMMYFUNCTION("""COMPUTED_VALUE"""),1491.0)</f>
        <v>1491</v>
      </c>
      <c r="S821" s="763" t="str">
        <f>IFERROR(__xludf.DUMMYFUNCTION("""COMPUTED_VALUE"""),"Workshop Urban Alessio Cavaliere 2026 - Workshop Alessio Cavaliere 1 febbraio 2026")</f>
        <v>Workshop Urban Alessio Cavaliere 2026 - Workshop Alessio Cavaliere 1 febbraio 2026</v>
      </c>
      <c r="T821" s="763"/>
      <c r="U821" s="763"/>
      <c r="V821" s="763">
        <f>IFERROR(__xludf.DUMMYFUNCTION("""COMPUTED_VALUE"""),1.0)</f>
        <v>1</v>
      </c>
      <c r="W821" s="763">
        <f>IFERROR(__xludf.DUMMYFUNCTION("""COMPUTED_VALUE"""),37.0)</f>
        <v>37</v>
      </c>
      <c r="X821" s="763">
        <f>IFERROR(__xludf.DUMMYFUNCTION("""COMPUTED_VALUE"""),37.0)</f>
        <v>37</v>
      </c>
      <c r="Y821" s="763"/>
      <c r="Z821" s="768" t="str">
        <f>IFERROR(__xludf.DUMMYFUNCTION("""COMPUTED_VALUE"""),"https://studio-gem.it/wp-admin/post.php?post=67120&amp;action=edit")</f>
        <v>https://studio-gem.it/wp-admin/post.php?post=67120&amp;action=edit</v>
      </c>
      <c r="AA821" s="763"/>
      <c r="AB821" s="763"/>
      <c r="AC821" s="763"/>
      <c r="AD821" s="763"/>
      <c r="AE821" s="763"/>
      <c r="AF821" s="763"/>
      <c r="AG821" s="763"/>
      <c r="AH821" s="763"/>
      <c r="AI821" s="763"/>
      <c r="AJ821" s="763"/>
      <c r="AK821" s="763"/>
      <c r="AL821" s="763"/>
      <c r="AM821" s="763"/>
      <c r="AN821" s="763"/>
      <c r="AO821" s="763"/>
      <c r="AP821" s="763"/>
      <c r="AQ821" s="763"/>
      <c r="AR821" s="763"/>
      <c r="AS821" s="763"/>
      <c r="AT821" s="763"/>
      <c r="AU821" s="763"/>
      <c r="AV821" s="763"/>
      <c r="AW821" s="763"/>
      <c r="AX821" s="763"/>
      <c r="AY821" s="763"/>
      <c r="AZ821" s="763"/>
      <c r="BA821" s="763"/>
      <c r="BB821" s="763"/>
      <c r="BC821" s="763"/>
      <c r="BD821" s="763"/>
      <c r="BE821" s="763"/>
      <c r="BF821" s="763"/>
      <c r="BG821" s="763" t="b">
        <f>IFERROR(__xludf.DUMMYFUNCTION("""COMPUTED_VALUE"""),TRUE)</f>
        <v>1</v>
      </c>
      <c r="BH821" s="763" t="b">
        <f>IFERROR(__xludf.DUMMYFUNCTION("""COMPUTED_VALUE"""),FALSE)</f>
        <v>0</v>
      </c>
      <c r="BI821" s="763" t="b">
        <f>IFERROR(__xludf.DUMMYFUNCTION("""COMPUTED_VALUE"""),TRUE)</f>
        <v>1</v>
      </c>
      <c r="BJ821" s="763" t="b">
        <f>IFERROR(__xludf.DUMMYFUNCTION("""COMPUTED_VALUE"""),TRUE)</f>
        <v>1</v>
      </c>
    </row>
    <row r="822">
      <c r="A822" s="763">
        <f>IFERROR(__xludf.DUMMYFUNCTION("""COMPUTED_VALUE"""),67122.0)</f>
        <v>67122</v>
      </c>
      <c r="B822" s="763">
        <f>IFERROR(__xludf.DUMMYFUNCTION("""COMPUTED_VALUE"""),67122.0)</f>
        <v>67122</v>
      </c>
      <c r="C822" s="763" t="str">
        <f>IFERROR(__xludf.DUMMYFUNCTION("""COMPUTED_VALUE"""),"2026-01-01 19:47:02")</f>
        <v>2026-01-01 19:47:02</v>
      </c>
      <c r="D822" s="763" t="str">
        <f>IFERROR(__xludf.DUMMYFUNCTION("""COMPUTED_VALUE"""),"completed")</f>
        <v>completed</v>
      </c>
      <c r="E822" s="763" t="str">
        <f>IFERROR(__xludf.DUMMYFUNCTION("""COMPUTED_VALUE"""),"Alessia")</f>
        <v>Alessia</v>
      </c>
      <c r="F822" s="763" t="str">
        <f>IFERROR(__xludf.DUMMYFUNCTION("""COMPUTED_VALUE"""),"Colosimo")</f>
        <v>Colosimo</v>
      </c>
      <c r="G822" s="763" t="str">
        <f>IFERROR(__xludf.DUMMYFUNCTION("""COMPUTED_VALUE"""),"alessiacolosimo8@gmail.com")</f>
        <v>alessiacolosimo8@gmail.com</v>
      </c>
      <c r="H822" s="763">
        <f>IFERROR(__xludf.DUMMYFUNCTION("""COMPUTED_VALUE"""),3.314597068E9)</f>
        <v>3314597068</v>
      </c>
      <c r="I822" s="763" t="str">
        <f>IFERROR(__xludf.DUMMYFUNCTION("""COMPUTED_VALUE"""),"Limbiate")</f>
        <v>Limbiate</v>
      </c>
      <c r="J822" s="763" t="str">
        <f>IFERROR(__xludf.DUMMYFUNCTION("""COMPUTED_VALUE"""),"Via Trieste")</f>
        <v>Via Trieste</v>
      </c>
      <c r="K822" s="763">
        <f>IFERROR(__xludf.DUMMYFUNCTION("""COMPUTED_VALUE"""),20812.0)</f>
        <v>20812</v>
      </c>
      <c r="L822" s="763" t="str">
        <f>IFERROR(__xludf.DUMMYFUNCTION("""COMPUTED_VALUE"""),"Apple Pay")</f>
        <v>Apple Pay</v>
      </c>
      <c r="M822" s="763"/>
      <c r="N822" s="763" t="str">
        <f>IFERROR(__xludf.DUMMYFUNCTION("""COMPUTED_VALUE"""),"67122-1767296823")</f>
        <v>67122-1767296823</v>
      </c>
      <c r="O822" s="763">
        <f>IFERROR(__xludf.DUMMYFUNCTION("""COMPUTED_VALUE"""),0.0)</f>
        <v>0</v>
      </c>
      <c r="P822" s="767">
        <f>IFERROR(__xludf.DUMMYFUNCTION("""COMPUTED_VALUE"""),1.5416666666666667)</f>
        <v>1.541666667</v>
      </c>
      <c r="Q822" s="763" t="str">
        <f>IFERROR(__xludf.DUMMYFUNCTION("""COMPUTED_VALUE"""),"EUR")</f>
        <v>EUR</v>
      </c>
      <c r="R822" s="763">
        <f>IFERROR(__xludf.DUMMYFUNCTION("""COMPUTED_VALUE"""),1492.0)</f>
        <v>1492</v>
      </c>
      <c r="S822" s="763" t="str">
        <f>IFERROR(__xludf.DUMMYFUNCTION("""COMPUTED_VALUE"""),"Workshop Urban Alessio Cavaliere 2026 - Workshop Alessio Cavaliere 1 febbraio 2026")</f>
        <v>Workshop Urban Alessio Cavaliere 2026 - Workshop Alessio Cavaliere 1 febbraio 2026</v>
      </c>
      <c r="T822" s="763"/>
      <c r="U822" s="763"/>
      <c r="V822" s="763">
        <f>IFERROR(__xludf.DUMMYFUNCTION("""COMPUTED_VALUE"""),1.0)</f>
        <v>1</v>
      </c>
      <c r="W822" s="763">
        <f>IFERROR(__xludf.DUMMYFUNCTION("""COMPUTED_VALUE"""),37.0)</f>
        <v>37</v>
      </c>
      <c r="X822" s="763">
        <f>IFERROR(__xludf.DUMMYFUNCTION("""COMPUTED_VALUE"""),37.0)</f>
        <v>37</v>
      </c>
      <c r="Y822" s="763"/>
      <c r="Z822" s="768" t="str">
        <f>IFERROR(__xludf.DUMMYFUNCTION("""COMPUTED_VALUE"""),"https://studio-gem.it/wp-admin/post.php?post=67122&amp;action=edit")</f>
        <v>https://studio-gem.it/wp-admin/post.php?post=67122&amp;action=edit</v>
      </c>
      <c r="AA822" s="763"/>
      <c r="AB822" s="763"/>
      <c r="AC822" s="763"/>
      <c r="AD822" s="763"/>
      <c r="AE822" s="763"/>
      <c r="AF822" s="763"/>
      <c r="AG822" s="763"/>
      <c r="AH822" s="763"/>
      <c r="AI822" s="763"/>
      <c r="AJ822" s="763"/>
      <c r="AK822" s="763"/>
      <c r="AL822" s="763"/>
      <c r="AM822" s="763"/>
      <c r="AN822" s="763"/>
      <c r="AO822" s="763"/>
      <c r="AP822" s="763"/>
      <c r="AQ822" s="763"/>
      <c r="AR822" s="763"/>
      <c r="AS822" s="763"/>
      <c r="AT822" s="763"/>
      <c r="AU822" s="763"/>
      <c r="AV822" s="763"/>
      <c r="AW822" s="763"/>
      <c r="AX822" s="763"/>
      <c r="AY822" s="763"/>
      <c r="AZ822" s="763"/>
      <c r="BA822" s="763"/>
      <c r="BB822" s="763"/>
      <c r="BC822" s="763"/>
      <c r="BD822" s="763"/>
      <c r="BE822" s="763"/>
      <c r="BF822" s="763"/>
      <c r="BG822" s="763" t="b">
        <f>IFERROR(__xludf.DUMMYFUNCTION("""COMPUTED_VALUE"""),TRUE)</f>
        <v>1</v>
      </c>
      <c r="BH822" s="763" t="b">
        <f>IFERROR(__xludf.DUMMYFUNCTION("""COMPUTED_VALUE"""),FALSE)</f>
        <v>0</v>
      </c>
      <c r="BI822" s="763" t="b">
        <f>IFERROR(__xludf.DUMMYFUNCTION("""COMPUTED_VALUE"""),TRUE)</f>
        <v>1</v>
      </c>
      <c r="BJ822" s="763" t="b">
        <f>IFERROR(__xludf.DUMMYFUNCTION("""COMPUTED_VALUE"""),TRUE)</f>
        <v>1</v>
      </c>
    </row>
    <row r="823">
      <c r="A823" s="763">
        <f>IFERROR(__xludf.DUMMYFUNCTION("""COMPUTED_VALUE"""),67124.0)</f>
        <v>67124</v>
      </c>
      <c r="B823" s="763">
        <f>IFERROR(__xludf.DUMMYFUNCTION("""COMPUTED_VALUE"""),67124.0)</f>
        <v>67124</v>
      </c>
      <c r="C823" s="763" t="str">
        <f>IFERROR(__xludf.DUMMYFUNCTION("""COMPUTED_VALUE"""),"2026-01-02 10:20:52")</f>
        <v>2026-01-02 10:20:52</v>
      </c>
      <c r="D823" s="763" t="str">
        <f>IFERROR(__xludf.DUMMYFUNCTION("""COMPUTED_VALUE"""),"completed")</f>
        <v>completed</v>
      </c>
      <c r="E823" s="763" t="str">
        <f>IFERROR(__xludf.DUMMYFUNCTION("""COMPUTED_VALUE"""),"Elena")</f>
        <v>Elena</v>
      </c>
      <c r="F823" s="763" t="str">
        <f>IFERROR(__xludf.DUMMYFUNCTION("""COMPUTED_VALUE"""),"Lo Furno")</f>
        <v>Lo Furno</v>
      </c>
      <c r="G823" s="763" t="str">
        <f>IFERROR(__xludf.DUMMYFUNCTION("""COMPUTED_VALUE"""),"lofurnoelena@gmail.com")</f>
        <v>lofurnoelena@gmail.com</v>
      </c>
      <c r="H823" s="763">
        <f>IFERROR(__xludf.DUMMYFUNCTION("""COMPUTED_VALUE"""),3.342159289E9)</f>
        <v>3342159289</v>
      </c>
      <c r="I823" s="763" t="str">
        <f>IFERROR(__xludf.DUMMYFUNCTION("""COMPUTED_VALUE"""),"Gorgonzola")</f>
        <v>Gorgonzola</v>
      </c>
      <c r="J823" s="763" t="str">
        <f>IFERROR(__xludf.DUMMYFUNCTION("""COMPUTED_VALUE"""),"Via Leoncavallo 2A")</f>
        <v>Via Leoncavallo 2A</v>
      </c>
      <c r="K823" s="763">
        <f>IFERROR(__xludf.DUMMYFUNCTION("""COMPUTED_VALUE"""),20064.0)</f>
        <v>20064</v>
      </c>
      <c r="L823" s="763" t="str">
        <f>IFERROR(__xludf.DUMMYFUNCTION("""COMPUTED_VALUE"""),"Google Pay")</f>
        <v>Google Pay</v>
      </c>
      <c r="M823" s="763" t="str">
        <f>IFERROR(__xludf.DUMMYFUNCTION("""COMPUTED_VALUE"""),"nura02ws")</f>
        <v>nura02ws</v>
      </c>
      <c r="N823" s="763" t="str">
        <f>IFERROR(__xludf.DUMMYFUNCTION("""COMPUTED_VALUE"""),"67124-1767349467")</f>
        <v>67124-1767349467</v>
      </c>
      <c r="O823" s="763">
        <f>IFERROR(__xludf.DUMMYFUNCTION("""COMPUTED_VALUE"""),0.0)</f>
        <v>0</v>
      </c>
      <c r="P823" s="767">
        <f>IFERROR(__xludf.DUMMYFUNCTION("""COMPUTED_VALUE"""),1.7916666666666667)</f>
        <v>1.791666667</v>
      </c>
      <c r="Q823" s="763" t="str">
        <f>IFERROR(__xludf.DUMMYFUNCTION("""COMPUTED_VALUE"""),"EUR")</f>
        <v>EUR</v>
      </c>
      <c r="R823" s="763">
        <f>IFERROR(__xludf.DUMMYFUNCTION("""COMPUTED_VALUE"""),1497.0)</f>
        <v>1497</v>
      </c>
      <c r="S823" s="763" t="str">
        <f>IFERROR(__xludf.DUMMYFUNCTION("""COMPUTED_VALUE"""),"Workshop Hip Hop Emanuel Lo 2026 - Workshop Emanuel Lo 22 febbraio 2026")</f>
        <v>Workshop Hip Hop Emanuel Lo 2026 - Workshop Emanuel Lo 22 febbraio 2026</v>
      </c>
      <c r="T823" s="763"/>
      <c r="U823" s="763"/>
      <c r="V823" s="763">
        <f>IFERROR(__xludf.DUMMYFUNCTION("""COMPUTED_VALUE"""),1.0)</f>
        <v>1</v>
      </c>
      <c r="W823" s="763">
        <f>IFERROR(__xludf.DUMMYFUNCTION("""COMPUTED_VALUE"""),43.0)</f>
        <v>43</v>
      </c>
      <c r="X823" s="763">
        <f>IFERROR(__xludf.DUMMYFUNCTION("""COMPUTED_VALUE"""),43.0)</f>
        <v>43</v>
      </c>
      <c r="Y823" s="763"/>
      <c r="Z823" s="768" t="str">
        <f>IFERROR(__xludf.DUMMYFUNCTION("""COMPUTED_VALUE"""),"https://studio-gem.it/wp-admin/post.php?post=67124&amp;action=edit")</f>
        <v>https://studio-gem.it/wp-admin/post.php?post=67124&amp;action=edit</v>
      </c>
      <c r="AA823" s="763"/>
      <c r="AB823" s="763"/>
      <c r="AC823" s="763"/>
      <c r="AD823" s="763"/>
      <c r="AE823" s="763"/>
      <c r="AF823" s="763"/>
      <c r="AG823" s="763"/>
      <c r="AH823" s="763"/>
      <c r="AI823" s="763"/>
      <c r="AJ823" s="763"/>
      <c r="AK823" s="763"/>
      <c r="AL823" s="763"/>
      <c r="AM823" s="763"/>
      <c r="AN823" s="763"/>
      <c r="AO823" s="763"/>
      <c r="AP823" s="763"/>
      <c r="AQ823" s="763"/>
      <c r="AR823" s="763"/>
      <c r="AS823" s="763"/>
      <c r="AT823" s="763"/>
      <c r="AU823" s="763"/>
      <c r="AV823" s="763"/>
      <c r="AW823" s="763"/>
      <c r="AX823" s="763"/>
      <c r="AY823" s="763"/>
      <c r="AZ823" s="763"/>
      <c r="BA823" s="763"/>
      <c r="BB823" s="763"/>
      <c r="BC823" s="763"/>
      <c r="BD823" s="763"/>
      <c r="BE823" s="763"/>
      <c r="BF823" s="763"/>
      <c r="BG823" s="763" t="b">
        <f>IFERROR(__xludf.DUMMYFUNCTION("""COMPUTED_VALUE"""),TRUE)</f>
        <v>1</v>
      </c>
      <c r="BH823" s="763" t="b">
        <f>IFERROR(__xludf.DUMMYFUNCTION("""COMPUTED_VALUE"""),FALSE)</f>
        <v>0</v>
      </c>
      <c r="BI823" s="763" t="b">
        <f>IFERROR(__xludf.DUMMYFUNCTION("""COMPUTED_VALUE"""),TRUE)</f>
        <v>1</v>
      </c>
      <c r="BJ823" s="763" t="b">
        <f>IFERROR(__xludf.DUMMYFUNCTION("""COMPUTED_VALUE"""),TRUE)</f>
        <v>1</v>
      </c>
    </row>
    <row r="824">
      <c r="A824" s="763">
        <f>IFERROR(__xludf.DUMMYFUNCTION("""COMPUTED_VALUE"""),67137.0)</f>
        <v>67137</v>
      </c>
      <c r="B824" s="763">
        <f>IFERROR(__xludf.DUMMYFUNCTION("""COMPUTED_VALUE"""),67137.0)</f>
        <v>67137</v>
      </c>
      <c r="C824" s="763" t="str">
        <f>IFERROR(__xludf.DUMMYFUNCTION("""COMPUTED_VALUE"""),"2026-01-05 15:09:44")</f>
        <v>2026-01-05 15:09:44</v>
      </c>
      <c r="D824" s="763" t="str">
        <f>IFERROR(__xludf.DUMMYFUNCTION("""COMPUTED_VALUE"""),"completed")</f>
        <v>completed</v>
      </c>
      <c r="E824" s="763" t="str">
        <f>IFERROR(__xludf.DUMMYFUNCTION("""COMPUTED_VALUE"""),"Selene")</f>
        <v>Selene</v>
      </c>
      <c r="F824" s="763" t="str">
        <f>IFERROR(__xludf.DUMMYFUNCTION("""COMPUTED_VALUE"""),"Feige")</f>
        <v>Feige</v>
      </c>
      <c r="G824" s="763" t="str">
        <f>IFERROR(__xludf.DUMMYFUNCTION("""COMPUTED_VALUE"""),"selene.feige.cele@gmail.com")</f>
        <v>selene.feige.cele@gmail.com</v>
      </c>
      <c r="H824" s="763">
        <f>IFERROR(__xludf.DUMMYFUNCTION("""COMPUTED_VALUE"""),3.452687027E9)</f>
        <v>3452687027</v>
      </c>
      <c r="I824" s="763" t="str">
        <f>IFERROR(__xludf.DUMMYFUNCTION("""COMPUTED_VALUE"""),"Milano")</f>
        <v>Milano</v>
      </c>
      <c r="J824" s="763" t="str">
        <f>IFERROR(__xludf.DUMMYFUNCTION("""COMPUTED_VALUE"""),"Piazza Arnoldo Mondadori, 1")</f>
        <v>Piazza Arnoldo Mondadori, 1</v>
      </c>
      <c r="K824" s="763">
        <f>IFERROR(__xludf.DUMMYFUNCTION("""COMPUTED_VALUE"""),20122.0)</f>
        <v>20122</v>
      </c>
      <c r="L824" s="763" t="str">
        <f>IFERROR(__xludf.DUMMYFUNCTION("""COMPUTED_VALUE"""),"Apple Pay")</f>
        <v>Apple Pay</v>
      </c>
      <c r="M824" s="763"/>
      <c r="N824" s="763" t="str">
        <f>IFERROR(__xludf.DUMMYFUNCTION("""COMPUTED_VALUE"""),"67137-1767625786")</f>
        <v>67137-1767625786</v>
      </c>
      <c r="O824" s="763">
        <f>IFERROR(__xludf.DUMMYFUNCTION("""COMPUTED_VALUE"""),0.0)</f>
        <v>0</v>
      </c>
      <c r="P824" s="767">
        <f>IFERROR(__xludf.DUMMYFUNCTION("""COMPUTED_VALUE"""),6.25)</f>
        <v>6.25</v>
      </c>
      <c r="Q824" s="763" t="str">
        <f>IFERROR(__xludf.DUMMYFUNCTION("""COMPUTED_VALUE"""),"EUR")</f>
        <v>EUR</v>
      </c>
      <c r="R824" s="763">
        <f>IFERROR(__xludf.DUMMYFUNCTION("""COMPUTED_VALUE"""),1499.0)</f>
        <v>1499</v>
      </c>
      <c r="S824" s="763" t="str">
        <f>IFERROR(__xludf.DUMMYFUNCTION("""COMPUTED_VALUE"""),"Gift Card - Gift card 150€")</f>
        <v>Gift Card - Gift card 150€</v>
      </c>
      <c r="T824" s="763"/>
      <c r="U824" s="763"/>
      <c r="V824" s="763">
        <f>IFERROR(__xludf.DUMMYFUNCTION("""COMPUTED_VALUE"""),1.0)</f>
        <v>1</v>
      </c>
      <c r="W824" s="763">
        <f>IFERROR(__xludf.DUMMYFUNCTION("""COMPUTED_VALUE"""),150.0)</f>
        <v>150</v>
      </c>
      <c r="X824" s="763">
        <f>IFERROR(__xludf.DUMMYFUNCTION("""COMPUTED_VALUE"""),150.0)</f>
        <v>150</v>
      </c>
      <c r="Y824" s="763"/>
      <c r="Z824" s="768" t="str">
        <f>IFERROR(__xludf.DUMMYFUNCTION("""COMPUTED_VALUE"""),"https://studio-gem.it/wp-admin/post.php?post=67137&amp;action=edit")</f>
        <v>https://studio-gem.it/wp-admin/post.php?post=67137&amp;action=edit</v>
      </c>
      <c r="AA824" s="763"/>
      <c r="AB824" s="763"/>
      <c r="AC824" s="763"/>
      <c r="AD824" s="763"/>
      <c r="AE824" s="763"/>
      <c r="AF824" s="763"/>
      <c r="AG824" s="763"/>
      <c r="AH824" s="763"/>
      <c r="AI824" s="763"/>
      <c r="AJ824" s="763"/>
      <c r="AK824" s="763"/>
      <c r="AL824" s="763"/>
      <c r="AM824" s="763"/>
      <c r="AN824" s="763"/>
      <c r="AO824" s="763"/>
      <c r="AP824" s="763"/>
      <c r="AQ824" s="763"/>
      <c r="AR824" s="763"/>
      <c r="AS824" s="763"/>
      <c r="AT824" s="763"/>
      <c r="AU824" s="763"/>
      <c r="AV824" s="763"/>
      <c r="AW824" s="763"/>
      <c r="AX824" s="763"/>
      <c r="AY824" s="763"/>
      <c r="AZ824" s="763"/>
      <c r="BA824" s="763"/>
      <c r="BB824" s="763"/>
      <c r="BC824" s="763"/>
      <c r="BD824" s="763"/>
      <c r="BE824" s="763"/>
      <c r="BF824" s="763"/>
      <c r="BG824" s="763" t="b">
        <f>IFERROR(__xludf.DUMMYFUNCTION("""COMPUTED_VALUE"""),TRUE)</f>
        <v>1</v>
      </c>
      <c r="BH824" s="763" t="b">
        <f>IFERROR(__xludf.DUMMYFUNCTION("""COMPUTED_VALUE"""),FALSE)</f>
        <v>0</v>
      </c>
      <c r="BI824" s="763" t="b">
        <f>IFERROR(__xludf.DUMMYFUNCTION("""COMPUTED_VALUE"""),TRUE)</f>
        <v>1</v>
      </c>
      <c r="BJ824" s="763" t="b">
        <f>IFERROR(__xludf.DUMMYFUNCTION("""COMPUTED_VALUE"""),TRUE)</f>
        <v>1</v>
      </c>
    </row>
    <row r="825">
      <c r="A825" s="763">
        <f>IFERROR(__xludf.DUMMYFUNCTION("""COMPUTED_VALUE"""),67139.0)</f>
        <v>67139</v>
      </c>
      <c r="B825" s="763">
        <f>IFERROR(__xludf.DUMMYFUNCTION("""COMPUTED_VALUE"""),67139.0)</f>
        <v>67139</v>
      </c>
      <c r="C825" s="763" t="str">
        <f>IFERROR(__xludf.DUMMYFUNCTION("""COMPUTED_VALUE"""),"2026-01-06 13:49:40")</f>
        <v>2026-01-06 13:49:40</v>
      </c>
      <c r="D825" s="763" t="str">
        <f>IFERROR(__xludf.DUMMYFUNCTION("""COMPUTED_VALUE"""),"pending")</f>
        <v>pending</v>
      </c>
      <c r="E825" s="763" t="str">
        <f>IFERROR(__xludf.DUMMYFUNCTION("""COMPUTED_VALUE"""),"Tania")</f>
        <v>Tania</v>
      </c>
      <c r="F825" s="763" t="str">
        <f>IFERROR(__xludf.DUMMYFUNCTION("""COMPUTED_VALUE"""),"Riccialdi")</f>
        <v>Riccialdi</v>
      </c>
      <c r="G825" s="763" t="str">
        <f>IFERROR(__xludf.DUMMYFUNCTION("""COMPUTED_VALUE"""),"triccialdi@gmail.com")</f>
        <v>triccialdi@gmail.com</v>
      </c>
      <c r="H825" s="763">
        <f>IFERROR(__xludf.DUMMYFUNCTION("""COMPUTED_VALUE"""),3.920434044E9)</f>
        <v>3920434044</v>
      </c>
      <c r="I825" s="763" t="str">
        <f>IFERROR(__xludf.DUMMYFUNCTION("""COMPUTED_VALUE"""),"Torino")</f>
        <v>Torino</v>
      </c>
      <c r="J825" s="763" t="str">
        <f>IFERROR(__xludf.DUMMYFUNCTION("""COMPUTED_VALUE"""),"Via Edoardo Rubino 79 A")</f>
        <v>Via Edoardo Rubino 79 A</v>
      </c>
      <c r="K825" s="763">
        <f>IFERROR(__xludf.DUMMYFUNCTION("""COMPUTED_VALUE"""),10137.0)</f>
        <v>10137</v>
      </c>
      <c r="L825" s="763" t="str">
        <f>IFERROR(__xludf.DUMMYFUNCTION("""COMPUTED_VALUE"""),"Scalapay - Pay in 3")</f>
        <v>Scalapay - Pay in 3</v>
      </c>
      <c r="M825" s="763"/>
      <c r="N825" s="763"/>
      <c r="O825" s="763">
        <f>IFERROR(__xludf.DUMMYFUNCTION("""COMPUTED_VALUE"""),0.0)</f>
        <v>0</v>
      </c>
      <c r="P825" s="767">
        <f>IFERROR(__xludf.DUMMYFUNCTION("""COMPUTED_VALUE"""),1.875)</f>
        <v>1.875</v>
      </c>
      <c r="Q825" s="763" t="str">
        <f>IFERROR(__xludf.DUMMYFUNCTION("""COMPUTED_VALUE"""),"EUR")</f>
        <v>EUR</v>
      </c>
      <c r="R825" s="763">
        <f>IFERROR(__xludf.DUMMYFUNCTION("""COMPUTED_VALUE"""),1502.0)</f>
        <v>1502</v>
      </c>
      <c r="S825" s="763" t="str">
        <f>IFERROR(__xludf.DUMMYFUNCTION("""COMPUTED_VALUE"""),"Workshop Hip Hop Emanuel Lo 2026 - Workshop Emanuel Lo 22 febbraio 2026")</f>
        <v>Workshop Hip Hop Emanuel Lo 2026 - Workshop Emanuel Lo 22 febbraio 2026</v>
      </c>
      <c r="T825" s="763"/>
      <c r="U825" s="763"/>
      <c r="V825" s="763">
        <f>IFERROR(__xludf.DUMMYFUNCTION("""COMPUTED_VALUE"""),1.0)</f>
        <v>1</v>
      </c>
      <c r="W825" s="763">
        <f>IFERROR(__xludf.DUMMYFUNCTION("""COMPUTED_VALUE"""),45.0)</f>
        <v>45</v>
      </c>
      <c r="X825" s="763">
        <f>IFERROR(__xludf.DUMMYFUNCTION("""COMPUTED_VALUE"""),45.0)</f>
        <v>45</v>
      </c>
      <c r="Y825" s="763"/>
      <c r="Z825" s="768" t="str">
        <f>IFERROR(__xludf.DUMMYFUNCTION("""COMPUTED_VALUE"""),"https://studio-gem.it/wp-admin/post.php?post=67139&amp;action=edit")</f>
        <v>https://studio-gem.it/wp-admin/post.php?post=67139&amp;action=edit</v>
      </c>
      <c r="AA825" s="763"/>
      <c r="AB825" s="763"/>
      <c r="AC825" s="763"/>
      <c r="AD825" s="763"/>
      <c r="AE825" s="763"/>
      <c r="AF825" s="763"/>
      <c r="AG825" s="763"/>
      <c r="AH825" s="763"/>
      <c r="AI825" s="763"/>
      <c r="AJ825" s="763"/>
      <c r="AK825" s="763"/>
      <c r="AL825" s="763"/>
      <c r="AM825" s="763"/>
      <c r="AN825" s="763"/>
      <c r="AO825" s="763"/>
      <c r="AP825" s="763"/>
      <c r="AQ825" s="763"/>
      <c r="AR825" s="763"/>
      <c r="AS825" s="763"/>
      <c r="AT825" s="763"/>
      <c r="AU825" s="763"/>
      <c r="AV825" s="763"/>
      <c r="AW825" s="763"/>
      <c r="AX825" s="763"/>
      <c r="AY825" s="763"/>
      <c r="AZ825" s="763"/>
      <c r="BA825" s="763"/>
      <c r="BB825" s="763"/>
      <c r="BC825" s="763"/>
      <c r="BD825" s="763"/>
      <c r="BE825" s="763"/>
      <c r="BF825" s="763"/>
      <c r="BG825" s="763" t="b">
        <f>IFERROR(__xludf.DUMMYFUNCTION("""COMPUTED_VALUE"""),TRUE)</f>
        <v>1</v>
      </c>
      <c r="BH825" s="763" t="b">
        <f>IFERROR(__xludf.DUMMYFUNCTION("""COMPUTED_VALUE"""),FALSE)</f>
        <v>0</v>
      </c>
      <c r="BI825" s="763" t="b">
        <f>IFERROR(__xludf.DUMMYFUNCTION("""COMPUTED_VALUE"""),TRUE)</f>
        <v>1</v>
      </c>
      <c r="BJ825" s="763" t="b">
        <f>IFERROR(__xludf.DUMMYFUNCTION("""COMPUTED_VALUE"""),FALSE)</f>
        <v>0</v>
      </c>
    </row>
    <row r="826">
      <c r="A826" s="763">
        <f>IFERROR(__xludf.DUMMYFUNCTION("""COMPUTED_VALUE"""),67139.0)</f>
        <v>67139</v>
      </c>
      <c r="B826" s="763">
        <f>IFERROR(__xludf.DUMMYFUNCTION("""COMPUTED_VALUE"""),67139.0)</f>
        <v>67139</v>
      </c>
      <c r="C826" s="763" t="str">
        <f>IFERROR(__xludf.DUMMYFUNCTION("""COMPUTED_VALUE"""),"2026-01-06 13:49:40")</f>
        <v>2026-01-06 13:49:40</v>
      </c>
      <c r="D826" s="763" t="str">
        <f>IFERROR(__xludf.DUMMYFUNCTION("""COMPUTED_VALUE"""),"processing")</f>
        <v>processing</v>
      </c>
      <c r="E826" s="763" t="str">
        <f>IFERROR(__xludf.DUMMYFUNCTION("""COMPUTED_VALUE"""),"Tania")</f>
        <v>Tania</v>
      </c>
      <c r="F826" s="763" t="str">
        <f>IFERROR(__xludf.DUMMYFUNCTION("""COMPUTED_VALUE"""),"Riccialdi")</f>
        <v>Riccialdi</v>
      </c>
      <c r="G826" s="763" t="str">
        <f>IFERROR(__xludf.DUMMYFUNCTION("""COMPUTED_VALUE"""),"triccialdi@gmail.com")</f>
        <v>triccialdi@gmail.com</v>
      </c>
      <c r="H826" s="763">
        <f>IFERROR(__xludf.DUMMYFUNCTION("""COMPUTED_VALUE"""),3.920434044E9)</f>
        <v>3920434044</v>
      </c>
      <c r="I826" s="763" t="str">
        <f>IFERROR(__xludf.DUMMYFUNCTION("""COMPUTED_VALUE"""),"Torino")</f>
        <v>Torino</v>
      </c>
      <c r="J826" s="763" t="str">
        <f>IFERROR(__xludf.DUMMYFUNCTION("""COMPUTED_VALUE"""),"Via Edoardo Rubino 79 A")</f>
        <v>Via Edoardo Rubino 79 A</v>
      </c>
      <c r="K826" s="763">
        <f>IFERROR(__xludf.DUMMYFUNCTION("""COMPUTED_VALUE"""),10137.0)</f>
        <v>10137</v>
      </c>
      <c r="L826" s="763" t="str">
        <f>IFERROR(__xludf.DUMMYFUNCTION("""COMPUTED_VALUE"""),"Carte di pagamento")</f>
        <v>Carte di pagamento</v>
      </c>
      <c r="M826" s="763"/>
      <c r="N826" s="763" t="str">
        <f>IFERROR(__xludf.DUMMYFUNCTION("""COMPUTED_VALUE"""),"67139-1767709208")</f>
        <v>67139-1767709208</v>
      </c>
      <c r="O826" s="763">
        <f>IFERROR(__xludf.DUMMYFUNCTION("""COMPUTED_VALUE"""),0.0)</f>
        <v>0</v>
      </c>
      <c r="P826" s="767">
        <f>IFERROR(__xludf.DUMMYFUNCTION("""COMPUTED_VALUE"""),1.875)</f>
        <v>1.875</v>
      </c>
      <c r="Q826" s="763" t="str">
        <f>IFERROR(__xludf.DUMMYFUNCTION("""COMPUTED_VALUE"""),"EUR")</f>
        <v>EUR</v>
      </c>
      <c r="R826" s="763">
        <f>IFERROR(__xludf.DUMMYFUNCTION("""COMPUTED_VALUE"""),1503.0)</f>
        <v>1503</v>
      </c>
      <c r="S826" s="763" t="str">
        <f>IFERROR(__xludf.DUMMYFUNCTION("""COMPUTED_VALUE"""),"Workshop Hip Hop Emanuel Lo 2026 - Workshop Emanuel Lo 22 febbraio 2026")</f>
        <v>Workshop Hip Hop Emanuel Lo 2026 - Workshop Emanuel Lo 22 febbraio 2026</v>
      </c>
      <c r="T826" s="763"/>
      <c r="U826" s="763"/>
      <c r="V826" s="763">
        <f>IFERROR(__xludf.DUMMYFUNCTION("""COMPUTED_VALUE"""),1.0)</f>
        <v>1</v>
      </c>
      <c r="W826" s="763">
        <f>IFERROR(__xludf.DUMMYFUNCTION("""COMPUTED_VALUE"""),45.0)</f>
        <v>45</v>
      </c>
      <c r="X826" s="763">
        <f>IFERROR(__xludf.DUMMYFUNCTION("""COMPUTED_VALUE"""),45.0)</f>
        <v>45</v>
      </c>
      <c r="Y826" s="763"/>
      <c r="Z826" s="768" t="str">
        <f>IFERROR(__xludf.DUMMYFUNCTION("""COMPUTED_VALUE"""),"https://studio-gem.it/wp-admin/post.php?post=67139&amp;action=edit")</f>
        <v>https://studio-gem.it/wp-admin/post.php?post=67139&amp;action=edit</v>
      </c>
      <c r="AA826" s="763"/>
      <c r="AB826" s="763"/>
      <c r="AC826" s="763"/>
      <c r="AD826" s="763"/>
      <c r="AE826" s="763"/>
      <c r="AF826" s="763"/>
      <c r="AG826" s="763"/>
      <c r="AH826" s="763"/>
      <c r="AI826" s="763"/>
      <c r="AJ826" s="763"/>
      <c r="AK826" s="763"/>
      <c r="AL826" s="763"/>
      <c r="AM826" s="763"/>
      <c r="AN826" s="763"/>
      <c r="AO826" s="763"/>
      <c r="AP826" s="763"/>
      <c r="AQ826" s="763"/>
      <c r="AR826" s="763"/>
      <c r="AS826" s="763"/>
      <c r="AT826" s="763"/>
      <c r="AU826" s="763"/>
      <c r="AV826" s="763"/>
      <c r="AW826" s="763"/>
      <c r="AX826" s="763"/>
      <c r="AY826" s="763"/>
      <c r="AZ826" s="763"/>
      <c r="BA826" s="763"/>
      <c r="BB826" s="763"/>
      <c r="BC826" s="763"/>
      <c r="BD826" s="763"/>
      <c r="BE826" s="763"/>
      <c r="BF826" s="763"/>
      <c r="BG826" s="763" t="b">
        <f>IFERROR(__xludf.DUMMYFUNCTION("""COMPUTED_VALUE"""),TRUE)</f>
        <v>1</v>
      </c>
      <c r="BH826" s="763" t="b">
        <f>IFERROR(__xludf.DUMMYFUNCTION("""COMPUTED_VALUE"""),FALSE)</f>
        <v>0</v>
      </c>
      <c r="BI826" s="763" t="b">
        <f>IFERROR(__xludf.DUMMYFUNCTION("""COMPUTED_VALUE"""),TRUE)</f>
        <v>1</v>
      </c>
      <c r="BJ826" s="763" t="b">
        <f>IFERROR(__xludf.DUMMYFUNCTION("""COMPUTED_VALUE"""),TRUE)</f>
        <v>1</v>
      </c>
    </row>
    <row r="827">
      <c r="A827" s="763">
        <f>IFERROR(__xludf.DUMMYFUNCTION("""COMPUTED_VALUE"""),67140.0)</f>
        <v>67140</v>
      </c>
      <c r="B827" s="763">
        <f>IFERROR(__xludf.DUMMYFUNCTION("""COMPUTED_VALUE"""),67140.0)</f>
        <v>67140</v>
      </c>
      <c r="C827" s="763" t="str">
        <f>IFERROR(__xludf.DUMMYFUNCTION("""COMPUTED_VALUE"""),"2026-01-06 18:37:47")</f>
        <v>2026-01-06 18:37:47</v>
      </c>
      <c r="D827" s="763" t="str">
        <f>IFERROR(__xludf.DUMMYFUNCTION("""COMPUTED_VALUE"""),"completed")</f>
        <v>completed</v>
      </c>
      <c r="E827" s="763" t="str">
        <f>IFERROR(__xludf.DUMMYFUNCTION("""COMPUTED_VALUE"""),"Cristina")</f>
        <v>Cristina</v>
      </c>
      <c r="F827" s="763" t="str">
        <f>IFERROR(__xludf.DUMMYFUNCTION("""COMPUTED_VALUE"""),"Fassina")</f>
        <v>Fassina</v>
      </c>
      <c r="G827" s="763" t="str">
        <f>IFERROR(__xludf.DUMMYFUNCTION("""COMPUTED_VALUE"""),"cristinafassina@libero.it")</f>
        <v>cristinafassina@libero.it</v>
      </c>
      <c r="H827" s="763">
        <f>IFERROR(__xludf.DUMMYFUNCTION("""COMPUTED_VALUE"""),3.394910929E9)</f>
        <v>3394910929</v>
      </c>
      <c r="I827" s="763" t="str">
        <f>IFERROR(__xludf.DUMMYFUNCTION("""COMPUTED_VALUE"""),"Torre D'isola")</f>
        <v>Torre D'isola</v>
      </c>
      <c r="J827" s="763" t="str">
        <f>IFERROR(__xludf.DUMMYFUNCTION("""COMPUTED_VALUE"""),"Ca de vecchi 6")</f>
        <v>Ca de vecchi 6</v>
      </c>
      <c r="K827" s="763">
        <f>IFERROR(__xludf.DUMMYFUNCTION("""COMPUTED_VALUE"""),27020.0)</f>
        <v>27020</v>
      </c>
      <c r="L827" s="763" t="str">
        <f>IFERROR(__xludf.DUMMYFUNCTION("""COMPUTED_VALUE"""),"Apple Pay")</f>
        <v>Apple Pay</v>
      </c>
      <c r="M827" s="763"/>
      <c r="N827" s="763" t="str">
        <f>IFERROR(__xludf.DUMMYFUNCTION("""COMPUTED_VALUE"""),"67140-1767724669")</f>
        <v>67140-1767724669</v>
      </c>
      <c r="O827" s="763">
        <f>IFERROR(__xludf.DUMMYFUNCTION("""COMPUTED_VALUE"""),0.0)</f>
        <v>0</v>
      </c>
      <c r="P827" s="767">
        <f>IFERROR(__xludf.DUMMYFUNCTION("""COMPUTED_VALUE"""),1.875)</f>
        <v>1.875</v>
      </c>
      <c r="Q827" s="763" t="str">
        <f>IFERROR(__xludf.DUMMYFUNCTION("""COMPUTED_VALUE"""),"EUR")</f>
        <v>EUR</v>
      </c>
      <c r="R827" s="763">
        <f>IFERROR(__xludf.DUMMYFUNCTION("""COMPUTED_VALUE"""),1504.0)</f>
        <v>1504</v>
      </c>
      <c r="S827" s="763" t="str">
        <f>IFERROR(__xludf.DUMMYFUNCTION("""COMPUTED_VALUE"""),"Workshop Hip Hop Emanuel Lo 2026 - Workshop Emanuel Lo 22 febbraio 2026")</f>
        <v>Workshop Hip Hop Emanuel Lo 2026 - Workshop Emanuel Lo 22 febbraio 2026</v>
      </c>
      <c r="T827" s="763"/>
      <c r="U827" s="763"/>
      <c r="V827" s="763">
        <f>IFERROR(__xludf.DUMMYFUNCTION("""COMPUTED_VALUE"""),1.0)</f>
        <v>1</v>
      </c>
      <c r="W827" s="763">
        <f>IFERROR(__xludf.DUMMYFUNCTION("""COMPUTED_VALUE"""),45.0)</f>
        <v>45</v>
      </c>
      <c r="X827" s="763">
        <f>IFERROR(__xludf.DUMMYFUNCTION("""COMPUTED_VALUE"""),45.0)</f>
        <v>45</v>
      </c>
      <c r="Y827" s="763"/>
      <c r="Z827" s="768" t="str">
        <f>IFERROR(__xludf.DUMMYFUNCTION("""COMPUTED_VALUE"""),"https://studio-gem.it/wp-admin/post.php?post=67140&amp;action=edit")</f>
        <v>https://studio-gem.it/wp-admin/post.php?post=67140&amp;action=edit</v>
      </c>
      <c r="AA827" s="763"/>
      <c r="AB827" s="763"/>
      <c r="AC827" s="763"/>
      <c r="AD827" s="763"/>
      <c r="AE827" s="763"/>
      <c r="AF827" s="763"/>
      <c r="AG827" s="763"/>
      <c r="AH827" s="763"/>
      <c r="AI827" s="763"/>
      <c r="AJ827" s="763"/>
      <c r="AK827" s="763"/>
      <c r="AL827" s="763"/>
      <c r="AM827" s="763"/>
      <c r="AN827" s="763"/>
      <c r="AO827" s="763"/>
      <c r="AP827" s="763"/>
      <c r="AQ827" s="763"/>
      <c r="AR827" s="763"/>
      <c r="AS827" s="763"/>
      <c r="AT827" s="763"/>
      <c r="AU827" s="763"/>
      <c r="AV827" s="763"/>
      <c r="AW827" s="763"/>
      <c r="AX827" s="763"/>
      <c r="AY827" s="763"/>
      <c r="AZ827" s="763"/>
      <c r="BA827" s="763"/>
      <c r="BB827" s="763"/>
      <c r="BC827" s="763"/>
      <c r="BD827" s="763"/>
      <c r="BE827" s="763"/>
      <c r="BF827" s="763"/>
      <c r="BG827" s="763" t="b">
        <f>IFERROR(__xludf.DUMMYFUNCTION("""COMPUTED_VALUE"""),TRUE)</f>
        <v>1</v>
      </c>
      <c r="BH827" s="763" t="b">
        <f>IFERROR(__xludf.DUMMYFUNCTION("""COMPUTED_VALUE"""),FALSE)</f>
        <v>0</v>
      </c>
      <c r="BI827" s="763" t="b">
        <f>IFERROR(__xludf.DUMMYFUNCTION("""COMPUTED_VALUE"""),TRUE)</f>
        <v>1</v>
      </c>
      <c r="BJ827" s="763" t="b">
        <f>IFERROR(__xludf.DUMMYFUNCTION("""COMPUTED_VALUE"""),TRUE)</f>
        <v>1</v>
      </c>
    </row>
    <row r="828">
      <c r="A828" s="763">
        <f>IFERROR(__xludf.DUMMYFUNCTION("""COMPUTED_VALUE"""),67142.0)</f>
        <v>67142</v>
      </c>
      <c r="B828" s="763">
        <f>IFERROR(__xludf.DUMMYFUNCTION("""COMPUTED_VALUE"""),67142.0)</f>
        <v>67142</v>
      </c>
      <c r="C828" s="763" t="str">
        <f>IFERROR(__xludf.DUMMYFUNCTION("""COMPUTED_VALUE"""),"2026-01-06 20:30:00")</f>
        <v>2026-01-06 20:30:00</v>
      </c>
      <c r="D828" s="763" t="str">
        <f>IFERROR(__xludf.DUMMYFUNCTION("""COMPUTED_VALUE"""),"processing")</f>
        <v>processing</v>
      </c>
      <c r="E828" s="763" t="str">
        <f>IFERROR(__xludf.DUMMYFUNCTION("""COMPUTED_VALUE"""),"Tiziana")</f>
        <v>Tiziana</v>
      </c>
      <c r="F828" s="763" t="str">
        <f>IFERROR(__xludf.DUMMYFUNCTION("""COMPUTED_VALUE"""),"Marzi")</f>
        <v>Marzi</v>
      </c>
      <c r="G828" s="763" t="str">
        <f>IFERROR(__xludf.DUMMYFUNCTION("""COMPUTED_VALUE"""),"tizianamarz75@gmail.com")</f>
        <v>tizianamarz75@gmail.com</v>
      </c>
      <c r="H828" s="763">
        <f>IFERROR(__xludf.DUMMYFUNCTION("""COMPUTED_VALUE"""),3.772340007E9)</f>
        <v>3772340007</v>
      </c>
      <c r="I828" s="763" t="str">
        <f>IFERROR(__xludf.DUMMYFUNCTION("""COMPUTED_VALUE"""),"Vimercate")</f>
        <v>Vimercate</v>
      </c>
      <c r="J828" s="763" t="str">
        <f>IFERROR(__xludf.DUMMYFUNCTION("""COMPUTED_VALUE"""),"Via Cascina del Bruno n. 15")</f>
        <v>Via Cascina del Bruno n. 15</v>
      </c>
      <c r="K828" s="763">
        <f>IFERROR(__xludf.DUMMYFUNCTION("""COMPUTED_VALUE"""),20871.0)</f>
        <v>20871</v>
      </c>
      <c r="L828" s="763" t="str">
        <f>IFERROR(__xludf.DUMMYFUNCTION("""COMPUTED_VALUE"""),"Carte di pagamento")</f>
        <v>Carte di pagamento</v>
      </c>
      <c r="M828" s="763"/>
      <c r="N828" s="763" t="str">
        <f>IFERROR(__xludf.DUMMYFUNCTION("""COMPUTED_VALUE"""),"67142-1767731402")</f>
        <v>67142-1767731402</v>
      </c>
      <c r="O828" s="763">
        <f>IFERROR(__xludf.DUMMYFUNCTION("""COMPUTED_VALUE"""),0.0)</f>
        <v>0</v>
      </c>
      <c r="P828" s="767">
        <f>IFERROR(__xludf.DUMMYFUNCTION("""COMPUTED_VALUE"""),1.5416666666666667)</f>
        <v>1.541666667</v>
      </c>
      <c r="Q828" s="763" t="str">
        <f>IFERROR(__xludf.DUMMYFUNCTION("""COMPUTED_VALUE"""),"EUR")</f>
        <v>EUR</v>
      </c>
      <c r="R828" s="763">
        <f>IFERROR(__xludf.DUMMYFUNCTION("""COMPUTED_VALUE"""),1505.0)</f>
        <v>1505</v>
      </c>
      <c r="S828" s="763" t="str">
        <f>IFERROR(__xludf.DUMMYFUNCTION("""COMPUTED_VALUE"""),"Workshop Urban Alessio Cavaliere 2026 - Workshop Alessio Cavaliere 1 febbraio 2026")</f>
        <v>Workshop Urban Alessio Cavaliere 2026 - Workshop Alessio Cavaliere 1 febbraio 2026</v>
      </c>
      <c r="T828" s="763"/>
      <c r="U828" s="763"/>
      <c r="V828" s="763">
        <f>IFERROR(__xludf.DUMMYFUNCTION("""COMPUTED_VALUE"""),1.0)</f>
        <v>1</v>
      </c>
      <c r="W828" s="763">
        <f>IFERROR(__xludf.DUMMYFUNCTION("""COMPUTED_VALUE"""),37.0)</f>
        <v>37</v>
      </c>
      <c r="X828" s="763">
        <f>IFERROR(__xludf.DUMMYFUNCTION("""COMPUTED_VALUE"""),37.0)</f>
        <v>37</v>
      </c>
      <c r="Y828" s="763"/>
      <c r="Z828" s="768" t="str">
        <f>IFERROR(__xludf.DUMMYFUNCTION("""COMPUTED_VALUE"""),"https://studio-gem.it/wp-admin/post.php?post=67142&amp;action=edit")</f>
        <v>https://studio-gem.it/wp-admin/post.php?post=67142&amp;action=edit</v>
      </c>
      <c r="AA828" s="763"/>
      <c r="AB828" s="763"/>
      <c r="AC828" s="763"/>
      <c r="AD828" s="763"/>
      <c r="AE828" s="763"/>
      <c r="AF828" s="763"/>
      <c r="AG828" s="763"/>
      <c r="AH828" s="763"/>
      <c r="AI828" s="763"/>
      <c r="AJ828" s="763"/>
      <c r="AK828" s="763"/>
      <c r="AL828" s="763"/>
      <c r="AM828" s="763"/>
      <c r="AN828" s="763"/>
      <c r="AO828" s="763"/>
      <c r="AP828" s="763"/>
      <c r="AQ828" s="763"/>
      <c r="AR828" s="763"/>
      <c r="AS828" s="763"/>
      <c r="AT828" s="763"/>
      <c r="AU828" s="763"/>
      <c r="AV828" s="763"/>
      <c r="AW828" s="763"/>
      <c r="AX828" s="763"/>
      <c r="AY828" s="763"/>
      <c r="AZ828" s="763"/>
      <c r="BA828" s="763"/>
      <c r="BB828" s="763"/>
      <c r="BC828" s="763"/>
      <c r="BD828" s="763"/>
      <c r="BE828" s="763"/>
      <c r="BF828" s="763"/>
      <c r="BG828" s="763" t="b">
        <f>IFERROR(__xludf.DUMMYFUNCTION("""COMPUTED_VALUE"""),TRUE)</f>
        <v>1</v>
      </c>
      <c r="BH828" s="763" t="b">
        <f>IFERROR(__xludf.DUMMYFUNCTION("""COMPUTED_VALUE"""),FALSE)</f>
        <v>0</v>
      </c>
      <c r="BI828" s="763" t="b">
        <f>IFERROR(__xludf.DUMMYFUNCTION("""COMPUTED_VALUE"""),TRUE)</f>
        <v>1</v>
      </c>
      <c r="BJ828" s="763" t="b">
        <f>IFERROR(__xludf.DUMMYFUNCTION("""COMPUTED_VALUE"""),TRUE)</f>
        <v>1</v>
      </c>
    </row>
    <row r="829">
      <c r="A829" s="763">
        <f>IFERROR(__xludf.DUMMYFUNCTION("""COMPUTED_VALUE"""),67169.0)</f>
        <v>67169</v>
      </c>
      <c r="B829" s="763">
        <f>IFERROR(__xludf.DUMMYFUNCTION("""COMPUTED_VALUE"""),67169.0)</f>
        <v>67169</v>
      </c>
      <c r="C829" s="763" t="str">
        <f>IFERROR(__xludf.DUMMYFUNCTION("""COMPUTED_VALUE"""),"2026-01-07 14:27:35")</f>
        <v>2026-01-07 14:27:35</v>
      </c>
      <c r="D829" s="763" t="str">
        <f>IFERROR(__xludf.DUMMYFUNCTION("""COMPUTED_VALUE"""),"completed")</f>
        <v>completed</v>
      </c>
      <c r="E829" s="763" t="str">
        <f>IFERROR(__xludf.DUMMYFUNCTION("""COMPUTED_VALUE"""),"Alessio")</f>
        <v>Alessio</v>
      </c>
      <c r="F829" s="763" t="str">
        <f>IFERROR(__xludf.DUMMYFUNCTION("""COMPUTED_VALUE"""),"Campagna")</f>
        <v>Campagna</v>
      </c>
      <c r="G829" s="763" t="str">
        <f>IFERROR(__xludf.DUMMYFUNCTION("""COMPUTED_VALUE"""),"alessiotcgtrade@gmail.com")</f>
        <v>alessiotcgtrade@gmail.com</v>
      </c>
      <c r="H829" s="763">
        <f>IFERROR(__xludf.DUMMYFUNCTION("""COMPUTED_VALUE"""),3.517240804E9)</f>
        <v>3517240804</v>
      </c>
      <c r="I829" s="763" t="str">
        <f>IFERROR(__xludf.DUMMYFUNCTION("""COMPUTED_VALUE"""),"Milano")</f>
        <v>Milano</v>
      </c>
      <c r="J829" s="763" t="str">
        <f>IFERROR(__xludf.DUMMYFUNCTION("""COMPUTED_VALUE"""),"Corso di porta vigentina 38")</f>
        <v>Corso di porta vigentina 38</v>
      </c>
      <c r="K829" s="763">
        <f>IFERROR(__xludf.DUMMYFUNCTION("""COMPUTED_VALUE"""),20122.0)</f>
        <v>20122</v>
      </c>
      <c r="L829" s="763"/>
      <c r="M829" s="763"/>
      <c r="N829" s="763"/>
      <c r="O829" s="763">
        <f>IFERROR(__xludf.DUMMYFUNCTION("""COMPUTED_VALUE"""),0.0)</f>
        <v>0</v>
      </c>
      <c r="P829" s="767">
        <f>IFERROR(__xludf.DUMMYFUNCTION("""COMPUTED_VALUE"""),0.0)</f>
        <v>0</v>
      </c>
      <c r="Q829" s="763" t="str">
        <f>IFERROR(__xludf.DUMMYFUNCTION("""COMPUTED_VALUE"""),"EUR")</f>
        <v>EUR</v>
      </c>
      <c r="R829" s="763">
        <f>IFERROR(__xludf.DUMMYFUNCTION("""COMPUTED_VALUE"""),1506.0)</f>
        <v>1506</v>
      </c>
      <c r="S829" s="763" t="str">
        <f>IFERROR(__xludf.DUMMYFUNCTION("""COMPUTED_VALUE"""),"Domeniche in movimento - Gratuito per open fitness e open mattino 2 lezioni dalle 10 alle 11.50")</f>
        <v>Domeniche in movimento - Gratuito per open fitness e open mattino 2 lezioni dalle 10 alle 11.50</v>
      </c>
      <c r="T829" s="763"/>
      <c r="U829" s="763"/>
      <c r="V829" s="763">
        <f>IFERROR(__xludf.DUMMYFUNCTION("""COMPUTED_VALUE"""),1.0)</f>
        <v>1</v>
      </c>
      <c r="W829" s="763">
        <f>IFERROR(__xludf.DUMMYFUNCTION("""COMPUTED_VALUE"""),0.0)</f>
        <v>0</v>
      </c>
      <c r="X829" s="763">
        <f>IFERROR(__xludf.DUMMYFUNCTION("""COMPUTED_VALUE"""),0.0)</f>
        <v>0</v>
      </c>
      <c r="Y829" s="763"/>
      <c r="Z829" s="768" t="str">
        <f>IFERROR(__xludf.DUMMYFUNCTION("""COMPUTED_VALUE"""),"https://studio-gem.it/wp-admin/post.php?post=67169&amp;action=edit")</f>
        <v>https://studio-gem.it/wp-admin/post.php?post=67169&amp;action=edit</v>
      </c>
      <c r="AA829" s="763"/>
      <c r="AB829" s="763"/>
      <c r="AC829" s="763"/>
      <c r="AD829" s="763"/>
      <c r="AE829" s="763"/>
      <c r="AF829" s="763"/>
      <c r="AG829" s="763"/>
      <c r="AH829" s="763"/>
      <c r="AI829" s="763"/>
      <c r="AJ829" s="763"/>
      <c r="AK829" s="763"/>
      <c r="AL829" s="763"/>
      <c r="AM829" s="763"/>
      <c r="AN829" s="763"/>
      <c r="AO829" s="763"/>
      <c r="AP829" s="763"/>
      <c r="AQ829" s="763"/>
      <c r="AR829" s="763"/>
      <c r="AS829" s="763"/>
      <c r="AT829" s="763"/>
      <c r="AU829" s="763"/>
      <c r="AV829" s="763"/>
      <c r="AW829" s="763"/>
      <c r="AX829" s="763"/>
      <c r="AY829" s="763"/>
      <c r="AZ829" s="763"/>
      <c r="BA829" s="763"/>
      <c r="BB829" s="763"/>
      <c r="BC829" s="763"/>
      <c r="BD829" s="763"/>
      <c r="BE829" s="763"/>
      <c r="BF829" s="763"/>
      <c r="BG829" s="763" t="b">
        <f>IFERROR(__xludf.DUMMYFUNCTION("""COMPUTED_VALUE"""),TRUE)</f>
        <v>1</v>
      </c>
      <c r="BH829" s="763" t="b">
        <f>IFERROR(__xludf.DUMMYFUNCTION("""COMPUTED_VALUE"""),FALSE)</f>
        <v>0</v>
      </c>
      <c r="BI829" s="763" t="b">
        <f>IFERROR(__xludf.DUMMYFUNCTION("""COMPUTED_VALUE"""),TRUE)</f>
        <v>1</v>
      </c>
      <c r="BJ829" s="763" t="b">
        <f>IFERROR(__xludf.DUMMYFUNCTION("""COMPUTED_VALUE"""),TRUE)</f>
        <v>1</v>
      </c>
    </row>
    <row r="830">
      <c r="A830" s="763">
        <f>IFERROR(__xludf.DUMMYFUNCTION("""COMPUTED_VALUE"""),67175.0)</f>
        <v>67175</v>
      </c>
      <c r="B830" s="763">
        <f>IFERROR(__xludf.DUMMYFUNCTION("""COMPUTED_VALUE"""),67175.0)</f>
        <v>67175</v>
      </c>
      <c r="C830" s="763" t="str">
        <f>IFERROR(__xludf.DUMMYFUNCTION("""COMPUTED_VALUE"""),"2026-01-08 08:44:31")</f>
        <v>2026-01-08 08:44:31</v>
      </c>
      <c r="D830" s="763" t="str">
        <f>IFERROR(__xludf.DUMMYFUNCTION("""COMPUTED_VALUE"""),"completed")</f>
        <v>completed</v>
      </c>
      <c r="E830" s="763" t="str">
        <f>IFERROR(__xludf.DUMMYFUNCTION("""COMPUTED_VALUE"""),"Giuseppe")</f>
        <v>Giuseppe</v>
      </c>
      <c r="F830" s="763" t="str">
        <f>IFERROR(__xludf.DUMMYFUNCTION("""COMPUTED_VALUE"""),"Mastrofrancesco")</f>
        <v>Mastrofrancesco</v>
      </c>
      <c r="G830" s="763" t="str">
        <f>IFERROR(__xludf.DUMMYFUNCTION("""COMPUTED_VALUE"""),"pino.mastrofrancesco@alice.it")</f>
        <v>pino.mastrofrancesco@alice.it</v>
      </c>
      <c r="H830" s="763">
        <f>IFERROR(__xludf.DUMMYFUNCTION("""COMPUTED_VALUE"""),3.409817657E9)</f>
        <v>3409817657</v>
      </c>
      <c r="I830" s="763" t="str">
        <f>IFERROR(__xludf.DUMMYFUNCTION("""COMPUTED_VALUE"""),"Saluggia")</f>
        <v>Saluggia</v>
      </c>
      <c r="J830" s="763" t="str">
        <f>IFERROR(__xludf.DUMMYFUNCTION("""COMPUTED_VALUE"""),"Via Farini 14")</f>
        <v>Via Farini 14</v>
      </c>
      <c r="K830" s="763">
        <f>IFERROR(__xludf.DUMMYFUNCTION("""COMPUTED_VALUE"""),13040.0)</f>
        <v>13040</v>
      </c>
      <c r="L830" s="763" t="str">
        <f>IFERROR(__xludf.DUMMYFUNCTION("""COMPUTED_VALUE"""),"Carte di pagamento")</f>
        <v>Carte di pagamento</v>
      </c>
      <c r="M830" s="763" t="str">
        <f>IFERROR(__xludf.DUMMYFUNCTION("""COMPUTED_VALUE"""),"nura02ws")</f>
        <v>nura02ws</v>
      </c>
      <c r="N830" s="763" t="str">
        <f>IFERROR(__xludf.DUMMYFUNCTION("""COMPUTED_VALUE"""),"67175-1767861872")</f>
        <v>67175-1767861872</v>
      </c>
      <c r="O830" s="763">
        <f>IFERROR(__xludf.DUMMYFUNCTION("""COMPUTED_VALUE"""),0.0)</f>
        <v>0</v>
      </c>
      <c r="P830" s="767">
        <f>IFERROR(__xludf.DUMMYFUNCTION("""COMPUTED_VALUE"""),1.7916666666666667)</f>
        <v>1.791666667</v>
      </c>
      <c r="Q830" s="763" t="str">
        <f>IFERROR(__xludf.DUMMYFUNCTION("""COMPUTED_VALUE"""),"EUR")</f>
        <v>EUR</v>
      </c>
      <c r="R830" s="763">
        <f>IFERROR(__xludf.DUMMYFUNCTION("""COMPUTED_VALUE"""),1507.0)</f>
        <v>1507</v>
      </c>
      <c r="S830" s="763" t="str">
        <f>IFERROR(__xludf.DUMMYFUNCTION("""COMPUTED_VALUE"""),"Workshop Hip Hop Emanuel Lo 2026 - Workshop Emanuel Lo 22 febbraio 2026")</f>
        <v>Workshop Hip Hop Emanuel Lo 2026 - Workshop Emanuel Lo 22 febbraio 2026</v>
      </c>
      <c r="T830" s="763"/>
      <c r="U830" s="763"/>
      <c r="V830" s="763">
        <f>IFERROR(__xludf.DUMMYFUNCTION("""COMPUTED_VALUE"""),1.0)</f>
        <v>1</v>
      </c>
      <c r="W830" s="763">
        <f>IFERROR(__xludf.DUMMYFUNCTION("""COMPUTED_VALUE"""),43.0)</f>
        <v>43</v>
      </c>
      <c r="X830" s="763">
        <f>IFERROR(__xludf.DUMMYFUNCTION("""COMPUTED_VALUE"""),43.0)</f>
        <v>43</v>
      </c>
      <c r="Y830" s="763"/>
      <c r="Z830" s="768" t="str">
        <f>IFERROR(__xludf.DUMMYFUNCTION("""COMPUTED_VALUE"""),"https://studio-gem.it/wp-admin/post.php?post=67175&amp;action=edit")</f>
        <v>https://studio-gem.it/wp-admin/post.php?post=67175&amp;action=edit</v>
      </c>
      <c r="AA830" s="763"/>
      <c r="AB830" s="763"/>
      <c r="AC830" s="763"/>
      <c r="AD830" s="763"/>
      <c r="AE830" s="763"/>
      <c r="AF830" s="763"/>
      <c r="AG830" s="763"/>
      <c r="AH830" s="763"/>
      <c r="AI830" s="763"/>
      <c r="AJ830" s="763"/>
      <c r="AK830" s="763"/>
      <c r="AL830" s="763"/>
      <c r="AM830" s="763"/>
      <c r="AN830" s="763"/>
      <c r="AO830" s="763"/>
      <c r="AP830" s="763"/>
      <c r="AQ830" s="763"/>
      <c r="AR830" s="763"/>
      <c r="AS830" s="763"/>
      <c r="AT830" s="763"/>
      <c r="AU830" s="763"/>
      <c r="AV830" s="763"/>
      <c r="AW830" s="763"/>
      <c r="AX830" s="763"/>
      <c r="AY830" s="763"/>
      <c r="AZ830" s="763"/>
      <c r="BA830" s="763"/>
      <c r="BB830" s="763"/>
      <c r="BC830" s="763"/>
      <c r="BD830" s="763"/>
      <c r="BE830" s="763"/>
      <c r="BF830" s="763"/>
      <c r="BG830" s="763" t="b">
        <f>IFERROR(__xludf.DUMMYFUNCTION("""COMPUTED_VALUE"""),TRUE)</f>
        <v>1</v>
      </c>
      <c r="BH830" s="763" t="b">
        <f>IFERROR(__xludf.DUMMYFUNCTION("""COMPUTED_VALUE"""),FALSE)</f>
        <v>0</v>
      </c>
      <c r="BI830" s="763" t="b">
        <f>IFERROR(__xludf.DUMMYFUNCTION("""COMPUTED_VALUE"""),TRUE)</f>
        <v>1</v>
      </c>
      <c r="BJ830" s="763" t="b">
        <f>IFERROR(__xludf.DUMMYFUNCTION("""COMPUTED_VALUE"""),TRUE)</f>
        <v>1</v>
      </c>
    </row>
    <row r="831">
      <c r="A831" s="763">
        <f>IFERROR(__xludf.DUMMYFUNCTION("""COMPUTED_VALUE"""),67211.0)</f>
        <v>67211</v>
      </c>
      <c r="B831" s="763">
        <f>IFERROR(__xludf.DUMMYFUNCTION("""COMPUTED_VALUE"""),67211.0)</f>
        <v>67211</v>
      </c>
      <c r="C831" s="763" t="str">
        <f>IFERROR(__xludf.DUMMYFUNCTION("""COMPUTED_VALUE"""),"2026-01-08 16:24:08")</f>
        <v>2026-01-08 16:24:08</v>
      </c>
      <c r="D831" s="763" t="str">
        <f>IFERROR(__xludf.DUMMYFUNCTION("""COMPUTED_VALUE"""),"completed")</f>
        <v>completed</v>
      </c>
      <c r="E831" s="763" t="str">
        <f>IFERROR(__xludf.DUMMYFUNCTION("""COMPUTED_VALUE"""),"ASD")</f>
        <v>ASD</v>
      </c>
      <c r="F831" s="763" t="str">
        <f>IFERROR(__xludf.DUMMYFUNCTION("""COMPUTED_VALUE"""),"RnV")</f>
        <v>RnV</v>
      </c>
      <c r="G831" s="763" t="str">
        <f>IFERROR(__xludf.DUMMYFUNCTION("""COMPUTED_VALUE"""),"rnv.asd@gmail.com")</f>
        <v>rnv.asd@gmail.com</v>
      </c>
      <c r="H831" s="763">
        <f>IFERROR(__xludf.DUMMYFUNCTION("""COMPUTED_VALUE"""),3.345742322E9)</f>
        <v>3345742322</v>
      </c>
      <c r="I831" s="763" t="str">
        <f>IFERROR(__xludf.DUMMYFUNCTION("""COMPUTED_VALUE"""),"Urago d'Oglio")</f>
        <v>Urago d'Oglio</v>
      </c>
      <c r="J831" s="763" t="str">
        <f>IFERROR(__xludf.DUMMYFUNCTION("""COMPUTED_VALUE"""),"Via Dante 10")</f>
        <v>Via Dante 10</v>
      </c>
      <c r="K831" s="763">
        <f>IFERROR(__xludf.DUMMYFUNCTION("""COMPUTED_VALUE"""),25030.0)</f>
        <v>25030</v>
      </c>
      <c r="L831" s="763" t="str">
        <f>IFERROR(__xludf.DUMMYFUNCTION("""COMPUTED_VALUE"""),"Carte di pagamento")</f>
        <v>Carte di pagamento</v>
      </c>
      <c r="M831" s="763" t="str">
        <f>IFERROR(__xludf.DUMMYFUNCTION("""COMPUTED_VALUE"""),"alexandra02ws")</f>
        <v>alexandra02ws</v>
      </c>
      <c r="N831" s="763" t="str">
        <f>IFERROR(__xludf.DUMMYFUNCTION("""COMPUTED_VALUE"""),"67211-1767889450")</f>
        <v>67211-1767889450</v>
      </c>
      <c r="O831" s="763">
        <f>IFERROR(__xludf.DUMMYFUNCTION("""COMPUTED_VALUE"""),0.0)</f>
        <v>0</v>
      </c>
      <c r="P831" s="767">
        <f>IFERROR(__xludf.DUMMYFUNCTION("""COMPUTED_VALUE"""),1.7916666666666667)</f>
        <v>1.791666667</v>
      </c>
      <c r="Q831" s="763" t="str">
        <f>IFERROR(__xludf.DUMMYFUNCTION("""COMPUTED_VALUE"""),"EUR")</f>
        <v>EUR</v>
      </c>
      <c r="R831" s="763">
        <f>IFERROR(__xludf.DUMMYFUNCTION("""COMPUTED_VALUE"""),1509.0)</f>
        <v>1509</v>
      </c>
      <c r="S831" s="763" t="str">
        <f>IFERROR(__xludf.DUMMYFUNCTION("""COMPUTED_VALUE"""),"Workshop Hip Hop Emanuel Lo 2026 - Workshop Emanuel Lo 22 febbraio 2026")</f>
        <v>Workshop Hip Hop Emanuel Lo 2026 - Workshop Emanuel Lo 22 febbraio 2026</v>
      </c>
      <c r="T831" s="763"/>
      <c r="U831" s="763"/>
      <c r="V831" s="763">
        <f>IFERROR(__xludf.DUMMYFUNCTION("""COMPUTED_VALUE"""),1.0)</f>
        <v>1</v>
      </c>
      <c r="W831" s="763">
        <f>IFERROR(__xludf.DUMMYFUNCTION("""COMPUTED_VALUE"""),43.0)</f>
        <v>43</v>
      </c>
      <c r="X831" s="763">
        <f>IFERROR(__xludf.DUMMYFUNCTION("""COMPUTED_VALUE"""),43.0)</f>
        <v>43</v>
      </c>
      <c r="Y831" s="763"/>
      <c r="Z831" s="768" t="str">
        <f>IFERROR(__xludf.DUMMYFUNCTION("""COMPUTED_VALUE"""),"https://studio-gem.it/wp-admin/post.php?post=67211&amp;action=edit")</f>
        <v>https://studio-gem.it/wp-admin/post.php?post=67211&amp;action=edit</v>
      </c>
      <c r="AA831" s="763"/>
      <c r="AB831" s="763"/>
      <c r="AC831" s="763"/>
      <c r="AD831" s="763"/>
      <c r="AE831" s="763"/>
      <c r="AF831" s="763"/>
      <c r="AG831" s="763"/>
      <c r="AH831" s="763"/>
      <c r="AI831" s="763"/>
      <c r="AJ831" s="763"/>
      <c r="AK831" s="763"/>
      <c r="AL831" s="763"/>
      <c r="AM831" s="763"/>
      <c r="AN831" s="763"/>
      <c r="AO831" s="763"/>
      <c r="AP831" s="763"/>
      <c r="AQ831" s="763"/>
      <c r="AR831" s="763"/>
      <c r="AS831" s="763"/>
      <c r="AT831" s="763"/>
      <c r="AU831" s="763"/>
      <c r="AV831" s="763"/>
      <c r="AW831" s="763"/>
      <c r="AX831" s="763"/>
      <c r="AY831" s="763"/>
      <c r="AZ831" s="763"/>
      <c r="BA831" s="763"/>
      <c r="BB831" s="763"/>
      <c r="BC831" s="763"/>
      <c r="BD831" s="763"/>
      <c r="BE831" s="763"/>
      <c r="BF831" s="763"/>
      <c r="BG831" s="763" t="b">
        <f>IFERROR(__xludf.DUMMYFUNCTION("""COMPUTED_VALUE"""),TRUE)</f>
        <v>1</v>
      </c>
      <c r="BH831" s="763" t="b">
        <f>IFERROR(__xludf.DUMMYFUNCTION("""COMPUTED_VALUE"""),FALSE)</f>
        <v>0</v>
      </c>
      <c r="BI831" s="763" t="b">
        <f>IFERROR(__xludf.DUMMYFUNCTION("""COMPUTED_VALUE"""),TRUE)</f>
        <v>1</v>
      </c>
      <c r="BJ831" s="763" t="b">
        <f>IFERROR(__xludf.DUMMYFUNCTION("""COMPUTED_VALUE"""),TRUE)</f>
        <v>1</v>
      </c>
    </row>
    <row r="832">
      <c r="A832" s="763">
        <f>IFERROR(__xludf.DUMMYFUNCTION("""COMPUTED_VALUE"""),67213.0)</f>
        <v>67213</v>
      </c>
      <c r="B832" s="763">
        <f>IFERROR(__xludf.DUMMYFUNCTION("""COMPUTED_VALUE"""),67213.0)</f>
        <v>67213</v>
      </c>
      <c r="C832" s="763" t="str">
        <f>IFERROR(__xludf.DUMMYFUNCTION("""COMPUTED_VALUE"""),"2026-01-08 16:27:23")</f>
        <v>2026-01-08 16:27:23</v>
      </c>
      <c r="D832" s="763" t="str">
        <f>IFERROR(__xludf.DUMMYFUNCTION("""COMPUTED_VALUE"""),"completed")</f>
        <v>completed</v>
      </c>
      <c r="E832" s="763" t="str">
        <f>IFERROR(__xludf.DUMMYFUNCTION("""COMPUTED_VALUE"""),"ASD")</f>
        <v>ASD</v>
      </c>
      <c r="F832" s="763" t="str">
        <f>IFERROR(__xludf.DUMMYFUNCTION("""COMPUTED_VALUE"""),"RnV")</f>
        <v>RnV</v>
      </c>
      <c r="G832" s="763" t="str">
        <f>IFERROR(__xludf.DUMMYFUNCTION("""COMPUTED_VALUE"""),"rnv.asd@gmail.com")</f>
        <v>rnv.asd@gmail.com</v>
      </c>
      <c r="H832" s="763">
        <f>IFERROR(__xludf.DUMMYFUNCTION("""COMPUTED_VALUE"""),3.345742322E9)</f>
        <v>3345742322</v>
      </c>
      <c r="I832" s="763" t="str">
        <f>IFERROR(__xludf.DUMMYFUNCTION("""COMPUTED_VALUE"""),"Urago d'Oglio")</f>
        <v>Urago d'Oglio</v>
      </c>
      <c r="J832" s="763" t="str">
        <f>IFERROR(__xludf.DUMMYFUNCTION("""COMPUTED_VALUE"""),"Via Dante 10")</f>
        <v>Via Dante 10</v>
      </c>
      <c r="K832" s="763">
        <f>IFERROR(__xludf.DUMMYFUNCTION("""COMPUTED_VALUE"""),25030.0)</f>
        <v>25030</v>
      </c>
      <c r="L832" s="763" t="str">
        <f>IFERROR(__xludf.DUMMYFUNCTION("""COMPUTED_VALUE"""),"Carte di pagamento")</f>
        <v>Carte di pagamento</v>
      </c>
      <c r="M832" s="763" t="str">
        <f>IFERROR(__xludf.DUMMYFUNCTION("""COMPUTED_VALUE"""),"alexandra02ws")</f>
        <v>alexandra02ws</v>
      </c>
      <c r="N832" s="763" t="str">
        <f>IFERROR(__xludf.DUMMYFUNCTION("""COMPUTED_VALUE"""),"67213-1767889644")</f>
        <v>67213-1767889644</v>
      </c>
      <c r="O832" s="763">
        <f>IFERROR(__xludf.DUMMYFUNCTION("""COMPUTED_VALUE"""),0.0)</f>
        <v>0</v>
      </c>
      <c r="P832" s="767">
        <f>IFERROR(__xludf.DUMMYFUNCTION("""COMPUTED_VALUE"""),1.7916666666666667)</f>
        <v>1.791666667</v>
      </c>
      <c r="Q832" s="763" t="str">
        <f>IFERROR(__xludf.DUMMYFUNCTION("""COMPUTED_VALUE"""),"EUR")</f>
        <v>EUR</v>
      </c>
      <c r="R832" s="763">
        <f>IFERROR(__xludf.DUMMYFUNCTION("""COMPUTED_VALUE"""),1511.0)</f>
        <v>1511</v>
      </c>
      <c r="S832" s="763" t="str">
        <f>IFERROR(__xludf.DUMMYFUNCTION("""COMPUTED_VALUE"""),"Workshop Hip Hop Emanuel Lo 2026 - Workshop Emanuel Lo 22 febbraio 2026")</f>
        <v>Workshop Hip Hop Emanuel Lo 2026 - Workshop Emanuel Lo 22 febbraio 2026</v>
      </c>
      <c r="T832" s="763"/>
      <c r="U832" s="763"/>
      <c r="V832" s="763">
        <f>IFERROR(__xludf.DUMMYFUNCTION("""COMPUTED_VALUE"""),1.0)</f>
        <v>1</v>
      </c>
      <c r="W832" s="763">
        <f>IFERROR(__xludf.DUMMYFUNCTION("""COMPUTED_VALUE"""),43.0)</f>
        <v>43</v>
      </c>
      <c r="X832" s="763">
        <f>IFERROR(__xludf.DUMMYFUNCTION("""COMPUTED_VALUE"""),43.0)</f>
        <v>43</v>
      </c>
      <c r="Y832" s="763"/>
      <c r="Z832" s="768" t="str">
        <f>IFERROR(__xludf.DUMMYFUNCTION("""COMPUTED_VALUE"""),"https://studio-gem.it/wp-admin/post.php?post=67213&amp;action=edit")</f>
        <v>https://studio-gem.it/wp-admin/post.php?post=67213&amp;action=edit</v>
      </c>
      <c r="AA832" s="763"/>
      <c r="AB832" s="763"/>
      <c r="AC832" s="763"/>
      <c r="AD832" s="763"/>
      <c r="AE832" s="763"/>
      <c r="AF832" s="763"/>
      <c r="AG832" s="763"/>
      <c r="AH832" s="763"/>
      <c r="AI832" s="763"/>
      <c r="AJ832" s="763"/>
      <c r="AK832" s="763"/>
      <c r="AL832" s="763"/>
      <c r="AM832" s="763"/>
      <c r="AN832" s="763"/>
      <c r="AO832" s="763"/>
      <c r="AP832" s="763"/>
      <c r="AQ832" s="763"/>
      <c r="AR832" s="763"/>
      <c r="AS832" s="763"/>
      <c r="AT832" s="763"/>
      <c r="AU832" s="763"/>
      <c r="AV832" s="763"/>
      <c r="AW832" s="763"/>
      <c r="AX832" s="763"/>
      <c r="AY832" s="763"/>
      <c r="AZ832" s="763"/>
      <c r="BA832" s="763"/>
      <c r="BB832" s="763"/>
      <c r="BC832" s="763"/>
      <c r="BD832" s="763"/>
      <c r="BE832" s="763"/>
      <c r="BF832" s="763"/>
      <c r="BG832" s="763" t="b">
        <f>IFERROR(__xludf.DUMMYFUNCTION("""COMPUTED_VALUE"""),TRUE)</f>
        <v>1</v>
      </c>
      <c r="BH832" s="763" t="b">
        <f>IFERROR(__xludf.DUMMYFUNCTION("""COMPUTED_VALUE"""),FALSE)</f>
        <v>0</v>
      </c>
      <c r="BI832" s="763" t="b">
        <f>IFERROR(__xludf.DUMMYFUNCTION("""COMPUTED_VALUE"""),TRUE)</f>
        <v>1</v>
      </c>
      <c r="BJ832" s="763" t="b">
        <f>IFERROR(__xludf.DUMMYFUNCTION("""COMPUTED_VALUE"""),TRUE)</f>
        <v>1</v>
      </c>
    </row>
    <row r="833">
      <c r="A833" s="763">
        <f>IFERROR(__xludf.DUMMYFUNCTION("""COMPUTED_VALUE"""),67215.0)</f>
        <v>67215</v>
      </c>
      <c r="B833" s="763">
        <f>IFERROR(__xludf.DUMMYFUNCTION("""COMPUTED_VALUE"""),67215.0)</f>
        <v>67215</v>
      </c>
      <c r="C833" s="763" t="str">
        <f>IFERROR(__xludf.DUMMYFUNCTION("""COMPUTED_VALUE"""),"2026-01-08 16:30:16")</f>
        <v>2026-01-08 16:30:16</v>
      </c>
      <c r="D833" s="763" t="str">
        <f>IFERROR(__xludf.DUMMYFUNCTION("""COMPUTED_VALUE"""),"completed")</f>
        <v>completed</v>
      </c>
      <c r="E833" s="763" t="str">
        <f>IFERROR(__xludf.DUMMYFUNCTION("""COMPUTED_VALUE"""),"ASD")</f>
        <v>ASD</v>
      </c>
      <c r="F833" s="763" t="str">
        <f>IFERROR(__xludf.DUMMYFUNCTION("""COMPUTED_VALUE"""),"RnV")</f>
        <v>RnV</v>
      </c>
      <c r="G833" s="763" t="str">
        <f>IFERROR(__xludf.DUMMYFUNCTION("""COMPUTED_VALUE"""),"rnv.asd@gmail.com")</f>
        <v>rnv.asd@gmail.com</v>
      </c>
      <c r="H833" s="763">
        <f>IFERROR(__xludf.DUMMYFUNCTION("""COMPUTED_VALUE"""),3.345742322E9)</f>
        <v>3345742322</v>
      </c>
      <c r="I833" s="763" t="str">
        <f>IFERROR(__xludf.DUMMYFUNCTION("""COMPUTED_VALUE"""),"Urago d'Oglio")</f>
        <v>Urago d'Oglio</v>
      </c>
      <c r="J833" s="763" t="str">
        <f>IFERROR(__xludf.DUMMYFUNCTION("""COMPUTED_VALUE"""),"Via Dante 10")</f>
        <v>Via Dante 10</v>
      </c>
      <c r="K833" s="763">
        <f>IFERROR(__xludf.DUMMYFUNCTION("""COMPUTED_VALUE"""),25030.0)</f>
        <v>25030</v>
      </c>
      <c r="L833" s="763" t="str">
        <f>IFERROR(__xludf.DUMMYFUNCTION("""COMPUTED_VALUE"""),"Carte di pagamento")</f>
        <v>Carte di pagamento</v>
      </c>
      <c r="M833" s="763" t="str">
        <f>IFERROR(__xludf.DUMMYFUNCTION("""COMPUTED_VALUE"""),"alexandra02ws")</f>
        <v>alexandra02ws</v>
      </c>
      <c r="N833" s="763" t="str">
        <f>IFERROR(__xludf.DUMMYFUNCTION("""COMPUTED_VALUE"""),"67215-1767889818")</f>
        <v>67215-1767889818</v>
      </c>
      <c r="O833" s="763">
        <f>IFERROR(__xludf.DUMMYFUNCTION("""COMPUTED_VALUE"""),0.0)</f>
        <v>0</v>
      </c>
      <c r="P833" s="767">
        <f>IFERROR(__xludf.DUMMYFUNCTION("""COMPUTED_VALUE"""),1.7916666666666667)</f>
        <v>1.791666667</v>
      </c>
      <c r="Q833" s="763" t="str">
        <f>IFERROR(__xludf.DUMMYFUNCTION("""COMPUTED_VALUE"""),"EUR")</f>
        <v>EUR</v>
      </c>
      <c r="R833" s="763">
        <f>IFERROR(__xludf.DUMMYFUNCTION("""COMPUTED_VALUE"""),1513.0)</f>
        <v>1513</v>
      </c>
      <c r="S833" s="763" t="str">
        <f>IFERROR(__xludf.DUMMYFUNCTION("""COMPUTED_VALUE"""),"Workshop Hip Hop Emanuel Lo 2026 - Workshop Emanuel Lo 22 febbraio 2026")</f>
        <v>Workshop Hip Hop Emanuel Lo 2026 - Workshop Emanuel Lo 22 febbraio 2026</v>
      </c>
      <c r="T833" s="763"/>
      <c r="U833" s="763"/>
      <c r="V833" s="763">
        <f>IFERROR(__xludf.DUMMYFUNCTION("""COMPUTED_VALUE"""),1.0)</f>
        <v>1</v>
      </c>
      <c r="W833" s="763">
        <f>IFERROR(__xludf.DUMMYFUNCTION("""COMPUTED_VALUE"""),43.0)</f>
        <v>43</v>
      </c>
      <c r="X833" s="763">
        <f>IFERROR(__xludf.DUMMYFUNCTION("""COMPUTED_VALUE"""),43.0)</f>
        <v>43</v>
      </c>
      <c r="Y833" s="763"/>
      <c r="Z833" s="768" t="str">
        <f>IFERROR(__xludf.DUMMYFUNCTION("""COMPUTED_VALUE"""),"https://studio-gem.it/wp-admin/post.php?post=67215&amp;action=edit")</f>
        <v>https://studio-gem.it/wp-admin/post.php?post=67215&amp;action=edit</v>
      </c>
      <c r="AA833" s="763"/>
      <c r="AB833" s="763"/>
      <c r="AC833" s="763"/>
      <c r="AD833" s="763"/>
      <c r="AE833" s="763"/>
      <c r="AF833" s="763"/>
      <c r="AG833" s="763"/>
      <c r="AH833" s="763"/>
      <c r="AI833" s="763"/>
      <c r="AJ833" s="763"/>
      <c r="AK833" s="763"/>
      <c r="AL833" s="763"/>
      <c r="AM833" s="763"/>
      <c r="AN833" s="763"/>
      <c r="AO833" s="763"/>
      <c r="AP833" s="763"/>
      <c r="AQ833" s="763"/>
      <c r="AR833" s="763"/>
      <c r="AS833" s="763"/>
      <c r="AT833" s="763"/>
      <c r="AU833" s="763"/>
      <c r="AV833" s="763"/>
      <c r="AW833" s="763"/>
      <c r="AX833" s="763"/>
      <c r="AY833" s="763"/>
      <c r="AZ833" s="763"/>
      <c r="BA833" s="763"/>
      <c r="BB833" s="763"/>
      <c r="BC833" s="763"/>
      <c r="BD833" s="763"/>
      <c r="BE833" s="763"/>
      <c r="BF833" s="763"/>
      <c r="BG833" s="763" t="b">
        <f>IFERROR(__xludf.DUMMYFUNCTION("""COMPUTED_VALUE"""),TRUE)</f>
        <v>1</v>
      </c>
      <c r="BH833" s="763" t="b">
        <f>IFERROR(__xludf.DUMMYFUNCTION("""COMPUTED_VALUE"""),FALSE)</f>
        <v>0</v>
      </c>
      <c r="BI833" s="763" t="b">
        <f>IFERROR(__xludf.DUMMYFUNCTION("""COMPUTED_VALUE"""),TRUE)</f>
        <v>1</v>
      </c>
      <c r="BJ833" s="763" t="b">
        <f>IFERROR(__xludf.DUMMYFUNCTION("""COMPUTED_VALUE"""),TRUE)</f>
        <v>1</v>
      </c>
    </row>
    <row r="834">
      <c r="A834" s="763">
        <f>IFERROR(__xludf.DUMMYFUNCTION("""COMPUTED_VALUE"""),67217.0)</f>
        <v>67217</v>
      </c>
      <c r="B834" s="763">
        <f>IFERROR(__xludf.DUMMYFUNCTION("""COMPUTED_VALUE"""),67217.0)</f>
        <v>67217</v>
      </c>
      <c r="C834" s="763" t="str">
        <f>IFERROR(__xludf.DUMMYFUNCTION("""COMPUTED_VALUE"""),"2026-01-08 16:32:51")</f>
        <v>2026-01-08 16:32:51</v>
      </c>
      <c r="D834" s="763" t="str">
        <f>IFERROR(__xludf.DUMMYFUNCTION("""COMPUTED_VALUE"""),"completed")</f>
        <v>completed</v>
      </c>
      <c r="E834" s="763" t="str">
        <f>IFERROR(__xludf.DUMMYFUNCTION("""COMPUTED_VALUE"""),"ASD")</f>
        <v>ASD</v>
      </c>
      <c r="F834" s="763" t="str">
        <f>IFERROR(__xludf.DUMMYFUNCTION("""COMPUTED_VALUE"""),"RnV")</f>
        <v>RnV</v>
      </c>
      <c r="G834" s="763" t="str">
        <f>IFERROR(__xludf.DUMMYFUNCTION("""COMPUTED_VALUE"""),"rnv.asd@gmail.com")</f>
        <v>rnv.asd@gmail.com</v>
      </c>
      <c r="H834" s="763">
        <f>IFERROR(__xludf.DUMMYFUNCTION("""COMPUTED_VALUE"""),3.345742322E9)</f>
        <v>3345742322</v>
      </c>
      <c r="I834" s="763" t="str">
        <f>IFERROR(__xludf.DUMMYFUNCTION("""COMPUTED_VALUE"""),"Urago d'Oglio")</f>
        <v>Urago d'Oglio</v>
      </c>
      <c r="J834" s="763" t="str">
        <f>IFERROR(__xludf.DUMMYFUNCTION("""COMPUTED_VALUE"""),"Via Dante 10")</f>
        <v>Via Dante 10</v>
      </c>
      <c r="K834" s="763">
        <f>IFERROR(__xludf.DUMMYFUNCTION("""COMPUTED_VALUE"""),25030.0)</f>
        <v>25030</v>
      </c>
      <c r="L834" s="763" t="str">
        <f>IFERROR(__xludf.DUMMYFUNCTION("""COMPUTED_VALUE"""),"Carte di pagamento")</f>
        <v>Carte di pagamento</v>
      </c>
      <c r="M834" s="763" t="str">
        <f>IFERROR(__xludf.DUMMYFUNCTION("""COMPUTED_VALUE"""),"alexandra02ws")</f>
        <v>alexandra02ws</v>
      </c>
      <c r="N834" s="763" t="str">
        <f>IFERROR(__xludf.DUMMYFUNCTION("""COMPUTED_VALUE"""),"67217-1767889973")</f>
        <v>67217-1767889973</v>
      </c>
      <c r="O834" s="763">
        <f>IFERROR(__xludf.DUMMYFUNCTION("""COMPUTED_VALUE"""),0.0)</f>
        <v>0</v>
      </c>
      <c r="P834" s="767">
        <f>IFERROR(__xludf.DUMMYFUNCTION("""COMPUTED_VALUE"""),1.7916666666666667)</f>
        <v>1.791666667</v>
      </c>
      <c r="Q834" s="763" t="str">
        <f>IFERROR(__xludf.DUMMYFUNCTION("""COMPUTED_VALUE"""),"EUR")</f>
        <v>EUR</v>
      </c>
      <c r="R834" s="763">
        <f>IFERROR(__xludf.DUMMYFUNCTION("""COMPUTED_VALUE"""),1515.0)</f>
        <v>1515</v>
      </c>
      <c r="S834" s="763" t="str">
        <f>IFERROR(__xludf.DUMMYFUNCTION("""COMPUTED_VALUE"""),"Workshop Hip Hop Emanuel Lo 2026 - Workshop Emanuel Lo 22 febbraio 2026")</f>
        <v>Workshop Hip Hop Emanuel Lo 2026 - Workshop Emanuel Lo 22 febbraio 2026</v>
      </c>
      <c r="T834" s="763"/>
      <c r="U834" s="763"/>
      <c r="V834" s="763">
        <f>IFERROR(__xludf.DUMMYFUNCTION("""COMPUTED_VALUE"""),1.0)</f>
        <v>1</v>
      </c>
      <c r="W834" s="763">
        <f>IFERROR(__xludf.DUMMYFUNCTION("""COMPUTED_VALUE"""),43.0)</f>
        <v>43</v>
      </c>
      <c r="X834" s="763">
        <f>IFERROR(__xludf.DUMMYFUNCTION("""COMPUTED_VALUE"""),43.0)</f>
        <v>43</v>
      </c>
      <c r="Y834" s="763"/>
      <c r="Z834" s="768" t="str">
        <f>IFERROR(__xludf.DUMMYFUNCTION("""COMPUTED_VALUE"""),"https://studio-gem.it/wp-admin/post.php?post=67217&amp;action=edit")</f>
        <v>https://studio-gem.it/wp-admin/post.php?post=67217&amp;action=edit</v>
      </c>
      <c r="AA834" s="763"/>
      <c r="AB834" s="763"/>
      <c r="AC834" s="763"/>
      <c r="AD834" s="763"/>
      <c r="AE834" s="763"/>
      <c r="AF834" s="763"/>
      <c r="AG834" s="763"/>
      <c r="AH834" s="763"/>
      <c r="AI834" s="763"/>
      <c r="AJ834" s="763"/>
      <c r="AK834" s="763"/>
      <c r="AL834" s="763"/>
      <c r="AM834" s="763"/>
      <c r="AN834" s="763"/>
      <c r="AO834" s="763"/>
      <c r="AP834" s="763"/>
      <c r="AQ834" s="763"/>
      <c r="AR834" s="763"/>
      <c r="AS834" s="763"/>
      <c r="AT834" s="763"/>
      <c r="AU834" s="763"/>
      <c r="AV834" s="763"/>
      <c r="AW834" s="763"/>
      <c r="AX834" s="763"/>
      <c r="AY834" s="763"/>
      <c r="AZ834" s="763"/>
      <c r="BA834" s="763"/>
      <c r="BB834" s="763"/>
      <c r="BC834" s="763"/>
      <c r="BD834" s="763"/>
      <c r="BE834" s="763"/>
      <c r="BF834" s="763"/>
      <c r="BG834" s="763" t="b">
        <f>IFERROR(__xludf.DUMMYFUNCTION("""COMPUTED_VALUE"""),TRUE)</f>
        <v>1</v>
      </c>
      <c r="BH834" s="763" t="b">
        <f>IFERROR(__xludf.DUMMYFUNCTION("""COMPUTED_VALUE"""),FALSE)</f>
        <v>0</v>
      </c>
      <c r="BI834" s="763" t="b">
        <f>IFERROR(__xludf.DUMMYFUNCTION("""COMPUTED_VALUE"""),TRUE)</f>
        <v>1</v>
      </c>
      <c r="BJ834" s="763" t="b">
        <f>IFERROR(__xludf.DUMMYFUNCTION("""COMPUTED_VALUE"""),TRUE)</f>
        <v>1</v>
      </c>
    </row>
    <row r="835">
      <c r="A835" s="763">
        <f>IFERROR(__xludf.DUMMYFUNCTION("""COMPUTED_VALUE"""),67220.0)</f>
        <v>67220</v>
      </c>
      <c r="B835" s="763">
        <f>IFERROR(__xludf.DUMMYFUNCTION("""COMPUTED_VALUE"""),67220.0)</f>
        <v>67220</v>
      </c>
      <c r="C835" s="763" t="str">
        <f>IFERROR(__xludf.DUMMYFUNCTION("""COMPUTED_VALUE"""),"2026-01-08 18:38:56")</f>
        <v>2026-01-08 18:38:56</v>
      </c>
      <c r="D835" s="763" t="str">
        <f>IFERROR(__xludf.DUMMYFUNCTION("""COMPUTED_VALUE"""),"completed")</f>
        <v>completed</v>
      </c>
      <c r="E835" s="763" t="str">
        <f>IFERROR(__xludf.DUMMYFUNCTION("""COMPUTED_VALUE"""),"Emanuela")</f>
        <v>Emanuela</v>
      </c>
      <c r="F835" s="763" t="str">
        <f>IFERROR(__xludf.DUMMYFUNCTION("""COMPUTED_VALUE"""),"Ballanza")</f>
        <v>Ballanza</v>
      </c>
      <c r="G835" s="763" t="str">
        <f>IFERROR(__xludf.DUMMYFUNCTION("""COMPUTED_VALUE"""),"emanuela.ballanza@gmail.com")</f>
        <v>emanuela.ballanza@gmail.com</v>
      </c>
      <c r="H835" s="763">
        <f>IFERROR(__xludf.DUMMYFUNCTION("""COMPUTED_VALUE"""),3.46160145E9)</f>
        <v>3461601450</v>
      </c>
      <c r="I835" s="763" t="str">
        <f>IFERROR(__xludf.DUMMYFUNCTION("""COMPUTED_VALUE"""),"Saluggia")</f>
        <v>Saluggia</v>
      </c>
      <c r="J835" s="763" t="str">
        <f>IFERROR(__xludf.DUMMYFUNCTION("""COMPUTED_VALUE"""),"Via Generale G. B. Demaria 15")</f>
        <v>Via Generale G. B. Demaria 15</v>
      </c>
      <c r="K835" s="763">
        <f>IFERROR(__xludf.DUMMYFUNCTION("""COMPUTED_VALUE"""),13040.0)</f>
        <v>13040</v>
      </c>
      <c r="L835" s="763" t="str">
        <f>IFERROR(__xludf.DUMMYFUNCTION("""COMPUTED_VALUE"""),"Satispay")</f>
        <v>Satispay</v>
      </c>
      <c r="M835" s="763" t="str">
        <f>IFERROR(__xludf.DUMMYFUNCTION("""COMPUTED_VALUE"""),"nura02ws")</f>
        <v>nura02ws</v>
      </c>
      <c r="N835" s="763" t="str">
        <f>IFERROR(__xludf.DUMMYFUNCTION("""COMPUTED_VALUE"""),"019b9ee7-996b-7db3-81c3-a9ee5fa4cbd5")</f>
        <v>019b9ee7-996b-7db3-81c3-a9ee5fa4cbd5</v>
      </c>
      <c r="O835" s="763">
        <f>IFERROR(__xludf.DUMMYFUNCTION("""COMPUTED_VALUE"""),0.0)</f>
        <v>0</v>
      </c>
      <c r="P835" s="767">
        <f>IFERROR(__xludf.DUMMYFUNCTION("""COMPUTED_VALUE"""),1.7916666666666667)</f>
        <v>1.791666667</v>
      </c>
      <c r="Q835" s="763" t="str">
        <f>IFERROR(__xludf.DUMMYFUNCTION("""COMPUTED_VALUE"""),"EUR")</f>
        <v>EUR</v>
      </c>
      <c r="R835" s="763">
        <f>IFERROR(__xludf.DUMMYFUNCTION("""COMPUTED_VALUE"""),1517.0)</f>
        <v>1517</v>
      </c>
      <c r="S835" s="763" t="str">
        <f>IFERROR(__xludf.DUMMYFUNCTION("""COMPUTED_VALUE"""),"Workshop Hip Hop Emanuel Lo 2026 - Workshop Emanuel Lo 22 febbraio 2026")</f>
        <v>Workshop Hip Hop Emanuel Lo 2026 - Workshop Emanuel Lo 22 febbraio 2026</v>
      </c>
      <c r="T835" s="763"/>
      <c r="U835" s="763"/>
      <c r="V835" s="763">
        <f>IFERROR(__xludf.DUMMYFUNCTION("""COMPUTED_VALUE"""),1.0)</f>
        <v>1</v>
      </c>
      <c r="W835" s="763">
        <f>IFERROR(__xludf.DUMMYFUNCTION("""COMPUTED_VALUE"""),43.0)</f>
        <v>43</v>
      </c>
      <c r="X835" s="763">
        <f>IFERROR(__xludf.DUMMYFUNCTION("""COMPUTED_VALUE"""),43.0)</f>
        <v>43</v>
      </c>
      <c r="Y835" s="763"/>
      <c r="Z835" s="768" t="str">
        <f>IFERROR(__xludf.DUMMYFUNCTION("""COMPUTED_VALUE"""),"https://studio-gem.it/wp-admin/post.php?post=67220&amp;action=edit")</f>
        <v>https://studio-gem.it/wp-admin/post.php?post=67220&amp;action=edit</v>
      </c>
      <c r="AA835" s="763"/>
      <c r="AB835" s="763"/>
      <c r="AC835" s="763"/>
      <c r="AD835" s="763"/>
      <c r="AE835" s="763"/>
      <c r="AF835" s="763"/>
      <c r="AG835" s="763"/>
      <c r="AH835" s="763"/>
      <c r="AI835" s="763"/>
      <c r="AJ835" s="763"/>
      <c r="AK835" s="763"/>
      <c r="AL835" s="763"/>
      <c r="AM835" s="763"/>
      <c r="AN835" s="763"/>
      <c r="AO835" s="763"/>
      <c r="AP835" s="763"/>
      <c r="AQ835" s="763"/>
      <c r="AR835" s="763"/>
      <c r="AS835" s="763"/>
      <c r="AT835" s="763"/>
      <c r="AU835" s="763"/>
      <c r="AV835" s="763"/>
      <c r="AW835" s="763"/>
      <c r="AX835" s="763"/>
      <c r="AY835" s="763"/>
      <c r="AZ835" s="763"/>
      <c r="BA835" s="763"/>
      <c r="BB835" s="763"/>
      <c r="BC835" s="763"/>
      <c r="BD835" s="763"/>
      <c r="BE835" s="763"/>
      <c r="BF835" s="763"/>
      <c r="BG835" s="763" t="b">
        <f>IFERROR(__xludf.DUMMYFUNCTION("""COMPUTED_VALUE"""),TRUE)</f>
        <v>1</v>
      </c>
      <c r="BH835" s="763" t="b">
        <f>IFERROR(__xludf.DUMMYFUNCTION("""COMPUTED_VALUE"""),FALSE)</f>
        <v>0</v>
      </c>
      <c r="BI835" s="763" t="b">
        <f>IFERROR(__xludf.DUMMYFUNCTION("""COMPUTED_VALUE"""),TRUE)</f>
        <v>1</v>
      </c>
      <c r="BJ835" s="763" t="b">
        <f>IFERROR(__xludf.DUMMYFUNCTION("""COMPUTED_VALUE"""),TRUE)</f>
        <v>1</v>
      </c>
    </row>
    <row r="836">
      <c r="A836" s="763">
        <f>IFERROR(__xludf.DUMMYFUNCTION("""COMPUTED_VALUE"""),67224.0)</f>
        <v>67224</v>
      </c>
      <c r="B836" s="763">
        <f>IFERROR(__xludf.DUMMYFUNCTION("""COMPUTED_VALUE"""),67224.0)</f>
        <v>67224</v>
      </c>
      <c r="C836" s="763" t="str">
        <f>IFERROR(__xludf.DUMMYFUNCTION("""COMPUTED_VALUE"""),"2026-01-09 20:31:55")</f>
        <v>2026-01-09 20:31:55</v>
      </c>
      <c r="D836" s="763" t="str">
        <f>IFERROR(__xludf.DUMMYFUNCTION("""COMPUTED_VALUE"""),"completed")</f>
        <v>completed</v>
      </c>
      <c r="E836" s="763" t="str">
        <f>IFERROR(__xludf.DUMMYFUNCTION("""COMPUTED_VALUE"""),"ARIANNA")</f>
        <v>ARIANNA</v>
      </c>
      <c r="F836" s="763" t="str">
        <f>IFERROR(__xludf.DUMMYFUNCTION("""COMPUTED_VALUE"""),"COLIA")</f>
        <v>COLIA</v>
      </c>
      <c r="G836" s="763" t="str">
        <f>IFERROR(__xludf.DUMMYFUNCTION("""COMPUTED_VALUE"""),"alessandrasevesi@hotmail.com")</f>
        <v>alessandrasevesi@hotmail.com</v>
      </c>
      <c r="H836" s="763">
        <f>IFERROR(__xludf.DUMMYFUNCTION("""COMPUTED_VALUE"""),3.802965878E9)</f>
        <v>3802965878</v>
      </c>
      <c r="I836" s="763" t="str">
        <f>IFERROR(__xludf.DUMMYFUNCTION("""COMPUTED_VALUE"""),"Milano")</f>
        <v>Milano</v>
      </c>
      <c r="J836" s="763" t="str">
        <f>IFERROR(__xludf.DUMMYFUNCTION("""COMPUTED_VALUE"""),"Sofonisba Anguissola 54")</f>
        <v>Sofonisba Anguissola 54</v>
      </c>
      <c r="K836" s="763">
        <f>IFERROR(__xludf.DUMMYFUNCTION("""COMPUTED_VALUE"""),20146.0)</f>
        <v>20146</v>
      </c>
      <c r="L836" s="763" t="str">
        <f>IFERROR(__xludf.DUMMYFUNCTION("""COMPUTED_VALUE"""),"Satispay")</f>
        <v>Satispay</v>
      </c>
      <c r="M836" s="763" t="str">
        <f>IFERROR(__xludf.DUMMYFUNCTION("""COMPUTED_VALUE"""),"nura02ws")</f>
        <v>nura02ws</v>
      </c>
      <c r="N836" s="763" t="str">
        <f>IFERROR(__xludf.DUMMYFUNCTION("""COMPUTED_VALUE"""),"019ba489-31a2-719e-98cc-fdf1b56ea79c")</f>
        <v>019ba489-31a2-719e-98cc-fdf1b56ea79c</v>
      </c>
      <c r="O836" s="763">
        <f>IFERROR(__xludf.DUMMYFUNCTION("""COMPUTED_VALUE"""),0.0)</f>
        <v>0</v>
      </c>
      <c r="P836" s="767">
        <f>IFERROR(__xludf.DUMMYFUNCTION("""COMPUTED_VALUE"""),1.7916666666666667)</f>
        <v>1.791666667</v>
      </c>
      <c r="Q836" s="763" t="str">
        <f>IFERROR(__xludf.DUMMYFUNCTION("""COMPUTED_VALUE"""),"EUR")</f>
        <v>EUR</v>
      </c>
      <c r="R836" s="763">
        <f>IFERROR(__xludf.DUMMYFUNCTION("""COMPUTED_VALUE"""),1523.0)</f>
        <v>1523</v>
      </c>
      <c r="S836" s="763" t="str">
        <f>IFERROR(__xludf.DUMMYFUNCTION("""COMPUTED_VALUE"""),"Workshop Hip Hop Emanuel Lo 2026 - Workshop Emanuel Lo 22 febbraio 2026")</f>
        <v>Workshop Hip Hop Emanuel Lo 2026 - Workshop Emanuel Lo 22 febbraio 2026</v>
      </c>
      <c r="T836" s="763"/>
      <c r="U836" s="763"/>
      <c r="V836" s="763">
        <f>IFERROR(__xludf.DUMMYFUNCTION("""COMPUTED_VALUE"""),1.0)</f>
        <v>1</v>
      </c>
      <c r="W836" s="763">
        <f>IFERROR(__xludf.DUMMYFUNCTION("""COMPUTED_VALUE"""),43.0)</f>
        <v>43</v>
      </c>
      <c r="X836" s="763">
        <f>IFERROR(__xludf.DUMMYFUNCTION("""COMPUTED_VALUE"""),43.0)</f>
        <v>43</v>
      </c>
      <c r="Y836" s="763"/>
      <c r="Z836" s="768" t="str">
        <f>IFERROR(__xludf.DUMMYFUNCTION("""COMPUTED_VALUE"""),"https://studio-gem.it/wp-admin/post.php?post=67224&amp;action=edit")</f>
        <v>https://studio-gem.it/wp-admin/post.php?post=67224&amp;action=edit</v>
      </c>
      <c r="AA836" s="763"/>
      <c r="AB836" s="763"/>
      <c r="AC836" s="763"/>
      <c r="AD836" s="763"/>
      <c r="AE836" s="763"/>
      <c r="AF836" s="763"/>
      <c r="AG836" s="763"/>
      <c r="AH836" s="763"/>
      <c r="AI836" s="763"/>
      <c r="AJ836" s="763"/>
      <c r="AK836" s="763"/>
      <c r="AL836" s="763"/>
      <c r="AM836" s="763"/>
      <c r="AN836" s="763"/>
      <c r="AO836" s="763"/>
      <c r="AP836" s="763"/>
      <c r="AQ836" s="763"/>
      <c r="AR836" s="763"/>
      <c r="AS836" s="763"/>
      <c r="AT836" s="763"/>
      <c r="AU836" s="763"/>
      <c r="AV836" s="763"/>
      <c r="AW836" s="763"/>
      <c r="AX836" s="763"/>
      <c r="AY836" s="763"/>
      <c r="AZ836" s="763"/>
      <c r="BA836" s="763"/>
      <c r="BB836" s="763"/>
      <c r="BC836" s="763"/>
      <c r="BD836" s="763"/>
      <c r="BE836" s="763"/>
      <c r="BF836" s="763"/>
      <c r="BG836" s="763" t="b">
        <f>IFERROR(__xludf.DUMMYFUNCTION("""COMPUTED_VALUE"""),TRUE)</f>
        <v>1</v>
      </c>
      <c r="BH836" s="763" t="b">
        <f>IFERROR(__xludf.DUMMYFUNCTION("""COMPUTED_VALUE"""),FALSE)</f>
        <v>0</v>
      </c>
      <c r="BI836" s="763" t="b">
        <f>IFERROR(__xludf.DUMMYFUNCTION("""COMPUTED_VALUE"""),TRUE)</f>
        <v>1</v>
      </c>
      <c r="BJ836" s="763" t="b">
        <f>IFERROR(__xludf.DUMMYFUNCTION("""COMPUTED_VALUE"""),TRUE)</f>
        <v>1</v>
      </c>
    </row>
    <row r="837">
      <c r="A837" s="763">
        <f>IFERROR(__xludf.DUMMYFUNCTION("""COMPUTED_VALUE"""),67229.0)</f>
        <v>67229</v>
      </c>
      <c r="B837" s="763">
        <f>IFERROR(__xludf.DUMMYFUNCTION("""COMPUTED_VALUE"""),67229.0)</f>
        <v>67229</v>
      </c>
      <c r="C837" s="763" t="str">
        <f>IFERROR(__xludf.DUMMYFUNCTION("""COMPUTED_VALUE"""),"2026-01-11 09:09:29")</f>
        <v>2026-01-11 09:09:29</v>
      </c>
      <c r="D837" s="763" t="str">
        <f>IFERROR(__xludf.DUMMYFUNCTION("""COMPUTED_VALUE"""),"cancelled")</f>
        <v>cancelled</v>
      </c>
      <c r="E837" s="763" t="str">
        <f>IFERROR(__xludf.DUMMYFUNCTION("""COMPUTED_VALUE"""),"Simone")</f>
        <v>Simone</v>
      </c>
      <c r="F837" s="763" t="str">
        <f>IFERROR(__xludf.DUMMYFUNCTION("""COMPUTED_VALUE"""),"Dante")</f>
        <v>Dante</v>
      </c>
      <c r="G837" s="763" t="str">
        <f>IFERROR(__xludf.DUMMYFUNCTION("""COMPUTED_VALUE"""),"simonstar07@gmail.com")</f>
        <v>simonstar07@gmail.com</v>
      </c>
      <c r="H837" s="763">
        <f>IFERROR(__xludf.DUMMYFUNCTION("""COMPUTED_VALUE"""),3.519095927E9)</f>
        <v>3519095927</v>
      </c>
      <c r="I837" s="763" t="str">
        <f>IFERROR(__xludf.DUMMYFUNCTION("""COMPUTED_VALUE"""),"Limbiate")</f>
        <v>Limbiate</v>
      </c>
      <c r="J837" s="763" t="str">
        <f>IFERROR(__xludf.DUMMYFUNCTION("""COMPUTED_VALUE"""),"Via Bassano 3")</f>
        <v>Via Bassano 3</v>
      </c>
      <c r="K837" s="763">
        <f>IFERROR(__xludf.DUMMYFUNCTION("""COMPUTED_VALUE"""),20812.0)</f>
        <v>20812</v>
      </c>
      <c r="L837" s="763" t="str">
        <f>IFERROR(__xludf.DUMMYFUNCTION("""COMPUTED_VALUE"""),"Carte di pagamento")</f>
        <v>Carte di pagamento</v>
      </c>
      <c r="M837" s="763"/>
      <c r="N837" s="763"/>
      <c r="O837" s="763">
        <f>IFERROR(__xludf.DUMMYFUNCTION("""COMPUTED_VALUE"""),0.0)</f>
        <v>0</v>
      </c>
      <c r="P837" s="767">
        <f>IFERROR(__xludf.DUMMYFUNCTION("""COMPUTED_VALUE"""),1.875)</f>
        <v>1.875</v>
      </c>
      <c r="Q837" s="763" t="str">
        <f>IFERROR(__xludf.DUMMYFUNCTION("""COMPUTED_VALUE"""),"EUR")</f>
        <v>EUR</v>
      </c>
      <c r="R837" s="763">
        <f>IFERROR(__xludf.DUMMYFUNCTION("""COMPUTED_VALUE"""),1525.0)</f>
        <v>1525</v>
      </c>
      <c r="S837" s="763" t="str">
        <f>IFERROR(__xludf.DUMMYFUNCTION("""COMPUTED_VALUE"""),"Workshop Hip Hop Emanuel Lo 2026 - Workshop Emanuel Lo 22 febbraio 2026")</f>
        <v>Workshop Hip Hop Emanuel Lo 2026 - Workshop Emanuel Lo 22 febbraio 2026</v>
      </c>
      <c r="T837" s="763"/>
      <c r="U837" s="763"/>
      <c r="V837" s="763">
        <f>IFERROR(__xludf.DUMMYFUNCTION("""COMPUTED_VALUE"""),1.0)</f>
        <v>1</v>
      </c>
      <c r="W837" s="763">
        <f>IFERROR(__xludf.DUMMYFUNCTION("""COMPUTED_VALUE"""),45.0)</f>
        <v>45</v>
      </c>
      <c r="X837" s="763">
        <f>IFERROR(__xludf.DUMMYFUNCTION("""COMPUTED_VALUE"""),45.0)</f>
        <v>45</v>
      </c>
      <c r="Y837" s="763"/>
      <c r="Z837" s="768" t="str">
        <f>IFERROR(__xludf.DUMMYFUNCTION("""COMPUTED_VALUE"""),"https://studio-gem.it/wp-admin/post.php?post=67229&amp;action=edit")</f>
        <v>https://studio-gem.it/wp-admin/post.php?post=67229&amp;action=edit</v>
      </c>
      <c r="AA837" s="763"/>
      <c r="AB837" s="763"/>
      <c r="AC837" s="763"/>
      <c r="AD837" s="763"/>
      <c r="AE837" s="763"/>
      <c r="AF837" s="763"/>
      <c r="AG837" s="763"/>
      <c r="AH837" s="763"/>
      <c r="AI837" s="763"/>
      <c r="AJ837" s="763"/>
      <c r="AK837" s="763"/>
      <c r="AL837" s="763"/>
      <c r="AM837" s="763"/>
      <c r="AN837" s="763"/>
      <c r="AO837" s="763"/>
      <c r="AP837" s="763"/>
      <c r="AQ837" s="763"/>
      <c r="AR837" s="763"/>
      <c r="AS837" s="763"/>
      <c r="AT837" s="763"/>
      <c r="AU837" s="763"/>
      <c r="AV837" s="763"/>
      <c r="AW837" s="763"/>
      <c r="AX837" s="763"/>
      <c r="AY837" s="763"/>
      <c r="AZ837" s="763"/>
      <c r="BA837" s="763"/>
      <c r="BB837" s="763"/>
      <c r="BC837" s="763"/>
      <c r="BD837" s="763"/>
      <c r="BE837" s="763"/>
      <c r="BF837" s="763"/>
      <c r="BG837" s="763" t="b">
        <f>IFERROR(__xludf.DUMMYFUNCTION("""COMPUTED_VALUE"""),FALSE)</f>
        <v>0</v>
      </c>
      <c r="BH837" s="763" t="b">
        <f>IFERROR(__xludf.DUMMYFUNCTION("""COMPUTED_VALUE"""),FALSE)</f>
        <v>0</v>
      </c>
      <c r="BI837" s="763" t="b">
        <f>IFERROR(__xludf.DUMMYFUNCTION("""COMPUTED_VALUE"""),FALSE)</f>
        <v>0</v>
      </c>
      <c r="BJ837" s="763" t="b">
        <f>IFERROR(__xludf.DUMMYFUNCTION("""COMPUTED_VALUE"""),FALSE)</f>
        <v>0</v>
      </c>
    </row>
    <row r="838">
      <c r="A838" s="763">
        <f>IFERROR(__xludf.DUMMYFUNCTION("""COMPUTED_VALUE"""),67232.0)</f>
        <v>67232</v>
      </c>
      <c r="B838" s="763">
        <f>IFERROR(__xludf.DUMMYFUNCTION("""COMPUTED_VALUE"""),67232.0)</f>
        <v>67232</v>
      </c>
      <c r="C838" s="763" t="str">
        <f>IFERROR(__xludf.DUMMYFUNCTION("""COMPUTED_VALUE"""),"2026-01-11 14:49:20")</f>
        <v>2026-01-11 14:49:20</v>
      </c>
      <c r="D838" s="763" t="str">
        <f>IFERROR(__xludf.DUMMYFUNCTION("""COMPUTED_VALUE"""),"completed")</f>
        <v>completed</v>
      </c>
      <c r="E838" s="763" t="str">
        <f>IFERROR(__xludf.DUMMYFUNCTION("""COMPUTED_VALUE"""),"Fabio")</f>
        <v>Fabio</v>
      </c>
      <c r="F838" s="763" t="str">
        <f>IFERROR(__xludf.DUMMYFUNCTION("""COMPUTED_VALUE"""),"Gugliotta")</f>
        <v>Gugliotta</v>
      </c>
      <c r="G838" s="763" t="str">
        <f>IFERROR(__xludf.DUMMYFUNCTION("""COMPUTED_VALUE"""),"fabiogugliotta.00@gmail.com")</f>
        <v>fabiogugliotta.00@gmail.com</v>
      </c>
      <c r="H838" s="763">
        <f>IFERROR(__xludf.DUMMYFUNCTION("""COMPUTED_VALUE"""),3.665030204E9)</f>
        <v>3665030204</v>
      </c>
      <c r="I838" s="763" t="str">
        <f>IFERROR(__xludf.DUMMYFUNCTION("""COMPUTED_VALUE"""),"Milano")</f>
        <v>Milano</v>
      </c>
      <c r="J838" s="763" t="str">
        <f>IFERROR(__xludf.DUMMYFUNCTION("""COMPUTED_VALUE"""),"Piazzale di Porta Lodovica 5")</f>
        <v>Piazzale di Porta Lodovica 5</v>
      </c>
      <c r="K838" s="763">
        <f>IFERROR(__xludf.DUMMYFUNCTION("""COMPUTED_VALUE"""),20136.0)</f>
        <v>20136</v>
      </c>
      <c r="L838" s="763" t="str">
        <f>IFERROR(__xludf.DUMMYFUNCTION("""COMPUTED_VALUE"""),"Carte di pagamento")</f>
        <v>Carte di pagamento</v>
      </c>
      <c r="M838" s="763" t="str">
        <f>IFERROR(__xludf.DUMMYFUNCTION("""COMPUTED_VALUE"""),"nura02ws")</f>
        <v>nura02ws</v>
      </c>
      <c r="N838" s="763" t="str">
        <f>IFERROR(__xludf.DUMMYFUNCTION("""COMPUTED_VALUE"""),"67232-1768142962")</f>
        <v>67232-1768142962</v>
      </c>
      <c r="O838" s="763">
        <f>IFERROR(__xludf.DUMMYFUNCTION("""COMPUTED_VALUE"""),0.0)</f>
        <v>0</v>
      </c>
      <c r="P838" s="767">
        <f>IFERROR(__xludf.DUMMYFUNCTION("""COMPUTED_VALUE"""),1.4583333333333333)</f>
        <v>1.458333333</v>
      </c>
      <c r="Q838" s="763" t="str">
        <f>IFERROR(__xludf.DUMMYFUNCTION("""COMPUTED_VALUE"""),"EUR")</f>
        <v>EUR</v>
      </c>
      <c r="R838" s="763">
        <f>IFERROR(__xludf.DUMMYFUNCTION("""COMPUTED_VALUE"""),1526.0)</f>
        <v>1526</v>
      </c>
      <c r="S838" s="763" t="str">
        <f>IFERROR(__xludf.DUMMYFUNCTION("""COMPUTED_VALUE"""),"Workshop Urban Alessio Cavaliere 2026 - Workshop Alessio Cavaliere 1 febbraio 2026")</f>
        <v>Workshop Urban Alessio Cavaliere 2026 - Workshop Alessio Cavaliere 1 febbraio 2026</v>
      </c>
      <c r="T838" s="763"/>
      <c r="U838" s="763"/>
      <c r="V838" s="763">
        <f>IFERROR(__xludf.DUMMYFUNCTION("""COMPUTED_VALUE"""),1.0)</f>
        <v>1</v>
      </c>
      <c r="W838" s="763">
        <f>IFERROR(__xludf.DUMMYFUNCTION("""COMPUTED_VALUE"""),35.0)</f>
        <v>35</v>
      </c>
      <c r="X838" s="763">
        <f>IFERROR(__xludf.DUMMYFUNCTION("""COMPUTED_VALUE"""),35.0)</f>
        <v>35</v>
      </c>
      <c r="Y838" s="763"/>
      <c r="Z838" s="768" t="str">
        <f>IFERROR(__xludf.DUMMYFUNCTION("""COMPUTED_VALUE"""),"https://studio-gem.it/wp-admin/post.php?post=67232&amp;action=edit")</f>
        <v>https://studio-gem.it/wp-admin/post.php?post=67232&amp;action=edit</v>
      </c>
      <c r="AA838" s="763"/>
      <c r="AB838" s="763"/>
      <c r="AC838" s="763"/>
      <c r="AD838" s="763"/>
      <c r="AE838" s="763"/>
      <c r="AF838" s="763"/>
      <c r="AG838" s="763"/>
      <c r="AH838" s="763"/>
      <c r="AI838" s="763"/>
      <c r="AJ838" s="763"/>
      <c r="AK838" s="763"/>
      <c r="AL838" s="763"/>
      <c r="AM838" s="763"/>
      <c r="AN838" s="763"/>
      <c r="AO838" s="763"/>
      <c r="AP838" s="763"/>
      <c r="AQ838" s="763"/>
      <c r="AR838" s="763"/>
      <c r="AS838" s="763"/>
      <c r="AT838" s="763"/>
      <c r="AU838" s="763"/>
      <c r="AV838" s="763"/>
      <c r="AW838" s="763"/>
      <c r="AX838" s="763"/>
      <c r="AY838" s="763"/>
      <c r="AZ838" s="763"/>
      <c r="BA838" s="763"/>
      <c r="BB838" s="763"/>
      <c r="BC838" s="763"/>
      <c r="BD838" s="763"/>
      <c r="BE838" s="763"/>
      <c r="BF838" s="763"/>
      <c r="BG838" s="763" t="b">
        <f>IFERROR(__xludf.DUMMYFUNCTION("""COMPUTED_VALUE"""),TRUE)</f>
        <v>1</v>
      </c>
      <c r="BH838" s="763" t="b">
        <f>IFERROR(__xludf.DUMMYFUNCTION("""COMPUTED_VALUE"""),FALSE)</f>
        <v>0</v>
      </c>
      <c r="BI838" s="763" t="b">
        <f>IFERROR(__xludf.DUMMYFUNCTION("""COMPUTED_VALUE"""),TRUE)</f>
        <v>1</v>
      </c>
      <c r="BJ838" s="763" t="b">
        <f>IFERROR(__xludf.DUMMYFUNCTION("""COMPUTED_VALUE"""),TRUE)</f>
        <v>1</v>
      </c>
    </row>
    <row r="839">
      <c r="A839" s="763">
        <f>IFERROR(__xludf.DUMMYFUNCTION("""COMPUTED_VALUE"""),67234.0)</f>
        <v>67234</v>
      </c>
      <c r="B839" s="763">
        <f>IFERROR(__xludf.DUMMYFUNCTION("""COMPUTED_VALUE"""),67234.0)</f>
        <v>67234</v>
      </c>
      <c r="C839" s="763" t="str">
        <f>IFERROR(__xludf.DUMMYFUNCTION("""COMPUTED_VALUE"""),"2026-01-11 14:51:51")</f>
        <v>2026-01-11 14:51:51</v>
      </c>
      <c r="D839" s="763" t="str">
        <f>IFERROR(__xludf.DUMMYFUNCTION("""COMPUTED_VALUE"""),"completed")</f>
        <v>completed</v>
      </c>
      <c r="E839" s="763" t="str">
        <f>IFERROR(__xludf.DUMMYFUNCTION("""COMPUTED_VALUE"""),"Fabio")</f>
        <v>Fabio</v>
      </c>
      <c r="F839" s="763" t="str">
        <f>IFERROR(__xludf.DUMMYFUNCTION("""COMPUTED_VALUE"""),"Gugliotta")</f>
        <v>Gugliotta</v>
      </c>
      <c r="G839" s="763" t="str">
        <f>IFERROR(__xludf.DUMMYFUNCTION("""COMPUTED_VALUE"""),"fabiogugliotta.00@gmail.com")</f>
        <v>fabiogugliotta.00@gmail.com</v>
      </c>
      <c r="H839" s="763">
        <f>IFERROR(__xludf.DUMMYFUNCTION("""COMPUTED_VALUE"""),3.665030204E9)</f>
        <v>3665030204</v>
      </c>
      <c r="I839" s="763" t="str">
        <f>IFERROR(__xludf.DUMMYFUNCTION("""COMPUTED_VALUE"""),"Milano")</f>
        <v>Milano</v>
      </c>
      <c r="J839" s="763" t="str">
        <f>IFERROR(__xludf.DUMMYFUNCTION("""COMPUTED_VALUE"""),"Piazzale di Porta Lodovica 5")</f>
        <v>Piazzale di Porta Lodovica 5</v>
      </c>
      <c r="K839" s="763">
        <f>IFERROR(__xludf.DUMMYFUNCTION("""COMPUTED_VALUE"""),20136.0)</f>
        <v>20136</v>
      </c>
      <c r="L839" s="763" t="str">
        <f>IFERROR(__xludf.DUMMYFUNCTION("""COMPUTED_VALUE"""),"Carte di pagamento")</f>
        <v>Carte di pagamento</v>
      </c>
      <c r="M839" s="763" t="str">
        <f>IFERROR(__xludf.DUMMYFUNCTION("""COMPUTED_VALUE"""),"nura02ws")</f>
        <v>nura02ws</v>
      </c>
      <c r="N839" s="763" t="str">
        <f>IFERROR(__xludf.DUMMYFUNCTION("""COMPUTED_VALUE"""),"67234-1768143113")</f>
        <v>67234-1768143113</v>
      </c>
      <c r="O839" s="763">
        <f>IFERROR(__xludf.DUMMYFUNCTION("""COMPUTED_VALUE"""),0.0)</f>
        <v>0</v>
      </c>
      <c r="P839" s="767">
        <f>IFERROR(__xludf.DUMMYFUNCTION("""COMPUTED_VALUE"""),1.7916666666666667)</f>
        <v>1.791666667</v>
      </c>
      <c r="Q839" s="763" t="str">
        <f>IFERROR(__xludf.DUMMYFUNCTION("""COMPUTED_VALUE"""),"EUR")</f>
        <v>EUR</v>
      </c>
      <c r="R839" s="763">
        <f>IFERROR(__xludf.DUMMYFUNCTION("""COMPUTED_VALUE"""),1528.0)</f>
        <v>1528</v>
      </c>
      <c r="S839" s="763" t="str">
        <f>IFERROR(__xludf.DUMMYFUNCTION("""COMPUTED_VALUE"""),"Workshop Hip Hop Emanuel Lo 2026 - Workshop Emanuel Lo 22 febbraio 2026")</f>
        <v>Workshop Hip Hop Emanuel Lo 2026 - Workshop Emanuel Lo 22 febbraio 2026</v>
      </c>
      <c r="T839" s="763"/>
      <c r="U839" s="763"/>
      <c r="V839" s="763">
        <f>IFERROR(__xludf.DUMMYFUNCTION("""COMPUTED_VALUE"""),1.0)</f>
        <v>1</v>
      </c>
      <c r="W839" s="763">
        <f>IFERROR(__xludf.DUMMYFUNCTION("""COMPUTED_VALUE"""),43.0)</f>
        <v>43</v>
      </c>
      <c r="X839" s="763">
        <f>IFERROR(__xludf.DUMMYFUNCTION("""COMPUTED_VALUE"""),43.0)</f>
        <v>43</v>
      </c>
      <c r="Y839" s="763"/>
      <c r="Z839" s="768" t="str">
        <f>IFERROR(__xludf.DUMMYFUNCTION("""COMPUTED_VALUE"""),"https://studio-gem.it/wp-admin/post.php?post=67234&amp;action=edit")</f>
        <v>https://studio-gem.it/wp-admin/post.php?post=67234&amp;action=edit</v>
      </c>
      <c r="AA839" s="763"/>
      <c r="AB839" s="763"/>
      <c r="AC839" s="763"/>
      <c r="AD839" s="763"/>
      <c r="AE839" s="763"/>
      <c r="AF839" s="763"/>
      <c r="AG839" s="763"/>
      <c r="AH839" s="763"/>
      <c r="AI839" s="763"/>
      <c r="AJ839" s="763"/>
      <c r="AK839" s="763"/>
      <c r="AL839" s="763"/>
      <c r="AM839" s="763"/>
      <c r="AN839" s="763"/>
      <c r="AO839" s="763"/>
      <c r="AP839" s="763"/>
      <c r="AQ839" s="763"/>
      <c r="AR839" s="763"/>
      <c r="AS839" s="763"/>
      <c r="AT839" s="763"/>
      <c r="AU839" s="763"/>
      <c r="AV839" s="763"/>
      <c r="AW839" s="763"/>
      <c r="AX839" s="763"/>
      <c r="AY839" s="763"/>
      <c r="AZ839" s="763"/>
      <c r="BA839" s="763"/>
      <c r="BB839" s="763"/>
      <c r="BC839" s="763"/>
      <c r="BD839" s="763"/>
      <c r="BE839" s="763"/>
      <c r="BF839" s="763"/>
      <c r="BG839" s="763" t="b">
        <f>IFERROR(__xludf.DUMMYFUNCTION("""COMPUTED_VALUE"""),TRUE)</f>
        <v>1</v>
      </c>
      <c r="BH839" s="763" t="b">
        <f>IFERROR(__xludf.DUMMYFUNCTION("""COMPUTED_VALUE"""),FALSE)</f>
        <v>0</v>
      </c>
      <c r="BI839" s="763" t="b">
        <f>IFERROR(__xludf.DUMMYFUNCTION("""COMPUTED_VALUE"""),TRUE)</f>
        <v>1</v>
      </c>
      <c r="BJ839" s="763" t="b">
        <f>IFERROR(__xludf.DUMMYFUNCTION("""COMPUTED_VALUE"""),TRUE)</f>
        <v>1</v>
      </c>
    </row>
    <row r="840">
      <c r="A840" s="763">
        <f>IFERROR(__xludf.DUMMYFUNCTION("""COMPUTED_VALUE"""),67236.0)</f>
        <v>67236</v>
      </c>
      <c r="B840" s="763">
        <f>IFERROR(__xludf.DUMMYFUNCTION("""COMPUTED_VALUE"""),67236.0)</f>
        <v>67236</v>
      </c>
      <c r="C840" s="763" t="str">
        <f>IFERROR(__xludf.DUMMYFUNCTION("""COMPUTED_VALUE"""),"2026-01-11 16:22:59")</f>
        <v>2026-01-11 16:22:59</v>
      </c>
      <c r="D840" s="763" t="str">
        <f>IFERROR(__xludf.DUMMYFUNCTION("""COMPUTED_VALUE"""),"completed")</f>
        <v>completed</v>
      </c>
      <c r="E840" s="763" t="str">
        <f>IFERROR(__xludf.DUMMYFUNCTION("""COMPUTED_VALUE"""),"Simone")</f>
        <v>Simone</v>
      </c>
      <c r="F840" s="763" t="str">
        <f>IFERROR(__xludf.DUMMYFUNCTION("""COMPUTED_VALUE"""),"Dante")</f>
        <v>Dante</v>
      </c>
      <c r="G840" s="763" t="str">
        <f>IFERROR(__xludf.DUMMYFUNCTION("""COMPUTED_VALUE"""),"simonstar07@gmail.com")</f>
        <v>simonstar07@gmail.com</v>
      </c>
      <c r="H840" s="763">
        <f>IFERROR(__xludf.DUMMYFUNCTION("""COMPUTED_VALUE"""),3.519095927E9)</f>
        <v>3519095927</v>
      </c>
      <c r="I840" s="763" t="str">
        <f>IFERROR(__xludf.DUMMYFUNCTION("""COMPUTED_VALUE"""),"Limbiate")</f>
        <v>Limbiate</v>
      </c>
      <c r="J840" s="763" t="str">
        <f>IFERROR(__xludf.DUMMYFUNCTION("""COMPUTED_VALUE"""),"Via Bassano 3")</f>
        <v>Via Bassano 3</v>
      </c>
      <c r="K840" s="763">
        <f>IFERROR(__xludf.DUMMYFUNCTION("""COMPUTED_VALUE"""),20812.0)</f>
        <v>20812</v>
      </c>
      <c r="L840" s="763" t="str">
        <f>IFERROR(__xludf.DUMMYFUNCTION("""COMPUTED_VALUE"""),"Carte di pagamento")</f>
        <v>Carte di pagamento</v>
      </c>
      <c r="M840" s="763"/>
      <c r="N840" s="763" t="str">
        <f>IFERROR(__xludf.DUMMYFUNCTION("""COMPUTED_VALUE"""),"67236-1768148580")</f>
        <v>67236-1768148580</v>
      </c>
      <c r="O840" s="763">
        <f>IFERROR(__xludf.DUMMYFUNCTION("""COMPUTED_VALUE"""),0.0)</f>
        <v>0</v>
      </c>
      <c r="P840" s="767">
        <f>IFERROR(__xludf.DUMMYFUNCTION("""COMPUTED_VALUE"""),1.875)</f>
        <v>1.875</v>
      </c>
      <c r="Q840" s="763" t="str">
        <f>IFERROR(__xludf.DUMMYFUNCTION("""COMPUTED_VALUE"""),"EUR")</f>
        <v>EUR</v>
      </c>
      <c r="R840" s="763">
        <f>IFERROR(__xludf.DUMMYFUNCTION("""COMPUTED_VALUE"""),1530.0)</f>
        <v>1530</v>
      </c>
      <c r="S840" s="763" t="str">
        <f>IFERROR(__xludf.DUMMYFUNCTION("""COMPUTED_VALUE"""),"Workshop Hip Hop Emanuel Lo 2026 - Workshop Emanuel Lo 22 febbraio 2026")</f>
        <v>Workshop Hip Hop Emanuel Lo 2026 - Workshop Emanuel Lo 22 febbraio 2026</v>
      </c>
      <c r="T840" s="763"/>
      <c r="U840" s="763"/>
      <c r="V840" s="763">
        <f>IFERROR(__xludf.DUMMYFUNCTION("""COMPUTED_VALUE"""),1.0)</f>
        <v>1</v>
      </c>
      <c r="W840" s="763">
        <f>IFERROR(__xludf.DUMMYFUNCTION("""COMPUTED_VALUE"""),45.0)</f>
        <v>45</v>
      </c>
      <c r="X840" s="763">
        <f>IFERROR(__xludf.DUMMYFUNCTION("""COMPUTED_VALUE"""),45.0)</f>
        <v>45</v>
      </c>
      <c r="Y840" s="763"/>
      <c r="Z840" s="768" t="str">
        <f>IFERROR(__xludf.DUMMYFUNCTION("""COMPUTED_VALUE"""),"https://studio-gem.it/wp-admin/post.php?post=67236&amp;action=edit")</f>
        <v>https://studio-gem.it/wp-admin/post.php?post=67236&amp;action=edit</v>
      </c>
      <c r="AA840" s="763"/>
      <c r="AB840" s="763"/>
      <c r="AC840" s="763"/>
      <c r="AD840" s="763"/>
      <c r="AE840" s="763"/>
      <c r="AF840" s="763"/>
      <c r="AG840" s="763"/>
      <c r="AH840" s="763"/>
      <c r="AI840" s="763"/>
      <c r="AJ840" s="763"/>
      <c r="AK840" s="763"/>
      <c r="AL840" s="763"/>
      <c r="AM840" s="763"/>
      <c r="AN840" s="763"/>
      <c r="AO840" s="763"/>
      <c r="AP840" s="763"/>
      <c r="AQ840" s="763"/>
      <c r="AR840" s="763"/>
      <c r="AS840" s="763"/>
      <c r="AT840" s="763"/>
      <c r="AU840" s="763"/>
      <c r="AV840" s="763"/>
      <c r="AW840" s="763"/>
      <c r="AX840" s="763"/>
      <c r="AY840" s="763"/>
      <c r="AZ840" s="763"/>
      <c r="BA840" s="763"/>
      <c r="BB840" s="763"/>
      <c r="BC840" s="763"/>
      <c r="BD840" s="763"/>
      <c r="BE840" s="763"/>
      <c r="BF840" s="763"/>
      <c r="BG840" s="763" t="b">
        <f>IFERROR(__xludf.DUMMYFUNCTION("""COMPUTED_VALUE"""),TRUE)</f>
        <v>1</v>
      </c>
      <c r="BH840" s="763" t="b">
        <f>IFERROR(__xludf.DUMMYFUNCTION("""COMPUTED_VALUE"""),FALSE)</f>
        <v>0</v>
      </c>
      <c r="BI840" s="763" t="b">
        <f>IFERROR(__xludf.DUMMYFUNCTION("""COMPUTED_VALUE"""),TRUE)</f>
        <v>1</v>
      </c>
      <c r="BJ840" s="763" t="b">
        <f>IFERROR(__xludf.DUMMYFUNCTION("""COMPUTED_VALUE"""),TRUE)</f>
        <v>1</v>
      </c>
    </row>
    <row r="841">
      <c r="A841" s="763">
        <f>IFERROR(__xludf.DUMMYFUNCTION("""COMPUTED_VALUE"""),67239.0)</f>
        <v>67239</v>
      </c>
      <c r="B841" s="763">
        <f>IFERROR(__xludf.DUMMYFUNCTION("""COMPUTED_VALUE"""),67239.0)</f>
        <v>67239</v>
      </c>
      <c r="C841" s="763" t="str">
        <f>IFERROR(__xludf.DUMMYFUNCTION("""COMPUTED_VALUE"""),"2026-01-11 20:54:04")</f>
        <v>2026-01-11 20:54:04</v>
      </c>
      <c r="D841" s="763" t="str">
        <f>IFERROR(__xludf.DUMMYFUNCTION("""COMPUTED_VALUE"""),"completed")</f>
        <v>completed</v>
      </c>
      <c r="E841" s="763" t="str">
        <f>IFERROR(__xludf.DUMMYFUNCTION("""COMPUTED_VALUE"""),"Dean Lorenz")</f>
        <v>Dean Lorenz</v>
      </c>
      <c r="F841" s="763" t="str">
        <f>IFERROR(__xludf.DUMMYFUNCTION("""COMPUTED_VALUE"""),"Artita")</f>
        <v>Artita</v>
      </c>
      <c r="G841" s="763" t="str">
        <f>IFERROR(__xludf.DUMMYFUNCTION("""COMPUTED_VALUE"""),"lorenzartita06@gmail.com")</f>
        <v>lorenzartita06@gmail.com</v>
      </c>
      <c r="H841" s="763">
        <f>IFERROR(__xludf.DUMMYFUNCTION("""COMPUTED_VALUE"""),3.290663288E9)</f>
        <v>3290663288</v>
      </c>
      <c r="I841" s="763" t="str">
        <f>IFERROR(__xludf.DUMMYFUNCTION("""COMPUTED_VALUE"""),"Milano")</f>
        <v>Milano</v>
      </c>
      <c r="J841" s="763" t="str">
        <f>IFERROR(__xludf.DUMMYFUNCTION("""COMPUTED_VALUE"""),"Piazza Aspromonte 51")</f>
        <v>Piazza Aspromonte 51</v>
      </c>
      <c r="K841" s="763">
        <f>IFERROR(__xludf.DUMMYFUNCTION("""COMPUTED_VALUE"""),20131.0)</f>
        <v>20131</v>
      </c>
      <c r="L841" s="763" t="str">
        <f>IFERROR(__xludf.DUMMYFUNCTION("""COMPUTED_VALUE"""),"Carte di pagamento")</f>
        <v>Carte di pagamento</v>
      </c>
      <c r="M841" s="763"/>
      <c r="N841" s="763" t="str">
        <f>IFERROR(__xludf.DUMMYFUNCTION("""COMPUTED_VALUE"""),"67239-1768164845")</f>
        <v>67239-1768164845</v>
      </c>
      <c r="O841" s="763">
        <f>IFERROR(__xludf.DUMMYFUNCTION("""COMPUTED_VALUE"""),0.0)</f>
        <v>0</v>
      </c>
      <c r="P841" s="767">
        <f>IFERROR(__xludf.DUMMYFUNCTION("""COMPUTED_VALUE"""),1.5416666666666667)</f>
        <v>1.541666667</v>
      </c>
      <c r="Q841" s="763" t="str">
        <f>IFERROR(__xludf.DUMMYFUNCTION("""COMPUTED_VALUE"""),"EUR")</f>
        <v>EUR</v>
      </c>
      <c r="R841" s="763">
        <f>IFERROR(__xludf.DUMMYFUNCTION("""COMPUTED_VALUE"""),1531.0)</f>
        <v>1531</v>
      </c>
      <c r="S841" s="763" t="str">
        <f>IFERROR(__xludf.DUMMYFUNCTION("""COMPUTED_VALUE"""),"Workshop Urban Alessio Cavaliere 2026 - Workshop Alessio Cavaliere 1 febbraio 2026")</f>
        <v>Workshop Urban Alessio Cavaliere 2026 - Workshop Alessio Cavaliere 1 febbraio 2026</v>
      </c>
      <c r="T841" s="763"/>
      <c r="U841" s="763"/>
      <c r="V841" s="763">
        <f>IFERROR(__xludf.DUMMYFUNCTION("""COMPUTED_VALUE"""),1.0)</f>
        <v>1</v>
      </c>
      <c r="W841" s="763">
        <f>IFERROR(__xludf.DUMMYFUNCTION("""COMPUTED_VALUE"""),37.0)</f>
        <v>37</v>
      </c>
      <c r="X841" s="763">
        <f>IFERROR(__xludf.DUMMYFUNCTION("""COMPUTED_VALUE"""),37.0)</f>
        <v>37</v>
      </c>
      <c r="Y841" s="763"/>
      <c r="Z841" s="768" t="str">
        <f>IFERROR(__xludf.DUMMYFUNCTION("""COMPUTED_VALUE"""),"https://studio-gem.it/wp-admin/post.php?post=67239&amp;action=edit")</f>
        <v>https://studio-gem.it/wp-admin/post.php?post=67239&amp;action=edit</v>
      </c>
      <c r="AA841" s="763"/>
      <c r="AB841" s="763"/>
      <c r="AC841" s="763"/>
      <c r="AD841" s="763"/>
      <c r="AE841" s="763"/>
      <c r="AF841" s="763"/>
      <c r="AG841" s="763"/>
      <c r="AH841" s="763"/>
      <c r="AI841" s="763"/>
      <c r="AJ841" s="763"/>
      <c r="AK841" s="763"/>
      <c r="AL841" s="763"/>
      <c r="AM841" s="763"/>
      <c r="AN841" s="763"/>
      <c r="AO841" s="763"/>
      <c r="AP841" s="763"/>
      <c r="AQ841" s="763"/>
      <c r="AR841" s="763"/>
      <c r="AS841" s="763"/>
      <c r="AT841" s="763"/>
      <c r="AU841" s="763"/>
      <c r="AV841" s="763"/>
      <c r="AW841" s="763"/>
      <c r="AX841" s="763"/>
      <c r="AY841" s="763"/>
      <c r="AZ841" s="763"/>
      <c r="BA841" s="763"/>
      <c r="BB841" s="763"/>
      <c r="BC841" s="763"/>
      <c r="BD841" s="763"/>
      <c r="BE841" s="763"/>
      <c r="BF841" s="763"/>
      <c r="BG841" s="763" t="b">
        <f>IFERROR(__xludf.DUMMYFUNCTION("""COMPUTED_VALUE"""),TRUE)</f>
        <v>1</v>
      </c>
      <c r="BH841" s="763" t="b">
        <f>IFERROR(__xludf.DUMMYFUNCTION("""COMPUTED_VALUE"""),FALSE)</f>
        <v>0</v>
      </c>
      <c r="BI841" s="763" t="b">
        <f>IFERROR(__xludf.DUMMYFUNCTION("""COMPUTED_VALUE"""),TRUE)</f>
        <v>1</v>
      </c>
      <c r="BJ841" s="763" t="b">
        <f>IFERROR(__xludf.DUMMYFUNCTION("""COMPUTED_VALUE"""),TRUE)</f>
        <v>1</v>
      </c>
    </row>
    <row r="842">
      <c r="A842" s="763">
        <f>IFERROR(__xludf.DUMMYFUNCTION("""COMPUTED_VALUE"""),67241.0)</f>
        <v>67241</v>
      </c>
      <c r="B842" s="763">
        <f>IFERROR(__xludf.DUMMYFUNCTION("""COMPUTED_VALUE"""),67241.0)</f>
        <v>67241</v>
      </c>
      <c r="C842" s="763" t="str">
        <f>IFERROR(__xludf.DUMMYFUNCTION("""COMPUTED_VALUE"""),"2026-01-11 20:58:53")</f>
        <v>2026-01-11 20:58:53</v>
      </c>
      <c r="D842" s="763" t="str">
        <f>IFERROR(__xludf.DUMMYFUNCTION("""COMPUTED_VALUE"""),"completed")</f>
        <v>completed</v>
      </c>
      <c r="E842" s="763" t="str">
        <f>IFERROR(__xludf.DUMMYFUNCTION("""COMPUTED_VALUE"""),"Dean Lorenz")</f>
        <v>Dean Lorenz</v>
      </c>
      <c r="F842" s="763" t="str">
        <f>IFERROR(__xludf.DUMMYFUNCTION("""COMPUTED_VALUE"""),"Artita")</f>
        <v>Artita</v>
      </c>
      <c r="G842" s="763" t="str">
        <f>IFERROR(__xludf.DUMMYFUNCTION("""COMPUTED_VALUE"""),"lorenzartita06@gmail.com")</f>
        <v>lorenzartita06@gmail.com</v>
      </c>
      <c r="H842" s="763">
        <f>IFERROR(__xludf.DUMMYFUNCTION("""COMPUTED_VALUE"""),3.290663288E9)</f>
        <v>3290663288</v>
      </c>
      <c r="I842" s="763" t="str">
        <f>IFERROR(__xludf.DUMMYFUNCTION("""COMPUTED_VALUE"""),"Milano")</f>
        <v>Milano</v>
      </c>
      <c r="J842" s="763" t="str">
        <f>IFERROR(__xludf.DUMMYFUNCTION("""COMPUTED_VALUE"""),"Piazza Aspromonte 51")</f>
        <v>Piazza Aspromonte 51</v>
      </c>
      <c r="K842" s="763">
        <f>IFERROR(__xludf.DUMMYFUNCTION("""COMPUTED_VALUE"""),20131.0)</f>
        <v>20131</v>
      </c>
      <c r="L842" s="763" t="str">
        <f>IFERROR(__xludf.DUMMYFUNCTION("""COMPUTED_VALUE"""),"Carte di pagamento")</f>
        <v>Carte di pagamento</v>
      </c>
      <c r="M842" s="763"/>
      <c r="N842" s="763" t="str">
        <f>IFERROR(__xludf.DUMMYFUNCTION("""COMPUTED_VALUE"""),"67241-1768165134")</f>
        <v>67241-1768165134</v>
      </c>
      <c r="O842" s="763">
        <f>IFERROR(__xludf.DUMMYFUNCTION("""COMPUTED_VALUE"""),0.0)</f>
        <v>0</v>
      </c>
      <c r="P842" s="767">
        <f>IFERROR(__xludf.DUMMYFUNCTION("""COMPUTED_VALUE"""),1.5416666666666667)</f>
        <v>1.541666667</v>
      </c>
      <c r="Q842" s="763" t="str">
        <f>IFERROR(__xludf.DUMMYFUNCTION("""COMPUTED_VALUE"""),"EUR")</f>
        <v>EUR</v>
      </c>
      <c r="R842" s="763">
        <f>IFERROR(__xludf.DUMMYFUNCTION("""COMPUTED_VALUE"""),1532.0)</f>
        <v>1532</v>
      </c>
      <c r="S842" s="763" t="str">
        <f>IFERROR(__xludf.DUMMYFUNCTION("""COMPUTED_VALUE"""),"Workshop Urban Alessio Cavaliere 2026 - Workshop Alessio Cavaliere 1 febbraio 2026")</f>
        <v>Workshop Urban Alessio Cavaliere 2026 - Workshop Alessio Cavaliere 1 febbraio 2026</v>
      </c>
      <c r="T842" s="763"/>
      <c r="U842" s="763"/>
      <c r="V842" s="763">
        <f>IFERROR(__xludf.DUMMYFUNCTION("""COMPUTED_VALUE"""),1.0)</f>
        <v>1</v>
      </c>
      <c r="W842" s="763">
        <f>IFERROR(__xludf.DUMMYFUNCTION("""COMPUTED_VALUE"""),37.0)</f>
        <v>37</v>
      </c>
      <c r="X842" s="763">
        <f>IFERROR(__xludf.DUMMYFUNCTION("""COMPUTED_VALUE"""),37.0)</f>
        <v>37</v>
      </c>
      <c r="Y842" s="763"/>
      <c r="Z842" s="768" t="str">
        <f>IFERROR(__xludf.DUMMYFUNCTION("""COMPUTED_VALUE"""),"https://studio-gem.it/wp-admin/post.php?post=67241&amp;action=edit")</f>
        <v>https://studio-gem.it/wp-admin/post.php?post=67241&amp;action=edit</v>
      </c>
      <c r="AA842" s="763"/>
      <c r="AB842" s="763"/>
      <c r="AC842" s="763"/>
      <c r="AD842" s="763"/>
      <c r="AE842" s="763"/>
      <c r="AF842" s="763"/>
      <c r="AG842" s="763"/>
      <c r="AH842" s="763"/>
      <c r="AI842" s="763"/>
      <c r="AJ842" s="763"/>
      <c r="AK842" s="763"/>
      <c r="AL842" s="763"/>
      <c r="AM842" s="763"/>
      <c r="AN842" s="763"/>
      <c r="AO842" s="763"/>
      <c r="AP842" s="763"/>
      <c r="AQ842" s="763"/>
      <c r="AR842" s="763"/>
      <c r="AS842" s="763"/>
      <c r="AT842" s="763"/>
      <c r="AU842" s="763"/>
      <c r="AV842" s="763"/>
      <c r="AW842" s="763"/>
      <c r="AX842" s="763"/>
      <c r="AY842" s="763"/>
      <c r="AZ842" s="763"/>
      <c r="BA842" s="763"/>
      <c r="BB842" s="763"/>
      <c r="BC842" s="763"/>
      <c r="BD842" s="763"/>
      <c r="BE842" s="763"/>
      <c r="BF842" s="763"/>
      <c r="BG842" s="763" t="b">
        <f>IFERROR(__xludf.DUMMYFUNCTION("""COMPUTED_VALUE"""),TRUE)</f>
        <v>1</v>
      </c>
      <c r="BH842" s="763" t="b">
        <f>IFERROR(__xludf.DUMMYFUNCTION("""COMPUTED_VALUE"""),FALSE)</f>
        <v>0</v>
      </c>
      <c r="BI842" s="763" t="b">
        <f>IFERROR(__xludf.DUMMYFUNCTION("""COMPUTED_VALUE"""),TRUE)</f>
        <v>1</v>
      </c>
      <c r="BJ842" s="763" t="b">
        <f>IFERROR(__xludf.DUMMYFUNCTION("""COMPUTED_VALUE"""),TRUE)</f>
        <v>1</v>
      </c>
    </row>
    <row r="843">
      <c r="A843" s="763">
        <f>IFERROR(__xludf.DUMMYFUNCTION("""COMPUTED_VALUE"""),67243.0)</f>
        <v>67243</v>
      </c>
      <c r="B843" s="763">
        <f>IFERROR(__xludf.DUMMYFUNCTION("""COMPUTED_VALUE"""),67243.0)</f>
        <v>67243</v>
      </c>
      <c r="C843" s="763" t="str">
        <f>IFERROR(__xludf.DUMMYFUNCTION("""COMPUTED_VALUE"""),"2026-01-11 21:06:41")</f>
        <v>2026-01-11 21:06:41</v>
      </c>
      <c r="D843" s="763" t="str">
        <f>IFERROR(__xludf.DUMMYFUNCTION("""COMPUTED_VALUE"""),"completed")</f>
        <v>completed</v>
      </c>
      <c r="E843" s="763" t="str">
        <f>IFERROR(__xludf.DUMMYFUNCTION("""COMPUTED_VALUE"""),"Aurora")</f>
        <v>Aurora</v>
      </c>
      <c r="F843" s="763" t="str">
        <f>IFERROR(__xludf.DUMMYFUNCTION("""COMPUTED_VALUE"""),"Grieco")</f>
        <v>Grieco</v>
      </c>
      <c r="G843" s="763" t="str">
        <f>IFERROR(__xludf.DUMMYFUNCTION("""COMPUTED_VALUE"""),"auroragrieco94@gmail.com")</f>
        <v>auroragrieco94@gmail.com</v>
      </c>
      <c r="H843" s="763">
        <f>IFERROR(__xludf.DUMMYFUNCTION("""COMPUTED_VALUE"""),3.397054238E9)</f>
        <v>3397054238</v>
      </c>
      <c r="I843" s="763" t="str">
        <f>IFERROR(__xludf.DUMMYFUNCTION("""COMPUTED_VALUE"""),"Zeccone")</f>
        <v>Zeccone</v>
      </c>
      <c r="J843" s="763" t="str">
        <f>IFERROR(__xludf.DUMMYFUNCTION("""COMPUTED_VALUE"""),"Viale Isonzo 19")</f>
        <v>Viale Isonzo 19</v>
      </c>
      <c r="K843" s="763">
        <f>IFERROR(__xludf.DUMMYFUNCTION("""COMPUTED_VALUE"""),27010.0)</f>
        <v>27010</v>
      </c>
      <c r="L843" s="763" t="str">
        <f>IFERROR(__xludf.DUMMYFUNCTION("""COMPUTED_VALUE"""),"Carte di pagamento")</f>
        <v>Carte di pagamento</v>
      </c>
      <c r="M843" s="763"/>
      <c r="N843" s="763" t="str">
        <f>IFERROR(__xludf.DUMMYFUNCTION("""COMPUTED_VALUE"""),"67243-1768165603")</f>
        <v>67243-1768165603</v>
      </c>
      <c r="O843" s="763">
        <f>IFERROR(__xludf.DUMMYFUNCTION("""COMPUTED_VALUE"""),0.0)</f>
        <v>0</v>
      </c>
      <c r="P843" s="767">
        <f>IFERROR(__xludf.DUMMYFUNCTION("""COMPUTED_VALUE"""),1.5416666666666667)</f>
        <v>1.541666667</v>
      </c>
      <c r="Q843" s="763" t="str">
        <f>IFERROR(__xludf.DUMMYFUNCTION("""COMPUTED_VALUE"""),"EUR")</f>
        <v>EUR</v>
      </c>
      <c r="R843" s="763">
        <f>IFERROR(__xludf.DUMMYFUNCTION("""COMPUTED_VALUE"""),1533.0)</f>
        <v>1533</v>
      </c>
      <c r="S843" s="763" t="str">
        <f>IFERROR(__xludf.DUMMYFUNCTION("""COMPUTED_VALUE"""),"Workshop Urban Alessio Cavaliere 2026 - Workshop Alessio Cavaliere 1 febbraio 2026")</f>
        <v>Workshop Urban Alessio Cavaliere 2026 - Workshop Alessio Cavaliere 1 febbraio 2026</v>
      </c>
      <c r="T843" s="763"/>
      <c r="U843" s="763"/>
      <c r="V843" s="763">
        <f>IFERROR(__xludf.DUMMYFUNCTION("""COMPUTED_VALUE"""),1.0)</f>
        <v>1</v>
      </c>
      <c r="W843" s="763">
        <f>IFERROR(__xludf.DUMMYFUNCTION("""COMPUTED_VALUE"""),37.0)</f>
        <v>37</v>
      </c>
      <c r="X843" s="763">
        <f>IFERROR(__xludf.DUMMYFUNCTION("""COMPUTED_VALUE"""),37.0)</f>
        <v>37</v>
      </c>
      <c r="Y843" s="763"/>
      <c r="Z843" s="768" t="str">
        <f>IFERROR(__xludf.DUMMYFUNCTION("""COMPUTED_VALUE"""),"https://studio-gem.it/wp-admin/post.php?post=67243&amp;action=edit")</f>
        <v>https://studio-gem.it/wp-admin/post.php?post=67243&amp;action=edit</v>
      </c>
      <c r="AA843" s="763"/>
      <c r="AB843" s="763"/>
      <c r="AC843" s="763"/>
      <c r="AD843" s="763"/>
      <c r="AE843" s="763"/>
      <c r="AF843" s="763"/>
      <c r="AG843" s="763"/>
      <c r="AH843" s="763"/>
      <c r="AI843" s="763"/>
      <c r="AJ843" s="763"/>
      <c r="AK843" s="763"/>
      <c r="AL843" s="763"/>
      <c r="AM843" s="763"/>
      <c r="AN843" s="763"/>
      <c r="AO843" s="763"/>
      <c r="AP843" s="763"/>
      <c r="AQ843" s="763"/>
      <c r="AR843" s="763"/>
      <c r="AS843" s="763"/>
      <c r="AT843" s="763"/>
      <c r="AU843" s="763"/>
      <c r="AV843" s="763"/>
      <c r="AW843" s="763"/>
      <c r="AX843" s="763"/>
      <c r="AY843" s="763"/>
      <c r="AZ843" s="763"/>
      <c r="BA843" s="763"/>
      <c r="BB843" s="763"/>
      <c r="BC843" s="763"/>
      <c r="BD843" s="763"/>
      <c r="BE843" s="763"/>
      <c r="BF843" s="763"/>
      <c r="BG843" s="763" t="b">
        <f>IFERROR(__xludf.DUMMYFUNCTION("""COMPUTED_VALUE"""),TRUE)</f>
        <v>1</v>
      </c>
      <c r="BH843" s="763" t="b">
        <f>IFERROR(__xludf.DUMMYFUNCTION("""COMPUTED_VALUE"""),FALSE)</f>
        <v>0</v>
      </c>
      <c r="BI843" s="763" t="b">
        <f>IFERROR(__xludf.DUMMYFUNCTION("""COMPUTED_VALUE"""),TRUE)</f>
        <v>1</v>
      </c>
      <c r="BJ843" s="763" t="b">
        <f>IFERROR(__xludf.DUMMYFUNCTION("""COMPUTED_VALUE"""),TRUE)</f>
        <v>1</v>
      </c>
    </row>
    <row r="844">
      <c r="A844" s="763">
        <f>IFERROR(__xludf.DUMMYFUNCTION("""COMPUTED_VALUE"""),67250.0)</f>
        <v>67250</v>
      </c>
      <c r="B844" s="763">
        <f>IFERROR(__xludf.DUMMYFUNCTION("""COMPUTED_VALUE"""),67250.0)</f>
        <v>67250</v>
      </c>
      <c r="C844" s="763" t="str">
        <f>IFERROR(__xludf.DUMMYFUNCTION("""COMPUTED_VALUE"""),"2026-01-12 15:34:58")</f>
        <v>2026-01-12 15:34:58</v>
      </c>
      <c r="D844" s="763" t="str">
        <f>IFERROR(__xludf.DUMMYFUNCTION("""COMPUTED_VALUE"""),"processing")</f>
        <v>processing</v>
      </c>
      <c r="E844" s="763" t="str">
        <f>IFERROR(__xludf.DUMMYFUNCTION("""COMPUTED_VALUE"""),"Giulia")</f>
        <v>Giulia</v>
      </c>
      <c r="F844" s="763" t="str">
        <f>IFERROR(__xludf.DUMMYFUNCTION("""COMPUTED_VALUE"""),"Piva")</f>
        <v>Piva</v>
      </c>
      <c r="G844" s="763" t="str">
        <f>IFERROR(__xludf.DUMMYFUNCTION("""COMPUTED_VALUE"""),"giulia.piva2024@gmail.com")</f>
        <v>giulia.piva2024@gmail.com</v>
      </c>
      <c r="H844" s="763">
        <f>IFERROR(__xludf.DUMMYFUNCTION("""COMPUTED_VALUE"""),3.337184341E9)</f>
        <v>3337184341</v>
      </c>
      <c r="I844" s="763" t="str">
        <f>IFERROR(__xludf.DUMMYFUNCTION("""COMPUTED_VALUE"""),"san donato milanese")</f>
        <v>san donato milanese</v>
      </c>
      <c r="J844" s="763" t="str">
        <f>IFERROR(__xludf.DUMMYFUNCTION("""COMPUTED_VALUE"""),"via don minzoni 38")</f>
        <v>via don minzoni 38</v>
      </c>
      <c r="K844" s="763">
        <f>IFERROR(__xludf.DUMMYFUNCTION("""COMPUTED_VALUE"""),20097.0)</f>
        <v>20097</v>
      </c>
      <c r="L844" s="763" t="str">
        <f>IFERROR(__xludf.DUMMYFUNCTION("""COMPUTED_VALUE"""),"Carte di pagamento")</f>
        <v>Carte di pagamento</v>
      </c>
      <c r="M844" s="763" t="str">
        <f>IFERROR(__xludf.DUMMYFUNCTION("""COMPUTED_VALUE"""),"nura02ws")</f>
        <v>nura02ws</v>
      </c>
      <c r="N844" s="763" t="str">
        <f>IFERROR(__xludf.DUMMYFUNCTION("""COMPUTED_VALUE"""),"67250-1768232290")</f>
        <v>67250-1768232290</v>
      </c>
      <c r="O844" s="763">
        <f>IFERROR(__xludf.DUMMYFUNCTION("""COMPUTED_VALUE"""),0.0)</f>
        <v>0</v>
      </c>
      <c r="P844" s="767">
        <f>IFERROR(__xludf.DUMMYFUNCTION("""COMPUTED_VALUE"""),1.4583333333333333)</f>
        <v>1.458333333</v>
      </c>
      <c r="Q844" s="763" t="str">
        <f>IFERROR(__xludf.DUMMYFUNCTION("""COMPUTED_VALUE"""),"EUR")</f>
        <v>EUR</v>
      </c>
      <c r="R844" s="763">
        <f>IFERROR(__xludf.DUMMYFUNCTION("""COMPUTED_VALUE"""),1534.0)</f>
        <v>1534</v>
      </c>
      <c r="S844" s="763" t="str">
        <f>IFERROR(__xludf.DUMMYFUNCTION("""COMPUTED_VALUE"""),"Workshop Urban Alessio Cavaliere 2026 - Workshop Alessio Cavaliere 1 febbraio 2026")</f>
        <v>Workshop Urban Alessio Cavaliere 2026 - Workshop Alessio Cavaliere 1 febbraio 2026</v>
      </c>
      <c r="T844" s="763"/>
      <c r="U844" s="763"/>
      <c r="V844" s="763">
        <f>IFERROR(__xludf.DUMMYFUNCTION("""COMPUTED_VALUE"""),1.0)</f>
        <v>1</v>
      </c>
      <c r="W844" s="763">
        <f>IFERROR(__xludf.DUMMYFUNCTION("""COMPUTED_VALUE"""),35.0)</f>
        <v>35</v>
      </c>
      <c r="X844" s="763">
        <f>IFERROR(__xludf.DUMMYFUNCTION("""COMPUTED_VALUE"""),35.0)</f>
        <v>35</v>
      </c>
      <c r="Y844" s="763"/>
      <c r="Z844" s="768" t="str">
        <f>IFERROR(__xludf.DUMMYFUNCTION("""COMPUTED_VALUE"""),"https://studio-gem.it/wp-admin/post.php?post=67250&amp;action=edit")</f>
        <v>https://studio-gem.it/wp-admin/post.php?post=67250&amp;action=edit</v>
      </c>
      <c r="AA844" s="763"/>
      <c r="AB844" s="763"/>
      <c r="AC844" s="763"/>
      <c r="AD844" s="763"/>
      <c r="AE844" s="763"/>
      <c r="AF844" s="763"/>
      <c r="AG844" s="763"/>
      <c r="AH844" s="763"/>
      <c r="AI844" s="763"/>
      <c r="AJ844" s="763"/>
      <c r="AK844" s="763"/>
      <c r="AL844" s="763"/>
      <c r="AM844" s="763"/>
      <c r="AN844" s="763"/>
      <c r="AO844" s="763"/>
      <c r="AP844" s="763"/>
      <c r="AQ844" s="763"/>
      <c r="AR844" s="763"/>
      <c r="AS844" s="763"/>
      <c r="AT844" s="763"/>
      <c r="AU844" s="763"/>
      <c r="AV844" s="763"/>
      <c r="AW844" s="763"/>
      <c r="AX844" s="763"/>
      <c r="AY844" s="763"/>
      <c r="AZ844" s="763"/>
      <c r="BA844" s="763"/>
      <c r="BB844" s="763"/>
      <c r="BC844" s="763"/>
      <c r="BD844" s="763"/>
      <c r="BE844" s="763"/>
      <c r="BF844" s="763"/>
      <c r="BG844" s="763" t="b">
        <f>IFERROR(__xludf.DUMMYFUNCTION("""COMPUTED_VALUE"""),TRUE)</f>
        <v>1</v>
      </c>
      <c r="BH844" s="763" t="b">
        <f>IFERROR(__xludf.DUMMYFUNCTION("""COMPUTED_VALUE"""),FALSE)</f>
        <v>0</v>
      </c>
      <c r="BI844" s="763" t="b">
        <f>IFERROR(__xludf.DUMMYFUNCTION("""COMPUTED_VALUE"""),TRUE)</f>
        <v>1</v>
      </c>
      <c r="BJ844" s="763" t="b">
        <f>IFERROR(__xludf.DUMMYFUNCTION("""COMPUTED_VALUE"""),TRUE)</f>
        <v>1</v>
      </c>
    </row>
    <row r="845">
      <c r="A845" s="763">
        <f>IFERROR(__xludf.DUMMYFUNCTION("""COMPUTED_VALUE"""),67257.0)</f>
        <v>67257</v>
      </c>
      <c r="B845" s="763">
        <f>IFERROR(__xludf.DUMMYFUNCTION("""COMPUTED_VALUE"""),67257.0)</f>
        <v>67257</v>
      </c>
      <c r="C845" s="763" t="str">
        <f>IFERROR(__xludf.DUMMYFUNCTION("""COMPUTED_VALUE"""),"2026-01-12 18:43:19")</f>
        <v>2026-01-12 18:43:19</v>
      </c>
      <c r="D845" s="763" t="str">
        <f>IFERROR(__xludf.DUMMYFUNCTION("""COMPUTED_VALUE"""),"completed")</f>
        <v>completed</v>
      </c>
      <c r="E845" s="763" t="str">
        <f>IFERROR(__xludf.DUMMYFUNCTION("""COMPUTED_VALUE"""),"Marica")</f>
        <v>Marica</v>
      </c>
      <c r="F845" s="763" t="str">
        <f>IFERROR(__xludf.DUMMYFUNCTION("""COMPUTED_VALUE"""),"Valvo")</f>
        <v>Valvo</v>
      </c>
      <c r="G845" s="763" t="str">
        <f>IFERROR(__xludf.DUMMYFUNCTION("""COMPUTED_VALUE"""),"marica.valvo@hotmail.com")</f>
        <v>marica.valvo@hotmail.com</v>
      </c>
      <c r="H845" s="763">
        <f>IFERROR(__xludf.DUMMYFUNCTION("""COMPUTED_VALUE"""),3.477446422E9)</f>
        <v>3477446422</v>
      </c>
      <c r="I845" s="763" t="str">
        <f>IFERROR(__xludf.DUMMYFUNCTION("""COMPUTED_VALUE"""),"Milano")</f>
        <v>Milano</v>
      </c>
      <c r="J845" s="763" t="str">
        <f>IFERROR(__xludf.DUMMYFUNCTION("""COMPUTED_VALUE"""),"Via Vodice 13")</f>
        <v>Via Vodice 13</v>
      </c>
      <c r="K845" s="763">
        <f>IFERROR(__xludf.DUMMYFUNCTION("""COMPUTED_VALUE"""),20124.0)</f>
        <v>20124</v>
      </c>
      <c r="L845" s="763"/>
      <c r="M845" s="763"/>
      <c r="N845" s="763"/>
      <c r="O845" s="763">
        <f>IFERROR(__xludf.DUMMYFUNCTION("""COMPUTED_VALUE"""),0.0)</f>
        <v>0</v>
      </c>
      <c r="P845" s="767">
        <f>IFERROR(__xludf.DUMMYFUNCTION("""COMPUTED_VALUE"""),0.0)</f>
        <v>0</v>
      </c>
      <c r="Q845" s="763" t="str">
        <f>IFERROR(__xludf.DUMMYFUNCTION("""COMPUTED_VALUE"""),"EUR")</f>
        <v>EUR</v>
      </c>
      <c r="R845" s="763">
        <f>IFERROR(__xludf.DUMMYFUNCTION("""COMPUTED_VALUE"""),1536.0)</f>
        <v>1536</v>
      </c>
      <c r="S845" s="763" t="str">
        <f>IFERROR(__xludf.DUMMYFUNCTION("""COMPUTED_VALUE"""),"Domeniche in movimento - Gratuito per open fitness e open mattino 1 lezione dalle 10 alle 10.50")</f>
        <v>Domeniche in movimento - Gratuito per open fitness e open mattino 1 lezione dalle 10 alle 10.50</v>
      </c>
      <c r="T845" s="763"/>
      <c r="U845" s="763"/>
      <c r="V845" s="763">
        <f>IFERROR(__xludf.DUMMYFUNCTION("""COMPUTED_VALUE"""),1.0)</f>
        <v>1</v>
      </c>
      <c r="W845" s="763">
        <f>IFERROR(__xludf.DUMMYFUNCTION("""COMPUTED_VALUE"""),0.0)</f>
        <v>0</v>
      </c>
      <c r="X845" s="763">
        <f>IFERROR(__xludf.DUMMYFUNCTION("""COMPUTED_VALUE"""),0.0)</f>
        <v>0</v>
      </c>
      <c r="Y845" s="763"/>
      <c r="Z845" s="768" t="str">
        <f>IFERROR(__xludf.DUMMYFUNCTION("""COMPUTED_VALUE"""),"https://studio-gem.it/wp-admin/post.php?post=67257&amp;action=edit")</f>
        <v>https://studio-gem.it/wp-admin/post.php?post=67257&amp;action=edit</v>
      </c>
      <c r="AA845" s="763"/>
      <c r="AB845" s="763"/>
      <c r="AC845" s="763"/>
      <c r="AD845" s="763"/>
      <c r="AE845" s="763"/>
      <c r="AF845" s="763"/>
      <c r="AG845" s="763"/>
      <c r="AH845" s="763"/>
      <c r="AI845" s="763"/>
      <c r="AJ845" s="763"/>
      <c r="AK845" s="763"/>
      <c r="AL845" s="763"/>
      <c r="AM845" s="763"/>
      <c r="AN845" s="763"/>
      <c r="AO845" s="763"/>
      <c r="AP845" s="763"/>
      <c r="AQ845" s="763"/>
      <c r="AR845" s="763"/>
      <c r="AS845" s="763"/>
      <c r="AT845" s="763"/>
      <c r="AU845" s="763"/>
      <c r="AV845" s="763"/>
      <c r="AW845" s="763"/>
      <c r="AX845" s="763"/>
      <c r="AY845" s="763"/>
      <c r="AZ845" s="763"/>
      <c r="BA845" s="763"/>
      <c r="BB845" s="763"/>
      <c r="BC845" s="763"/>
      <c r="BD845" s="763"/>
      <c r="BE845" s="763"/>
      <c r="BF845" s="763"/>
      <c r="BG845" s="763" t="b">
        <f>IFERROR(__xludf.DUMMYFUNCTION("""COMPUTED_VALUE"""),FALSE)</f>
        <v>0</v>
      </c>
      <c r="BH845" s="763" t="b">
        <f>IFERROR(__xludf.DUMMYFUNCTION("""COMPUTED_VALUE"""),FALSE)</f>
        <v>0</v>
      </c>
      <c r="BI845" s="763" t="b">
        <f>IFERROR(__xludf.DUMMYFUNCTION("""COMPUTED_VALUE"""),TRUE)</f>
        <v>1</v>
      </c>
      <c r="BJ845" s="763" t="b">
        <f>IFERROR(__xludf.DUMMYFUNCTION("""COMPUTED_VALUE"""),TRUE)</f>
        <v>1</v>
      </c>
    </row>
    <row r="846">
      <c r="A846" s="763">
        <f>IFERROR(__xludf.DUMMYFUNCTION("""COMPUTED_VALUE"""),67257.0)</f>
        <v>67257</v>
      </c>
      <c r="B846" s="763">
        <f>IFERROR(__xludf.DUMMYFUNCTION("""COMPUTED_VALUE"""),67257.0)</f>
        <v>67257</v>
      </c>
      <c r="C846" s="763" t="str">
        <f>IFERROR(__xludf.DUMMYFUNCTION("""COMPUTED_VALUE"""),"2026-01-12 18:43:19")</f>
        <v>2026-01-12 18:43:19</v>
      </c>
      <c r="D846" s="763" t="str">
        <f>IFERROR(__xludf.DUMMYFUNCTION("""COMPUTED_VALUE"""),"completed")</f>
        <v>completed</v>
      </c>
      <c r="E846" s="763" t="str">
        <f>IFERROR(__xludf.DUMMYFUNCTION("""COMPUTED_VALUE"""),"Marica")</f>
        <v>Marica</v>
      </c>
      <c r="F846" s="763" t="str">
        <f>IFERROR(__xludf.DUMMYFUNCTION("""COMPUTED_VALUE"""),"Valvo")</f>
        <v>Valvo</v>
      </c>
      <c r="G846" s="763" t="str">
        <f>IFERROR(__xludf.DUMMYFUNCTION("""COMPUTED_VALUE"""),"marica.valvo@hotmail.com")</f>
        <v>marica.valvo@hotmail.com</v>
      </c>
      <c r="H846" s="763">
        <f>IFERROR(__xludf.DUMMYFUNCTION("""COMPUTED_VALUE"""),3.477446422E9)</f>
        <v>3477446422</v>
      </c>
      <c r="I846" s="763" t="str">
        <f>IFERROR(__xludf.DUMMYFUNCTION("""COMPUTED_VALUE"""),"Milano")</f>
        <v>Milano</v>
      </c>
      <c r="J846" s="763" t="str">
        <f>IFERROR(__xludf.DUMMYFUNCTION("""COMPUTED_VALUE"""),"Via Vodice 13")</f>
        <v>Via Vodice 13</v>
      </c>
      <c r="K846" s="763">
        <f>IFERROR(__xludf.DUMMYFUNCTION("""COMPUTED_VALUE"""),20124.0)</f>
        <v>20124</v>
      </c>
      <c r="L846" s="763"/>
      <c r="M846" s="763"/>
      <c r="N846" s="763"/>
      <c r="O846" s="763">
        <f>IFERROR(__xludf.DUMMYFUNCTION("""COMPUTED_VALUE"""),0.0)</f>
        <v>0</v>
      </c>
      <c r="P846" s="767">
        <f>IFERROR(__xludf.DUMMYFUNCTION("""COMPUTED_VALUE"""),0.0)</f>
        <v>0</v>
      </c>
      <c r="Q846" s="763" t="str">
        <f>IFERROR(__xludf.DUMMYFUNCTION("""COMPUTED_VALUE"""),"EUR")</f>
        <v>EUR</v>
      </c>
      <c r="R846" s="763">
        <f>IFERROR(__xludf.DUMMYFUNCTION("""COMPUTED_VALUE"""),1537.0)</f>
        <v>1537</v>
      </c>
      <c r="S846" s="763" t="str">
        <f>IFERROR(__xludf.DUMMYFUNCTION("""COMPUTED_VALUE"""),"Domeniche in movimento - Gratuito per open fitness e open mattino 1 lezione dalle 11 alle 11.50")</f>
        <v>Domeniche in movimento - Gratuito per open fitness e open mattino 1 lezione dalle 11 alle 11.50</v>
      </c>
      <c r="T846" s="763"/>
      <c r="U846" s="763"/>
      <c r="V846" s="763">
        <f>IFERROR(__xludf.DUMMYFUNCTION("""COMPUTED_VALUE"""),1.0)</f>
        <v>1</v>
      </c>
      <c r="W846" s="763">
        <f>IFERROR(__xludf.DUMMYFUNCTION("""COMPUTED_VALUE"""),0.0)</f>
        <v>0</v>
      </c>
      <c r="X846" s="763">
        <f>IFERROR(__xludf.DUMMYFUNCTION("""COMPUTED_VALUE"""),0.0)</f>
        <v>0</v>
      </c>
      <c r="Y846" s="763"/>
      <c r="Z846" s="768" t="str">
        <f>IFERROR(__xludf.DUMMYFUNCTION("""COMPUTED_VALUE"""),"https://studio-gem.it/wp-admin/post.php?post=67257&amp;action=edit")</f>
        <v>https://studio-gem.it/wp-admin/post.php?post=67257&amp;action=edit</v>
      </c>
      <c r="AA846" s="763"/>
      <c r="AB846" s="763"/>
      <c r="AC846" s="763"/>
      <c r="AD846" s="763"/>
      <c r="AE846" s="763"/>
      <c r="AF846" s="763"/>
      <c r="AG846" s="763"/>
      <c r="AH846" s="763"/>
      <c r="AI846" s="763"/>
      <c r="AJ846" s="763"/>
      <c r="AK846" s="763"/>
      <c r="AL846" s="763"/>
      <c r="AM846" s="763"/>
      <c r="AN846" s="763"/>
      <c r="AO846" s="763"/>
      <c r="AP846" s="763"/>
      <c r="AQ846" s="763"/>
      <c r="AR846" s="763"/>
      <c r="AS846" s="763"/>
      <c r="AT846" s="763"/>
      <c r="AU846" s="763"/>
      <c r="AV846" s="763"/>
      <c r="AW846" s="763"/>
      <c r="AX846" s="763"/>
      <c r="AY846" s="763"/>
      <c r="AZ846" s="763"/>
      <c r="BA846" s="763"/>
      <c r="BB846" s="763"/>
      <c r="BC846" s="763"/>
      <c r="BD846" s="763"/>
      <c r="BE846" s="763"/>
      <c r="BF846" s="763"/>
      <c r="BG846" s="763" t="b">
        <f>IFERROR(__xludf.DUMMYFUNCTION("""COMPUTED_VALUE"""),FALSE)</f>
        <v>0</v>
      </c>
      <c r="BH846" s="763" t="b">
        <f>IFERROR(__xludf.DUMMYFUNCTION("""COMPUTED_VALUE"""),FALSE)</f>
        <v>0</v>
      </c>
      <c r="BI846" s="763" t="b">
        <f>IFERROR(__xludf.DUMMYFUNCTION("""COMPUTED_VALUE"""),TRUE)</f>
        <v>1</v>
      </c>
      <c r="BJ846" s="763" t="b">
        <f>IFERROR(__xludf.DUMMYFUNCTION("""COMPUTED_VALUE"""),TRUE)</f>
        <v>1</v>
      </c>
    </row>
    <row r="847">
      <c r="A847" s="763">
        <f>IFERROR(__xludf.DUMMYFUNCTION("""COMPUTED_VALUE"""),67261.0)</f>
        <v>67261</v>
      </c>
      <c r="B847" s="763">
        <f>IFERROR(__xludf.DUMMYFUNCTION("""COMPUTED_VALUE"""),67261.0)</f>
        <v>67261</v>
      </c>
      <c r="C847" s="763" t="str">
        <f>IFERROR(__xludf.DUMMYFUNCTION("""COMPUTED_VALUE"""),"2026-01-13 08:49:23")</f>
        <v>2026-01-13 08:49:23</v>
      </c>
      <c r="D847" s="763" t="str">
        <f>IFERROR(__xludf.DUMMYFUNCTION("""COMPUTED_VALUE"""),"completed")</f>
        <v>completed</v>
      </c>
      <c r="E847" s="763" t="str">
        <f>IFERROR(__xludf.DUMMYFUNCTION("""COMPUTED_VALUE"""),"Alessandro")</f>
        <v>Alessandro</v>
      </c>
      <c r="F847" s="763" t="str">
        <f>IFERROR(__xludf.DUMMYFUNCTION("""COMPUTED_VALUE"""),"Marzanatti")</f>
        <v>Marzanatti</v>
      </c>
      <c r="G847" s="763" t="str">
        <f>IFERROR(__xludf.DUMMYFUNCTION("""COMPUTED_VALUE"""),"alessandro.marzanatti@fastwebnet.it")</f>
        <v>alessandro.marzanatti@fastwebnet.it</v>
      </c>
      <c r="H847" s="763">
        <f>IFERROR(__xludf.DUMMYFUNCTION("""COMPUTED_VALUE"""),3.48393623E9)</f>
        <v>3483936230</v>
      </c>
      <c r="I847" s="763" t="str">
        <f>IFERROR(__xludf.DUMMYFUNCTION("""COMPUTED_VALUE"""),"Misinto")</f>
        <v>Misinto</v>
      </c>
      <c r="J847" s="763" t="str">
        <f>IFERROR(__xludf.DUMMYFUNCTION("""COMPUTED_VALUE"""),"Via Santa Caterina 17")</f>
        <v>Via Santa Caterina 17</v>
      </c>
      <c r="K847" s="763">
        <f>IFERROR(__xludf.DUMMYFUNCTION("""COMPUTED_VALUE"""),20826.0)</f>
        <v>20826</v>
      </c>
      <c r="L847" s="763" t="str">
        <f>IFERROR(__xludf.DUMMYFUNCTION("""COMPUTED_VALUE"""),"Google Pay")</f>
        <v>Google Pay</v>
      </c>
      <c r="M847" s="763" t="str">
        <f>IFERROR(__xludf.DUMMYFUNCTION("""COMPUTED_VALUE"""),"estefany02ws")</f>
        <v>estefany02ws</v>
      </c>
      <c r="N847" s="763" t="str">
        <f>IFERROR(__xludf.DUMMYFUNCTION("""COMPUTED_VALUE"""),"67261-1768294165")</f>
        <v>67261-1768294165</v>
      </c>
      <c r="O847" s="763">
        <f>IFERROR(__xludf.DUMMYFUNCTION("""COMPUTED_VALUE"""),0.0)</f>
        <v>0</v>
      </c>
      <c r="P847" s="767">
        <f>IFERROR(__xludf.DUMMYFUNCTION("""COMPUTED_VALUE"""),1.7916666666666667)</f>
        <v>1.791666667</v>
      </c>
      <c r="Q847" s="763" t="str">
        <f>IFERROR(__xludf.DUMMYFUNCTION("""COMPUTED_VALUE"""),"EUR")</f>
        <v>EUR</v>
      </c>
      <c r="R847" s="763">
        <f>IFERROR(__xludf.DUMMYFUNCTION("""COMPUTED_VALUE"""),1538.0)</f>
        <v>1538</v>
      </c>
      <c r="S847" s="763" t="str">
        <f>IFERROR(__xludf.DUMMYFUNCTION("""COMPUTED_VALUE"""),"Workshop Hip Hop Emanuel Lo 2026 - Workshop Emanuel Lo 22 febbraio 2026")</f>
        <v>Workshop Hip Hop Emanuel Lo 2026 - Workshop Emanuel Lo 22 febbraio 2026</v>
      </c>
      <c r="T847" s="763"/>
      <c r="U847" s="763"/>
      <c r="V847" s="763">
        <f>IFERROR(__xludf.DUMMYFUNCTION("""COMPUTED_VALUE"""),1.0)</f>
        <v>1</v>
      </c>
      <c r="W847" s="763">
        <f>IFERROR(__xludf.DUMMYFUNCTION("""COMPUTED_VALUE"""),43.0)</f>
        <v>43</v>
      </c>
      <c r="X847" s="763">
        <f>IFERROR(__xludf.DUMMYFUNCTION("""COMPUTED_VALUE"""),43.0)</f>
        <v>43</v>
      </c>
      <c r="Y847" s="763"/>
      <c r="Z847" s="768" t="str">
        <f>IFERROR(__xludf.DUMMYFUNCTION("""COMPUTED_VALUE"""),"https://studio-gem.it/wp-admin/post.php?post=67261&amp;action=edit")</f>
        <v>https://studio-gem.it/wp-admin/post.php?post=67261&amp;action=edit</v>
      </c>
      <c r="AA847" s="763"/>
      <c r="AB847" s="763"/>
      <c r="AC847" s="763"/>
      <c r="AD847" s="763"/>
      <c r="AE847" s="763"/>
      <c r="AF847" s="763"/>
      <c r="AG847" s="763"/>
      <c r="AH847" s="763"/>
      <c r="AI847" s="763"/>
      <c r="AJ847" s="763"/>
      <c r="AK847" s="763"/>
      <c r="AL847" s="763"/>
      <c r="AM847" s="763"/>
      <c r="AN847" s="763"/>
      <c r="AO847" s="763"/>
      <c r="AP847" s="763"/>
      <c r="AQ847" s="763"/>
      <c r="AR847" s="763"/>
      <c r="AS847" s="763"/>
      <c r="AT847" s="763"/>
      <c r="AU847" s="763"/>
      <c r="AV847" s="763"/>
      <c r="AW847" s="763"/>
      <c r="AX847" s="763"/>
      <c r="AY847" s="763"/>
      <c r="AZ847" s="763"/>
      <c r="BA847" s="763"/>
      <c r="BB847" s="763"/>
      <c r="BC847" s="763"/>
      <c r="BD847" s="763"/>
      <c r="BE847" s="763"/>
      <c r="BF847" s="763"/>
      <c r="BG847" s="763" t="b">
        <f>IFERROR(__xludf.DUMMYFUNCTION("""COMPUTED_VALUE"""),TRUE)</f>
        <v>1</v>
      </c>
      <c r="BH847" s="763" t="b">
        <f>IFERROR(__xludf.DUMMYFUNCTION("""COMPUTED_VALUE"""),FALSE)</f>
        <v>0</v>
      </c>
      <c r="BI847" s="763" t="b">
        <f>IFERROR(__xludf.DUMMYFUNCTION("""COMPUTED_VALUE"""),TRUE)</f>
        <v>1</v>
      </c>
      <c r="BJ847" s="763" t="b">
        <f>IFERROR(__xludf.DUMMYFUNCTION("""COMPUTED_VALUE"""),TRUE)</f>
        <v>1</v>
      </c>
    </row>
    <row r="848">
      <c r="A848" s="763">
        <f>IFERROR(__xludf.DUMMYFUNCTION("""COMPUTED_VALUE"""),67336.0)</f>
        <v>67336</v>
      </c>
      <c r="B848" s="763">
        <f>IFERROR(__xludf.DUMMYFUNCTION("""COMPUTED_VALUE"""),67336.0)</f>
        <v>67336</v>
      </c>
      <c r="C848" s="763" t="str">
        <f>IFERROR(__xludf.DUMMYFUNCTION("""COMPUTED_VALUE"""),"2026-01-14 16:08:29")</f>
        <v>2026-01-14 16:08:29</v>
      </c>
      <c r="D848" s="763" t="str">
        <f>IFERROR(__xludf.DUMMYFUNCTION("""COMPUTED_VALUE"""),"completed")</f>
        <v>completed</v>
      </c>
      <c r="E848" s="763" t="str">
        <f>IFERROR(__xludf.DUMMYFUNCTION("""COMPUTED_VALUE"""),"Katia")</f>
        <v>Katia</v>
      </c>
      <c r="F848" s="763" t="str">
        <f>IFERROR(__xludf.DUMMYFUNCTION("""COMPUTED_VALUE"""),"Vossio")</f>
        <v>Vossio</v>
      </c>
      <c r="G848" s="763" t="str">
        <f>IFERROR(__xludf.DUMMYFUNCTION("""COMPUTED_VALUE"""),"katia.vossio@katamail.com")</f>
        <v>katia.vossio@katamail.com</v>
      </c>
      <c r="H848" s="763">
        <f>IFERROR(__xludf.DUMMYFUNCTION("""COMPUTED_VALUE"""),3.478540691E9)</f>
        <v>3478540691</v>
      </c>
      <c r="I848" s="763" t="str">
        <f>IFERROR(__xludf.DUMMYFUNCTION("""COMPUTED_VALUE"""),"Milano")</f>
        <v>Milano</v>
      </c>
      <c r="J848" s="763" t="str">
        <f>IFERROR(__xludf.DUMMYFUNCTION("""COMPUTED_VALUE"""),"Via Santa Sofia 22")</f>
        <v>Via Santa Sofia 22</v>
      </c>
      <c r="K848" s="763">
        <f>IFERROR(__xludf.DUMMYFUNCTION("""COMPUTED_VALUE"""),20122.0)</f>
        <v>20122</v>
      </c>
      <c r="L848" s="763"/>
      <c r="M848" s="763"/>
      <c r="N848" s="763"/>
      <c r="O848" s="763">
        <f>IFERROR(__xludf.DUMMYFUNCTION("""COMPUTED_VALUE"""),0.0)</f>
        <v>0</v>
      </c>
      <c r="P848" s="767">
        <f>IFERROR(__xludf.DUMMYFUNCTION("""COMPUTED_VALUE"""),0.0)</f>
        <v>0</v>
      </c>
      <c r="Q848" s="763" t="str">
        <f>IFERROR(__xludf.DUMMYFUNCTION("""COMPUTED_VALUE"""),"EUR")</f>
        <v>EUR</v>
      </c>
      <c r="R848" s="763">
        <f>IFERROR(__xludf.DUMMYFUNCTION("""COMPUTED_VALUE"""),1540.0)</f>
        <v>1540</v>
      </c>
      <c r="S848" s="763" t="str">
        <f>IFERROR(__xludf.DUMMYFUNCTION("""COMPUTED_VALUE"""),"Domeniche in movimento - Gratuito per open fitness e open mattino 2 lezioni dalle 10 alle 11.50")</f>
        <v>Domeniche in movimento - Gratuito per open fitness e open mattino 2 lezioni dalle 10 alle 11.50</v>
      </c>
      <c r="T848" s="763"/>
      <c r="U848" s="763"/>
      <c r="V848" s="763">
        <f>IFERROR(__xludf.DUMMYFUNCTION("""COMPUTED_VALUE"""),1.0)</f>
        <v>1</v>
      </c>
      <c r="W848" s="763">
        <f>IFERROR(__xludf.DUMMYFUNCTION("""COMPUTED_VALUE"""),0.0)</f>
        <v>0</v>
      </c>
      <c r="X848" s="763">
        <f>IFERROR(__xludf.DUMMYFUNCTION("""COMPUTED_VALUE"""),0.0)</f>
        <v>0</v>
      </c>
      <c r="Y848" s="763"/>
      <c r="Z848" s="768" t="str">
        <f>IFERROR(__xludf.DUMMYFUNCTION("""COMPUTED_VALUE"""),"https://studio-gem.it/wp-admin/post.php?post=67336&amp;action=edit")</f>
        <v>https://studio-gem.it/wp-admin/post.php?post=67336&amp;action=edit</v>
      </c>
      <c r="AA848" s="763"/>
      <c r="AB848" s="763"/>
      <c r="AC848" s="763"/>
      <c r="AD848" s="763"/>
      <c r="AE848" s="763"/>
      <c r="AF848" s="763"/>
      <c r="AG848" s="763"/>
      <c r="AH848" s="763"/>
      <c r="AI848" s="763"/>
      <c r="AJ848" s="763"/>
      <c r="AK848" s="763"/>
      <c r="AL848" s="763"/>
      <c r="AM848" s="763"/>
      <c r="AN848" s="763"/>
      <c r="AO848" s="763"/>
      <c r="AP848" s="763"/>
      <c r="AQ848" s="763"/>
      <c r="AR848" s="763"/>
      <c r="AS848" s="763"/>
      <c r="AT848" s="763"/>
      <c r="AU848" s="763"/>
      <c r="AV848" s="763"/>
      <c r="AW848" s="763"/>
      <c r="AX848" s="763"/>
      <c r="AY848" s="763"/>
      <c r="AZ848" s="763"/>
      <c r="BA848" s="763"/>
      <c r="BB848" s="763"/>
      <c r="BC848" s="763"/>
      <c r="BD848" s="763"/>
      <c r="BE848" s="763"/>
      <c r="BF848" s="763"/>
      <c r="BG848" s="763" t="b">
        <f>IFERROR(__xludf.DUMMYFUNCTION("""COMPUTED_VALUE"""),TRUE)</f>
        <v>1</v>
      </c>
      <c r="BH848" s="763" t="b">
        <f>IFERROR(__xludf.DUMMYFUNCTION("""COMPUTED_VALUE"""),FALSE)</f>
        <v>0</v>
      </c>
      <c r="BI848" s="763" t="b">
        <f>IFERROR(__xludf.DUMMYFUNCTION("""COMPUTED_VALUE"""),TRUE)</f>
        <v>1</v>
      </c>
      <c r="BJ848" s="763" t="b">
        <f>IFERROR(__xludf.DUMMYFUNCTION("""COMPUTED_VALUE"""),TRUE)</f>
        <v>1</v>
      </c>
    </row>
    <row r="849">
      <c r="A849" s="763">
        <f>IFERROR(__xludf.DUMMYFUNCTION("""COMPUTED_VALUE"""),67342.0)</f>
        <v>67342</v>
      </c>
      <c r="B849" s="763">
        <f>IFERROR(__xludf.DUMMYFUNCTION("""COMPUTED_VALUE"""),67342.0)</f>
        <v>67342</v>
      </c>
      <c r="C849" s="763" t="str">
        <f>IFERROR(__xludf.DUMMYFUNCTION("""COMPUTED_VALUE"""),"2026-01-14 19:55:55")</f>
        <v>2026-01-14 19:55:55</v>
      </c>
      <c r="D849" s="763" t="str">
        <f>IFERROR(__xludf.DUMMYFUNCTION("""COMPUTED_VALUE"""),"completed")</f>
        <v>completed</v>
      </c>
      <c r="E849" s="763" t="str">
        <f>IFERROR(__xludf.DUMMYFUNCTION("""COMPUTED_VALUE"""),"Michael")</f>
        <v>Michael</v>
      </c>
      <c r="F849" s="763" t="str">
        <f>IFERROR(__xludf.DUMMYFUNCTION("""COMPUTED_VALUE"""),"Pesce")</f>
        <v>Pesce</v>
      </c>
      <c r="G849" s="763" t="str">
        <f>IFERROR(__xludf.DUMMYFUNCTION("""COMPUTED_VALUE"""),"michael.fish003@gmail.com")</f>
        <v>michael.fish003@gmail.com</v>
      </c>
      <c r="H849" s="763">
        <f>IFERROR(__xludf.DUMMYFUNCTION("""COMPUTED_VALUE"""),3.925526799E9)</f>
        <v>3925526799</v>
      </c>
      <c r="I849" s="763" t="str">
        <f>IFERROR(__xludf.DUMMYFUNCTION("""COMPUTED_VALUE"""),"Verona")</f>
        <v>Verona</v>
      </c>
      <c r="J849" s="763" t="str">
        <f>IFERROR(__xludf.DUMMYFUNCTION("""COMPUTED_VALUE"""),"via Malfer 25")</f>
        <v>via Malfer 25</v>
      </c>
      <c r="K849" s="763">
        <f>IFERROR(__xludf.DUMMYFUNCTION("""COMPUTED_VALUE"""),37135.0)</f>
        <v>37135</v>
      </c>
      <c r="L849" s="763" t="str">
        <f>IFERROR(__xludf.DUMMYFUNCTION("""COMPUTED_VALUE"""),"Carte di pagamento")</f>
        <v>Carte di pagamento</v>
      </c>
      <c r="M849" s="763"/>
      <c r="N849" s="763" t="str">
        <f>IFERROR(__xludf.DUMMYFUNCTION("""COMPUTED_VALUE"""),"67342-1768420557")</f>
        <v>67342-1768420557</v>
      </c>
      <c r="O849" s="763">
        <f>IFERROR(__xludf.DUMMYFUNCTION("""COMPUTED_VALUE"""),0.0)</f>
        <v>0</v>
      </c>
      <c r="P849" s="767">
        <f>IFERROR(__xludf.DUMMYFUNCTION("""COMPUTED_VALUE"""),1.875)</f>
        <v>1.875</v>
      </c>
      <c r="Q849" s="763" t="str">
        <f>IFERROR(__xludf.DUMMYFUNCTION("""COMPUTED_VALUE"""),"EUR")</f>
        <v>EUR</v>
      </c>
      <c r="R849" s="763">
        <f>IFERROR(__xludf.DUMMYFUNCTION("""COMPUTED_VALUE"""),1541.0)</f>
        <v>1541</v>
      </c>
      <c r="S849" s="763" t="str">
        <f>IFERROR(__xludf.DUMMYFUNCTION("""COMPUTED_VALUE"""),"Workshop Hip Hop Emanuel Lo 2026 - Workshop Emanuel Lo 22 febbraio 2026")</f>
        <v>Workshop Hip Hop Emanuel Lo 2026 - Workshop Emanuel Lo 22 febbraio 2026</v>
      </c>
      <c r="T849" s="763"/>
      <c r="U849" s="763"/>
      <c r="V849" s="763">
        <f>IFERROR(__xludf.DUMMYFUNCTION("""COMPUTED_VALUE"""),1.0)</f>
        <v>1</v>
      </c>
      <c r="W849" s="763">
        <f>IFERROR(__xludf.DUMMYFUNCTION("""COMPUTED_VALUE"""),45.0)</f>
        <v>45</v>
      </c>
      <c r="X849" s="763">
        <f>IFERROR(__xludf.DUMMYFUNCTION("""COMPUTED_VALUE"""),45.0)</f>
        <v>45</v>
      </c>
      <c r="Y849" s="763"/>
      <c r="Z849" s="768" t="str">
        <f>IFERROR(__xludf.DUMMYFUNCTION("""COMPUTED_VALUE"""),"https://studio-gem.it/wp-admin/post.php?post=67342&amp;action=edit")</f>
        <v>https://studio-gem.it/wp-admin/post.php?post=67342&amp;action=edit</v>
      </c>
      <c r="AA849" s="763"/>
      <c r="AB849" s="763"/>
      <c r="AC849" s="763"/>
      <c r="AD849" s="763"/>
      <c r="AE849" s="763"/>
      <c r="AF849" s="763"/>
      <c r="AG849" s="763"/>
      <c r="AH849" s="763"/>
      <c r="AI849" s="763"/>
      <c r="AJ849" s="763"/>
      <c r="AK849" s="763"/>
      <c r="AL849" s="763"/>
      <c r="AM849" s="763"/>
      <c r="AN849" s="763"/>
      <c r="AO849" s="763"/>
      <c r="AP849" s="763"/>
      <c r="AQ849" s="763"/>
      <c r="AR849" s="763"/>
      <c r="AS849" s="763"/>
      <c r="AT849" s="763"/>
      <c r="AU849" s="763"/>
      <c r="AV849" s="763"/>
      <c r="AW849" s="763"/>
      <c r="AX849" s="763"/>
      <c r="AY849" s="763"/>
      <c r="AZ849" s="763"/>
      <c r="BA849" s="763"/>
      <c r="BB849" s="763"/>
      <c r="BC849" s="763"/>
      <c r="BD849" s="763"/>
      <c r="BE849" s="763"/>
      <c r="BF849" s="763"/>
      <c r="BG849" s="763" t="b">
        <f>IFERROR(__xludf.DUMMYFUNCTION("""COMPUTED_VALUE"""),TRUE)</f>
        <v>1</v>
      </c>
      <c r="BH849" s="763" t="b">
        <f>IFERROR(__xludf.DUMMYFUNCTION("""COMPUTED_VALUE"""),FALSE)</f>
        <v>0</v>
      </c>
      <c r="BI849" s="763" t="b">
        <f>IFERROR(__xludf.DUMMYFUNCTION("""COMPUTED_VALUE"""),TRUE)</f>
        <v>1</v>
      </c>
      <c r="BJ849" s="763" t="b">
        <f>IFERROR(__xludf.DUMMYFUNCTION("""COMPUTED_VALUE"""),TRUE)</f>
        <v>1</v>
      </c>
    </row>
    <row r="850">
      <c r="A850" s="763">
        <f>IFERROR(__xludf.DUMMYFUNCTION("""COMPUTED_VALUE"""),67344.0)</f>
        <v>67344</v>
      </c>
      <c r="B850" s="763">
        <f>IFERROR(__xludf.DUMMYFUNCTION("""COMPUTED_VALUE"""),67344.0)</f>
        <v>67344</v>
      </c>
      <c r="C850" s="763" t="str">
        <f>IFERROR(__xludf.DUMMYFUNCTION("""COMPUTED_VALUE"""),"2026-01-14 23:18:47")</f>
        <v>2026-01-14 23:18:47</v>
      </c>
      <c r="D850" s="763" t="str">
        <f>IFERROR(__xludf.DUMMYFUNCTION("""COMPUTED_VALUE"""),"cancelled")</f>
        <v>cancelled</v>
      </c>
      <c r="E850" s="763" t="str">
        <f>IFERROR(__xludf.DUMMYFUNCTION("""COMPUTED_VALUE"""),"Agnese")</f>
        <v>Agnese</v>
      </c>
      <c r="F850" s="763" t="str">
        <f>IFERROR(__xludf.DUMMYFUNCTION("""COMPUTED_VALUE"""),"Cristaudo")</f>
        <v>Cristaudo</v>
      </c>
      <c r="G850" s="763" t="str">
        <f>IFERROR(__xludf.DUMMYFUNCTION("""COMPUTED_VALUE"""),"cristaudoagnese@gmail.com")</f>
        <v>cristaudoagnese@gmail.com</v>
      </c>
      <c r="H850" s="763">
        <f>IFERROR(__xludf.DUMMYFUNCTION("""COMPUTED_VALUE"""),3.347564404E9)</f>
        <v>3347564404</v>
      </c>
      <c r="I850" s="763" t="str">
        <f>IFERROR(__xludf.DUMMYFUNCTION("""COMPUTED_VALUE"""),"Milano")</f>
        <v>Milano</v>
      </c>
      <c r="J850" s="763" t="str">
        <f>IFERROR(__xludf.DUMMYFUNCTION("""COMPUTED_VALUE"""),"Vía Marco Greppi 10")</f>
        <v>Vía Marco Greppi 10</v>
      </c>
      <c r="K850" s="763">
        <f>IFERROR(__xludf.DUMMYFUNCTION("""COMPUTED_VALUE"""),20135.0)</f>
        <v>20135</v>
      </c>
      <c r="L850" s="763" t="str">
        <f>IFERROR(__xludf.DUMMYFUNCTION("""COMPUTED_VALUE"""),"Apple Pay")</f>
        <v>Apple Pay</v>
      </c>
      <c r="M850" s="763"/>
      <c r="N850" s="763"/>
      <c r="O850" s="763">
        <f>IFERROR(__xludf.DUMMYFUNCTION("""COMPUTED_VALUE"""),0.0)</f>
        <v>0</v>
      </c>
      <c r="P850" s="767">
        <f>IFERROR(__xludf.DUMMYFUNCTION("""COMPUTED_VALUE"""),1.875)</f>
        <v>1.875</v>
      </c>
      <c r="Q850" s="763" t="str">
        <f>IFERROR(__xludf.DUMMYFUNCTION("""COMPUTED_VALUE"""),"EUR")</f>
        <v>EUR</v>
      </c>
      <c r="R850" s="763">
        <f>IFERROR(__xludf.DUMMYFUNCTION("""COMPUTED_VALUE"""),1542.0)</f>
        <v>1542</v>
      </c>
      <c r="S850" s="763" t="str">
        <f>IFERROR(__xludf.DUMMYFUNCTION("""COMPUTED_VALUE"""),"Workshop Hip Hop Emanuel Lo 2026 - Workshop Emanuel Lo 22 febbraio 2026")</f>
        <v>Workshop Hip Hop Emanuel Lo 2026 - Workshop Emanuel Lo 22 febbraio 2026</v>
      </c>
      <c r="T850" s="763"/>
      <c r="U850" s="763"/>
      <c r="V850" s="763">
        <f>IFERROR(__xludf.DUMMYFUNCTION("""COMPUTED_VALUE"""),1.0)</f>
        <v>1</v>
      </c>
      <c r="W850" s="763">
        <f>IFERROR(__xludf.DUMMYFUNCTION("""COMPUTED_VALUE"""),45.0)</f>
        <v>45</v>
      </c>
      <c r="X850" s="763">
        <f>IFERROR(__xludf.DUMMYFUNCTION("""COMPUTED_VALUE"""),45.0)</f>
        <v>45</v>
      </c>
      <c r="Y850" s="763"/>
      <c r="Z850" s="768" t="str">
        <f>IFERROR(__xludf.DUMMYFUNCTION("""COMPUTED_VALUE"""),"https://studio-gem.it/wp-admin/post.php?post=67344&amp;action=edit")</f>
        <v>https://studio-gem.it/wp-admin/post.php?post=67344&amp;action=edit</v>
      </c>
      <c r="AA850" s="763"/>
      <c r="AB850" s="763"/>
      <c r="AC850" s="763"/>
      <c r="AD850" s="763"/>
      <c r="AE850" s="763"/>
      <c r="AF850" s="763"/>
      <c r="AG850" s="763"/>
      <c r="AH850" s="763"/>
      <c r="AI850" s="763"/>
      <c r="AJ850" s="763"/>
      <c r="AK850" s="763"/>
      <c r="AL850" s="763"/>
      <c r="AM850" s="763"/>
      <c r="AN850" s="763"/>
      <c r="AO850" s="763"/>
      <c r="AP850" s="763"/>
      <c r="AQ850" s="763"/>
      <c r="AR850" s="763"/>
      <c r="AS850" s="763"/>
      <c r="AT850" s="763"/>
      <c r="AU850" s="763"/>
      <c r="AV850" s="763"/>
      <c r="AW850" s="763"/>
      <c r="AX850" s="763"/>
      <c r="AY850" s="763"/>
      <c r="AZ850" s="763"/>
      <c r="BA850" s="763"/>
      <c r="BB850" s="763"/>
      <c r="BC850" s="763"/>
      <c r="BD850" s="763"/>
      <c r="BE850" s="763"/>
      <c r="BF850" s="763"/>
      <c r="BG850" s="763" t="b">
        <f>IFERROR(__xludf.DUMMYFUNCTION("""COMPUTED_VALUE"""),FALSE)</f>
        <v>0</v>
      </c>
      <c r="BH850" s="763" t="b">
        <f>IFERROR(__xludf.DUMMYFUNCTION("""COMPUTED_VALUE"""),FALSE)</f>
        <v>0</v>
      </c>
      <c r="BI850" s="763" t="b">
        <f>IFERROR(__xludf.DUMMYFUNCTION("""COMPUTED_VALUE"""),FALSE)</f>
        <v>0</v>
      </c>
      <c r="BJ850" s="763" t="b">
        <f>IFERROR(__xludf.DUMMYFUNCTION("""COMPUTED_VALUE"""),FALSE)</f>
        <v>0</v>
      </c>
    </row>
    <row r="851">
      <c r="A851" s="763">
        <f>IFERROR(__xludf.DUMMYFUNCTION("""COMPUTED_VALUE"""),67345.0)</f>
        <v>67345</v>
      </c>
      <c r="B851" s="763">
        <f>IFERROR(__xludf.DUMMYFUNCTION("""COMPUTED_VALUE"""),67345.0)</f>
        <v>67345</v>
      </c>
      <c r="C851" s="763" t="str">
        <f>IFERROR(__xludf.DUMMYFUNCTION("""COMPUTED_VALUE"""),"2026-01-14 23:19:41")</f>
        <v>2026-01-14 23:19:41</v>
      </c>
      <c r="D851" s="763" t="str">
        <f>IFERROR(__xludf.DUMMYFUNCTION("""COMPUTED_VALUE"""),"completed")</f>
        <v>completed</v>
      </c>
      <c r="E851" s="763" t="str">
        <f>IFERROR(__xludf.DUMMYFUNCTION("""COMPUTED_VALUE"""),"Agnese")</f>
        <v>Agnese</v>
      </c>
      <c r="F851" s="763" t="str">
        <f>IFERROR(__xludf.DUMMYFUNCTION("""COMPUTED_VALUE"""),"Cristaudo")</f>
        <v>Cristaudo</v>
      </c>
      <c r="G851" s="763" t="str">
        <f>IFERROR(__xludf.DUMMYFUNCTION("""COMPUTED_VALUE"""),"cristaudoagnese@gmail.com")</f>
        <v>cristaudoagnese@gmail.com</v>
      </c>
      <c r="H851" s="763">
        <f>IFERROR(__xludf.DUMMYFUNCTION("""COMPUTED_VALUE"""),3.347564404E9)</f>
        <v>3347564404</v>
      </c>
      <c r="I851" s="763" t="str">
        <f>IFERROR(__xludf.DUMMYFUNCTION("""COMPUTED_VALUE"""),"Milano")</f>
        <v>Milano</v>
      </c>
      <c r="J851" s="763" t="str">
        <f>IFERROR(__xludf.DUMMYFUNCTION("""COMPUTED_VALUE"""),"Vía Marco Greppi 10")</f>
        <v>Vía Marco Greppi 10</v>
      </c>
      <c r="K851" s="763">
        <f>IFERROR(__xludf.DUMMYFUNCTION("""COMPUTED_VALUE"""),20135.0)</f>
        <v>20135</v>
      </c>
      <c r="L851" s="763" t="str">
        <f>IFERROR(__xludf.DUMMYFUNCTION("""COMPUTED_VALUE"""),"Apple Pay")</f>
        <v>Apple Pay</v>
      </c>
      <c r="M851" s="763"/>
      <c r="N851" s="763" t="str">
        <f>IFERROR(__xludf.DUMMYFUNCTION("""COMPUTED_VALUE"""),"67345-1768432783")</f>
        <v>67345-1768432783</v>
      </c>
      <c r="O851" s="763">
        <f>IFERROR(__xludf.DUMMYFUNCTION("""COMPUTED_VALUE"""),0.0)</f>
        <v>0</v>
      </c>
      <c r="P851" s="767">
        <f>IFERROR(__xludf.DUMMYFUNCTION("""COMPUTED_VALUE"""),1.875)</f>
        <v>1.875</v>
      </c>
      <c r="Q851" s="763" t="str">
        <f>IFERROR(__xludf.DUMMYFUNCTION("""COMPUTED_VALUE"""),"EUR")</f>
        <v>EUR</v>
      </c>
      <c r="R851" s="763">
        <f>IFERROR(__xludf.DUMMYFUNCTION("""COMPUTED_VALUE"""),1543.0)</f>
        <v>1543</v>
      </c>
      <c r="S851" s="763" t="str">
        <f>IFERROR(__xludf.DUMMYFUNCTION("""COMPUTED_VALUE"""),"Workshop Hip Hop Emanuel Lo 2026 - Workshop Emanuel Lo 22 febbraio 2026")</f>
        <v>Workshop Hip Hop Emanuel Lo 2026 - Workshop Emanuel Lo 22 febbraio 2026</v>
      </c>
      <c r="T851" s="763"/>
      <c r="U851" s="763"/>
      <c r="V851" s="763">
        <f>IFERROR(__xludf.DUMMYFUNCTION("""COMPUTED_VALUE"""),1.0)</f>
        <v>1</v>
      </c>
      <c r="W851" s="763">
        <f>IFERROR(__xludf.DUMMYFUNCTION("""COMPUTED_VALUE"""),45.0)</f>
        <v>45</v>
      </c>
      <c r="X851" s="763">
        <f>IFERROR(__xludf.DUMMYFUNCTION("""COMPUTED_VALUE"""),45.0)</f>
        <v>45</v>
      </c>
      <c r="Y851" s="763"/>
      <c r="Z851" s="768" t="str">
        <f>IFERROR(__xludf.DUMMYFUNCTION("""COMPUTED_VALUE"""),"https://studio-gem.it/wp-admin/post.php?post=67345&amp;action=edit")</f>
        <v>https://studio-gem.it/wp-admin/post.php?post=67345&amp;action=edit</v>
      </c>
      <c r="AA851" s="763"/>
      <c r="AB851" s="763"/>
      <c r="AC851" s="763"/>
      <c r="AD851" s="763"/>
      <c r="AE851" s="763"/>
      <c r="AF851" s="763"/>
      <c r="AG851" s="763"/>
      <c r="AH851" s="763"/>
      <c r="AI851" s="763"/>
      <c r="AJ851" s="763"/>
      <c r="AK851" s="763"/>
      <c r="AL851" s="763"/>
      <c r="AM851" s="763"/>
      <c r="AN851" s="763"/>
      <c r="AO851" s="763"/>
      <c r="AP851" s="763"/>
      <c r="AQ851" s="763"/>
      <c r="AR851" s="763"/>
      <c r="AS851" s="763"/>
      <c r="AT851" s="763"/>
      <c r="AU851" s="763"/>
      <c r="AV851" s="763"/>
      <c r="AW851" s="763"/>
      <c r="AX851" s="763"/>
      <c r="AY851" s="763"/>
      <c r="AZ851" s="763"/>
      <c r="BA851" s="763"/>
      <c r="BB851" s="763"/>
      <c r="BC851" s="763"/>
      <c r="BD851" s="763"/>
      <c r="BE851" s="763"/>
      <c r="BF851" s="763"/>
      <c r="BG851" s="763" t="b">
        <f>IFERROR(__xludf.DUMMYFUNCTION("""COMPUTED_VALUE"""),TRUE)</f>
        <v>1</v>
      </c>
      <c r="BH851" s="763" t="b">
        <f>IFERROR(__xludf.DUMMYFUNCTION("""COMPUTED_VALUE"""),FALSE)</f>
        <v>0</v>
      </c>
      <c r="BI851" s="763" t="b">
        <f>IFERROR(__xludf.DUMMYFUNCTION("""COMPUTED_VALUE"""),TRUE)</f>
        <v>1</v>
      </c>
      <c r="BJ851" s="763" t="b">
        <f>IFERROR(__xludf.DUMMYFUNCTION("""COMPUTED_VALUE"""),TRUE)</f>
        <v>1</v>
      </c>
    </row>
    <row r="852">
      <c r="A852" s="763">
        <f>IFERROR(__xludf.DUMMYFUNCTION("""COMPUTED_VALUE"""),67347.0)</f>
        <v>67347</v>
      </c>
      <c r="B852" s="763">
        <f>IFERROR(__xludf.DUMMYFUNCTION("""COMPUTED_VALUE"""),67347.0)</f>
        <v>67347</v>
      </c>
      <c r="C852" s="763" t="str">
        <f>IFERROR(__xludf.DUMMYFUNCTION("""COMPUTED_VALUE"""),"2026-01-14 23:25:22")</f>
        <v>2026-01-14 23:25:22</v>
      </c>
      <c r="D852" s="763" t="str">
        <f>IFERROR(__xludf.DUMMYFUNCTION("""COMPUTED_VALUE"""),"completed")</f>
        <v>completed</v>
      </c>
      <c r="E852" s="763" t="str">
        <f>IFERROR(__xludf.DUMMYFUNCTION("""COMPUTED_VALUE"""),"Agnese")</f>
        <v>Agnese</v>
      </c>
      <c r="F852" s="763" t="str">
        <f>IFERROR(__xludf.DUMMYFUNCTION("""COMPUTED_VALUE"""),"Cristaudo")</f>
        <v>Cristaudo</v>
      </c>
      <c r="G852" s="763" t="str">
        <f>IFERROR(__xludf.DUMMYFUNCTION("""COMPUTED_VALUE"""),"cristaudoagnese@gmail.com")</f>
        <v>cristaudoagnese@gmail.com</v>
      </c>
      <c r="H852" s="763">
        <f>IFERROR(__xludf.DUMMYFUNCTION("""COMPUTED_VALUE"""),3.347564404E9)</f>
        <v>3347564404</v>
      </c>
      <c r="I852" s="763" t="str">
        <f>IFERROR(__xludf.DUMMYFUNCTION("""COMPUTED_VALUE"""),"Milano")</f>
        <v>Milano</v>
      </c>
      <c r="J852" s="763" t="str">
        <f>IFERROR(__xludf.DUMMYFUNCTION("""COMPUTED_VALUE"""),"Vía Marco Greppi 10")</f>
        <v>Vía Marco Greppi 10</v>
      </c>
      <c r="K852" s="763">
        <f>IFERROR(__xludf.DUMMYFUNCTION("""COMPUTED_VALUE"""),20135.0)</f>
        <v>20135</v>
      </c>
      <c r="L852" s="763" t="str">
        <f>IFERROR(__xludf.DUMMYFUNCTION("""COMPUTED_VALUE"""),"Apple Pay")</f>
        <v>Apple Pay</v>
      </c>
      <c r="M852" s="763"/>
      <c r="N852" s="763" t="str">
        <f>IFERROR(__xludf.DUMMYFUNCTION("""COMPUTED_VALUE"""),"67347-1768433124")</f>
        <v>67347-1768433124</v>
      </c>
      <c r="O852" s="763">
        <f>IFERROR(__xludf.DUMMYFUNCTION("""COMPUTED_VALUE"""),0.0)</f>
        <v>0</v>
      </c>
      <c r="P852" s="767">
        <f>IFERROR(__xludf.DUMMYFUNCTION("""COMPUTED_VALUE"""),1.5416666666666667)</f>
        <v>1.541666667</v>
      </c>
      <c r="Q852" s="763" t="str">
        <f>IFERROR(__xludf.DUMMYFUNCTION("""COMPUTED_VALUE"""),"EUR")</f>
        <v>EUR</v>
      </c>
      <c r="R852" s="763">
        <f>IFERROR(__xludf.DUMMYFUNCTION("""COMPUTED_VALUE"""),1544.0)</f>
        <v>1544</v>
      </c>
      <c r="S852" s="763" t="str">
        <f>IFERROR(__xludf.DUMMYFUNCTION("""COMPUTED_VALUE"""),"Workshop Urban Alessio Cavaliere 2026 - Workshop Alessio Cavaliere 1 febbraio 2026")</f>
        <v>Workshop Urban Alessio Cavaliere 2026 - Workshop Alessio Cavaliere 1 febbraio 2026</v>
      </c>
      <c r="T852" s="763"/>
      <c r="U852" s="763"/>
      <c r="V852" s="763">
        <f>IFERROR(__xludf.DUMMYFUNCTION("""COMPUTED_VALUE"""),1.0)</f>
        <v>1</v>
      </c>
      <c r="W852" s="763">
        <f>IFERROR(__xludf.DUMMYFUNCTION("""COMPUTED_VALUE"""),37.0)</f>
        <v>37</v>
      </c>
      <c r="X852" s="763">
        <f>IFERROR(__xludf.DUMMYFUNCTION("""COMPUTED_VALUE"""),37.0)</f>
        <v>37</v>
      </c>
      <c r="Y852" s="763"/>
      <c r="Z852" s="768" t="str">
        <f>IFERROR(__xludf.DUMMYFUNCTION("""COMPUTED_VALUE"""),"https://studio-gem.it/wp-admin/post.php?post=67347&amp;action=edit")</f>
        <v>https://studio-gem.it/wp-admin/post.php?post=67347&amp;action=edit</v>
      </c>
      <c r="AA852" s="763"/>
      <c r="AB852" s="763"/>
      <c r="AC852" s="763"/>
      <c r="AD852" s="763"/>
      <c r="AE852" s="763"/>
      <c r="AF852" s="763"/>
      <c r="AG852" s="763"/>
      <c r="AH852" s="763"/>
      <c r="AI852" s="763"/>
      <c r="AJ852" s="763"/>
      <c r="AK852" s="763"/>
      <c r="AL852" s="763"/>
      <c r="AM852" s="763"/>
      <c r="AN852" s="763"/>
      <c r="AO852" s="763"/>
      <c r="AP852" s="763"/>
      <c r="AQ852" s="763"/>
      <c r="AR852" s="763"/>
      <c r="AS852" s="763"/>
      <c r="AT852" s="763"/>
      <c r="AU852" s="763"/>
      <c r="AV852" s="763"/>
      <c r="AW852" s="763"/>
      <c r="AX852" s="763"/>
      <c r="AY852" s="763"/>
      <c r="AZ852" s="763"/>
      <c r="BA852" s="763"/>
      <c r="BB852" s="763"/>
      <c r="BC852" s="763"/>
      <c r="BD852" s="763"/>
      <c r="BE852" s="763"/>
      <c r="BF852" s="763"/>
      <c r="BG852" s="763" t="b">
        <f>IFERROR(__xludf.DUMMYFUNCTION("""COMPUTED_VALUE"""),TRUE)</f>
        <v>1</v>
      </c>
      <c r="BH852" s="763" t="b">
        <f>IFERROR(__xludf.DUMMYFUNCTION("""COMPUTED_VALUE"""),FALSE)</f>
        <v>0</v>
      </c>
      <c r="BI852" s="763" t="b">
        <f>IFERROR(__xludf.DUMMYFUNCTION("""COMPUTED_VALUE"""),TRUE)</f>
        <v>1</v>
      </c>
      <c r="BJ852" s="763" t="b">
        <f>IFERROR(__xludf.DUMMYFUNCTION("""COMPUTED_VALUE"""),TRUE)</f>
        <v>1</v>
      </c>
    </row>
    <row r="853">
      <c r="A853" s="763">
        <f>IFERROR(__xludf.DUMMYFUNCTION("""COMPUTED_VALUE"""),67363.0)</f>
        <v>67363</v>
      </c>
      <c r="B853" s="763">
        <f>IFERROR(__xludf.DUMMYFUNCTION("""COMPUTED_VALUE"""),67363.0)</f>
        <v>67363</v>
      </c>
      <c r="C853" s="763" t="str">
        <f>IFERROR(__xludf.DUMMYFUNCTION("""COMPUTED_VALUE"""),"2026-01-15 12:47:59")</f>
        <v>2026-01-15 12:47:59</v>
      </c>
      <c r="D853" s="763" t="str">
        <f>IFERROR(__xludf.DUMMYFUNCTION("""COMPUTED_VALUE"""),"completed")</f>
        <v>completed</v>
      </c>
      <c r="E853" s="763" t="str">
        <f>IFERROR(__xludf.DUMMYFUNCTION("""COMPUTED_VALUE"""),"Antonella")</f>
        <v>Antonella</v>
      </c>
      <c r="F853" s="763" t="str">
        <f>IFERROR(__xludf.DUMMYFUNCTION("""COMPUTED_VALUE"""),"de nuzzo")</f>
        <v>de nuzzo</v>
      </c>
      <c r="G853" s="763" t="str">
        <f>IFERROR(__xludf.DUMMYFUNCTION("""COMPUTED_VALUE"""),"leea89@hotmail.it")</f>
        <v>leea89@hotmail.it</v>
      </c>
      <c r="H853" s="763">
        <f>IFERROR(__xludf.DUMMYFUNCTION("""COMPUTED_VALUE"""),3.409135418E9)</f>
        <v>3409135418</v>
      </c>
      <c r="I853" s="763" t="str">
        <f>IFERROR(__xludf.DUMMYFUNCTION("""COMPUTED_VALUE"""),"Paderno dugnano")</f>
        <v>Paderno dugnano</v>
      </c>
      <c r="J853" s="763" t="str">
        <f>IFERROR(__xludf.DUMMYFUNCTION("""COMPUTED_VALUE"""),"Giuseppe Garibaldi 7")</f>
        <v>Giuseppe Garibaldi 7</v>
      </c>
      <c r="K853" s="763">
        <f>IFERROR(__xludf.DUMMYFUNCTION("""COMPUTED_VALUE"""),20091.0)</f>
        <v>20091</v>
      </c>
      <c r="L853" s="763" t="str">
        <f>IFERROR(__xludf.DUMMYFUNCTION("""COMPUTED_VALUE"""),"Apple Pay")</f>
        <v>Apple Pay</v>
      </c>
      <c r="M853" s="763"/>
      <c r="N853" s="763" t="str">
        <f>IFERROR(__xludf.DUMMYFUNCTION("""COMPUTED_VALUE"""),"67363-1768481281")</f>
        <v>67363-1768481281</v>
      </c>
      <c r="O853" s="763">
        <f>IFERROR(__xludf.DUMMYFUNCTION("""COMPUTED_VALUE"""),0.0)</f>
        <v>0</v>
      </c>
      <c r="P853" s="767">
        <f>IFERROR(__xludf.DUMMYFUNCTION("""COMPUTED_VALUE"""),1.5416666666666667)</f>
        <v>1.541666667</v>
      </c>
      <c r="Q853" s="763" t="str">
        <f>IFERROR(__xludf.DUMMYFUNCTION("""COMPUTED_VALUE"""),"EUR")</f>
        <v>EUR</v>
      </c>
      <c r="R853" s="763">
        <f>IFERROR(__xludf.DUMMYFUNCTION("""COMPUTED_VALUE"""),1545.0)</f>
        <v>1545</v>
      </c>
      <c r="S853" s="763" t="str">
        <f>IFERROR(__xludf.DUMMYFUNCTION("""COMPUTED_VALUE"""),"Workshop Urban Alessio Cavaliere 2026 - Workshop Alessio Cavaliere 1 febbraio 2026")</f>
        <v>Workshop Urban Alessio Cavaliere 2026 - Workshop Alessio Cavaliere 1 febbraio 2026</v>
      </c>
      <c r="T853" s="763"/>
      <c r="U853" s="763"/>
      <c r="V853" s="763">
        <f>IFERROR(__xludf.DUMMYFUNCTION("""COMPUTED_VALUE"""),1.0)</f>
        <v>1</v>
      </c>
      <c r="W853" s="763">
        <f>IFERROR(__xludf.DUMMYFUNCTION("""COMPUTED_VALUE"""),37.0)</f>
        <v>37</v>
      </c>
      <c r="X853" s="763">
        <f>IFERROR(__xludf.DUMMYFUNCTION("""COMPUTED_VALUE"""),37.0)</f>
        <v>37</v>
      </c>
      <c r="Y853" s="763"/>
      <c r="Z853" s="768" t="str">
        <f>IFERROR(__xludf.DUMMYFUNCTION("""COMPUTED_VALUE"""),"https://studio-gem.it/wp-admin/post.php?post=67363&amp;action=edit")</f>
        <v>https://studio-gem.it/wp-admin/post.php?post=67363&amp;action=edit</v>
      </c>
      <c r="AA853" s="763"/>
      <c r="AB853" s="763"/>
      <c r="AC853" s="763"/>
      <c r="AD853" s="763"/>
      <c r="AE853" s="763"/>
      <c r="AF853" s="763"/>
      <c r="AG853" s="763"/>
      <c r="AH853" s="763"/>
      <c r="AI853" s="763"/>
      <c r="AJ853" s="763"/>
      <c r="AK853" s="763"/>
      <c r="AL853" s="763"/>
      <c r="AM853" s="763"/>
      <c r="AN853" s="763"/>
      <c r="AO853" s="763"/>
      <c r="AP853" s="763"/>
      <c r="AQ853" s="763"/>
      <c r="AR853" s="763"/>
      <c r="AS853" s="763"/>
      <c r="AT853" s="763"/>
      <c r="AU853" s="763"/>
      <c r="AV853" s="763"/>
      <c r="AW853" s="763"/>
      <c r="AX853" s="763"/>
      <c r="AY853" s="763"/>
      <c r="AZ853" s="763"/>
      <c r="BA853" s="763"/>
      <c r="BB853" s="763"/>
      <c r="BC853" s="763"/>
      <c r="BD853" s="763"/>
      <c r="BE853" s="763"/>
      <c r="BF853" s="763"/>
      <c r="BG853" s="763" t="b">
        <f>IFERROR(__xludf.DUMMYFUNCTION("""COMPUTED_VALUE"""),TRUE)</f>
        <v>1</v>
      </c>
      <c r="BH853" s="763" t="b">
        <f>IFERROR(__xludf.DUMMYFUNCTION("""COMPUTED_VALUE"""),FALSE)</f>
        <v>0</v>
      </c>
      <c r="BI853" s="763" t="b">
        <f>IFERROR(__xludf.DUMMYFUNCTION("""COMPUTED_VALUE"""),TRUE)</f>
        <v>1</v>
      </c>
      <c r="BJ853" s="763" t="b">
        <f>IFERROR(__xludf.DUMMYFUNCTION("""COMPUTED_VALUE"""),TRUE)</f>
        <v>1</v>
      </c>
    </row>
    <row r="854">
      <c r="A854" s="763">
        <f>IFERROR(__xludf.DUMMYFUNCTION("""COMPUTED_VALUE"""),67372.0)</f>
        <v>67372</v>
      </c>
      <c r="B854" s="763">
        <f>IFERROR(__xludf.DUMMYFUNCTION("""COMPUTED_VALUE"""),67372.0)</f>
        <v>67372</v>
      </c>
      <c r="C854" s="763" t="str">
        <f>IFERROR(__xludf.DUMMYFUNCTION("""COMPUTED_VALUE"""),"2026-01-15 17:22:20")</f>
        <v>2026-01-15 17:22:20</v>
      </c>
      <c r="D854" s="763" t="str">
        <f>IFERROR(__xludf.DUMMYFUNCTION("""COMPUTED_VALUE"""),"cancelled")</f>
        <v>cancelled</v>
      </c>
      <c r="E854" s="763" t="str">
        <f>IFERROR(__xludf.DUMMYFUNCTION("""COMPUTED_VALUE"""),"BARBARA")</f>
        <v>BARBARA</v>
      </c>
      <c r="F854" s="763" t="str">
        <f>IFERROR(__xludf.DUMMYFUNCTION("""COMPUTED_VALUE"""),"MENEGHINI")</f>
        <v>MENEGHINI</v>
      </c>
      <c r="G854" s="763" t="str">
        <f>IFERROR(__xludf.DUMMYFUNCTION("""COMPUTED_VALUE"""),"meneghinibarbara@gmail.com")</f>
        <v>meneghinibarbara@gmail.com</v>
      </c>
      <c r="H854" s="763">
        <f>IFERROR(__xludf.DUMMYFUNCTION("""COMPUTED_VALUE"""),3.387969388E9)</f>
        <v>3387969388</v>
      </c>
      <c r="I854" s="763" t="str">
        <f>IFERROR(__xludf.DUMMYFUNCTION("""COMPUTED_VALUE"""),"Milano")</f>
        <v>Milano</v>
      </c>
      <c r="J854" s="763" t="str">
        <f>IFERROR(__xludf.DUMMYFUNCTION("""COMPUTED_VALUE"""),"Via melegnano 10")</f>
        <v>Via melegnano 10</v>
      </c>
      <c r="K854" s="763">
        <f>IFERROR(__xludf.DUMMYFUNCTION("""COMPUTED_VALUE"""),20122.0)</f>
        <v>20122</v>
      </c>
      <c r="L854" s="763" t="str">
        <f>IFERROR(__xludf.DUMMYFUNCTION("""COMPUTED_VALUE"""),"Carte di pagamento")</f>
        <v>Carte di pagamento</v>
      </c>
      <c r="M854" s="763"/>
      <c r="N854" s="763"/>
      <c r="O854" s="763">
        <f>IFERROR(__xludf.DUMMYFUNCTION("""COMPUTED_VALUE"""),0.0)</f>
        <v>0</v>
      </c>
      <c r="P854" s="767">
        <f>IFERROR(__xludf.DUMMYFUNCTION("""COMPUTED_VALUE"""),6.0)</f>
        <v>6</v>
      </c>
      <c r="Q854" s="763" t="str">
        <f>IFERROR(__xludf.DUMMYFUNCTION("""COMPUTED_VALUE"""),"EUR")</f>
        <v>EUR</v>
      </c>
      <c r="R854" s="763">
        <f>IFERROR(__xludf.DUMMYFUNCTION("""COMPUTED_VALUE"""),1546.0)</f>
        <v>1546</v>
      </c>
      <c r="S854" s="763" t="str">
        <f>IFERROR(__xludf.DUMMYFUNCTION("""COMPUTED_VALUE"""),"Campus estivo 2026 - Campus estivo 2 settimane")</f>
        <v>Campus estivo 2026 - Campus estivo 2 settimane</v>
      </c>
      <c r="T854" s="763"/>
      <c r="U854" s="763"/>
      <c r="V854" s="763">
        <f>IFERROR(__xludf.DUMMYFUNCTION("""COMPUTED_VALUE"""),1.0)</f>
        <v>1</v>
      </c>
      <c r="W854" s="763">
        <f>IFERROR(__xludf.DUMMYFUNCTION("""COMPUTED_VALUE"""),144.0)</f>
        <v>144</v>
      </c>
      <c r="X854" s="763">
        <f>IFERROR(__xludf.DUMMYFUNCTION("""COMPUTED_VALUE"""),144.0)</f>
        <v>144</v>
      </c>
      <c r="Y854" s="763"/>
      <c r="Z854" s="768" t="str">
        <f>IFERROR(__xludf.DUMMYFUNCTION("""COMPUTED_VALUE"""),"https://studio-gem.it/wp-admin/post.php?post=67372&amp;action=edit")</f>
        <v>https://studio-gem.it/wp-admin/post.php?post=67372&amp;action=edit</v>
      </c>
      <c r="AA854" s="763"/>
      <c r="AB854" s="763"/>
      <c r="AC854" s="763"/>
      <c r="AD854" s="763"/>
      <c r="AE854" s="763"/>
      <c r="AF854" s="763"/>
      <c r="AG854" s="763"/>
      <c r="AH854" s="763"/>
      <c r="AI854" s="763"/>
      <c r="AJ854" s="763"/>
      <c r="AK854" s="763"/>
      <c r="AL854" s="763"/>
      <c r="AM854" s="763"/>
      <c r="AN854" s="763"/>
      <c r="AO854" s="763"/>
      <c r="AP854" s="763"/>
      <c r="AQ854" s="763"/>
      <c r="AR854" s="763"/>
      <c r="AS854" s="763"/>
      <c r="AT854" s="763"/>
      <c r="AU854" s="763"/>
      <c r="AV854" s="763"/>
      <c r="AW854" s="763"/>
      <c r="AX854" s="763"/>
      <c r="AY854" s="763"/>
      <c r="AZ854" s="763"/>
      <c r="BA854" s="763"/>
      <c r="BB854" s="763"/>
      <c r="BC854" s="763"/>
      <c r="BD854" s="763"/>
      <c r="BE854" s="763"/>
      <c r="BF854" s="763"/>
      <c r="BG854" s="763" t="b">
        <f>IFERROR(__xludf.DUMMYFUNCTION("""COMPUTED_VALUE"""),FALSE)</f>
        <v>0</v>
      </c>
      <c r="BH854" s="763" t="b">
        <f>IFERROR(__xludf.DUMMYFUNCTION("""COMPUTED_VALUE"""),FALSE)</f>
        <v>0</v>
      </c>
      <c r="BI854" s="763" t="b">
        <f>IFERROR(__xludf.DUMMYFUNCTION("""COMPUTED_VALUE"""),FALSE)</f>
        <v>0</v>
      </c>
      <c r="BJ854" s="763" t="b">
        <f>IFERROR(__xludf.DUMMYFUNCTION("""COMPUTED_VALUE"""),FALSE)</f>
        <v>0</v>
      </c>
    </row>
    <row r="855">
      <c r="A855" s="763">
        <f>IFERROR(__xludf.DUMMYFUNCTION("""COMPUTED_VALUE"""),67373.0)</f>
        <v>67373</v>
      </c>
      <c r="B855" s="763">
        <f>IFERROR(__xludf.DUMMYFUNCTION("""COMPUTED_VALUE"""),67373.0)</f>
        <v>67373</v>
      </c>
      <c r="C855" s="763" t="str">
        <f>IFERROR(__xludf.DUMMYFUNCTION("""COMPUTED_VALUE"""),"2026-01-15 17:24:01")</f>
        <v>2026-01-15 17:24:01</v>
      </c>
      <c r="D855" s="763" t="str">
        <f>IFERROR(__xludf.DUMMYFUNCTION("""COMPUTED_VALUE"""),"processing")</f>
        <v>processing</v>
      </c>
      <c r="E855" s="763" t="str">
        <f>IFERROR(__xludf.DUMMYFUNCTION("""COMPUTED_VALUE"""),"BARBARA")</f>
        <v>BARBARA</v>
      </c>
      <c r="F855" s="763" t="str">
        <f>IFERROR(__xludf.DUMMYFUNCTION("""COMPUTED_VALUE"""),"MENEGHINI")</f>
        <v>MENEGHINI</v>
      </c>
      <c r="G855" s="763" t="str">
        <f>IFERROR(__xludf.DUMMYFUNCTION("""COMPUTED_VALUE"""),"meneghinibarbara@gmail.com")</f>
        <v>meneghinibarbara@gmail.com</v>
      </c>
      <c r="H855" s="763">
        <f>IFERROR(__xludf.DUMMYFUNCTION("""COMPUTED_VALUE"""),3.387969388E9)</f>
        <v>3387969388</v>
      </c>
      <c r="I855" s="763" t="str">
        <f>IFERROR(__xludf.DUMMYFUNCTION("""COMPUTED_VALUE"""),"Milano")</f>
        <v>Milano</v>
      </c>
      <c r="J855" s="763" t="str">
        <f>IFERROR(__xludf.DUMMYFUNCTION("""COMPUTED_VALUE"""),"Via melegnano 10")</f>
        <v>Via melegnano 10</v>
      </c>
      <c r="K855" s="763">
        <f>IFERROR(__xludf.DUMMYFUNCTION("""COMPUTED_VALUE"""),20122.0)</f>
        <v>20122</v>
      </c>
      <c r="L855" s="763" t="str">
        <f>IFERROR(__xludf.DUMMYFUNCTION("""COMPUTED_VALUE"""),"Carte di pagamento")</f>
        <v>Carte di pagamento</v>
      </c>
      <c r="M855" s="763" t="str">
        <f>IFERROR(__xludf.DUMMYFUNCTION("""COMPUTED_VALUE"""),"alexandra05campus")</f>
        <v>alexandra05campus</v>
      </c>
      <c r="N855" s="763" t="str">
        <f>IFERROR(__xludf.DUMMYFUNCTION("""COMPUTED_VALUE"""),"67373-1768497842")</f>
        <v>67373-1768497842</v>
      </c>
      <c r="O855" s="763">
        <f>IFERROR(__xludf.DUMMYFUNCTION("""COMPUTED_VALUE"""),0.0)</f>
        <v>0</v>
      </c>
      <c r="P855" s="767">
        <f>IFERROR(__xludf.DUMMYFUNCTION("""COMPUTED_VALUE"""),5.791666666666667)</f>
        <v>5.791666667</v>
      </c>
      <c r="Q855" s="763" t="str">
        <f>IFERROR(__xludf.DUMMYFUNCTION("""COMPUTED_VALUE"""),"EUR")</f>
        <v>EUR</v>
      </c>
      <c r="R855" s="763">
        <f>IFERROR(__xludf.DUMMYFUNCTION("""COMPUTED_VALUE"""),1547.0)</f>
        <v>1547</v>
      </c>
      <c r="S855" s="763" t="str">
        <f>IFERROR(__xludf.DUMMYFUNCTION("""COMPUTED_VALUE"""),"Campus estivo 2026 - Campus estivo 2 settimane")</f>
        <v>Campus estivo 2026 - Campus estivo 2 settimane</v>
      </c>
      <c r="T855" s="763"/>
      <c r="U855" s="763"/>
      <c r="V855" s="763">
        <f>IFERROR(__xludf.DUMMYFUNCTION("""COMPUTED_VALUE"""),1.0)</f>
        <v>1</v>
      </c>
      <c r="W855" s="763">
        <f>IFERROR(__xludf.DUMMYFUNCTION("""COMPUTED_VALUE"""),139.0)</f>
        <v>139</v>
      </c>
      <c r="X855" s="763">
        <f>IFERROR(__xludf.DUMMYFUNCTION("""COMPUTED_VALUE"""),139.0)</f>
        <v>139</v>
      </c>
      <c r="Y855" s="763"/>
      <c r="Z855" s="768" t="str">
        <f>IFERROR(__xludf.DUMMYFUNCTION("""COMPUTED_VALUE"""),"https://studio-gem.it/wp-admin/post.php?post=67373&amp;action=edit")</f>
        <v>https://studio-gem.it/wp-admin/post.php?post=67373&amp;action=edit</v>
      </c>
      <c r="AA855" s="763"/>
      <c r="AB855" s="763"/>
      <c r="AC855" s="763"/>
      <c r="AD855" s="763"/>
      <c r="AE855" s="763"/>
      <c r="AF855" s="763"/>
      <c r="AG855" s="763"/>
      <c r="AH855" s="763"/>
      <c r="AI855" s="763"/>
      <c r="AJ855" s="763"/>
      <c r="AK855" s="763"/>
      <c r="AL855" s="763"/>
      <c r="AM855" s="763"/>
      <c r="AN855" s="763"/>
      <c r="AO855" s="763"/>
      <c r="AP855" s="763"/>
      <c r="AQ855" s="763"/>
      <c r="AR855" s="763"/>
      <c r="AS855" s="763"/>
      <c r="AT855" s="763"/>
      <c r="AU855" s="763"/>
      <c r="AV855" s="763"/>
      <c r="AW855" s="763"/>
      <c r="AX855" s="763"/>
      <c r="AY855" s="763"/>
      <c r="AZ855" s="763"/>
      <c r="BA855" s="763"/>
      <c r="BB855" s="763"/>
      <c r="BC855" s="763"/>
      <c r="BD855" s="763"/>
      <c r="BE855" s="763"/>
      <c r="BF855" s="763"/>
      <c r="BG855" s="763" t="b">
        <f>IFERROR(__xludf.DUMMYFUNCTION("""COMPUTED_VALUE"""),TRUE)</f>
        <v>1</v>
      </c>
      <c r="BH855" s="763" t="b">
        <f>IFERROR(__xludf.DUMMYFUNCTION("""COMPUTED_VALUE"""),FALSE)</f>
        <v>0</v>
      </c>
      <c r="BI855" s="763" t="b">
        <f>IFERROR(__xludf.DUMMYFUNCTION("""COMPUTED_VALUE"""),TRUE)</f>
        <v>1</v>
      </c>
      <c r="BJ855" s="763" t="b">
        <f>IFERROR(__xludf.DUMMYFUNCTION("""COMPUTED_VALUE"""),TRUE)</f>
        <v>1</v>
      </c>
    </row>
    <row r="856">
      <c r="A856" s="763">
        <f>IFERROR(__xludf.DUMMYFUNCTION("""COMPUTED_VALUE"""),67388.0)</f>
        <v>67388</v>
      </c>
      <c r="B856" s="763">
        <f>IFERROR(__xludf.DUMMYFUNCTION("""COMPUTED_VALUE"""),67388.0)</f>
        <v>67388</v>
      </c>
      <c r="C856" s="763" t="str">
        <f>IFERROR(__xludf.DUMMYFUNCTION("""COMPUTED_VALUE"""),"2026-01-16 21:20:58")</f>
        <v>2026-01-16 21:20:58</v>
      </c>
      <c r="D856" s="763" t="str">
        <f>IFERROR(__xludf.DUMMYFUNCTION("""COMPUTED_VALUE"""),"pending")</f>
        <v>pending</v>
      </c>
      <c r="E856" s="763" t="str">
        <f>IFERROR(__xludf.DUMMYFUNCTION("""COMPUTED_VALUE"""),"Federica")</f>
        <v>Federica</v>
      </c>
      <c r="F856" s="763" t="str">
        <f>IFERROR(__xludf.DUMMYFUNCTION("""COMPUTED_VALUE"""),"Aghemo")</f>
        <v>Aghemo</v>
      </c>
      <c r="G856" s="763" t="str">
        <f>IFERROR(__xludf.DUMMYFUNCTION("""COMPUTED_VALUE"""),"federica_aghemo@hotmail.it")</f>
        <v>federica_aghemo@hotmail.it</v>
      </c>
      <c r="H856" s="763">
        <f>IFERROR(__xludf.DUMMYFUNCTION("""COMPUTED_VALUE"""),3.355330089E9)</f>
        <v>3355330089</v>
      </c>
      <c r="I856" s="763" t="str">
        <f>IFERROR(__xludf.DUMMYFUNCTION("""COMPUTED_VALUE"""),"Milano")</f>
        <v>Milano</v>
      </c>
      <c r="J856" s="763" t="str">
        <f>IFERROR(__xludf.DUMMYFUNCTION("""COMPUTED_VALUE"""),"Corso Porta Romana 57")</f>
        <v>Corso Porta Romana 57</v>
      </c>
      <c r="K856" s="763">
        <f>IFERROR(__xludf.DUMMYFUNCTION("""COMPUTED_VALUE"""),20122.0)</f>
        <v>20122</v>
      </c>
      <c r="L856" s="763" t="str">
        <f>IFERROR(__xludf.DUMMYFUNCTION("""COMPUTED_VALUE"""),"Carte di pagamento")</f>
        <v>Carte di pagamento</v>
      </c>
      <c r="M856" s="763"/>
      <c r="N856" s="763"/>
      <c r="O856" s="763">
        <f>IFERROR(__xludf.DUMMYFUNCTION("""COMPUTED_VALUE"""),0.0)</f>
        <v>0</v>
      </c>
      <c r="P856" s="767">
        <f>IFERROR(__xludf.DUMMYFUNCTION("""COMPUTED_VALUE"""),0.8333333333333334)</f>
        <v>0.8333333333</v>
      </c>
      <c r="Q856" s="763" t="str">
        <f>IFERROR(__xludf.DUMMYFUNCTION("""COMPUTED_VALUE"""),"EUR")</f>
        <v>EUR</v>
      </c>
      <c r="R856" s="763">
        <f>IFERROR(__xludf.DUMMYFUNCTION("""COMPUTED_VALUE"""),1549.0)</f>
        <v>1549</v>
      </c>
      <c r="S856" s="763" t="str">
        <f>IFERROR(__xludf.DUMMYFUNCTION("""COMPUTED_VALUE"""),"Domeniche in movimento - 2 lezioni - Dalle 10 alle 11.50 con Dorian Kuqi €20")</f>
        <v>Domeniche in movimento - 2 lezioni - Dalle 10 alle 11.50 con Dorian Kuqi €20</v>
      </c>
      <c r="T856" s="763"/>
      <c r="U856" s="763"/>
      <c r="V856" s="763">
        <f>IFERROR(__xludf.DUMMYFUNCTION("""COMPUTED_VALUE"""),1.0)</f>
        <v>1</v>
      </c>
      <c r="W856" s="763">
        <f>IFERROR(__xludf.DUMMYFUNCTION("""COMPUTED_VALUE"""),20.0)</f>
        <v>20</v>
      </c>
      <c r="X856" s="763">
        <f>IFERROR(__xludf.DUMMYFUNCTION("""COMPUTED_VALUE"""),20.0)</f>
        <v>20</v>
      </c>
      <c r="Y856" s="763"/>
      <c r="Z856" s="768" t="str">
        <f>IFERROR(__xludf.DUMMYFUNCTION("""COMPUTED_VALUE"""),"https://studio-gem.it/wp-admin/post.php?post=67388&amp;action=edit")</f>
        <v>https://studio-gem.it/wp-admin/post.php?post=67388&amp;action=edit</v>
      </c>
      <c r="AA856" s="763"/>
      <c r="AB856" s="763"/>
      <c r="AC856" s="763"/>
      <c r="AD856" s="763"/>
      <c r="AE856" s="763"/>
      <c r="AF856" s="763"/>
      <c r="AG856" s="763"/>
      <c r="AH856" s="763"/>
      <c r="AI856" s="763"/>
      <c r="AJ856" s="763"/>
      <c r="AK856" s="763"/>
      <c r="AL856" s="763"/>
      <c r="AM856" s="763"/>
      <c r="AN856" s="763"/>
      <c r="AO856" s="763"/>
      <c r="AP856" s="763"/>
      <c r="AQ856" s="763"/>
      <c r="AR856" s="763"/>
      <c r="AS856" s="763"/>
      <c r="AT856" s="763"/>
      <c r="AU856" s="763"/>
      <c r="AV856" s="763"/>
      <c r="AW856" s="763"/>
      <c r="AX856" s="763"/>
      <c r="AY856" s="763"/>
      <c r="AZ856" s="763"/>
      <c r="BA856" s="763"/>
      <c r="BB856" s="763"/>
      <c r="BC856" s="763"/>
      <c r="BD856" s="763"/>
      <c r="BE856" s="763"/>
      <c r="BF856" s="763"/>
      <c r="BG856" s="763" t="b">
        <f>IFERROR(__xludf.DUMMYFUNCTION("""COMPUTED_VALUE"""),TRUE)</f>
        <v>1</v>
      </c>
      <c r="BH856" s="763" t="b">
        <f>IFERROR(__xludf.DUMMYFUNCTION("""COMPUTED_VALUE"""),FALSE)</f>
        <v>0</v>
      </c>
      <c r="BI856" s="763" t="b">
        <f>IFERROR(__xludf.DUMMYFUNCTION("""COMPUTED_VALUE"""),TRUE)</f>
        <v>1</v>
      </c>
      <c r="BJ856" s="763" t="b">
        <f>IFERROR(__xludf.DUMMYFUNCTION("""COMPUTED_VALUE"""),TRUE)</f>
        <v>1</v>
      </c>
    </row>
    <row r="857">
      <c r="A857" s="763">
        <f>IFERROR(__xludf.DUMMYFUNCTION("""COMPUTED_VALUE"""),67389.0)</f>
        <v>67389</v>
      </c>
      <c r="B857" s="763">
        <f>IFERROR(__xludf.DUMMYFUNCTION("""COMPUTED_VALUE"""),67389.0)</f>
        <v>67389</v>
      </c>
      <c r="C857" s="763" t="str">
        <f>IFERROR(__xludf.DUMMYFUNCTION("""COMPUTED_VALUE"""),"2026-01-16 21:25:48")</f>
        <v>2026-01-16 21:25:48</v>
      </c>
      <c r="D857" s="763" t="str">
        <f>IFERROR(__xludf.DUMMYFUNCTION("""COMPUTED_VALUE"""),"completed")</f>
        <v>completed</v>
      </c>
      <c r="E857" s="763" t="str">
        <f>IFERROR(__xludf.DUMMYFUNCTION("""COMPUTED_VALUE"""),"Federica")</f>
        <v>Federica</v>
      </c>
      <c r="F857" s="763" t="str">
        <f>IFERROR(__xludf.DUMMYFUNCTION("""COMPUTED_VALUE"""),"Aghemo")</f>
        <v>Aghemo</v>
      </c>
      <c r="G857" s="763" t="str">
        <f>IFERROR(__xludf.DUMMYFUNCTION("""COMPUTED_VALUE"""),"federica_aghemo@hotmail.it")</f>
        <v>federica_aghemo@hotmail.it</v>
      </c>
      <c r="H857" s="763">
        <f>IFERROR(__xludf.DUMMYFUNCTION("""COMPUTED_VALUE"""),3.355330089E9)</f>
        <v>3355330089</v>
      </c>
      <c r="I857" s="763" t="str">
        <f>IFERROR(__xludf.DUMMYFUNCTION("""COMPUTED_VALUE"""),"Milano")</f>
        <v>Milano</v>
      </c>
      <c r="J857" s="763" t="str">
        <f>IFERROR(__xludf.DUMMYFUNCTION("""COMPUTED_VALUE"""),"Corso Porta Romana 57")</f>
        <v>Corso Porta Romana 57</v>
      </c>
      <c r="K857" s="763">
        <f>IFERROR(__xludf.DUMMYFUNCTION("""COMPUTED_VALUE"""),20122.0)</f>
        <v>20122</v>
      </c>
      <c r="L857" s="763"/>
      <c r="M857" s="763"/>
      <c r="N857" s="763"/>
      <c r="O857" s="763">
        <f>IFERROR(__xludf.DUMMYFUNCTION("""COMPUTED_VALUE"""),0.0)</f>
        <v>0</v>
      </c>
      <c r="P857" s="767">
        <f>IFERROR(__xludf.DUMMYFUNCTION("""COMPUTED_VALUE"""),0.0)</f>
        <v>0</v>
      </c>
      <c r="Q857" s="763" t="str">
        <f>IFERROR(__xludf.DUMMYFUNCTION("""COMPUTED_VALUE"""),"EUR")</f>
        <v>EUR</v>
      </c>
      <c r="R857" s="763">
        <f>IFERROR(__xludf.DUMMYFUNCTION("""COMPUTED_VALUE"""),1550.0)</f>
        <v>1550</v>
      </c>
      <c r="S857" s="763" t="str">
        <f>IFERROR(__xludf.DUMMYFUNCTION("""COMPUTED_VALUE"""),"Domeniche in movimento - Gratuito per open fitness e open mattino 2 lezioni dalle 10 alle 11.50")</f>
        <v>Domeniche in movimento - Gratuito per open fitness e open mattino 2 lezioni dalle 10 alle 11.50</v>
      </c>
      <c r="T857" s="763"/>
      <c r="U857" s="763"/>
      <c r="V857" s="763">
        <f>IFERROR(__xludf.DUMMYFUNCTION("""COMPUTED_VALUE"""),1.0)</f>
        <v>1</v>
      </c>
      <c r="W857" s="763">
        <f>IFERROR(__xludf.DUMMYFUNCTION("""COMPUTED_VALUE"""),0.0)</f>
        <v>0</v>
      </c>
      <c r="X857" s="763">
        <f>IFERROR(__xludf.DUMMYFUNCTION("""COMPUTED_VALUE"""),0.0)</f>
        <v>0</v>
      </c>
      <c r="Y857" s="763"/>
      <c r="Z857" s="768" t="str">
        <f>IFERROR(__xludf.DUMMYFUNCTION("""COMPUTED_VALUE"""),"https://studio-gem.it/wp-admin/post.php?post=67389&amp;action=edit")</f>
        <v>https://studio-gem.it/wp-admin/post.php?post=67389&amp;action=edit</v>
      </c>
      <c r="AA857" s="763"/>
      <c r="AB857" s="763"/>
      <c r="AC857" s="763"/>
      <c r="AD857" s="763"/>
      <c r="AE857" s="763"/>
      <c r="AF857" s="763"/>
      <c r="AG857" s="763"/>
      <c r="AH857" s="763"/>
      <c r="AI857" s="763"/>
      <c r="AJ857" s="763"/>
      <c r="AK857" s="763"/>
      <c r="AL857" s="763"/>
      <c r="AM857" s="763"/>
      <c r="AN857" s="763"/>
      <c r="AO857" s="763"/>
      <c r="AP857" s="763"/>
      <c r="AQ857" s="763"/>
      <c r="AR857" s="763"/>
      <c r="AS857" s="763"/>
      <c r="AT857" s="763"/>
      <c r="AU857" s="763"/>
      <c r="AV857" s="763"/>
      <c r="AW857" s="763"/>
      <c r="AX857" s="763"/>
      <c r="AY857" s="763"/>
      <c r="AZ857" s="763"/>
      <c r="BA857" s="763"/>
      <c r="BB857" s="763"/>
      <c r="BC857" s="763"/>
      <c r="BD857" s="763"/>
      <c r="BE857" s="763"/>
      <c r="BF857" s="763"/>
      <c r="BG857" s="763" t="b">
        <f>IFERROR(__xludf.DUMMYFUNCTION("""COMPUTED_VALUE"""),TRUE)</f>
        <v>1</v>
      </c>
      <c r="BH857" s="763" t="b">
        <f>IFERROR(__xludf.DUMMYFUNCTION("""COMPUTED_VALUE"""),FALSE)</f>
        <v>0</v>
      </c>
      <c r="BI857" s="763" t="b">
        <f>IFERROR(__xludf.DUMMYFUNCTION("""COMPUTED_VALUE"""),TRUE)</f>
        <v>1</v>
      </c>
      <c r="BJ857" s="763" t="b">
        <f>IFERROR(__xludf.DUMMYFUNCTION("""COMPUTED_VALUE"""),TRUE)</f>
        <v>1</v>
      </c>
    </row>
    <row r="858">
      <c r="A858" s="763">
        <f>IFERROR(__xludf.DUMMYFUNCTION("""COMPUTED_VALUE"""),67391.0)</f>
        <v>67391</v>
      </c>
      <c r="B858" s="763">
        <f>IFERROR(__xludf.DUMMYFUNCTION("""COMPUTED_VALUE"""),67391.0)</f>
        <v>67391</v>
      </c>
      <c r="C858" s="763" t="str">
        <f>IFERROR(__xludf.DUMMYFUNCTION("""COMPUTED_VALUE"""),"2026-01-17 10:21:10")</f>
        <v>2026-01-17 10:21:10</v>
      </c>
      <c r="D858" s="763" t="str">
        <f>IFERROR(__xludf.DUMMYFUNCTION("""COMPUTED_VALUE"""),"failed")</f>
        <v>failed</v>
      </c>
      <c r="E858" s="763" t="str">
        <f>IFERROR(__xludf.DUMMYFUNCTION("""COMPUTED_VALUE"""),"Chiara")</f>
        <v>Chiara</v>
      </c>
      <c r="F858" s="763" t="str">
        <f>IFERROR(__xludf.DUMMYFUNCTION("""COMPUTED_VALUE"""),"Donetto")</f>
        <v>Donetto</v>
      </c>
      <c r="G858" s="763" t="str">
        <f>IFERROR(__xludf.DUMMYFUNCTION("""COMPUTED_VALUE"""),"Chijara23@gmail.com")</f>
        <v>Chijara23@gmail.com</v>
      </c>
      <c r="H858" s="763">
        <f>IFERROR(__xludf.DUMMYFUNCTION("""COMPUTED_VALUE"""),3.341355913E9)</f>
        <v>3341355913</v>
      </c>
      <c r="I858" s="763" t="str">
        <f>IFERROR(__xludf.DUMMYFUNCTION("""COMPUTED_VALUE"""),"Venaria reale")</f>
        <v>Venaria reale</v>
      </c>
      <c r="J858" s="763" t="str">
        <f>IFERROR(__xludf.DUMMYFUNCTION("""COMPUTED_VALUE"""),"Via di Vittorio 41/3")</f>
        <v>Via di Vittorio 41/3</v>
      </c>
      <c r="K858" s="763">
        <f>IFERROR(__xludf.DUMMYFUNCTION("""COMPUTED_VALUE"""),10078.0)</f>
        <v>10078</v>
      </c>
      <c r="L858" s="763" t="str">
        <f>IFERROR(__xludf.DUMMYFUNCTION("""COMPUTED_VALUE"""),"Carte di pagamento")</f>
        <v>Carte di pagamento</v>
      </c>
      <c r="M858" s="763"/>
      <c r="N858" s="763"/>
      <c r="O858" s="763">
        <f>IFERROR(__xludf.DUMMYFUNCTION("""COMPUTED_VALUE"""),0.0)</f>
        <v>0</v>
      </c>
      <c r="P858" s="767">
        <f>IFERROR(__xludf.DUMMYFUNCTION("""COMPUTED_VALUE"""),1.875)</f>
        <v>1.875</v>
      </c>
      <c r="Q858" s="763" t="str">
        <f>IFERROR(__xludf.DUMMYFUNCTION("""COMPUTED_VALUE"""),"EUR")</f>
        <v>EUR</v>
      </c>
      <c r="R858" s="763">
        <f>IFERROR(__xludf.DUMMYFUNCTION("""COMPUTED_VALUE"""),1551.0)</f>
        <v>1551</v>
      </c>
      <c r="S858" s="763" t="str">
        <f>IFERROR(__xludf.DUMMYFUNCTION("""COMPUTED_VALUE"""),"Workshop Hip Hop Emanuel Lo 2026 - Workshop Emanuel Lo 22 febbraio 2026")</f>
        <v>Workshop Hip Hop Emanuel Lo 2026 - Workshop Emanuel Lo 22 febbraio 2026</v>
      </c>
      <c r="T858" s="763"/>
      <c r="U858" s="763"/>
      <c r="V858" s="763">
        <f>IFERROR(__xludf.DUMMYFUNCTION("""COMPUTED_VALUE"""),1.0)</f>
        <v>1</v>
      </c>
      <c r="W858" s="763">
        <f>IFERROR(__xludf.DUMMYFUNCTION("""COMPUTED_VALUE"""),45.0)</f>
        <v>45</v>
      </c>
      <c r="X858" s="763">
        <f>IFERROR(__xludf.DUMMYFUNCTION("""COMPUTED_VALUE"""),45.0)</f>
        <v>45</v>
      </c>
      <c r="Y858" s="763"/>
      <c r="Z858" s="768" t="str">
        <f>IFERROR(__xludf.DUMMYFUNCTION("""COMPUTED_VALUE"""),"https://studio-gem.it/wp-admin/post.php?post=67391&amp;action=edit")</f>
        <v>https://studio-gem.it/wp-admin/post.php?post=67391&amp;action=edit</v>
      </c>
      <c r="AA858" s="763"/>
      <c r="AB858" s="763"/>
      <c r="AC858" s="763"/>
      <c r="AD858" s="763"/>
      <c r="AE858" s="763"/>
      <c r="AF858" s="763"/>
      <c r="AG858" s="763"/>
      <c r="AH858" s="763"/>
      <c r="AI858" s="763"/>
      <c r="AJ858" s="763"/>
      <c r="AK858" s="763"/>
      <c r="AL858" s="763"/>
      <c r="AM858" s="763"/>
      <c r="AN858" s="763"/>
      <c r="AO858" s="763"/>
      <c r="AP858" s="763"/>
      <c r="AQ858" s="763"/>
      <c r="AR858" s="763"/>
      <c r="AS858" s="763"/>
      <c r="AT858" s="763"/>
      <c r="AU858" s="763"/>
      <c r="AV858" s="763"/>
      <c r="AW858" s="763"/>
      <c r="AX858" s="763"/>
      <c r="AY858" s="763"/>
      <c r="AZ858" s="763"/>
      <c r="BA858" s="763"/>
      <c r="BB858" s="763"/>
      <c r="BC858" s="763"/>
      <c r="BD858" s="763"/>
      <c r="BE858" s="763"/>
      <c r="BF858" s="763"/>
      <c r="BG858" s="763" t="b">
        <f>IFERROR(__xludf.DUMMYFUNCTION("""COMPUTED_VALUE"""),FALSE)</f>
        <v>0</v>
      </c>
      <c r="BH858" s="763" t="b">
        <f>IFERROR(__xludf.DUMMYFUNCTION("""COMPUTED_VALUE"""),FALSE)</f>
        <v>0</v>
      </c>
      <c r="BI858" s="763" t="b">
        <f>IFERROR(__xludf.DUMMYFUNCTION("""COMPUTED_VALUE"""),FALSE)</f>
        <v>0</v>
      </c>
      <c r="BJ858" s="763" t="b">
        <f>IFERROR(__xludf.DUMMYFUNCTION("""COMPUTED_VALUE"""),FALSE)</f>
        <v>0</v>
      </c>
    </row>
    <row r="859">
      <c r="A859" s="763">
        <f>IFERROR(__xludf.DUMMYFUNCTION("""COMPUTED_VALUE"""),67394.0)</f>
        <v>67394</v>
      </c>
      <c r="B859" s="763">
        <f>IFERROR(__xludf.DUMMYFUNCTION("""COMPUTED_VALUE"""),67394.0)</f>
        <v>67394</v>
      </c>
      <c r="C859" s="763" t="str">
        <f>IFERROR(__xludf.DUMMYFUNCTION("""COMPUTED_VALUE"""),"2026-01-18 08:20:01")</f>
        <v>2026-01-18 08:20:01</v>
      </c>
      <c r="D859" s="763" t="str">
        <f>IFERROR(__xludf.DUMMYFUNCTION("""COMPUTED_VALUE"""),"completed")</f>
        <v>completed</v>
      </c>
      <c r="E859" s="763" t="str">
        <f>IFERROR(__xludf.DUMMYFUNCTION("""COMPUTED_VALUE"""),"Federica")</f>
        <v>Federica</v>
      </c>
      <c r="F859" s="763" t="str">
        <f>IFERROR(__xludf.DUMMYFUNCTION("""COMPUTED_VALUE"""),"Paganini")</f>
        <v>Paganini</v>
      </c>
      <c r="G859" s="763" t="str">
        <f>IFERROR(__xludf.DUMMYFUNCTION("""COMPUTED_VALUE"""),"f.paganini@saloniassociati.it")</f>
        <v>f.paganini@saloniassociati.it</v>
      </c>
      <c r="H859" s="763">
        <f>IFERROR(__xludf.DUMMYFUNCTION("""COMPUTED_VALUE"""),3.394469469E9)</f>
        <v>3394469469</v>
      </c>
      <c r="I859" s="763" t="str">
        <f>IFERROR(__xludf.DUMMYFUNCTION("""COMPUTED_VALUE"""),"Milano")</f>
        <v>Milano</v>
      </c>
      <c r="J859" s="763" t="str">
        <f>IFERROR(__xludf.DUMMYFUNCTION("""COMPUTED_VALUE"""),"Via sebino 19")</f>
        <v>Via sebino 19</v>
      </c>
      <c r="K859" s="763">
        <f>IFERROR(__xludf.DUMMYFUNCTION("""COMPUTED_VALUE"""),20137.0)</f>
        <v>20137</v>
      </c>
      <c r="L859" s="763"/>
      <c r="M859" s="763"/>
      <c r="N859" s="763"/>
      <c r="O859" s="763">
        <f>IFERROR(__xludf.DUMMYFUNCTION("""COMPUTED_VALUE"""),0.0)</f>
        <v>0</v>
      </c>
      <c r="P859" s="767">
        <f>IFERROR(__xludf.DUMMYFUNCTION("""COMPUTED_VALUE"""),0.0)</f>
        <v>0</v>
      </c>
      <c r="Q859" s="763" t="str">
        <f>IFERROR(__xludf.DUMMYFUNCTION("""COMPUTED_VALUE"""),"EUR")</f>
        <v>EUR</v>
      </c>
      <c r="R859" s="763">
        <f>IFERROR(__xludf.DUMMYFUNCTION("""COMPUTED_VALUE"""),1552.0)</f>
        <v>1552</v>
      </c>
      <c r="S859" s="763" t="str">
        <f>IFERROR(__xludf.DUMMYFUNCTION("""COMPUTED_VALUE"""),"Domeniche in movimento - Gratuito per open fitness e open mattino 2 lezioni dalle 10 alle 11.50")</f>
        <v>Domeniche in movimento - Gratuito per open fitness e open mattino 2 lezioni dalle 10 alle 11.50</v>
      </c>
      <c r="T859" s="763"/>
      <c r="U859" s="763"/>
      <c r="V859" s="763">
        <f>IFERROR(__xludf.DUMMYFUNCTION("""COMPUTED_VALUE"""),1.0)</f>
        <v>1</v>
      </c>
      <c r="W859" s="763">
        <f>IFERROR(__xludf.DUMMYFUNCTION("""COMPUTED_VALUE"""),0.0)</f>
        <v>0</v>
      </c>
      <c r="X859" s="763">
        <f>IFERROR(__xludf.DUMMYFUNCTION("""COMPUTED_VALUE"""),0.0)</f>
        <v>0</v>
      </c>
      <c r="Y859" s="763"/>
      <c r="Z859" s="768" t="str">
        <f>IFERROR(__xludf.DUMMYFUNCTION("""COMPUTED_VALUE"""),"https://studio-gem.it/wp-admin/post.php?post=67394&amp;action=edit")</f>
        <v>https://studio-gem.it/wp-admin/post.php?post=67394&amp;action=edit</v>
      </c>
      <c r="AA859" s="763"/>
      <c r="AB859" s="763"/>
      <c r="AC859" s="763"/>
      <c r="AD859" s="763"/>
      <c r="AE859" s="763"/>
      <c r="AF859" s="763"/>
      <c r="AG859" s="763"/>
      <c r="AH859" s="763"/>
      <c r="AI859" s="763"/>
      <c r="AJ859" s="763"/>
      <c r="AK859" s="763"/>
      <c r="AL859" s="763"/>
      <c r="AM859" s="763"/>
      <c r="AN859" s="763"/>
      <c r="AO859" s="763"/>
      <c r="AP859" s="763"/>
      <c r="AQ859" s="763"/>
      <c r="AR859" s="763"/>
      <c r="AS859" s="763"/>
      <c r="AT859" s="763"/>
      <c r="AU859" s="763"/>
      <c r="AV859" s="763"/>
      <c r="AW859" s="763"/>
      <c r="AX859" s="763"/>
      <c r="AY859" s="763"/>
      <c r="AZ859" s="763"/>
      <c r="BA859" s="763"/>
      <c r="BB859" s="763"/>
      <c r="BC859" s="763"/>
      <c r="BD859" s="763"/>
      <c r="BE859" s="763"/>
      <c r="BF859" s="763"/>
      <c r="BG859" s="763" t="b">
        <f>IFERROR(__xludf.DUMMYFUNCTION("""COMPUTED_VALUE"""),FALSE)</f>
        <v>0</v>
      </c>
      <c r="BH859" s="763" t="b">
        <f>IFERROR(__xludf.DUMMYFUNCTION("""COMPUTED_VALUE"""),FALSE)</f>
        <v>0</v>
      </c>
      <c r="BI859" s="763" t="b">
        <f>IFERROR(__xludf.DUMMYFUNCTION("""COMPUTED_VALUE"""),TRUE)</f>
        <v>1</v>
      </c>
      <c r="BJ859" s="763" t="b">
        <f>IFERROR(__xludf.DUMMYFUNCTION("""COMPUTED_VALUE"""),FALSE)</f>
        <v>0</v>
      </c>
    </row>
    <row r="860">
      <c r="A860" s="763">
        <f>IFERROR(__xludf.DUMMYFUNCTION("""COMPUTED_VALUE"""),67396.0)</f>
        <v>67396</v>
      </c>
      <c r="B860" s="763">
        <f>IFERROR(__xludf.DUMMYFUNCTION("""COMPUTED_VALUE"""),67396.0)</f>
        <v>67396</v>
      </c>
      <c r="C860" s="763" t="str">
        <f>IFERROR(__xludf.DUMMYFUNCTION("""COMPUTED_VALUE"""),"2026-01-18 09:41:01")</f>
        <v>2026-01-18 09:41:01</v>
      </c>
      <c r="D860" s="763" t="str">
        <f>IFERROR(__xludf.DUMMYFUNCTION("""COMPUTED_VALUE"""),"processing")</f>
        <v>processing</v>
      </c>
      <c r="E860" s="763" t="str">
        <f>IFERROR(__xludf.DUMMYFUNCTION("""COMPUTED_VALUE"""),"Giulia")</f>
        <v>Giulia</v>
      </c>
      <c r="F860" s="763" t="str">
        <f>IFERROR(__xludf.DUMMYFUNCTION("""COMPUTED_VALUE"""),"Grande")</f>
        <v>Grande</v>
      </c>
      <c r="G860" s="763" t="str">
        <f>IFERROR(__xludf.DUMMYFUNCTION("""COMPUTED_VALUE"""),"grandeegiulia03@gmail.com")</f>
        <v>grandeegiulia03@gmail.com</v>
      </c>
      <c r="H860" s="763">
        <f>IFERROR(__xludf.DUMMYFUNCTION("""COMPUTED_VALUE"""),3.669542854E9)</f>
        <v>3669542854</v>
      </c>
      <c r="I860" s="763" t="str">
        <f>IFERROR(__xludf.DUMMYFUNCTION("""COMPUTED_VALUE"""),"Arcore")</f>
        <v>Arcore</v>
      </c>
      <c r="J860" s="763" t="str">
        <f>IFERROR(__xludf.DUMMYFUNCTION("""COMPUTED_VALUE"""),"Via Natale Beretta,93")</f>
        <v>Via Natale Beretta,93</v>
      </c>
      <c r="K860" s="763">
        <f>IFERROR(__xludf.DUMMYFUNCTION("""COMPUTED_VALUE"""),20862.0)</f>
        <v>20862</v>
      </c>
      <c r="L860" s="763" t="str">
        <f>IFERROR(__xludf.DUMMYFUNCTION("""COMPUTED_VALUE"""),"Carte di pagamento")</f>
        <v>Carte di pagamento</v>
      </c>
      <c r="M860" s="763"/>
      <c r="N860" s="763" t="str">
        <f>IFERROR(__xludf.DUMMYFUNCTION("""COMPUTED_VALUE"""),"67396-1768729262")</f>
        <v>67396-1768729262</v>
      </c>
      <c r="O860" s="763">
        <f>IFERROR(__xludf.DUMMYFUNCTION("""COMPUTED_VALUE"""),0.0)</f>
        <v>0</v>
      </c>
      <c r="P860" s="767">
        <f>IFERROR(__xludf.DUMMYFUNCTION("""COMPUTED_VALUE"""),1.5416666666666667)</f>
        <v>1.541666667</v>
      </c>
      <c r="Q860" s="763" t="str">
        <f>IFERROR(__xludf.DUMMYFUNCTION("""COMPUTED_VALUE"""),"EUR")</f>
        <v>EUR</v>
      </c>
      <c r="R860" s="763">
        <f>IFERROR(__xludf.DUMMYFUNCTION("""COMPUTED_VALUE"""),1554.0)</f>
        <v>1554</v>
      </c>
      <c r="S860" s="763" t="str">
        <f>IFERROR(__xludf.DUMMYFUNCTION("""COMPUTED_VALUE"""),"Workshop Urban Alessio Cavaliere 2026 - Workshop Alessio Cavaliere 1 febbraio 2026")</f>
        <v>Workshop Urban Alessio Cavaliere 2026 - Workshop Alessio Cavaliere 1 febbraio 2026</v>
      </c>
      <c r="T860" s="763"/>
      <c r="U860" s="763"/>
      <c r="V860" s="763">
        <f>IFERROR(__xludf.DUMMYFUNCTION("""COMPUTED_VALUE"""),1.0)</f>
        <v>1</v>
      </c>
      <c r="W860" s="763">
        <f>IFERROR(__xludf.DUMMYFUNCTION("""COMPUTED_VALUE"""),37.0)</f>
        <v>37</v>
      </c>
      <c r="X860" s="763">
        <f>IFERROR(__xludf.DUMMYFUNCTION("""COMPUTED_VALUE"""),37.0)</f>
        <v>37</v>
      </c>
      <c r="Y860" s="763"/>
      <c r="Z860" s="768" t="str">
        <f>IFERROR(__xludf.DUMMYFUNCTION("""COMPUTED_VALUE"""),"https://studio-gem.it/wp-admin/post.php?post=67396&amp;action=edit")</f>
        <v>https://studio-gem.it/wp-admin/post.php?post=67396&amp;action=edit</v>
      </c>
      <c r="AA860" s="763"/>
      <c r="AB860" s="763"/>
      <c r="AC860" s="763"/>
      <c r="AD860" s="763"/>
      <c r="AE860" s="763"/>
      <c r="AF860" s="763"/>
      <c r="AG860" s="763"/>
      <c r="AH860" s="763"/>
      <c r="AI860" s="763"/>
      <c r="AJ860" s="763"/>
      <c r="AK860" s="763"/>
      <c r="AL860" s="763"/>
      <c r="AM860" s="763"/>
      <c r="AN860" s="763"/>
      <c r="AO860" s="763"/>
      <c r="AP860" s="763"/>
      <c r="AQ860" s="763"/>
      <c r="AR860" s="763"/>
      <c r="AS860" s="763"/>
      <c r="AT860" s="763"/>
      <c r="AU860" s="763"/>
      <c r="AV860" s="763"/>
      <c r="AW860" s="763"/>
      <c r="AX860" s="763"/>
      <c r="AY860" s="763"/>
      <c r="AZ860" s="763"/>
      <c r="BA860" s="763"/>
      <c r="BB860" s="763"/>
      <c r="BC860" s="763"/>
      <c r="BD860" s="763"/>
      <c r="BE860" s="763"/>
      <c r="BF860" s="763"/>
      <c r="BG860" s="763" t="b">
        <f>IFERROR(__xludf.DUMMYFUNCTION("""COMPUTED_VALUE"""),TRUE)</f>
        <v>1</v>
      </c>
      <c r="BH860" s="763" t="b">
        <f>IFERROR(__xludf.DUMMYFUNCTION("""COMPUTED_VALUE"""),FALSE)</f>
        <v>0</v>
      </c>
      <c r="BI860" s="763" t="b">
        <f>IFERROR(__xludf.DUMMYFUNCTION("""COMPUTED_VALUE"""),TRUE)</f>
        <v>1</v>
      </c>
      <c r="BJ860" s="763" t="b">
        <f>IFERROR(__xludf.DUMMYFUNCTION("""COMPUTED_VALUE"""),TRUE)</f>
        <v>1</v>
      </c>
    </row>
    <row r="861">
      <c r="A861" s="763">
        <f>IFERROR(__xludf.DUMMYFUNCTION("""COMPUTED_VALUE"""),67397.0)</f>
        <v>67397</v>
      </c>
      <c r="B861" s="763">
        <f>IFERROR(__xludf.DUMMYFUNCTION("""COMPUTED_VALUE"""),67397.0)</f>
        <v>67397</v>
      </c>
      <c r="C861" s="763" t="str">
        <f>IFERROR(__xludf.DUMMYFUNCTION("""COMPUTED_VALUE"""),"2026-01-18 09:41:01")</f>
        <v>2026-01-18 09:41:01</v>
      </c>
      <c r="D861" s="763" t="str">
        <f>IFERROR(__xludf.DUMMYFUNCTION("""COMPUTED_VALUE"""),"processing")</f>
        <v>processing</v>
      </c>
      <c r="E861" s="763" t="str">
        <f>IFERROR(__xludf.DUMMYFUNCTION("""COMPUTED_VALUE"""),"Giorgia")</f>
        <v>Giorgia</v>
      </c>
      <c r="F861" s="763" t="str">
        <f>IFERROR(__xludf.DUMMYFUNCTION("""COMPUTED_VALUE"""),"Grande")</f>
        <v>Grande</v>
      </c>
      <c r="G861" s="763" t="str">
        <f>IFERROR(__xludf.DUMMYFUNCTION("""COMPUTED_VALUE"""),"giorgiagrande3@gmail.com")</f>
        <v>giorgiagrande3@gmail.com</v>
      </c>
      <c r="H861" s="763">
        <f>IFERROR(__xludf.DUMMYFUNCTION("""COMPUTED_VALUE"""),3.663090943E9)</f>
        <v>3663090943</v>
      </c>
      <c r="I861" s="763" t="str">
        <f>IFERROR(__xludf.DUMMYFUNCTION("""COMPUTED_VALUE"""),"Arcore")</f>
        <v>Arcore</v>
      </c>
      <c r="J861" s="763" t="str">
        <f>IFERROR(__xludf.DUMMYFUNCTION("""COMPUTED_VALUE"""),"Via Natale Beretta 93")</f>
        <v>Via Natale Beretta 93</v>
      </c>
      <c r="K861" s="763">
        <f>IFERROR(__xludf.DUMMYFUNCTION("""COMPUTED_VALUE"""),20862.0)</f>
        <v>20862</v>
      </c>
      <c r="L861" s="763" t="str">
        <f>IFERROR(__xludf.DUMMYFUNCTION("""COMPUTED_VALUE"""),"Carte di pagamento")</f>
        <v>Carte di pagamento</v>
      </c>
      <c r="M861" s="763"/>
      <c r="N861" s="763" t="str">
        <f>IFERROR(__xludf.DUMMYFUNCTION("""COMPUTED_VALUE"""),"67397-1768729262")</f>
        <v>67397-1768729262</v>
      </c>
      <c r="O861" s="763">
        <f>IFERROR(__xludf.DUMMYFUNCTION("""COMPUTED_VALUE"""),0.0)</f>
        <v>0</v>
      </c>
      <c r="P861" s="767">
        <f>IFERROR(__xludf.DUMMYFUNCTION("""COMPUTED_VALUE"""),1.5416666666666667)</f>
        <v>1.541666667</v>
      </c>
      <c r="Q861" s="763" t="str">
        <f>IFERROR(__xludf.DUMMYFUNCTION("""COMPUTED_VALUE"""),"EUR")</f>
        <v>EUR</v>
      </c>
      <c r="R861" s="763">
        <f>IFERROR(__xludf.DUMMYFUNCTION("""COMPUTED_VALUE"""),1553.0)</f>
        <v>1553</v>
      </c>
      <c r="S861" s="763" t="str">
        <f>IFERROR(__xludf.DUMMYFUNCTION("""COMPUTED_VALUE"""),"Workshop Urban Alessio Cavaliere 2026 - Workshop Alessio Cavaliere 1 febbraio 2026")</f>
        <v>Workshop Urban Alessio Cavaliere 2026 - Workshop Alessio Cavaliere 1 febbraio 2026</v>
      </c>
      <c r="T861" s="763"/>
      <c r="U861" s="763"/>
      <c r="V861" s="763">
        <f>IFERROR(__xludf.DUMMYFUNCTION("""COMPUTED_VALUE"""),1.0)</f>
        <v>1</v>
      </c>
      <c r="W861" s="763">
        <f>IFERROR(__xludf.DUMMYFUNCTION("""COMPUTED_VALUE"""),37.0)</f>
        <v>37</v>
      </c>
      <c r="X861" s="763">
        <f>IFERROR(__xludf.DUMMYFUNCTION("""COMPUTED_VALUE"""),37.0)</f>
        <v>37</v>
      </c>
      <c r="Y861" s="763"/>
      <c r="Z861" s="768" t="str">
        <f>IFERROR(__xludf.DUMMYFUNCTION("""COMPUTED_VALUE"""),"https://studio-gem.it/wp-admin/post.php?post=67397&amp;action=edit")</f>
        <v>https://studio-gem.it/wp-admin/post.php?post=67397&amp;action=edit</v>
      </c>
      <c r="AA861" s="763"/>
      <c r="AB861" s="763"/>
      <c r="AC861" s="763"/>
      <c r="AD861" s="763"/>
      <c r="AE861" s="763"/>
      <c r="AF861" s="763"/>
      <c r="AG861" s="763"/>
      <c r="AH861" s="763"/>
      <c r="AI861" s="763"/>
      <c r="AJ861" s="763"/>
      <c r="AK861" s="763"/>
      <c r="AL861" s="763"/>
      <c r="AM861" s="763"/>
      <c r="AN861" s="763"/>
      <c r="AO861" s="763"/>
      <c r="AP861" s="763"/>
      <c r="AQ861" s="763"/>
      <c r="AR861" s="763"/>
      <c r="AS861" s="763"/>
      <c r="AT861" s="763"/>
      <c r="AU861" s="763"/>
      <c r="AV861" s="763"/>
      <c r="AW861" s="763"/>
      <c r="AX861" s="763"/>
      <c r="AY861" s="763"/>
      <c r="AZ861" s="763"/>
      <c r="BA861" s="763"/>
      <c r="BB861" s="763"/>
      <c r="BC861" s="763"/>
      <c r="BD861" s="763"/>
      <c r="BE861" s="763"/>
      <c r="BF861" s="763"/>
      <c r="BG861" s="763" t="b">
        <f>IFERROR(__xludf.DUMMYFUNCTION("""COMPUTED_VALUE"""),TRUE)</f>
        <v>1</v>
      </c>
      <c r="BH861" s="763" t="b">
        <f>IFERROR(__xludf.DUMMYFUNCTION("""COMPUTED_VALUE"""),FALSE)</f>
        <v>0</v>
      </c>
      <c r="BI861" s="763" t="b">
        <f>IFERROR(__xludf.DUMMYFUNCTION("""COMPUTED_VALUE"""),TRUE)</f>
        <v>1</v>
      </c>
      <c r="BJ861" s="763" t="b">
        <f>IFERROR(__xludf.DUMMYFUNCTION("""COMPUTED_VALUE"""),TRUE)</f>
        <v>1</v>
      </c>
    </row>
    <row r="862">
      <c r="A862" s="763">
        <f>IFERROR(__xludf.DUMMYFUNCTION("""COMPUTED_VALUE"""),67398.0)</f>
        <v>67398</v>
      </c>
      <c r="B862" s="763">
        <f>IFERROR(__xludf.DUMMYFUNCTION("""COMPUTED_VALUE"""),67398.0)</f>
        <v>67398</v>
      </c>
      <c r="C862" s="763" t="str">
        <f>IFERROR(__xludf.DUMMYFUNCTION("""COMPUTED_VALUE"""),"2026-01-18 09:43:37")</f>
        <v>2026-01-18 09:43:37</v>
      </c>
      <c r="D862" s="763" t="str">
        <f>IFERROR(__xludf.DUMMYFUNCTION("""COMPUTED_VALUE"""),"completed")</f>
        <v>completed</v>
      </c>
      <c r="E862" s="763" t="str">
        <f>IFERROR(__xludf.DUMMYFUNCTION("""COMPUTED_VALUE"""),"Gioele")</f>
        <v>Gioele</v>
      </c>
      <c r="F862" s="763" t="str">
        <f>IFERROR(__xludf.DUMMYFUNCTION("""COMPUTED_VALUE"""),"Grande")</f>
        <v>Grande</v>
      </c>
      <c r="G862" s="763" t="str">
        <f>IFERROR(__xludf.DUMMYFUNCTION("""COMPUTED_VALUE"""),"monicapolichetti@libero.it")</f>
        <v>monicapolichetti@libero.it</v>
      </c>
      <c r="H862" s="763">
        <f>IFERROR(__xludf.DUMMYFUNCTION("""COMPUTED_VALUE"""),3.47866641E9)</f>
        <v>3478666410</v>
      </c>
      <c r="I862" s="763" t="str">
        <f>IFERROR(__xludf.DUMMYFUNCTION("""COMPUTED_VALUE"""),"Arcore")</f>
        <v>Arcore</v>
      </c>
      <c r="J862" s="763" t="str">
        <f>IFERROR(__xludf.DUMMYFUNCTION("""COMPUTED_VALUE"""),"Via Natale Beretta 93")</f>
        <v>Via Natale Beretta 93</v>
      </c>
      <c r="K862" s="763">
        <f>IFERROR(__xludf.DUMMYFUNCTION("""COMPUTED_VALUE"""),20862.0)</f>
        <v>20862</v>
      </c>
      <c r="L862" s="763" t="str">
        <f>IFERROR(__xludf.DUMMYFUNCTION("""COMPUTED_VALUE"""),"Carte di pagamento")</f>
        <v>Carte di pagamento</v>
      </c>
      <c r="M862" s="763"/>
      <c r="N862" s="763" t="str">
        <f>IFERROR(__xludf.DUMMYFUNCTION("""COMPUTED_VALUE"""),"67398-1768729419")</f>
        <v>67398-1768729419</v>
      </c>
      <c r="O862" s="763">
        <f>IFERROR(__xludf.DUMMYFUNCTION("""COMPUTED_VALUE"""),0.0)</f>
        <v>0</v>
      </c>
      <c r="P862" s="767">
        <f>IFERROR(__xludf.DUMMYFUNCTION("""COMPUTED_VALUE"""),1.5416666666666667)</f>
        <v>1.541666667</v>
      </c>
      <c r="Q862" s="763" t="str">
        <f>IFERROR(__xludf.DUMMYFUNCTION("""COMPUTED_VALUE"""),"EUR")</f>
        <v>EUR</v>
      </c>
      <c r="R862" s="763">
        <f>IFERROR(__xludf.DUMMYFUNCTION("""COMPUTED_VALUE"""),1555.0)</f>
        <v>1555</v>
      </c>
      <c r="S862" s="763" t="str">
        <f>IFERROR(__xludf.DUMMYFUNCTION("""COMPUTED_VALUE"""),"Workshop Urban Alessio Cavaliere 2026 - Workshop Alessio Cavaliere 1 febbraio 2026")</f>
        <v>Workshop Urban Alessio Cavaliere 2026 - Workshop Alessio Cavaliere 1 febbraio 2026</v>
      </c>
      <c r="T862" s="763"/>
      <c r="U862" s="763"/>
      <c r="V862" s="763">
        <f>IFERROR(__xludf.DUMMYFUNCTION("""COMPUTED_VALUE"""),1.0)</f>
        <v>1</v>
      </c>
      <c r="W862" s="763">
        <f>IFERROR(__xludf.DUMMYFUNCTION("""COMPUTED_VALUE"""),37.0)</f>
        <v>37</v>
      </c>
      <c r="X862" s="763">
        <f>IFERROR(__xludf.DUMMYFUNCTION("""COMPUTED_VALUE"""),37.0)</f>
        <v>37</v>
      </c>
      <c r="Y862" s="763"/>
      <c r="Z862" s="768" t="str">
        <f>IFERROR(__xludf.DUMMYFUNCTION("""COMPUTED_VALUE"""),"https://studio-gem.it/wp-admin/post.php?post=67398&amp;action=edit")</f>
        <v>https://studio-gem.it/wp-admin/post.php?post=67398&amp;action=edit</v>
      </c>
      <c r="AA862" s="763"/>
      <c r="AB862" s="763"/>
      <c r="AC862" s="763"/>
      <c r="AD862" s="763"/>
      <c r="AE862" s="763"/>
      <c r="AF862" s="763"/>
      <c r="AG862" s="763"/>
      <c r="AH862" s="763"/>
      <c r="AI862" s="763"/>
      <c r="AJ862" s="763"/>
      <c r="AK862" s="763"/>
      <c r="AL862" s="763"/>
      <c r="AM862" s="763"/>
      <c r="AN862" s="763"/>
      <c r="AO862" s="763"/>
      <c r="AP862" s="763"/>
      <c r="AQ862" s="763"/>
      <c r="AR862" s="763"/>
      <c r="AS862" s="763"/>
      <c r="AT862" s="763"/>
      <c r="AU862" s="763"/>
      <c r="AV862" s="763"/>
      <c r="AW862" s="763"/>
      <c r="AX862" s="763"/>
      <c r="AY862" s="763"/>
      <c r="AZ862" s="763"/>
      <c r="BA862" s="763"/>
      <c r="BB862" s="763"/>
      <c r="BC862" s="763"/>
      <c r="BD862" s="763"/>
      <c r="BE862" s="763"/>
      <c r="BF862" s="763"/>
      <c r="BG862" s="763" t="b">
        <f>IFERROR(__xludf.DUMMYFUNCTION("""COMPUTED_VALUE"""),TRUE)</f>
        <v>1</v>
      </c>
      <c r="BH862" s="763" t="b">
        <f>IFERROR(__xludf.DUMMYFUNCTION("""COMPUTED_VALUE"""),FALSE)</f>
        <v>0</v>
      </c>
      <c r="BI862" s="763" t="b">
        <f>IFERROR(__xludf.DUMMYFUNCTION("""COMPUTED_VALUE"""),TRUE)</f>
        <v>1</v>
      </c>
      <c r="BJ862" s="763" t="b">
        <f>IFERROR(__xludf.DUMMYFUNCTION("""COMPUTED_VALUE"""),TRUE)</f>
        <v>1</v>
      </c>
    </row>
    <row r="863">
      <c r="A863" s="763">
        <f>IFERROR(__xludf.DUMMYFUNCTION("""COMPUTED_VALUE"""),67399.0)</f>
        <v>67399</v>
      </c>
      <c r="B863" s="763">
        <f>IFERROR(__xludf.DUMMYFUNCTION("""COMPUTED_VALUE"""),67399.0)</f>
        <v>67399</v>
      </c>
      <c r="C863" s="763" t="str">
        <f>IFERROR(__xludf.DUMMYFUNCTION("""COMPUTED_VALUE"""),"2026-01-18 09:44:42")</f>
        <v>2026-01-18 09:44:42</v>
      </c>
      <c r="D863" s="763" t="str">
        <f>IFERROR(__xludf.DUMMYFUNCTION("""COMPUTED_VALUE"""),"processing")</f>
        <v>processing</v>
      </c>
      <c r="E863" s="763" t="str">
        <f>IFERROR(__xludf.DUMMYFUNCTION("""COMPUTED_VALUE"""),"Giulia")</f>
        <v>Giulia</v>
      </c>
      <c r="F863" s="763" t="str">
        <f>IFERROR(__xludf.DUMMYFUNCTION("""COMPUTED_VALUE"""),"Grande")</f>
        <v>Grande</v>
      </c>
      <c r="G863" s="763" t="str">
        <f>IFERROR(__xludf.DUMMYFUNCTION("""COMPUTED_VALUE"""),"grandeegiulia03@gmail.com")</f>
        <v>grandeegiulia03@gmail.com</v>
      </c>
      <c r="H863" s="763">
        <f>IFERROR(__xludf.DUMMYFUNCTION("""COMPUTED_VALUE"""),3.669542854E9)</f>
        <v>3669542854</v>
      </c>
      <c r="I863" s="763" t="str">
        <f>IFERROR(__xludf.DUMMYFUNCTION("""COMPUTED_VALUE"""),"Arcore")</f>
        <v>Arcore</v>
      </c>
      <c r="J863" s="763" t="str">
        <f>IFERROR(__xludf.DUMMYFUNCTION("""COMPUTED_VALUE"""),"Via Natale Beretta,93")</f>
        <v>Via Natale Beretta,93</v>
      </c>
      <c r="K863" s="763">
        <f>IFERROR(__xludf.DUMMYFUNCTION("""COMPUTED_VALUE"""),20862.0)</f>
        <v>20862</v>
      </c>
      <c r="L863" s="763" t="str">
        <f>IFERROR(__xludf.DUMMYFUNCTION("""COMPUTED_VALUE"""),"Carte di pagamento")</f>
        <v>Carte di pagamento</v>
      </c>
      <c r="M863" s="763"/>
      <c r="N863" s="763" t="str">
        <f>IFERROR(__xludf.DUMMYFUNCTION("""COMPUTED_VALUE"""),"67399-1768729484")</f>
        <v>67399-1768729484</v>
      </c>
      <c r="O863" s="763">
        <f>IFERROR(__xludf.DUMMYFUNCTION("""COMPUTED_VALUE"""),0.0)</f>
        <v>0</v>
      </c>
      <c r="P863" s="767">
        <f>IFERROR(__xludf.DUMMYFUNCTION("""COMPUTED_VALUE"""),1.875)</f>
        <v>1.875</v>
      </c>
      <c r="Q863" s="763" t="str">
        <f>IFERROR(__xludf.DUMMYFUNCTION("""COMPUTED_VALUE"""),"EUR")</f>
        <v>EUR</v>
      </c>
      <c r="R863" s="763">
        <f>IFERROR(__xludf.DUMMYFUNCTION("""COMPUTED_VALUE"""),1556.0)</f>
        <v>1556</v>
      </c>
      <c r="S863" s="763" t="str">
        <f>IFERROR(__xludf.DUMMYFUNCTION("""COMPUTED_VALUE"""),"Workshop Hip Hop Emanuel Lo 2026 - Workshop Emanuel Lo 22 febbraio 2026")</f>
        <v>Workshop Hip Hop Emanuel Lo 2026 - Workshop Emanuel Lo 22 febbraio 2026</v>
      </c>
      <c r="T863" s="763"/>
      <c r="U863" s="763"/>
      <c r="V863" s="763">
        <f>IFERROR(__xludf.DUMMYFUNCTION("""COMPUTED_VALUE"""),1.0)</f>
        <v>1</v>
      </c>
      <c r="W863" s="763">
        <f>IFERROR(__xludf.DUMMYFUNCTION("""COMPUTED_VALUE"""),45.0)</f>
        <v>45</v>
      </c>
      <c r="X863" s="763">
        <f>IFERROR(__xludf.DUMMYFUNCTION("""COMPUTED_VALUE"""),45.0)</f>
        <v>45</v>
      </c>
      <c r="Y863" s="763"/>
      <c r="Z863" s="768" t="str">
        <f>IFERROR(__xludf.DUMMYFUNCTION("""COMPUTED_VALUE"""),"https://studio-gem.it/wp-admin/post.php?post=67399&amp;action=edit")</f>
        <v>https://studio-gem.it/wp-admin/post.php?post=67399&amp;action=edit</v>
      </c>
      <c r="AA863" s="763"/>
      <c r="AB863" s="763"/>
      <c r="AC863" s="763"/>
      <c r="AD863" s="763"/>
      <c r="AE863" s="763"/>
      <c r="AF863" s="763"/>
      <c r="AG863" s="763"/>
      <c r="AH863" s="763"/>
      <c r="AI863" s="763"/>
      <c r="AJ863" s="763"/>
      <c r="AK863" s="763"/>
      <c r="AL863" s="763"/>
      <c r="AM863" s="763"/>
      <c r="AN863" s="763"/>
      <c r="AO863" s="763"/>
      <c r="AP863" s="763"/>
      <c r="AQ863" s="763"/>
      <c r="AR863" s="763"/>
      <c r="AS863" s="763"/>
      <c r="AT863" s="763"/>
      <c r="AU863" s="763"/>
      <c r="AV863" s="763"/>
      <c r="AW863" s="763"/>
      <c r="AX863" s="763"/>
      <c r="AY863" s="763"/>
      <c r="AZ863" s="763"/>
      <c r="BA863" s="763"/>
      <c r="BB863" s="763"/>
      <c r="BC863" s="763"/>
      <c r="BD863" s="763"/>
      <c r="BE863" s="763"/>
      <c r="BF863" s="763"/>
      <c r="BG863" s="763" t="b">
        <f>IFERROR(__xludf.DUMMYFUNCTION("""COMPUTED_VALUE"""),TRUE)</f>
        <v>1</v>
      </c>
      <c r="BH863" s="763" t="b">
        <f>IFERROR(__xludf.DUMMYFUNCTION("""COMPUTED_VALUE"""),FALSE)</f>
        <v>0</v>
      </c>
      <c r="BI863" s="763" t="b">
        <f>IFERROR(__xludf.DUMMYFUNCTION("""COMPUTED_VALUE"""),TRUE)</f>
        <v>1</v>
      </c>
      <c r="BJ863" s="763" t="b">
        <f>IFERROR(__xludf.DUMMYFUNCTION("""COMPUTED_VALUE"""),TRUE)</f>
        <v>1</v>
      </c>
    </row>
    <row r="864">
      <c r="A864" s="763">
        <f>IFERROR(__xludf.DUMMYFUNCTION("""COMPUTED_VALUE"""),67401.0)</f>
        <v>67401</v>
      </c>
      <c r="B864" s="763">
        <f>IFERROR(__xludf.DUMMYFUNCTION("""COMPUTED_VALUE"""),67401.0)</f>
        <v>67401</v>
      </c>
      <c r="C864" s="763" t="str">
        <f>IFERROR(__xludf.DUMMYFUNCTION("""COMPUTED_VALUE"""),"2026-01-18 09:46:09")</f>
        <v>2026-01-18 09:46:09</v>
      </c>
      <c r="D864" s="763" t="str">
        <f>IFERROR(__xludf.DUMMYFUNCTION("""COMPUTED_VALUE"""),"processing")</f>
        <v>processing</v>
      </c>
      <c r="E864" s="763" t="str">
        <f>IFERROR(__xludf.DUMMYFUNCTION("""COMPUTED_VALUE"""),"Gioele")</f>
        <v>Gioele</v>
      </c>
      <c r="F864" s="763" t="str">
        <f>IFERROR(__xludf.DUMMYFUNCTION("""COMPUTED_VALUE"""),"Grande")</f>
        <v>Grande</v>
      </c>
      <c r="G864" s="763" t="str">
        <f>IFERROR(__xludf.DUMMYFUNCTION("""COMPUTED_VALUE"""),"monicapolichetti@libero.it")</f>
        <v>monicapolichetti@libero.it</v>
      </c>
      <c r="H864" s="763">
        <f>IFERROR(__xludf.DUMMYFUNCTION("""COMPUTED_VALUE"""),3.47866641E9)</f>
        <v>3478666410</v>
      </c>
      <c r="I864" s="763" t="str">
        <f>IFERROR(__xludf.DUMMYFUNCTION("""COMPUTED_VALUE"""),"Arcore")</f>
        <v>Arcore</v>
      </c>
      <c r="J864" s="763" t="str">
        <f>IFERROR(__xludf.DUMMYFUNCTION("""COMPUTED_VALUE"""),"Via Natale Beretta 93")</f>
        <v>Via Natale Beretta 93</v>
      </c>
      <c r="K864" s="763">
        <f>IFERROR(__xludf.DUMMYFUNCTION("""COMPUTED_VALUE"""),20862.0)</f>
        <v>20862</v>
      </c>
      <c r="L864" s="763" t="str">
        <f>IFERROR(__xludf.DUMMYFUNCTION("""COMPUTED_VALUE"""),"Carte di pagamento")</f>
        <v>Carte di pagamento</v>
      </c>
      <c r="M864" s="763"/>
      <c r="N864" s="763" t="str">
        <f>IFERROR(__xludf.DUMMYFUNCTION("""COMPUTED_VALUE"""),"67401-1768729570")</f>
        <v>67401-1768729570</v>
      </c>
      <c r="O864" s="763">
        <f>IFERROR(__xludf.DUMMYFUNCTION("""COMPUTED_VALUE"""),0.0)</f>
        <v>0</v>
      </c>
      <c r="P864" s="767">
        <f>IFERROR(__xludf.DUMMYFUNCTION("""COMPUTED_VALUE"""),1.875)</f>
        <v>1.875</v>
      </c>
      <c r="Q864" s="763" t="str">
        <f>IFERROR(__xludf.DUMMYFUNCTION("""COMPUTED_VALUE"""),"EUR")</f>
        <v>EUR</v>
      </c>
      <c r="R864" s="763">
        <f>IFERROR(__xludf.DUMMYFUNCTION("""COMPUTED_VALUE"""),1557.0)</f>
        <v>1557</v>
      </c>
      <c r="S864" s="763" t="str">
        <f>IFERROR(__xludf.DUMMYFUNCTION("""COMPUTED_VALUE"""),"Workshop Hip Hop Emanuel Lo 2026 - Workshop Emanuel Lo 22 febbraio 2026")</f>
        <v>Workshop Hip Hop Emanuel Lo 2026 - Workshop Emanuel Lo 22 febbraio 2026</v>
      </c>
      <c r="T864" s="763"/>
      <c r="U864" s="763"/>
      <c r="V864" s="763">
        <f>IFERROR(__xludf.DUMMYFUNCTION("""COMPUTED_VALUE"""),1.0)</f>
        <v>1</v>
      </c>
      <c r="W864" s="763">
        <f>IFERROR(__xludf.DUMMYFUNCTION("""COMPUTED_VALUE"""),45.0)</f>
        <v>45</v>
      </c>
      <c r="X864" s="763">
        <f>IFERROR(__xludf.DUMMYFUNCTION("""COMPUTED_VALUE"""),45.0)</f>
        <v>45</v>
      </c>
      <c r="Y864" s="763"/>
      <c r="Z864" s="768" t="str">
        <f>IFERROR(__xludf.DUMMYFUNCTION("""COMPUTED_VALUE"""),"https://studio-gem.it/wp-admin/post.php?post=67401&amp;action=edit")</f>
        <v>https://studio-gem.it/wp-admin/post.php?post=67401&amp;action=edit</v>
      </c>
      <c r="AA864" s="763"/>
      <c r="AB864" s="763"/>
      <c r="AC864" s="763"/>
      <c r="AD864" s="763"/>
      <c r="AE864" s="763"/>
      <c r="AF864" s="763"/>
      <c r="AG864" s="763"/>
      <c r="AH864" s="763"/>
      <c r="AI864" s="763"/>
      <c r="AJ864" s="763"/>
      <c r="AK864" s="763"/>
      <c r="AL864" s="763"/>
      <c r="AM864" s="763"/>
      <c r="AN864" s="763"/>
      <c r="AO864" s="763"/>
      <c r="AP864" s="763"/>
      <c r="AQ864" s="763"/>
      <c r="AR864" s="763"/>
      <c r="AS864" s="763"/>
      <c r="AT864" s="763"/>
      <c r="AU864" s="763"/>
      <c r="AV864" s="763"/>
      <c r="AW864" s="763"/>
      <c r="AX864" s="763"/>
      <c r="AY864" s="763"/>
      <c r="AZ864" s="763"/>
      <c r="BA864" s="763"/>
      <c r="BB864" s="763"/>
      <c r="BC864" s="763"/>
      <c r="BD864" s="763"/>
      <c r="BE864" s="763"/>
      <c r="BF864" s="763"/>
      <c r="BG864" s="763" t="b">
        <f>IFERROR(__xludf.DUMMYFUNCTION("""COMPUTED_VALUE"""),TRUE)</f>
        <v>1</v>
      </c>
      <c r="BH864" s="763" t="b">
        <f>IFERROR(__xludf.DUMMYFUNCTION("""COMPUTED_VALUE"""),FALSE)</f>
        <v>0</v>
      </c>
      <c r="BI864" s="763" t="b">
        <f>IFERROR(__xludf.DUMMYFUNCTION("""COMPUTED_VALUE"""),TRUE)</f>
        <v>1</v>
      </c>
      <c r="BJ864" s="763" t="b">
        <f>IFERROR(__xludf.DUMMYFUNCTION("""COMPUTED_VALUE"""),TRUE)</f>
        <v>1</v>
      </c>
    </row>
    <row r="865">
      <c r="A865" s="763">
        <f>IFERROR(__xludf.DUMMYFUNCTION("""COMPUTED_VALUE"""),67402.0)</f>
        <v>67402</v>
      </c>
      <c r="B865" s="763">
        <f>IFERROR(__xludf.DUMMYFUNCTION("""COMPUTED_VALUE"""),67402.0)</f>
        <v>67402</v>
      </c>
      <c r="C865" s="763" t="str">
        <f>IFERROR(__xludf.DUMMYFUNCTION("""COMPUTED_VALUE"""),"2026-01-18 09:47:03")</f>
        <v>2026-01-18 09:47:03</v>
      </c>
      <c r="D865" s="763" t="str">
        <f>IFERROR(__xludf.DUMMYFUNCTION("""COMPUTED_VALUE"""),"processing")</f>
        <v>processing</v>
      </c>
      <c r="E865" s="763" t="str">
        <f>IFERROR(__xludf.DUMMYFUNCTION("""COMPUTED_VALUE"""),"Giorgia")</f>
        <v>Giorgia</v>
      </c>
      <c r="F865" s="763" t="str">
        <f>IFERROR(__xludf.DUMMYFUNCTION("""COMPUTED_VALUE"""),"Grande")</f>
        <v>Grande</v>
      </c>
      <c r="G865" s="763" t="str">
        <f>IFERROR(__xludf.DUMMYFUNCTION("""COMPUTED_VALUE"""),"giorgiagrande3@gmail.com")</f>
        <v>giorgiagrande3@gmail.com</v>
      </c>
      <c r="H865" s="763">
        <f>IFERROR(__xludf.DUMMYFUNCTION("""COMPUTED_VALUE"""),3.663090943E9)</f>
        <v>3663090943</v>
      </c>
      <c r="I865" s="763" t="str">
        <f>IFERROR(__xludf.DUMMYFUNCTION("""COMPUTED_VALUE"""),"Arcore")</f>
        <v>Arcore</v>
      </c>
      <c r="J865" s="763" t="str">
        <f>IFERROR(__xludf.DUMMYFUNCTION("""COMPUTED_VALUE"""),"Via Natale Beretta 93")</f>
        <v>Via Natale Beretta 93</v>
      </c>
      <c r="K865" s="763">
        <f>IFERROR(__xludf.DUMMYFUNCTION("""COMPUTED_VALUE"""),20862.0)</f>
        <v>20862</v>
      </c>
      <c r="L865" s="763" t="str">
        <f>IFERROR(__xludf.DUMMYFUNCTION("""COMPUTED_VALUE"""),"Carte di pagamento")</f>
        <v>Carte di pagamento</v>
      </c>
      <c r="M865" s="763"/>
      <c r="N865" s="763" t="str">
        <f>IFERROR(__xludf.DUMMYFUNCTION("""COMPUTED_VALUE"""),"67402-1768729625")</f>
        <v>67402-1768729625</v>
      </c>
      <c r="O865" s="763">
        <f>IFERROR(__xludf.DUMMYFUNCTION("""COMPUTED_VALUE"""),0.0)</f>
        <v>0</v>
      </c>
      <c r="P865" s="767">
        <f>IFERROR(__xludf.DUMMYFUNCTION("""COMPUTED_VALUE"""),1.875)</f>
        <v>1.875</v>
      </c>
      <c r="Q865" s="763" t="str">
        <f>IFERROR(__xludf.DUMMYFUNCTION("""COMPUTED_VALUE"""),"EUR")</f>
        <v>EUR</v>
      </c>
      <c r="R865" s="763">
        <f>IFERROR(__xludf.DUMMYFUNCTION("""COMPUTED_VALUE"""),1558.0)</f>
        <v>1558</v>
      </c>
      <c r="S865" s="763" t="str">
        <f>IFERROR(__xludf.DUMMYFUNCTION("""COMPUTED_VALUE"""),"Workshop Hip Hop Emanuel Lo 2026 - Workshop Emanuel Lo 22 febbraio 2026")</f>
        <v>Workshop Hip Hop Emanuel Lo 2026 - Workshop Emanuel Lo 22 febbraio 2026</v>
      </c>
      <c r="T865" s="763"/>
      <c r="U865" s="763"/>
      <c r="V865" s="763">
        <f>IFERROR(__xludf.DUMMYFUNCTION("""COMPUTED_VALUE"""),1.0)</f>
        <v>1</v>
      </c>
      <c r="W865" s="763">
        <f>IFERROR(__xludf.DUMMYFUNCTION("""COMPUTED_VALUE"""),45.0)</f>
        <v>45</v>
      </c>
      <c r="X865" s="763">
        <f>IFERROR(__xludf.DUMMYFUNCTION("""COMPUTED_VALUE"""),45.0)</f>
        <v>45</v>
      </c>
      <c r="Y865" s="763"/>
      <c r="Z865" s="768" t="str">
        <f>IFERROR(__xludf.DUMMYFUNCTION("""COMPUTED_VALUE"""),"https://studio-gem.it/wp-admin/post.php?post=67402&amp;action=edit")</f>
        <v>https://studio-gem.it/wp-admin/post.php?post=67402&amp;action=edit</v>
      </c>
      <c r="AA865" s="763"/>
      <c r="AB865" s="763"/>
      <c r="AC865" s="763"/>
      <c r="AD865" s="763"/>
      <c r="AE865" s="763"/>
      <c r="AF865" s="763"/>
      <c r="AG865" s="763"/>
      <c r="AH865" s="763"/>
      <c r="AI865" s="763"/>
      <c r="AJ865" s="763"/>
      <c r="AK865" s="763"/>
      <c r="AL865" s="763"/>
      <c r="AM865" s="763"/>
      <c r="AN865" s="763"/>
      <c r="AO865" s="763"/>
      <c r="AP865" s="763"/>
      <c r="AQ865" s="763"/>
      <c r="AR865" s="763"/>
      <c r="AS865" s="763"/>
      <c r="AT865" s="763"/>
      <c r="AU865" s="763"/>
      <c r="AV865" s="763"/>
      <c r="AW865" s="763"/>
      <c r="AX865" s="763"/>
      <c r="AY865" s="763"/>
      <c r="AZ865" s="763"/>
      <c r="BA865" s="763"/>
      <c r="BB865" s="763"/>
      <c r="BC865" s="763"/>
      <c r="BD865" s="763"/>
      <c r="BE865" s="763"/>
      <c r="BF865" s="763"/>
      <c r="BG865" s="763" t="b">
        <f>IFERROR(__xludf.DUMMYFUNCTION("""COMPUTED_VALUE"""),TRUE)</f>
        <v>1</v>
      </c>
      <c r="BH865" s="763" t="b">
        <f>IFERROR(__xludf.DUMMYFUNCTION("""COMPUTED_VALUE"""),FALSE)</f>
        <v>0</v>
      </c>
      <c r="BI865" s="763" t="b">
        <f>IFERROR(__xludf.DUMMYFUNCTION("""COMPUTED_VALUE"""),TRUE)</f>
        <v>1</v>
      </c>
      <c r="BJ865" s="763" t="b">
        <f>IFERROR(__xludf.DUMMYFUNCTION("""COMPUTED_VALUE"""),TRUE)</f>
        <v>1</v>
      </c>
    </row>
    <row r="866">
      <c r="A866" s="763">
        <f>IFERROR(__xludf.DUMMYFUNCTION("""COMPUTED_VALUE"""),67404.0)</f>
        <v>67404</v>
      </c>
      <c r="B866" s="763">
        <f>IFERROR(__xludf.DUMMYFUNCTION("""COMPUTED_VALUE"""),67404.0)</f>
        <v>67404</v>
      </c>
      <c r="C866" s="763" t="str">
        <f>IFERROR(__xludf.DUMMYFUNCTION("""COMPUTED_VALUE"""),"2026-01-18 13:37:47")</f>
        <v>2026-01-18 13:37:47</v>
      </c>
      <c r="D866" s="763" t="str">
        <f>IFERROR(__xludf.DUMMYFUNCTION("""COMPUTED_VALUE"""),"processing")</f>
        <v>processing</v>
      </c>
      <c r="E866" s="763" t="str">
        <f>IFERROR(__xludf.DUMMYFUNCTION("""COMPUTED_VALUE"""),"Tiziana")</f>
        <v>Tiziana</v>
      </c>
      <c r="F866" s="763" t="str">
        <f>IFERROR(__xludf.DUMMYFUNCTION("""COMPUTED_VALUE"""),"Marzi")</f>
        <v>Marzi</v>
      </c>
      <c r="G866" s="763" t="str">
        <f>IFERROR(__xludf.DUMMYFUNCTION("""COMPUTED_VALUE"""),"tizianamarz75@gmail.com")</f>
        <v>tizianamarz75@gmail.com</v>
      </c>
      <c r="H866" s="763">
        <f>IFERROR(__xludf.DUMMYFUNCTION("""COMPUTED_VALUE"""),3.772340007E9)</f>
        <v>3772340007</v>
      </c>
      <c r="I866" s="763" t="str">
        <f>IFERROR(__xludf.DUMMYFUNCTION("""COMPUTED_VALUE"""),"Monza")</f>
        <v>Monza</v>
      </c>
      <c r="J866" s="763" t="str">
        <f>IFERROR(__xludf.DUMMYFUNCTION("""COMPUTED_VALUE"""),"Via Bergamo 28")</f>
        <v>Via Bergamo 28</v>
      </c>
      <c r="K866" s="763">
        <f>IFERROR(__xludf.DUMMYFUNCTION("""COMPUTED_VALUE"""),20871.0)</f>
        <v>20871</v>
      </c>
      <c r="L866" s="763" t="str">
        <f>IFERROR(__xludf.DUMMYFUNCTION("""COMPUTED_VALUE"""),"Carte di pagamento")</f>
        <v>Carte di pagamento</v>
      </c>
      <c r="M866" s="763"/>
      <c r="N866" s="763" t="str">
        <f>IFERROR(__xludf.DUMMYFUNCTION("""COMPUTED_VALUE"""),"67404-1768743844")</f>
        <v>67404-1768743844</v>
      </c>
      <c r="O866" s="763">
        <f>IFERROR(__xludf.DUMMYFUNCTION("""COMPUTED_VALUE"""),0.0)</f>
        <v>0</v>
      </c>
      <c r="P866" s="767">
        <f>IFERROR(__xludf.DUMMYFUNCTION("""COMPUTED_VALUE"""),1.875)</f>
        <v>1.875</v>
      </c>
      <c r="Q866" s="763" t="str">
        <f>IFERROR(__xludf.DUMMYFUNCTION("""COMPUTED_VALUE"""),"EUR")</f>
        <v>EUR</v>
      </c>
      <c r="R866" s="763">
        <f>IFERROR(__xludf.DUMMYFUNCTION("""COMPUTED_VALUE"""),1560.0)</f>
        <v>1560</v>
      </c>
      <c r="S866" s="763" t="str">
        <f>IFERROR(__xludf.DUMMYFUNCTION("""COMPUTED_VALUE"""),"Workshop Hip Hop Emanuel Lo 2026 - Workshop Emanuel Lo 22 febbraio 2026")</f>
        <v>Workshop Hip Hop Emanuel Lo 2026 - Workshop Emanuel Lo 22 febbraio 2026</v>
      </c>
      <c r="T866" s="763"/>
      <c r="U866" s="763"/>
      <c r="V866" s="763">
        <f>IFERROR(__xludf.DUMMYFUNCTION("""COMPUTED_VALUE"""),1.0)</f>
        <v>1</v>
      </c>
      <c r="W866" s="763">
        <f>IFERROR(__xludf.DUMMYFUNCTION("""COMPUTED_VALUE"""),45.0)</f>
        <v>45</v>
      </c>
      <c r="X866" s="763">
        <f>IFERROR(__xludf.DUMMYFUNCTION("""COMPUTED_VALUE"""),45.0)</f>
        <v>45</v>
      </c>
      <c r="Y866" s="763"/>
      <c r="Z866" s="768" t="str">
        <f>IFERROR(__xludf.DUMMYFUNCTION("""COMPUTED_VALUE"""),"https://studio-gem.it/wp-admin/post.php?post=67404&amp;action=edit")</f>
        <v>https://studio-gem.it/wp-admin/post.php?post=67404&amp;action=edit</v>
      </c>
      <c r="AA866" s="763"/>
      <c r="AB866" s="763"/>
      <c r="AC866" s="763"/>
      <c r="AD866" s="763"/>
      <c r="AE866" s="763"/>
      <c r="AF866" s="763"/>
      <c r="AG866" s="763"/>
      <c r="AH866" s="763"/>
      <c r="AI866" s="763"/>
      <c r="AJ866" s="763"/>
      <c r="AK866" s="763"/>
      <c r="AL866" s="763"/>
      <c r="AM866" s="763"/>
      <c r="AN866" s="763"/>
      <c r="AO866" s="763"/>
      <c r="AP866" s="763"/>
      <c r="AQ866" s="763"/>
      <c r="AR866" s="763"/>
      <c r="AS866" s="763"/>
      <c r="AT866" s="763"/>
      <c r="AU866" s="763"/>
      <c r="AV866" s="763"/>
      <c r="AW866" s="763"/>
      <c r="AX866" s="763"/>
      <c r="AY866" s="763"/>
      <c r="AZ866" s="763"/>
      <c r="BA866" s="763"/>
      <c r="BB866" s="763"/>
      <c r="BC866" s="763"/>
      <c r="BD866" s="763"/>
      <c r="BE866" s="763"/>
      <c r="BF866" s="763"/>
      <c r="BG866" s="763" t="b">
        <f>IFERROR(__xludf.DUMMYFUNCTION("""COMPUTED_VALUE"""),TRUE)</f>
        <v>1</v>
      </c>
      <c r="BH866" s="763" t="b">
        <f>IFERROR(__xludf.DUMMYFUNCTION("""COMPUTED_VALUE"""),FALSE)</f>
        <v>0</v>
      </c>
      <c r="BI866" s="763" t="b">
        <f>IFERROR(__xludf.DUMMYFUNCTION("""COMPUTED_VALUE"""),TRUE)</f>
        <v>1</v>
      </c>
      <c r="BJ866" s="763" t="b">
        <f>IFERROR(__xludf.DUMMYFUNCTION("""COMPUTED_VALUE"""),TRUE)</f>
        <v>1</v>
      </c>
    </row>
    <row r="867">
      <c r="A867" s="763">
        <f>IFERROR(__xludf.DUMMYFUNCTION("""COMPUTED_VALUE"""),67408.0)</f>
        <v>67408</v>
      </c>
      <c r="B867" s="763">
        <f>IFERROR(__xludf.DUMMYFUNCTION("""COMPUTED_VALUE"""),67408.0)</f>
        <v>67408</v>
      </c>
      <c r="C867" s="763" t="str">
        <f>IFERROR(__xludf.DUMMYFUNCTION("""COMPUTED_VALUE"""),"2026-01-18 20:47:41")</f>
        <v>2026-01-18 20:47:41</v>
      </c>
      <c r="D867" s="763" t="str">
        <f>IFERROR(__xludf.DUMMYFUNCTION("""COMPUTED_VALUE"""),"processing")</f>
        <v>processing</v>
      </c>
      <c r="E867" s="763" t="str">
        <f>IFERROR(__xludf.DUMMYFUNCTION("""COMPUTED_VALUE"""),"Asia")</f>
        <v>Asia</v>
      </c>
      <c r="F867" s="763" t="str">
        <f>IFERROR(__xludf.DUMMYFUNCTION("""COMPUTED_VALUE"""),"Tarenzio")</f>
        <v>Tarenzio</v>
      </c>
      <c r="G867" s="763" t="str">
        <f>IFERROR(__xludf.DUMMYFUNCTION("""COMPUTED_VALUE"""),"elenaguya.barbera@gmail.com")</f>
        <v>elenaguya.barbera@gmail.com</v>
      </c>
      <c r="H867" s="763">
        <f>IFERROR(__xludf.DUMMYFUNCTION("""COMPUTED_VALUE"""),3.47450273E9)</f>
        <v>3474502730</v>
      </c>
      <c r="I867" s="763" t="str">
        <f>IFERROR(__xludf.DUMMYFUNCTION("""COMPUTED_VALUE"""),"Vigevano")</f>
        <v>Vigevano</v>
      </c>
      <c r="J867" s="763" t="str">
        <f>IFERROR(__xludf.DUMMYFUNCTION("""COMPUTED_VALUE"""),"Corso Novara 62")</f>
        <v>Corso Novara 62</v>
      </c>
      <c r="K867" s="763">
        <f>IFERROR(__xludf.DUMMYFUNCTION("""COMPUTED_VALUE"""),27029.0)</f>
        <v>27029</v>
      </c>
      <c r="L867" s="763" t="str">
        <f>IFERROR(__xludf.DUMMYFUNCTION("""COMPUTED_VALUE"""),"Carte di pagamento")</f>
        <v>Carte di pagamento</v>
      </c>
      <c r="M867" s="763"/>
      <c r="N867" s="763" t="str">
        <f>IFERROR(__xludf.DUMMYFUNCTION("""COMPUTED_VALUE"""),"67408-1768769262")</f>
        <v>67408-1768769262</v>
      </c>
      <c r="O867" s="763">
        <f>IFERROR(__xludf.DUMMYFUNCTION("""COMPUTED_VALUE"""),0.0)</f>
        <v>0</v>
      </c>
      <c r="P867" s="767">
        <f>IFERROR(__xludf.DUMMYFUNCTION("""COMPUTED_VALUE"""),1.875)</f>
        <v>1.875</v>
      </c>
      <c r="Q867" s="763" t="str">
        <f>IFERROR(__xludf.DUMMYFUNCTION("""COMPUTED_VALUE"""),"EUR")</f>
        <v>EUR</v>
      </c>
      <c r="R867" s="763">
        <f>IFERROR(__xludf.DUMMYFUNCTION("""COMPUTED_VALUE"""),1561.0)</f>
        <v>1561</v>
      </c>
      <c r="S867" s="763" t="str">
        <f>IFERROR(__xludf.DUMMYFUNCTION("""COMPUTED_VALUE"""),"Workshop Hip Hop Emanuel Lo 2026 - Workshop Emanuel Lo 22 febbraio 2026")</f>
        <v>Workshop Hip Hop Emanuel Lo 2026 - Workshop Emanuel Lo 22 febbraio 2026</v>
      </c>
      <c r="T867" s="763"/>
      <c r="U867" s="763"/>
      <c r="V867" s="763">
        <f>IFERROR(__xludf.DUMMYFUNCTION("""COMPUTED_VALUE"""),1.0)</f>
        <v>1</v>
      </c>
      <c r="W867" s="763">
        <f>IFERROR(__xludf.DUMMYFUNCTION("""COMPUTED_VALUE"""),45.0)</f>
        <v>45</v>
      </c>
      <c r="X867" s="763">
        <f>IFERROR(__xludf.DUMMYFUNCTION("""COMPUTED_VALUE"""),45.0)</f>
        <v>45</v>
      </c>
      <c r="Y867" s="763"/>
      <c r="Z867" s="768" t="str">
        <f>IFERROR(__xludf.DUMMYFUNCTION("""COMPUTED_VALUE"""),"https://studio-gem.it/wp-admin/post.php?post=67408&amp;action=edit")</f>
        <v>https://studio-gem.it/wp-admin/post.php?post=67408&amp;action=edit</v>
      </c>
      <c r="AA867" s="763"/>
      <c r="AB867" s="763"/>
      <c r="AC867" s="763"/>
      <c r="AD867" s="763"/>
      <c r="AE867" s="763"/>
      <c r="AF867" s="763"/>
      <c r="AG867" s="763"/>
      <c r="AH867" s="763"/>
      <c r="AI867" s="763"/>
      <c r="AJ867" s="763"/>
      <c r="AK867" s="763"/>
      <c r="AL867" s="763"/>
      <c r="AM867" s="763"/>
      <c r="AN867" s="763"/>
      <c r="AO867" s="763"/>
      <c r="AP867" s="763"/>
      <c r="AQ867" s="763"/>
      <c r="AR867" s="763"/>
      <c r="AS867" s="763"/>
      <c r="AT867" s="763"/>
      <c r="AU867" s="763"/>
      <c r="AV867" s="763"/>
      <c r="AW867" s="763"/>
      <c r="AX867" s="763"/>
      <c r="AY867" s="763"/>
      <c r="AZ867" s="763"/>
      <c r="BA867" s="763"/>
      <c r="BB867" s="763"/>
      <c r="BC867" s="763"/>
      <c r="BD867" s="763"/>
      <c r="BE867" s="763"/>
      <c r="BF867" s="763"/>
      <c r="BG867" s="763" t="b">
        <f>IFERROR(__xludf.DUMMYFUNCTION("""COMPUTED_VALUE"""),TRUE)</f>
        <v>1</v>
      </c>
      <c r="BH867" s="763" t="b">
        <f>IFERROR(__xludf.DUMMYFUNCTION("""COMPUTED_VALUE"""),FALSE)</f>
        <v>0</v>
      </c>
      <c r="BI867" s="763" t="b">
        <f>IFERROR(__xludf.DUMMYFUNCTION("""COMPUTED_VALUE"""),TRUE)</f>
        <v>1</v>
      </c>
      <c r="BJ867" s="763" t="b">
        <f>IFERROR(__xludf.DUMMYFUNCTION("""COMPUTED_VALUE"""),TRUE)</f>
        <v>1</v>
      </c>
    </row>
    <row r="868">
      <c r="A868" s="763">
        <f>IFERROR(__xludf.DUMMYFUNCTION("""COMPUTED_VALUE"""),67416.0)</f>
        <v>67416</v>
      </c>
      <c r="B868" s="763">
        <f>IFERROR(__xludf.DUMMYFUNCTION("""COMPUTED_VALUE"""),67416.0)</f>
        <v>67416</v>
      </c>
      <c r="C868" s="763" t="str">
        <f>IFERROR(__xludf.DUMMYFUNCTION("""COMPUTED_VALUE"""),"2026-01-19 09:55:44")</f>
        <v>2026-01-19 09:55:44</v>
      </c>
      <c r="D868" s="763" t="str">
        <f>IFERROR(__xludf.DUMMYFUNCTION("""COMPUTED_VALUE"""),"processing")</f>
        <v>processing</v>
      </c>
      <c r="E868" s="763" t="str">
        <f>IFERROR(__xludf.DUMMYFUNCTION("""COMPUTED_VALUE"""),"Eleonora")</f>
        <v>Eleonora</v>
      </c>
      <c r="F868" s="763" t="str">
        <f>IFERROR(__xludf.DUMMYFUNCTION("""COMPUTED_VALUE"""),"Vignolo")</f>
        <v>Vignolo</v>
      </c>
      <c r="G868" s="763" t="str">
        <f>IFERROR(__xludf.DUMMYFUNCTION("""COMPUTED_VALUE"""),"agatacri38@gmail.com")</f>
        <v>agatacri38@gmail.com</v>
      </c>
      <c r="H868" s="763">
        <f>IFERROR(__xludf.DUMMYFUNCTION("""COMPUTED_VALUE"""),3.478084447E9)</f>
        <v>3478084447</v>
      </c>
      <c r="I868" s="763" t="str">
        <f>IFERROR(__xludf.DUMMYFUNCTION("""COMPUTED_VALUE"""),"Alessandria,")</f>
        <v>Alessandria,</v>
      </c>
      <c r="J868" s="763" t="str">
        <f>IFERROR(__xludf.DUMMYFUNCTION("""COMPUTED_VALUE"""),"Spalto Borgoglio, 27")</f>
        <v>Spalto Borgoglio, 27</v>
      </c>
      <c r="K868" s="763">
        <f>IFERROR(__xludf.DUMMYFUNCTION("""COMPUTED_VALUE"""),15122.0)</f>
        <v>15122</v>
      </c>
      <c r="L868" s="763" t="str">
        <f>IFERROR(__xludf.DUMMYFUNCTION("""COMPUTED_VALUE"""),"Carte di pagamento")</f>
        <v>Carte di pagamento</v>
      </c>
      <c r="M868" s="763" t="str">
        <f>IFERROR(__xludf.DUMMYFUNCTION("""COMPUTED_VALUE"""),"nura02ws")</f>
        <v>nura02ws</v>
      </c>
      <c r="N868" s="763" t="str">
        <f>IFERROR(__xludf.DUMMYFUNCTION("""COMPUTED_VALUE"""),"67416-1768816546")</f>
        <v>67416-1768816546</v>
      </c>
      <c r="O868" s="763">
        <f>IFERROR(__xludf.DUMMYFUNCTION("""COMPUTED_VALUE"""),0.0)</f>
        <v>0</v>
      </c>
      <c r="P868" s="767">
        <f>IFERROR(__xludf.DUMMYFUNCTION("""COMPUTED_VALUE"""),1.7916666666666667)</f>
        <v>1.791666667</v>
      </c>
      <c r="Q868" s="763" t="str">
        <f>IFERROR(__xludf.DUMMYFUNCTION("""COMPUTED_VALUE"""),"EUR")</f>
        <v>EUR</v>
      </c>
      <c r="R868" s="763">
        <f>IFERROR(__xludf.DUMMYFUNCTION("""COMPUTED_VALUE"""),1562.0)</f>
        <v>1562</v>
      </c>
      <c r="S868" s="763" t="str">
        <f>IFERROR(__xludf.DUMMYFUNCTION("""COMPUTED_VALUE"""),"Workshop Hip Hop Emanuel Lo 2026 - Workshop Emanuel Lo 22 febbraio 2026")</f>
        <v>Workshop Hip Hop Emanuel Lo 2026 - Workshop Emanuel Lo 22 febbraio 2026</v>
      </c>
      <c r="T868" s="763"/>
      <c r="U868" s="763"/>
      <c r="V868" s="763">
        <f>IFERROR(__xludf.DUMMYFUNCTION("""COMPUTED_VALUE"""),1.0)</f>
        <v>1</v>
      </c>
      <c r="W868" s="763">
        <f>IFERROR(__xludf.DUMMYFUNCTION("""COMPUTED_VALUE"""),43.0)</f>
        <v>43</v>
      </c>
      <c r="X868" s="763">
        <f>IFERROR(__xludf.DUMMYFUNCTION("""COMPUTED_VALUE"""),43.0)</f>
        <v>43</v>
      </c>
      <c r="Y868" s="763"/>
      <c r="Z868" s="768" t="str">
        <f>IFERROR(__xludf.DUMMYFUNCTION("""COMPUTED_VALUE"""),"https://studio-gem.it/wp-admin/post.php?post=67416&amp;action=edit")</f>
        <v>https://studio-gem.it/wp-admin/post.php?post=67416&amp;action=edit</v>
      </c>
      <c r="AA868" s="763"/>
      <c r="AB868" s="763"/>
      <c r="AC868" s="763"/>
      <c r="AD868" s="763"/>
      <c r="AE868" s="763"/>
      <c r="AF868" s="763"/>
      <c r="AG868" s="763"/>
      <c r="AH868" s="763"/>
      <c r="AI868" s="763"/>
      <c r="AJ868" s="763"/>
      <c r="AK868" s="763"/>
      <c r="AL868" s="763"/>
      <c r="AM868" s="763"/>
      <c r="AN868" s="763"/>
      <c r="AO868" s="763"/>
      <c r="AP868" s="763"/>
      <c r="AQ868" s="763"/>
      <c r="AR868" s="763"/>
      <c r="AS868" s="763"/>
      <c r="AT868" s="763"/>
      <c r="AU868" s="763"/>
      <c r="AV868" s="763"/>
      <c r="AW868" s="763"/>
      <c r="AX868" s="763"/>
      <c r="AY868" s="763"/>
      <c r="AZ868" s="763"/>
      <c r="BA868" s="763"/>
      <c r="BB868" s="763"/>
      <c r="BC868" s="763"/>
      <c r="BD868" s="763"/>
      <c r="BE868" s="763"/>
      <c r="BF868" s="763"/>
      <c r="BG868" s="763" t="b">
        <f>IFERROR(__xludf.DUMMYFUNCTION("""COMPUTED_VALUE"""),TRUE)</f>
        <v>1</v>
      </c>
      <c r="BH868" s="763" t="b">
        <f>IFERROR(__xludf.DUMMYFUNCTION("""COMPUTED_VALUE"""),FALSE)</f>
        <v>0</v>
      </c>
      <c r="BI868" s="763" t="b">
        <f>IFERROR(__xludf.DUMMYFUNCTION("""COMPUTED_VALUE"""),TRUE)</f>
        <v>1</v>
      </c>
      <c r="BJ868" s="763" t="b">
        <f>IFERROR(__xludf.DUMMYFUNCTION("""COMPUTED_VALUE"""),TRUE)</f>
        <v>1</v>
      </c>
    </row>
    <row r="869">
      <c r="A869" s="763">
        <f>IFERROR(__xludf.DUMMYFUNCTION("""COMPUTED_VALUE"""),67429.0)</f>
        <v>67429</v>
      </c>
      <c r="B869" s="763">
        <f>IFERROR(__xludf.DUMMYFUNCTION("""COMPUTED_VALUE"""),67429.0)</f>
        <v>67429</v>
      </c>
      <c r="C869" s="763" t="str">
        <f>IFERROR(__xludf.DUMMYFUNCTION("""COMPUTED_VALUE"""),"2026-01-19 20:50:03")</f>
        <v>2026-01-19 20:50:03</v>
      </c>
      <c r="D869" s="763" t="str">
        <f>IFERROR(__xludf.DUMMYFUNCTION("""COMPUTED_VALUE"""),"processing")</f>
        <v>processing</v>
      </c>
      <c r="E869" s="763" t="str">
        <f>IFERROR(__xludf.DUMMYFUNCTION("""COMPUTED_VALUE"""),"Erika")</f>
        <v>Erika</v>
      </c>
      <c r="F869" s="763" t="str">
        <f>IFERROR(__xludf.DUMMYFUNCTION("""COMPUTED_VALUE"""),"Beltrame")</f>
        <v>Beltrame</v>
      </c>
      <c r="G869" s="763" t="str">
        <f>IFERROR(__xludf.DUMMYFUNCTION("""COMPUTED_VALUE"""),"erikabeltra112@gmail.com")</f>
        <v>erikabeltra112@gmail.com</v>
      </c>
      <c r="H869" s="763">
        <f>IFERROR(__xludf.DUMMYFUNCTION("""COMPUTED_VALUE"""),3.20094462E9)</f>
        <v>3200944620</v>
      </c>
      <c r="I869" s="763" t="str">
        <f>IFERROR(__xludf.DUMMYFUNCTION("""COMPUTED_VALUE"""),"Carmagnola")</f>
        <v>Carmagnola</v>
      </c>
      <c r="J869" s="763" t="str">
        <f>IFERROR(__xludf.DUMMYFUNCTION("""COMPUTED_VALUE"""),"Via Ormea 29")</f>
        <v>Via Ormea 29</v>
      </c>
      <c r="K869" s="763">
        <f>IFERROR(__xludf.DUMMYFUNCTION("""COMPUTED_VALUE"""),10022.0)</f>
        <v>10022</v>
      </c>
      <c r="L869" s="763" t="str">
        <f>IFERROR(__xludf.DUMMYFUNCTION("""COMPUTED_VALUE"""),"Carte di pagamento")</f>
        <v>Carte di pagamento</v>
      </c>
      <c r="M869" s="763"/>
      <c r="N869" s="763" t="str">
        <f>IFERROR(__xludf.DUMMYFUNCTION("""COMPUTED_VALUE"""),"67429-1768855804")</f>
        <v>67429-1768855804</v>
      </c>
      <c r="O869" s="763">
        <f>IFERROR(__xludf.DUMMYFUNCTION("""COMPUTED_VALUE"""),0.0)</f>
        <v>0</v>
      </c>
      <c r="P869" s="767">
        <f>IFERROR(__xludf.DUMMYFUNCTION("""COMPUTED_VALUE"""),1.875)</f>
        <v>1.875</v>
      </c>
      <c r="Q869" s="763" t="str">
        <f>IFERROR(__xludf.DUMMYFUNCTION("""COMPUTED_VALUE"""),"EUR")</f>
        <v>EUR</v>
      </c>
      <c r="R869" s="763">
        <f>IFERROR(__xludf.DUMMYFUNCTION("""COMPUTED_VALUE"""),1564.0)</f>
        <v>1564</v>
      </c>
      <c r="S869" s="763" t="str">
        <f>IFERROR(__xludf.DUMMYFUNCTION("""COMPUTED_VALUE"""),"Workshop Hip Hop Emanuel Lo 2026 - Workshop Emanuel Lo 22 febbraio 2026")</f>
        <v>Workshop Hip Hop Emanuel Lo 2026 - Workshop Emanuel Lo 22 febbraio 2026</v>
      </c>
      <c r="T869" s="763"/>
      <c r="U869" s="763"/>
      <c r="V869" s="763">
        <f>IFERROR(__xludf.DUMMYFUNCTION("""COMPUTED_VALUE"""),1.0)</f>
        <v>1</v>
      </c>
      <c r="W869" s="763">
        <f>IFERROR(__xludf.DUMMYFUNCTION("""COMPUTED_VALUE"""),45.0)</f>
        <v>45</v>
      </c>
      <c r="X869" s="763">
        <f>IFERROR(__xludf.DUMMYFUNCTION("""COMPUTED_VALUE"""),45.0)</f>
        <v>45</v>
      </c>
      <c r="Y869" s="763"/>
      <c r="Z869" s="768" t="str">
        <f>IFERROR(__xludf.DUMMYFUNCTION("""COMPUTED_VALUE"""),"https://studio-gem.it/wp-admin/post.php?post=67429&amp;action=edit")</f>
        <v>https://studio-gem.it/wp-admin/post.php?post=67429&amp;action=edit</v>
      </c>
      <c r="AA869" s="763"/>
      <c r="AB869" s="763"/>
      <c r="AC869" s="763"/>
      <c r="AD869" s="763"/>
      <c r="AE869" s="763"/>
      <c r="AF869" s="763"/>
      <c r="AG869" s="763"/>
      <c r="AH869" s="763"/>
      <c r="AI869" s="763"/>
      <c r="AJ869" s="763"/>
      <c r="AK869" s="763"/>
      <c r="AL869" s="763"/>
      <c r="AM869" s="763"/>
      <c r="AN869" s="763"/>
      <c r="AO869" s="763"/>
      <c r="AP869" s="763"/>
      <c r="AQ869" s="763"/>
      <c r="AR869" s="763"/>
      <c r="AS869" s="763"/>
      <c r="AT869" s="763"/>
      <c r="AU869" s="763"/>
      <c r="AV869" s="763"/>
      <c r="AW869" s="763"/>
      <c r="AX869" s="763"/>
      <c r="AY869" s="763"/>
      <c r="AZ869" s="763"/>
      <c r="BA869" s="763"/>
      <c r="BB869" s="763"/>
      <c r="BC869" s="763"/>
      <c r="BD869" s="763"/>
      <c r="BE869" s="763"/>
      <c r="BF869" s="763"/>
      <c r="BG869" s="763" t="b">
        <f>IFERROR(__xludf.DUMMYFUNCTION("""COMPUTED_VALUE"""),TRUE)</f>
        <v>1</v>
      </c>
      <c r="BH869" s="763" t="b">
        <f>IFERROR(__xludf.DUMMYFUNCTION("""COMPUTED_VALUE"""),FALSE)</f>
        <v>0</v>
      </c>
      <c r="BI869" s="763" t="b">
        <f>IFERROR(__xludf.DUMMYFUNCTION("""COMPUTED_VALUE"""),TRUE)</f>
        <v>1</v>
      </c>
      <c r="BJ869" s="763" t="b">
        <f>IFERROR(__xludf.DUMMYFUNCTION("""COMPUTED_VALUE"""),TRUE)</f>
        <v>1</v>
      </c>
    </row>
    <row r="870">
      <c r="A870" s="763">
        <f>IFERROR(__xludf.DUMMYFUNCTION("""COMPUTED_VALUE"""),67430.0)</f>
        <v>67430</v>
      </c>
      <c r="B870" s="763">
        <f>IFERROR(__xludf.DUMMYFUNCTION("""COMPUTED_VALUE"""),67430.0)</f>
        <v>67430</v>
      </c>
      <c r="C870" s="763" t="str">
        <f>IFERROR(__xludf.DUMMYFUNCTION("""COMPUTED_VALUE"""),"2026-01-19 21:47:21")</f>
        <v>2026-01-19 21:47:21</v>
      </c>
      <c r="D870" s="763" t="str">
        <f>IFERROR(__xludf.DUMMYFUNCTION("""COMPUTED_VALUE"""),"completed")</f>
        <v>completed</v>
      </c>
      <c r="E870" s="763" t="str">
        <f>IFERROR(__xludf.DUMMYFUNCTION("""COMPUTED_VALUE"""),"Alessio")</f>
        <v>Alessio</v>
      </c>
      <c r="F870" s="763" t="str">
        <f>IFERROR(__xludf.DUMMYFUNCTION("""COMPUTED_VALUE"""),"Campagna")</f>
        <v>Campagna</v>
      </c>
      <c r="G870" s="763" t="str">
        <f>IFERROR(__xludf.DUMMYFUNCTION("""COMPUTED_VALUE"""),"alessiotcgtrade@gmail.com")</f>
        <v>alessiotcgtrade@gmail.com</v>
      </c>
      <c r="H870" s="763">
        <f>IFERROR(__xludf.DUMMYFUNCTION("""COMPUTED_VALUE"""),3.517240804E9)</f>
        <v>3517240804</v>
      </c>
      <c r="I870" s="763" t="str">
        <f>IFERROR(__xludf.DUMMYFUNCTION("""COMPUTED_VALUE"""),"Milano")</f>
        <v>Milano</v>
      </c>
      <c r="J870" s="763" t="str">
        <f>IFERROR(__xludf.DUMMYFUNCTION("""COMPUTED_VALUE"""),"Corso di porta vigentina 38")</f>
        <v>Corso di porta vigentina 38</v>
      </c>
      <c r="K870" s="763">
        <f>IFERROR(__xludf.DUMMYFUNCTION("""COMPUTED_VALUE"""),20122.0)</f>
        <v>20122</v>
      </c>
      <c r="L870" s="763"/>
      <c r="M870" s="763"/>
      <c r="N870" s="763"/>
      <c r="O870" s="763">
        <f>IFERROR(__xludf.DUMMYFUNCTION("""COMPUTED_VALUE"""),0.0)</f>
        <v>0</v>
      </c>
      <c r="P870" s="767">
        <f>IFERROR(__xludf.DUMMYFUNCTION("""COMPUTED_VALUE"""),0.0)</f>
        <v>0</v>
      </c>
      <c r="Q870" s="763" t="str">
        <f>IFERROR(__xludf.DUMMYFUNCTION("""COMPUTED_VALUE"""),"EUR")</f>
        <v>EUR</v>
      </c>
      <c r="R870" s="763">
        <f>IFERROR(__xludf.DUMMYFUNCTION("""COMPUTED_VALUE"""),1565.0)</f>
        <v>1565</v>
      </c>
      <c r="S870" s="763" t="str">
        <f>IFERROR(__xludf.DUMMYFUNCTION("""COMPUTED_VALUE"""),"Domeniche in movimento - Gratuito per open fitness e open mattino 2 lezioni dalle 10 alle 11.50")</f>
        <v>Domeniche in movimento - Gratuito per open fitness e open mattino 2 lezioni dalle 10 alle 11.50</v>
      </c>
      <c r="T870" s="763"/>
      <c r="U870" s="763"/>
      <c r="V870" s="763">
        <f>IFERROR(__xludf.DUMMYFUNCTION("""COMPUTED_VALUE"""),1.0)</f>
        <v>1</v>
      </c>
      <c r="W870" s="763">
        <f>IFERROR(__xludf.DUMMYFUNCTION("""COMPUTED_VALUE"""),0.0)</f>
        <v>0</v>
      </c>
      <c r="X870" s="763">
        <f>IFERROR(__xludf.DUMMYFUNCTION("""COMPUTED_VALUE"""),0.0)</f>
        <v>0</v>
      </c>
      <c r="Y870" s="763"/>
      <c r="Z870" s="768" t="str">
        <f>IFERROR(__xludf.DUMMYFUNCTION("""COMPUTED_VALUE"""),"https://studio-gem.it/wp-admin/post.php?post=67430&amp;action=edit")</f>
        <v>https://studio-gem.it/wp-admin/post.php?post=67430&amp;action=edit</v>
      </c>
      <c r="AA870" s="763"/>
      <c r="AB870" s="763"/>
      <c r="AC870" s="763"/>
      <c r="AD870" s="763"/>
      <c r="AE870" s="763"/>
      <c r="AF870" s="763"/>
      <c r="AG870" s="763"/>
      <c r="AH870" s="763"/>
      <c r="AI870" s="763"/>
      <c r="AJ870" s="763"/>
      <c r="AK870" s="763"/>
      <c r="AL870" s="763"/>
      <c r="AM870" s="763"/>
      <c r="AN870" s="763"/>
      <c r="AO870" s="763"/>
      <c r="AP870" s="763"/>
      <c r="AQ870" s="763"/>
      <c r="AR870" s="763"/>
      <c r="AS870" s="763"/>
      <c r="AT870" s="763"/>
      <c r="AU870" s="763"/>
      <c r="AV870" s="763"/>
      <c r="AW870" s="763"/>
      <c r="AX870" s="763"/>
      <c r="AY870" s="763"/>
      <c r="AZ870" s="763"/>
      <c r="BA870" s="763"/>
      <c r="BB870" s="763"/>
      <c r="BC870" s="763"/>
      <c r="BD870" s="763"/>
      <c r="BE870" s="763"/>
      <c r="BF870" s="763"/>
      <c r="BG870" s="763" t="b">
        <f>IFERROR(__xludf.DUMMYFUNCTION("""COMPUTED_VALUE"""),TRUE)</f>
        <v>1</v>
      </c>
      <c r="BH870" s="763" t="b">
        <f>IFERROR(__xludf.DUMMYFUNCTION("""COMPUTED_VALUE"""),FALSE)</f>
        <v>0</v>
      </c>
      <c r="BI870" s="763" t="b">
        <f>IFERROR(__xludf.DUMMYFUNCTION("""COMPUTED_VALUE"""),TRUE)</f>
        <v>1</v>
      </c>
      <c r="BJ870" s="763" t="b">
        <f>IFERROR(__xludf.DUMMYFUNCTION("""COMPUTED_VALUE"""),TRUE)</f>
        <v>1</v>
      </c>
    </row>
    <row r="871">
      <c r="A871" s="763">
        <f>IFERROR(__xludf.DUMMYFUNCTION("""COMPUTED_VALUE"""),67439.0)</f>
        <v>67439</v>
      </c>
      <c r="B871" s="763">
        <f>IFERROR(__xludf.DUMMYFUNCTION("""COMPUTED_VALUE"""),67439.0)</f>
        <v>67439</v>
      </c>
      <c r="C871" s="763" t="str">
        <f>IFERROR(__xludf.DUMMYFUNCTION("""COMPUTED_VALUE"""),"2026-01-20 14:22:25")</f>
        <v>2026-01-20 14:22:25</v>
      </c>
      <c r="D871" s="763" t="str">
        <f>IFERROR(__xludf.DUMMYFUNCTION("""COMPUTED_VALUE"""),"processing")</f>
        <v>processing</v>
      </c>
      <c r="E871" s="763" t="str">
        <f>IFERROR(__xludf.DUMMYFUNCTION("""COMPUTED_VALUE"""),"Alessandra")</f>
        <v>Alessandra</v>
      </c>
      <c r="F871" s="763" t="str">
        <f>IFERROR(__xludf.DUMMYFUNCTION("""COMPUTED_VALUE"""),"Mele")</f>
        <v>Mele</v>
      </c>
      <c r="G871" s="763" t="str">
        <f>IFERROR(__xludf.DUMMYFUNCTION("""COMPUTED_VALUE"""),"alessandramele2004@gmail.com")</f>
        <v>alessandramele2004@gmail.com</v>
      </c>
      <c r="H871" s="763">
        <f>IFERROR(__xludf.DUMMYFUNCTION("""COMPUTED_VALUE"""),3.3433281853E10)</f>
        <v>33433281853</v>
      </c>
      <c r="I871" s="763" t="str">
        <f>IFERROR(__xludf.DUMMYFUNCTION("""COMPUTED_VALUE"""),"Carmagnola")</f>
        <v>Carmagnola</v>
      </c>
      <c r="J871" s="763" t="str">
        <f>IFERROR(__xludf.DUMMYFUNCTION("""COMPUTED_VALUE"""),"Via Poirino 3")</f>
        <v>Via Poirino 3</v>
      </c>
      <c r="K871" s="763">
        <f>IFERROR(__xludf.DUMMYFUNCTION("""COMPUTED_VALUE"""),10022.0)</f>
        <v>10022</v>
      </c>
      <c r="L871" s="763" t="str">
        <f>IFERROR(__xludf.DUMMYFUNCTION("""COMPUTED_VALUE"""),"Carte di pagamento")</f>
        <v>Carte di pagamento</v>
      </c>
      <c r="M871" s="763"/>
      <c r="N871" s="763" t="str">
        <f>IFERROR(__xludf.DUMMYFUNCTION("""COMPUTED_VALUE"""),"67439-1768918947")</f>
        <v>67439-1768918947</v>
      </c>
      <c r="O871" s="763">
        <f>IFERROR(__xludf.DUMMYFUNCTION("""COMPUTED_VALUE"""),0.0)</f>
        <v>0</v>
      </c>
      <c r="P871" s="767">
        <f>IFERROR(__xludf.DUMMYFUNCTION("""COMPUTED_VALUE"""),1.875)</f>
        <v>1.875</v>
      </c>
      <c r="Q871" s="763" t="str">
        <f>IFERROR(__xludf.DUMMYFUNCTION("""COMPUTED_VALUE"""),"EUR")</f>
        <v>EUR</v>
      </c>
      <c r="R871" s="763">
        <f>IFERROR(__xludf.DUMMYFUNCTION("""COMPUTED_VALUE"""),1566.0)</f>
        <v>1566</v>
      </c>
      <c r="S871" s="763" t="str">
        <f>IFERROR(__xludf.DUMMYFUNCTION("""COMPUTED_VALUE"""),"Workshop Hip Hop Emanuel Lo 2026 - Workshop Emanuel Lo 22 febbraio 2026")</f>
        <v>Workshop Hip Hop Emanuel Lo 2026 - Workshop Emanuel Lo 22 febbraio 2026</v>
      </c>
      <c r="T871" s="763"/>
      <c r="U871" s="763"/>
      <c r="V871" s="763">
        <f>IFERROR(__xludf.DUMMYFUNCTION("""COMPUTED_VALUE"""),1.0)</f>
        <v>1</v>
      </c>
      <c r="W871" s="763">
        <f>IFERROR(__xludf.DUMMYFUNCTION("""COMPUTED_VALUE"""),45.0)</f>
        <v>45</v>
      </c>
      <c r="X871" s="763">
        <f>IFERROR(__xludf.DUMMYFUNCTION("""COMPUTED_VALUE"""),45.0)</f>
        <v>45</v>
      </c>
      <c r="Y871" s="763"/>
      <c r="Z871" s="768" t="str">
        <f>IFERROR(__xludf.DUMMYFUNCTION("""COMPUTED_VALUE"""),"https://studio-gem.it/wp-admin/post.php?post=67439&amp;action=edit")</f>
        <v>https://studio-gem.it/wp-admin/post.php?post=67439&amp;action=edit</v>
      </c>
      <c r="AA871" s="763"/>
      <c r="AB871" s="763"/>
      <c r="AC871" s="763"/>
      <c r="AD871" s="763"/>
      <c r="AE871" s="763"/>
      <c r="AF871" s="763"/>
      <c r="AG871" s="763"/>
      <c r="AH871" s="763"/>
      <c r="AI871" s="763"/>
      <c r="AJ871" s="763"/>
      <c r="AK871" s="763"/>
      <c r="AL871" s="763"/>
      <c r="AM871" s="763"/>
      <c r="AN871" s="763"/>
      <c r="AO871" s="763"/>
      <c r="AP871" s="763"/>
      <c r="AQ871" s="763"/>
      <c r="AR871" s="763"/>
      <c r="AS871" s="763"/>
      <c r="AT871" s="763"/>
      <c r="AU871" s="763"/>
      <c r="AV871" s="763"/>
      <c r="AW871" s="763"/>
      <c r="AX871" s="763"/>
      <c r="AY871" s="763"/>
      <c r="AZ871" s="763"/>
      <c r="BA871" s="763"/>
      <c r="BB871" s="763"/>
      <c r="BC871" s="763"/>
      <c r="BD871" s="763"/>
      <c r="BE871" s="763"/>
      <c r="BF871" s="763"/>
      <c r="BG871" s="763" t="b">
        <f>IFERROR(__xludf.DUMMYFUNCTION("""COMPUTED_VALUE"""),TRUE)</f>
        <v>1</v>
      </c>
      <c r="BH871" s="763" t="b">
        <f>IFERROR(__xludf.DUMMYFUNCTION("""COMPUTED_VALUE"""),FALSE)</f>
        <v>0</v>
      </c>
      <c r="BI871" s="763" t="b">
        <f>IFERROR(__xludf.DUMMYFUNCTION("""COMPUTED_VALUE"""),TRUE)</f>
        <v>1</v>
      </c>
      <c r="BJ871" s="763" t="b">
        <f>IFERROR(__xludf.DUMMYFUNCTION("""COMPUTED_VALUE"""),TRUE)</f>
        <v>1</v>
      </c>
    </row>
    <row r="872">
      <c r="A872" s="763">
        <f>IFERROR(__xludf.DUMMYFUNCTION("""COMPUTED_VALUE"""),67442.0)</f>
        <v>67442</v>
      </c>
      <c r="B872" s="763">
        <f>IFERROR(__xludf.DUMMYFUNCTION("""COMPUTED_VALUE"""),67442.0)</f>
        <v>67442</v>
      </c>
      <c r="C872" s="763" t="str">
        <f>IFERROR(__xludf.DUMMYFUNCTION("""COMPUTED_VALUE"""),"2026-01-20 22:10:26")</f>
        <v>2026-01-20 22:10:26</v>
      </c>
      <c r="D872" s="763" t="str">
        <f>IFERROR(__xludf.DUMMYFUNCTION("""COMPUTED_VALUE"""),"pending")</f>
        <v>pending</v>
      </c>
      <c r="E872" s="763" t="str">
        <f>IFERROR(__xludf.DUMMYFUNCTION("""COMPUTED_VALUE"""),"Ludovica")</f>
        <v>Ludovica</v>
      </c>
      <c r="F872" s="763" t="str">
        <f>IFERROR(__xludf.DUMMYFUNCTION("""COMPUTED_VALUE"""),"Regalin")</f>
        <v>Regalin</v>
      </c>
      <c r="G872" s="763" t="str">
        <f>IFERROR(__xludf.DUMMYFUNCTION("""COMPUTED_VALUE"""),"ludovica.regalin@gmail.com")</f>
        <v>ludovica.regalin@gmail.com</v>
      </c>
      <c r="H872" s="763">
        <f>IFERROR(__xludf.DUMMYFUNCTION("""COMPUTED_VALUE"""),3.46894488E9)</f>
        <v>3468944880</v>
      </c>
      <c r="I872" s="763" t="str">
        <f>IFERROR(__xludf.DUMMYFUNCTION("""COMPUTED_VALUE"""),"Modena")</f>
        <v>Modena</v>
      </c>
      <c r="J872" s="763" t="str">
        <f>IFERROR(__xludf.DUMMYFUNCTION("""COMPUTED_VALUE"""),"Strada Contorno di Cognento 57/5")</f>
        <v>Strada Contorno di Cognento 57/5</v>
      </c>
      <c r="K872" s="763">
        <f>IFERROR(__xludf.DUMMYFUNCTION("""COMPUTED_VALUE"""),41126.0)</f>
        <v>41126</v>
      </c>
      <c r="L872" s="763" t="str">
        <f>IFERROR(__xludf.DUMMYFUNCTION("""COMPUTED_VALUE"""),"Scalapay - Pay in 3")</f>
        <v>Scalapay - Pay in 3</v>
      </c>
      <c r="M872" s="763" t="str">
        <f>IFERROR(__xludf.DUMMYFUNCTION("""COMPUTED_VALUE"""),"nura02ws")</f>
        <v>nura02ws</v>
      </c>
      <c r="N872" s="763"/>
      <c r="O872" s="763">
        <f>IFERROR(__xludf.DUMMYFUNCTION("""COMPUTED_VALUE"""),0.0)</f>
        <v>0</v>
      </c>
      <c r="P872" s="767">
        <f>IFERROR(__xludf.DUMMYFUNCTION("""COMPUTED_VALUE"""),1.7916666666666667)</f>
        <v>1.791666667</v>
      </c>
      <c r="Q872" s="763" t="str">
        <f>IFERROR(__xludf.DUMMYFUNCTION("""COMPUTED_VALUE"""),"EUR")</f>
        <v>EUR</v>
      </c>
      <c r="R872" s="763">
        <f>IFERROR(__xludf.DUMMYFUNCTION("""COMPUTED_VALUE"""),1567.0)</f>
        <v>1567</v>
      </c>
      <c r="S872" s="763" t="str">
        <f>IFERROR(__xludf.DUMMYFUNCTION("""COMPUTED_VALUE"""),"Workshop Hip Hop Emanuel Lo 2026 - Workshop Emanuel Lo 22 febbraio 2026")</f>
        <v>Workshop Hip Hop Emanuel Lo 2026 - Workshop Emanuel Lo 22 febbraio 2026</v>
      </c>
      <c r="T872" s="763"/>
      <c r="U872" s="763"/>
      <c r="V872" s="763">
        <f>IFERROR(__xludf.DUMMYFUNCTION("""COMPUTED_VALUE"""),1.0)</f>
        <v>1</v>
      </c>
      <c r="W872" s="763">
        <f>IFERROR(__xludf.DUMMYFUNCTION("""COMPUTED_VALUE"""),43.0)</f>
        <v>43</v>
      </c>
      <c r="X872" s="763">
        <f>IFERROR(__xludf.DUMMYFUNCTION("""COMPUTED_VALUE"""),43.0)</f>
        <v>43</v>
      </c>
      <c r="Y872" s="763"/>
      <c r="Z872" s="768" t="str">
        <f>IFERROR(__xludf.DUMMYFUNCTION("""COMPUTED_VALUE"""),"https://studio-gem.it/wp-admin/post.php?post=67442&amp;action=edit")</f>
        <v>https://studio-gem.it/wp-admin/post.php?post=67442&amp;action=edit</v>
      </c>
      <c r="AA872" s="763"/>
      <c r="AB872" s="763"/>
      <c r="AC872" s="763"/>
      <c r="AD872" s="763"/>
      <c r="AE872" s="763"/>
      <c r="AF872" s="763"/>
      <c r="AG872" s="763"/>
      <c r="AH872" s="763"/>
      <c r="AI872" s="763"/>
      <c r="AJ872" s="763"/>
      <c r="AK872" s="763"/>
      <c r="AL872" s="763"/>
      <c r="AM872" s="763"/>
      <c r="AN872" s="763"/>
      <c r="AO872" s="763"/>
      <c r="AP872" s="763"/>
      <c r="AQ872" s="763"/>
      <c r="AR872" s="763"/>
      <c r="AS872" s="763"/>
      <c r="AT872" s="763"/>
      <c r="AU872" s="763"/>
      <c r="AV872" s="763"/>
      <c r="AW872" s="763"/>
      <c r="AX872" s="763"/>
      <c r="AY872" s="763"/>
      <c r="AZ872" s="763"/>
      <c r="BA872" s="763"/>
      <c r="BB872" s="763"/>
      <c r="BC872" s="763"/>
      <c r="BD872" s="763"/>
      <c r="BE872" s="763"/>
      <c r="BF872" s="763"/>
      <c r="BG872" s="763" t="b">
        <f>IFERROR(__xludf.DUMMYFUNCTION("""COMPUTED_VALUE"""),TRUE)</f>
        <v>1</v>
      </c>
      <c r="BH872" s="763" t="b">
        <f>IFERROR(__xludf.DUMMYFUNCTION("""COMPUTED_VALUE"""),FALSE)</f>
        <v>0</v>
      </c>
      <c r="BI872" s="763" t="b">
        <f>IFERROR(__xludf.DUMMYFUNCTION("""COMPUTED_VALUE"""),FALSE)</f>
        <v>0</v>
      </c>
      <c r="BJ872" s="763" t="b">
        <f>IFERROR(__xludf.DUMMYFUNCTION("""COMPUTED_VALUE"""),FALSE)</f>
        <v>0</v>
      </c>
    </row>
    <row r="873">
      <c r="A873" s="763">
        <f>IFERROR(__xludf.DUMMYFUNCTION("""COMPUTED_VALUE"""),67442.0)</f>
        <v>67442</v>
      </c>
      <c r="B873" s="763">
        <f>IFERROR(__xludf.DUMMYFUNCTION("""COMPUTED_VALUE"""),67442.0)</f>
        <v>67442</v>
      </c>
      <c r="C873" s="763" t="str">
        <f>IFERROR(__xludf.DUMMYFUNCTION("""COMPUTED_VALUE"""),"2026-01-20 22:10:26")</f>
        <v>2026-01-20 22:10:26</v>
      </c>
      <c r="D873" s="763" t="str">
        <f>IFERROR(__xludf.DUMMYFUNCTION("""COMPUTED_VALUE"""),"completed")</f>
        <v>completed</v>
      </c>
      <c r="E873" s="763" t="str">
        <f>IFERROR(__xludf.DUMMYFUNCTION("""COMPUTED_VALUE"""),"Ludovica")</f>
        <v>Ludovica</v>
      </c>
      <c r="F873" s="763" t="str">
        <f>IFERROR(__xludf.DUMMYFUNCTION("""COMPUTED_VALUE"""),"Regalin")</f>
        <v>Regalin</v>
      </c>
      <c r="G873" s="763" t="str">
        <f>IFERROR(__xludf.DUMMYFUNCTION("""COMPUTED_VALUE"""),"ludovica.regalin@gmail.com")</f>
        <v>ludovica.regalin@gmail.com</v>
      </c>
      <c r="H873" s="763">
        <f>IFERROR(__xludf.DUMMYFUNCTION("""COMPUTED_VALUE"""),3.46894488E9)</f>
        <v>3468944880</v>
      </c>
      <c r="I873" s="763" t="str">
        <f>IFERROR(__xludf.DUMMYFUNCTION("""COMPUTED_VALUE"""),"Modena")</f>
        <v>Modena</v>
      </c>
      <c r="J873" s="763" t="str">
        <f>IFERROR(__xludf.DUMMYFUNCTION("""COMPUTED_VALUE"""),"Strada Contorno di Cognento 57/5")</f>
        <v>Strada Contorno di Cognento 57/5</v>
      </c>
      <c r="K873" s="763">
        <f>IFERROR(__xludf.DUMMYFUNCTION("""COMPUTED_VALUE"""),41126.0)</f>
        <v>41126</v>
      </c>
      <c r="L873" s="763" t="str">
        <f>IFERROR(__xludf.DUMMYFUNCTION("""COMPUTED_VALUE"""),"Carte di pagamento")</f>
        <v>Carte di pagamento</v>
      </c>
      <c r="M873" s="763" t="str">
        <f>IFERROR(__xludf.DUMMYFUNCTION("""COMPUTED_VALUE"""),"nura02ws")</f>
        <v>nura02ws</v>
      </c>
      <c r="N873" s="763" t="str">
        <f>IFERROR(__xludf.DUMMYFUNCTION("""COMPUTED_VALUE"""),"67442-1768947324")</f>
        <v>67442-1768947324</v>
      </c>
      <c r="O873" s="763">
        <f>IFERROR(__xludf.DUMMYFUNCTION("""COMPUTED_VALUE"""),0.0)</f>
        <v>0</v>
      </c>
      <c r="P873" s="767">
        <f>IFERROR(__xludf.DUMMYFUNCTION("""COMPUTED_VALUE"""),1.7916666666666667)</f>
        <v>1.791666667</v>
      </c>
      <c r="Q873" s="763" t="str">
        <f>IFERROR(__xludf.DUMMYFUNCTION("""COMPUTED_VALUE"""),"EUR")</f>
        <v>EUR</v>
      </c>
      <c r="R873" s="763">
        <f>IFERROR(__xludf.DUMMYFUNCTION("""COMPUTED_VALUE"""),1569.0)</f>
        <v>1569</v>
      </c>
      <c r="S873" s="763" t="str">
        <f>IFERROR(__xludf.DUMMYFUNCTION("""COMPUTED_VALUE"""),"Workshop Hip Hop Emanuel Lo 2026 - Workshop Emanuel Lo 22 febbraio 2026")</f>
        <v>Workshop Hip Hop Emanuel Lo 2026 - Workshop Emanuel Lo 22 febbraio 2026</v>
      </c>
      <c r="T873" s="763"/>
      <c r="U873" s="763"/>
      <c r="V873" s="763">
        <f>IFERROR(__xludf.DUMMYFUNCTION("""COMPUTED_VALUE"""),1.0)</f>
        <v>1</v>
      </c>
      <c r="W873" s="763">
        <f>IFERROR(__xludf.DUMMYFUNCTION("""COMPUTED_VALUE"""),43.0)</f>
        <v>43</v>
      </c>
      <c r="X873" s="763">
        <f>IFERROR(__xludf.DUMMYFUNCTION("""COMPUTED_VALUE"""),43.0)</f>
        <v>43</v>
      </c>
      <c r="Y873" s="763"/>
      <c r="Z873" s="768" t="str">
        <f>IFERROR(__xludf.DUMMYFUNCTION("""COMPUTED_VALUE"""),"https://studio-gem.it/wp-admin/post.php?post=67442&amp;action=edit")</f>
        <v>https://studio-gem.it/wp-admin/post.php?post=67442&amp;action=edit</v>
      </c>
      <c r="AA873" s="763"/>
      <c r="AB873" s="763"/>
      <c r="AC873" s="763"/>
      <c r="AD873" s="763"/>
      <c r="AE873" s="763"/>
      <c r="AF873" s="763"/>
      <c r="AG873" s="763"/>
      <c r="AH873" s="763"/>
      <c r="AI873" s="763"/>
      <c r="AJ873" s="763"/>
      <c r="AK873" s="763"/>
      <c r="AL873" s="763"/>
      <c r="AM873" s="763"/>
      <c r="AN873" s="763"/>
      <c r="AO873" s="763"/>
      <c r="AP873" s="763"/>
      <c r="AQ873" s="763"/>
      <c r="AR873" s="763"/>
      <c r="AS873" s="763"/>
      <c r="AT873" s="763"/>
      <c r="AU873" s="763"/>
      <c r="AV873" s="763"/>
      <c r="AW873" s="763"/>
      <c r="AX873" s="763"/>
      <c r="AY873" s="763"/>
      <c r="AZ873" s="763"/>
      <c r="BA873" s="763"/>
      <c r="BB873" s="763"/>
      <c r="BC873" s="763"/>
      <c r="BD873" s="763"/>
      <c r="BE873" s="763"/>
      <c r="BF873" s="763"/>
      <c r="BG873" s="763" t="b">
        <f>IFERROR(__xludf.DUMMYFUNCTION("""COMPUTED_VALUE"""),TRUE)</f>
        <v>1</v>
      </c>
      <c r="BH873" s="763" t="b">
        <f>IFERROR(__xludf.DUMMYFUNCTION("""COMPUTED_VALUE"""),FALSE)</f>
        <v>0</v>
      </c>
      <c r="BI873" s="763" t="b">
        <f>IFERROR(__xludf.DUMMYFUNCTION("""COMPUTED_VALUE"""),TRUE)</f>
        <v>1</v>
      </c>
      <c r="BJ873" s="763" t="b">
        <f>IFERROR(__xludf.DUMMYFUNCTION("""COMPUTED_VALUE"""),TRUE)</f>
        <v>1</v>
      </c>
    </row>
    <row r="874">
      <c r="A874" s="763">
        <f>IFERROR(__xludf.DUMMYFUNCTION("""COMPUTED_VALUE"""),67469.0)</f>
        <v>67469</v>
      </c>
      <c r="B874" s="763">
        <f>IFERROR(__xludf.DUMMYFUNCTION("""COMPUTED_VALUE"""),67469.0)</f>
        <v>67469</v>
      </c>
      <c r="C874" s="763" t="str">
        <f>IFERROR(__xludf.DUMMYFUNCTION("""COMPUTED_VALUE"""),"2026-01-21 20:40:12")</f>
        <v>2026-01-21 20:40:12</v>
      </c>
      <c r="D874" s="763" t="str">
        <f>IFERROR(__xludf.DUMMYFUNCTION("""COMPUTED_VALUE"""),"failed")</f>
        <v>failed</v>
      </c>
      <c r="E874" s="763" t="str">
        <f>IFERROR(__xludf.DUMMYFUNCTION("""COMPUTED_VALUE"""),"Chiara")</f>
        <v>Chiara</v>
      </c>
      <c r="F874" s="763" t="str">
        <f>IFERROR(__xludf.DUMMYFUNCTION("""COMPUTED_VALUE"""),"Donetto")</f>
        <v>Donetto</v>
      </c>
      <c r="G874" s="763" t="str">
        <f>IFERROR(__xludf.DUMMYFUNCTION("""COMPUTED_VALUE"""),"Chijara23@gmail.com")</f>
        <v>Chijara23@gmail.com</v>
      </c>
      <c r="H874" s="763">
        <f>IFERROR(__xludf.DUMMYFUNCTION("""COMPUTED_VALUE"""),3.341355913E9)</f>
        <v>3341355913</v>
      </c>
      <c r="I874" s="763" t="str">
        <f>IFERROR(__xludf.DUMMYFUNCTION("""COMPUTED_VALUE"""),"Torino")</f>
        <v>Torino</v>
      </c>
      <c r="J874" s="763" t="str">
        <f>IFERROR(__xludf.DUMMYFUNCTION("""COMPUTED_VALUE"""),"Via di Vittorio 41/3")</f>
        <v>Via di Vittorio 41/3</v>
      </c>
      <c r="K874" s="763">
        <f>IFERROR(__xludf.DUMMYFUNCTION("""COMPUTED_VALUE"""),10078.0)</f>
        <v>10078</v>
      </c>
      <c r="L874" s="763" t="str">
        <f>IFERROR(__xludf.DUMMYFUNCTION("""COMPUTED_VALUE"""),"Carte di pagamento")</f>
        <v>Carte di pagamento</v>
      </c>
      <c r="M874" s="763"/>
      <c r="N874" s="763"/>
      <c r="O874" s="763">
        <f>IFERROR(__xludf.DUMMYFUNCTION("""COMPUTED_VALUE"""),0.0)</f>
        <v>0</v>
      </c>
      <c r="P874" s="767">
        <f>IFERROR(__xludf.DUMMYFUNCTION("""COMPUTED_VALUE"""),1.875)</f>
        <v>1.875</v>
      </c>
      <c r="Q874" s="763" t="str">
        <f>IFERROR(__xludf.DUMMYFUNCTION("""COMPUTED_VALUE"""),"EUR")</f>
        <v>EUR</v>
      </c>
      <c r="R874" s="763">
        <f>IFERROR(__xludf.DUMMYFUNCTION("""COMPUTED_VALUE"""),1571.0)</f>
        <v>1571</v>
      </c>
      <c r="S874" s="763" t="str">
        <f>IFERROR(__xludf.DUMMYFUNCTION("""COMPUTED_VALUE"""),"Workshop Hip Hop Emanuel Lo 2026 - Workshop Emanuel Lo 22 febbraio 2026")</f>
        <v>Workshop Hip Hop Emanuel Lo 2026 - Workshop Emanuel Lo 22 febbraio 2026</v>
      </c>
      <c r="T874" s="763"/>
      <c r="U874" s="763"/>
      <c r="V874" s="763">
        <f>IFERROR(__xludf.DUMMYFUNCTION("""COMPUTED_VALUE"""),1.0)</f>
        <v>1</v>
      </c>
      <c r="W874" s="763">
        <f>IFERROR(__xludf.DUMMYFUNCTION("""COMPUTED_VALUE"""),45.0)</f>
        <v>45</v>
      </c>
      <c r="X874" s="763">
        <f>IFERROR(__xludf.DUMMYFUNCTION("""COMPUTED_VALUE"""),45.0)</f>
        <v>45</v>
      </c>
      <c r="Y874" s="763"/>
      <c r="Z874" s="768" t="str">
        <f>IFERROR(__xludf.DUMMYFUNCTION("""COMPUTED_VALUE"""),"https://studio-gem.it/wp-admin/post.php?post=67469&amp;action=edit")</f>
        <v>https://studio-gem.it/wp-admin/post.php?post=67469&amp;action=edit</v>
      </c>
      <c r="AA874" s="763"/>
      <c r="AB874" s="763"/>
      <c r="AC874" s="763"/>
      <c r="AD874" s="763"/>
      <c r="AE874" s="763"/>
      <c r="AF874" s="763"/>
      <c r="AG874" s="763"/>
      <c r="AH874" s="763"/>
      <c r="AI874" s="763"/>
      <c r="AJ874" s="763"/>
      <c r="AK874" s="763"/>
      <c r="AL874" s="763"/>
      <c r="AM874" s="763"/>
      <c r="AN874" s="763"/>
      <c r="AO874" s="763"/>
      <c r="AP874" s="763"/>
      <c r="AQ874" s="763"/>
      <c r="AR874" s="763"/>
      <c r="AS874" s="763"/>
      <c r="AT874" s="763"/>
      <c r="AU874" s="763"/>
      <c r="AV874" s="763"/>
      <c r="AW874" s="763"/>
      <c r="AX874" s="763"/>
      <c r="AY874" s="763"/>
      <c r="AZ874" s="763"/>
      <c r="BA874" s="763"/>
      <c r="BB874" s="763"/>
      <c r="BC874" s="763"/>
      <c r="BD874" s="763"/>
      <c r="BE874" s="763"/>
      <c r="BF874" s="763"/>
      <c r="BG874" s="763" t="b">
        <f>IFERROR(__xludf.DUMMYFUNCTION("""COMPUTED_VALUE"""),FALSE)</f>
        <v>0</v>
      </c>
      <c r="BH874" s="763" t="b">
        <f>IFERROR(__xludf.DUMMYFUNCTION("""COMPUTED_VALUE"""),FALSE)</f>
        <v>0</v>
      </c>
      <c r="BI874" s="763" t="b">
        <f>IFERROR(__xludf.DUMMYFUNCTION("""COMPUTED_VALUE"""),FALSE)</f>
        <v>0</v>
      </c>
      <c r="BJ874" s="763" t="b">
        <f>IFERROR(__xludf.DUMMYFUNCTION("""COMPUTED_VALUE"""),FALSE)</f>
        <v>0</v>
      </c>
    </row>
    <row r="875">
      <c r="A875" s="763">
        <f>IFERROR(__xludf.DUMMYFUNCTION("""COMPUTED_VALUE"""),67470.0)</f>
        <v>67470</v>
      </c>
      <c r="B875" s="763">
        <f>IFERROR(__xludf.DUMMYFUNCTION("""COMPUTED_VALUE"""),67470.0)</f>
        <v>67470</v>
      </c>
      <c r="C875" s="763" t="str">
        <f>IFERROR(__xludf.DUMMYFUNCTION("""COMPUTED_VALUE"""),"2026-01-21 20:45:26")</f>
        <v>2026-01-21 20:45:26</v>
      </c>
      <c r="D875" s="763" t="str">
        <f>IFERROR(__xludf.DUMMYFUNCTION("""COMPUTED_VALUE"""),"failed")</f>
        <v>failed</v>
      </c>
      <c r="E875" s="763" t="str">
        <f>IFERROR(__xludf.DUMMYFUNCTION("""COMPUTED_VALUE"""),"Chiara")</f>
        <v>Chiara</v>
      </c>
      <c r="F875" s="763" t="str">
        <f>IFERROR(__xludf.DUMMYFUNCTION("""COMPUTED_VALUE"""),"Donetto")</f>
        <v>Donetto</v>
      </c>
      <c r="G875" s="763" t="str">
        <f>IFERROR(__xludf.DUMMYFUNCTION("""COMPUTED_VALUE"""),"Chijara23@gmail.com")</f>
        <v>Chijara23@gmail.com</v>
      </c>
      <c r="H875" s="763">
        <f>IFERROR(__xludf.DUMMYFUNCTION("""COMPUTED_VALUE"""),3.341355913E9)</f>
        <v>3341355913</v>
      </c>
      <c r="I875" s="763" t="str">
        <f>IFERROR(__xludf.DUMMYFUNCTION("""COMPUTED_VALUE"""),"Torino")</f>
        <v>Torino</v>
      </c>
      <c r="J875" s="763" t="str">
        <f>IFERROR(__xludf.DUMMYFUNCTION("""COMPUTED_VALUE"""),"Via di Vittorio 41/3")</f>
        <v>Via di Vittorio 41/3</v>
      </c>
      <c r="K875" s="763">
        <f>IFERROR(__xludf.DUMMYFUNCTION("""COMPUTED_VALUE"""),10078.0)</f>
        <v>10078</v>
      </c>
      <c r="L875" s="763" t="str">
        <f>IFERROR(__xludf.DUMMYFUNCTION("""COMPUTED_VALUE"""),"Carte di pagamento")</f>
        <v>Carte di pagamento</v>
      </c>
      <c r="M875" s="763" t="str">
        <f>IFERROR(__xludf.DUMMYFUNCTION("""COMPUTED_VALUE"""),"estefany02ws")</f>
        <v>estefany02ws</v>
      </c>
      <c r="N875" s="763"/>
      <c r="O875" s="763">
        <f>IFERROR(__xludf.DUMMYFUNCTION("""COMPUTED_VALUE"""),0.0)</f>
        <v>0</v>
      </c>
      <c r="P875" s="767">
        <f>IFERROR(__xludf.DUMMYFUNCTION("""COMPUTED_VALUE"""),1.7916666666666667)</f>
        <v>1.791666667</v>
      </c>
      <c r="Q875" s="763" t="str">
        <f>IFERROR(__xludf.DUMMYFUNCTION("""COMPUTED_VALUE"""),"EUR")</f>
        <v>EUR</v>
      </c>
      <c r="R875" s="763">
        <f>IFERROR(__xludf.DUMMYFUNCTION("""COMPUTED_VALUE"""),1572.0)</f>
        <v>1572</v>
      </c>
      <c r="S875" s="763" t="str">
        <f>IFERROR(__xludf.DUMMYFUNCTION("""COMPUTED_VALUE"""),"Workshop Hip Hop Emanuel Lo 2026 - Workshop Emanuel Lo 22 febbraio 2026")</f>
        <v>Workshop Hip Hop Emanuel Lo 2026 - Workshop Emanuel Lo 22 febbraio 2026</v>
      </c>
      <c r="T875" s="763"/>
      <c r="U875" s="763"/>
      <c r="V875" s="763">
        <f>IFERROR(__xludf.DUMMYFUNCTION("""COMPUTED_VALUE"""),1.0)</f>
        <v>1</v>
      </c>
      <c r="W875" s="763">
        <f>IFERROR(__xludf.DUMMYFUNCTION("""COMPUTED_VALUE"""),43.0)</f>
        <v>43</v>
      </c>
      <c r="X875" s="763">
        <f>IFERROR(__xludf.DUMMYFUNCTION("""COMPUTED_VALUE"""),43.0)</f>
        <v>43</v>
      </c>
      <c r="Y875" s="763"/>
      <c r="Z875" s="768" t="str">
        <f>IFERROR(__xludf.DUMMYFUNCTION("""COMPUTED_VALUE"""),"https://studio-gem.it/wp-admin/post.php?post=67470&amp;action=edit")</f>
        <v>https://studio-gem.it/wp-admin/post.php?post=67470&amp;action=edit</v>
      </c>
      <c r="AA875" s="763"/>
      <c r="AB875" s="763"/>
      <c r="AC875" s="763"/>
      <c r="AD875" s="763"/>
      <c r="AE875" s="763"/>
      <c r="AF875" s="763"/>
      <c r="AG875" s="763"/>
      <c r="AH875" s="763"/>
      <c r="AI875" s="763"/>
      <c r="AJ875" s="763"/>
      <c r="AK875" s="763"/>
      <c r="AL875" s="763"/>
      <c r="AM875" s="763"/>
      <c r="AN875" s="763"/>
      <c r="AO875" s="763"/>
      <c r="AP875" s="763"/>
      <c r="AQ875" s="763"/>
      <c r="AR875" s="763"/>
      <c r="AS875" s="763"/>
      <c r="AT875" s="763"/>
      <c r="AU875" s="763"/>
      <c r="AV875" s="763"/>
      <c r="AW875" s="763"/>
      <c r="AX875" s="763"/>
      <c r="AY875" s="763"/>
      <c r="AZ875" s="763"/>
      <c r="BA875" s="763"/>
      <c r="BB875" s="763"/>
      <c r="BC875" s="763"/>
      <c r="BD875" s="763"/>
      <c r="BE875" s="763"/>
      <c r="BF875" s="763"/>
      <c r="BG875" s="763" t="b">
        <f>IFERROR(__xludf.DUMMYFUNCTION("""COMPUTED_VALUE"""),FALSE)</f>
        <v>0</v>
      </c>
      <c r="BH875" s="763" t="b">
        <f>IFERROR(__xludf.DUMMYFUNCTION("""COMPUTED_VALUE"""),FALSE)</f>
        <v>0</v>
      </c>
      <c r="BI875" s="763" t="b">
        <f>IFERROR(__xludf.DUMMYFUNCTION("""COMPUTED_VALUE"""),FALSE)</f>
        <v>0</v>
      </c>
      <c r="BJ875" s="763" t="b">
        <f>IFERROR(__xludf.DUMMYFUNCTION("""COMPUTED_VALUE"""),FALSE)</f>
        <v>0</v>
      </c>
    </row>
    <row r="876">
      <c r="A876" s="763">
        <f>IFERROR(__xludf.DUMMYFUNCTION("""COMPUTED_VALUE"""),67471.0)</f>
        <v>67471</v>
      </c>
      <c r="B876" s="763">
        <f>IFERROR(__xludf.DUMMYFUNCTION("""COMPUTED_VALUE"""),67471.0)</f>
        <v>67471</v>
      </c>
      <c r="C876" s="763" t="str">
        <f>IFERROR(__xludf.DUMMYFUNCTION("""COMPUTED_VALUE"""),"2026-01-21 20:51:30")</f>
        <v>2026-01-21 20:51:30</v>
      </c>
      <c r="D876" s="763" t="str">
        <f>IFERROR(__xludf.DUMMYFUNCTION("""COMPUTED_VALUE"""),"cancelled")</f>
        <v>cancelled</v>
      </c>
      <c r="E876" s="763" t="str">
        <f>IFERROR(__xludf.DUMMYFUNCTION("""COMPUTED_VALUE"""),"Chiara")</f>
        <v>Chiara</v>
      </c>
      <c r="F876" s="763" t="str">
        <f>IFERROR(__xludf.DUMMYFUNCTION("""COMPUTED_VALUE"""),"Donetto")</f>
        <v>Donetto</v>
      </c>
      <c r="G876" s="763" t="str">
        <f>IFERROR(__xludf.DUMMYFUNCTION("""COMPUTED_VALUE"""),"chijara23@gmail.com")</f>
        <v>chijara23@gmail.com</v>
      </c>
      <c r="H876" s="763">
        <f>IFERROR(__xludf.DUMMYFUNCTION("""COMPUTED_VALUE"""),3.341355913E9)</f>
        <v>3341355913</v>
      </c>
      <c r="I876" s="763" t="str">
        <f>IFERROR(__xludf.DUMMYFUNCTION("""COMPUTED_VALUE"""),"Venaria")</f>
        <v>Venaria</v>
      </c>
      <c r="J876" s="763" t="str">
        <f>IFERROR(__xludf.DUMMYFUNCTION("""COMPUTED_VALUE"""),"Di Giuseppe Di Vittorio 41,")</f>
        <v>Di Giuseppe Di Vittorio 41,</v>
      </c>
      <c r="K876" s="763">
        <f>IFERROR(__xludf.DUMMYFUNCTION("""COMPUTED_VALUE"""),10078.0)</f>
        <v>10078</v>
      </c>
      <c r="L876" s="763" t="str">
        <f>IFERROR(__xludf.DUMMYFUNCTION("""COMPUTED_VALUE"""),"Carte di pagamento")</f>
        <v>Carte di pagamento</v>
      </c>
      <c r="M876" s="763" t="str">
        <f>IFERROR(__xludf.DUMMYFUNCTION("""COMPUTED_VALUE"""),"estefany02ws")</f>
        <v>estefany02ws</v>
      </c>
      <c r="N876" s="763"/>
      <c r="O876" s="763">
        <f>IFERROR(__xludf.DUMMYFUNCTION("""COMPUTED_VALUE"""),0.0)</f>
        <v>0</v>
      </c>
      <c r="P876" s="767">
        <f>IFERROR(__xludf.DUMMYFUNCTION("""COMPUTED_VALUE"""),1.7916666666666667)</f>
        <v>1.791666667</v>
      </c>
      <c r="Q876" s="763" t="str">
        <f>IFERROR(__xludf.DUMMYFUNCTION("""COMPUTED_VALUE"""),"EUR")</f>
        <v>EUR</v>
      </c>
      <c r="R876" s="763">
        <f>IFERROR(__xludf.DUMMYFUNCTION("""COMPUTED_VALUE"""),1574.0)</f>
        <v>1574</v>
      </c>
      <c r="S876" s="763" t="str">
        <f>IFERROR(__xludf.DUMMYFUNCTION("""COMPUTED_VALUE"""),"Workshop Hip Hop Emanuel Lo 2026 - Workshop Emanuel Lo 22 febbraio 2026")</f>
        <v>Workshop Hip Hop Emanuel Lo 2026 - Workshop Emanuel Lo 22 febbraio 2026</v>
      </c>
      <c r="T876" s="763"/>
      <c r="U876" s="763"/>
      <c r="V876" s="763">
        <f>IFERROR(__xludf.DUMMYFUNCTION("""COMPUTED_VALUE"""),1.0)</f>
        <v>1</v>
      </c>
      <c r="W876" s="763">
        <f>IFERROR(__xludf.DUMMYFUNCTION("""COMPUTED_VALUE"""),43.0)</f>
        <v>43</v>
      </c>
      <c r="X876" s="763">
        <f>IFERROR(__xludf.DUMMYFUNCTION("""COMPUTED_VALUE"""),43.0)</f>
        <v>43</v>
      </c>
      <c r="Y876" s="763"/>
      <c r="Z876" s="768" t="str">
        <f>IFERROR(__xludf.DUMMYFUNCTION("""COMPUTED_VALUE"""),"https://studio-gem.it/wp-admin/post.php?post=67471&amp;action=edit")</f>
        <v>https://studio-gem.it/wp-admin/post.php?post=67471&amp;action=edit</v>
      </c>
      <c r="AA876" s="763"/>
      <c r="AB876" s="763"/>
      <c r="AC876" s="763"/>
      <c r="AD876" s="763"/>
      <c r="AE876" s="763"/>
      <c r="AF876" s="763"/>
      <c r="AG876" s="763"/>
      <c r="AH876" s="763"/>
      <c r="AI876" s="763"/>
      <c r="AJ876" s="763"/>
      <c r="AK876" s="763"/>
      <c r="AL876" s="763"/>
      <c r="AM876" s="763"/>
      <c r="AN876" s="763"/>
      <c r="AO876" s="763"/>
      <c r="AP876" s="763"/>
      <c r="AQ876" s="763"/>
      <c r="AR876" s="763"/>
      <c r="AS876" s="763"/>
      <c r="AT876" s="763"/>
      <c r="AU876" s="763"/>
      <c r="AV876" s="763"/>
      <c r="AW876" s="763"/>
      <c r="AX876" s="763"/>
      <c r="AY876" s="763"/>
      <c r="AZ876" s="763"/>
      <c r="BA876" s="763"/>
      <c r="BB876" s="763"/>
      <c r="BC876" s="763"/>
      <c r="BD876" s="763"/>
      <c r="BE876" s="763"/>
      <c r="BF876" s="763"/>
      <c r="BG876" s="763" t="b">
        <f>IFERROR(__xludf.DUMMYFUNCTION("""COMPUTED_VALUE"""),FALSE)</f>
        <v>0</v>
      </c>
      <c r="BH876" s="763" t="b">
        <f>IFERROR(__xludf.DUMMYFUNCTION("""COMPUTED_VALUE"""),FALSE)</f>
        <v>0</v>
      </c>
      <c r="BI876" s="763" t="b">
        <f>IFERROR(__xludf.DUMMYFUNCTION("""COMPUTED_VALUE"""),FALSE)</f>
        <v>0</v>
      </c>
      <c r="BJ876" s="763" t="b">
        <f>IFERROR(__xludf.DUMMYFUNCTION("""COMPUTED_VALUE"""),FALSE)</f>
        <v>0</v>
      </c>
    </row>
    <row r="877">
      <c r="A877" s="763">
        <f>IFERROR(__xludf.DUMMYFUNCTION("""COMPUTED_VALUE"""),67472.0)</f>
        <v>67472</v>
      </c>
      <c r="B877" s="763">
        <f>IFERROR(__xludf.DUMMYFUNCTION("""COMPUTED_VALUE"""),67472.0)</f>
        <v>67472</v>
      </c>
      <c r="C877" s="763" t="str">
        <f>IFERROR(__xludf.DUMMYFUNCTION("""COMPUTED_VALUE"""),"2026-01-21 20:56:06")</f>
        <v>2026-01-21 20:56:06</v>
      </c>
      <c r="D877" s="763" t="str">
        <f>IFERROR(__xludf.DUMMYFUNCTION("""COMPUTED_VALUE"""),"on-hold")</f>
        <v>on-hold</v>
      </c>
      <c r="E877" s="763" t="str">
        <f>IFERROR(__xludf.DUMMYFUNCTION("""COMPUTED_VALUE"""),"Chiara")</f>
        <v>Chiara</v>
      </c>
      <c r="F877" s="763" t="str">
        <f>IFERROR(__xludf.DUMMYFUNCTION("""COMPUTED_VALUE"""),"Donetto")</f>
        <v>Donetto</v>
      </c>
      <c r="G877" s="763" t="str">
        <f>IFERROR(__xludf.DUMMYFUNCTION("""COMPUTED_VALUE"""),"chijara23@gmail.com")</f>
        <v>chijara23@gmail.com</v>
      </c>
      <c r="H877" s="763">
        <f>IFERROR(__xludf.DUMMYFUNCTION("""COMPUTED_VALUE"""),3.341355913E9)</f>
        <v>3341355913</v>
      </c>
      <c r="I877" s="763" t="str">
        <f>IFERROR(__xludf.DUMMYFUNCTION("""COMPUTED_VALUE"""),"Venaria")</f>
        <v>Venaria</v>
      </c>
      <c r="J877" s="763" t="str">
        <f>IFERROR(__xludf.DUMMYFUNCTION("""COMPUTED_VALUE"""),"Di Giuseppe Di Vittorio 41,")</f>
        <v>Di Giuseppe Di Vittorio 41,</v>
      </c>
      <c r="K877" s="763">
        <f>IFERROR(__xludf.DUMMYFUNCTION("""COMPUTED_VALUE"""),10078.0)</f>
        <v>10078</v>
      </c>
      <c r="L877" s="763" t="str">
        <f>IFERROR(__xludf.DUMMYFUNCTION("""COMPUTED_VALUE"""),"Satispay")</f>
        <v>Satispay</v>
      </c>
      <c r="M877" s="763" t="str">
        <f>IFERROR(__xludf.DUMMYFUNCTION("""COMPUTED_VALUE"""),"estefany02ws")</f>
        <v>estefany02ws</v>
      </c>
      <c r="N877" s="763" t="str">
        <f>IFERROR(__xludf.DUMMYFUNCTION("""COMPUTED_VALUE"""),"019be257-d8d8-755c-acf2-ddef8675d1d8")</f>
        <v>019be257-d8d8-755c-acf2-ddef8675d1d8</v>
      </c>
      <c r="O877" s="763">
        <f>IFERROR(__xludf.DUMMYFUNCTION("""COMPUTED_VALUE"""),0.0)</f>
        <v>0</v>
      </c>
      <c r="P877" s="767">
        <f>IFERROR(__xludf.DUMMYFUNCTION("""COMPUTED_VALUE"""),1.7916666666666667)</f>
        <v>1.791666667</v>
      </c>
      <c r="Q877" s="763" t="str">
        <f>IFERROR(__xludf.DUMMYFUNCTION("""COMPUTED_VALUE"""),"EUR")</f>
        <v>EUR</v>
      </c>
      <c r="R877" s="763">
        <f>IFERROR(__xludf.DUMMYFUNCTION("""COMPUTED_VALUE"""),1576.0)</f>
        <v>1576</v>
      </c>
      <c r="S877" s="763" t="str">
        <f>IFERROR(__xludf.DUMMYFUNCTION("""COMPUTED_VALUE"""),"Workshop Hip Hop Emanuel Lo 2026 - Workshop Emanuel Lo 22 febbraio 2026")</f>
        <v>Workshop Hip Hop Emanuel Lo 2026 - Workshop Emanuel Lo 22 febbraio 2026</v>
      </c>
      <c r="T877" s="763"/>
      <c r="U877" s="763"/>
      <c r="V877" s="763">
        <f>IFERROR(__xludf.DUMMYFUNCTION("""COMPUTED_VALUE"""),1.0)</f>
        <v>1</v>
      </c>
      <c r="W877" s="763">
        <f>IFERROR(__xludf.DUMMYFUNCTION("""COMPUTED_VALUE"""),43.0)</f>
        <v>43</v>
      </c>
      <c r="X877" s="763">
        <f>IFERROR(__xludf.DUMMYFUNCTION("""COMPUTED_VALUE"""),43.0)</f>
        <v>43</v>
      </c>
      <c r="Y877" s="763"/>
      <c r="Z877" s="768" t="str">
        <f>IFERROR(__xludf.DUMMYFUNCTION("""COMPUTED_VALUE"""),"https://studio-gem.it/wp-admin/post.php?post=67472&amp;action=edit")</f>
        <v>https://studio-gem.it/wp-admin/post.php?post=67472&amp;action=edit</v>
      </c>
      <c r="AA877" s="763"/>
      <c r="AB877" s="763"/>
      <c r="AC877" s="763"/>
      <c r="AD877" s="763"/>
      <c r="AE877" s="763"/>
      <c r="AF877" s="763"/>
      <c r="AG877" s="763"/>
      <c r="AH877" s="763"/>
      <c r="AI877" s="763"/>
      <c r="AJ877" s="763"/>
      <c r="AK877" s="763"/>
      <c r="AL877" s="763"/>
      <c r="AM877" s="763"/>
      <c r="AN877" s="763"/>
      <c r="AO877" s="763"/>
      <c r="AP877" s="763"/>
      <c r="AQ877" s="763"/>
      <c r="AR877" s="763"/>
      <c r="AS877" s="763"/>
      <c r="AT877" s="763"/>
      <c r="AU877" s="763"/>
      <c r="AV877" s="763"/>
      <c r="AW877" s="763"/>
      <c r="AX877" s="763"/>
      <c r="AY877" s="763"/>
      <c r="AZ877" s="763"/>
      <c r="BA877" s="763"/>
      <c r="BB877" s="763"/>
      <c r="BC877" s="763"/>
      <c r="BD877" s="763"/>
      <c r="BE877" s="763"/>
      <c r="BF877" s="763"/>
      <c r="BG877" s="763" t="b">
        <f>IFERROR(__xludf.DUMMYFUNCTION("""COMPUTED_VALUE"""),TRUE)</f>
        <v>1</v>
      </c>
      <c r="BH877" s="763" t="b">
        <f>IFERROR(__xludf.DUMMYFUNCTION("""COMPUTED_VALUE"""),FALSE)</f>
        <v>0</v>
      </c>
      <c r="BI877" s="763" t="b">
        <f>IFERROR(__xludf.DUMMYFUNCTION("""COMPUTED_VALUE"""),TRUE)</f>
        <v>1</v>
      </c>
      <c r="BJ877" s="763" t="b">
        <f>IFERROR(__xludf.DUMMYFUNCTION("""COMPUTED_VALUE"""),TRUE)</f>
        <v>1</v>
      </c>
    </row>
    <row r="878">
      <c r="A878" s="763">
        <f>IFERROR(__xludf.DUMMYFUNCTION("""COMPUTED_VALUE"""),67484.0)</f>
        <v>67484</v>
      </c>
      <c r="B878" s="763">
        <f>IFERROR(__xludf.DUMMYFUNCTION("""COMPUTED_VALUE"""),67484.0)</f>
        <v>67484</v>
      </c>
      <c r="C878" s="763" t="str">
        <f>IFERROR(__xludf.DUMMYFUNCTION("""COMPUTED_VALUE"""),"2026-01-22 17:12:40")</f>
        <v>2026-01-22 17:12:40</v>
      </c>
      <c r="D878" s="763" t="str">
        <f>IFERROR(__xludf.DUMMYFUNCTION("""COMPUTED_VALUE"""),"pending")</f>
        <v>pending</v>
      </c>
      <c r="E878" s="763" t="str">
        <f>IFERROR(__xludf.DUMMYFUNCTION("""COMPUTED_VALUE"""),"Mia")</f>
        <v>Mia</v>
      </c>
      <c r="F878" s="763" t="str">
        <f>IFERROR(__xludf.DUMMYFUNCTION("""COMPUTED_VALUE"""),"Pini")</f>
        <v>Pini</v>
      </c>
      <c r="G878" s="763" t="str">
        <f>IFERROR(__xludf.DUMMYFUNCTION("""COMPUTED_VALUE"""),"juan.pini0618@gmail.com")</f>
        <v>juan.pini0618@gmail.com</v>
      </c>
      <c r="H878" s="763">
        <f>IFERROR(__xludf.DUMMYFUNCTION("""COMPUTED_VALUE"""),3.471245852E9)</f>
        <v>3471245852</v>
      </c>
      <c r="I878" s="763" t="str">
        <f>IFERROR(__xludf.DUMMYFUNCTION("""COMPUTED_VALUE"""),"Grosio")</f>
        <v>Grosio</v>
      </c>
      <c r="J878" s="763">
        <f>IFERROR(__xludf.DUMMYFUNCTION("""COMPUTED_VALUE"""),3.471245852E9)</f>
        <v>3471245852</v>
      </c>
      <c r="K878" s="763">
        <f>IFERROR(__xludf.DUMMYFUNCTION("""COMPUTED_VALUE"""),23033.0)</f>
        <v>23033</v>
      </c>
      <c r="L878" s="763" t="str">
        <f>IFERROR(__xludf.DUMMYFUNCTION("""COMPUTED_VALUE"""),"Carte di pagamento")</f>
        <v>Carte di pagamento</v>
      </c>
      <c r="M878" s="763"/>
      <c r="N878" s="763"/>
      <c r="O878" s="763">
        <f>IFERROR(__xludf.DUMMYFUNCTION("""COMPUTED_VALUE"""),0.0)</f>
        <v>0</v>
      </c>
      <c r="P878" s="767">
        <f>IFERROR(__xludf.DUMMYFUNCTION("""COMPUTED_VALUE"""),1.5416666666666667)</f>
        <v>1.541666667</v>
      </c>
      <c r="Q878" s="763" t="str">
        <f>IFERROR(__xludf.DUMMYFUNCTION("""COMPUTED_VALUE"""),"EUR")</f>
        <v>EUR</v>
      </c>
      <c r="R878" s="763">
        <f>IFERROR(__xludf.DUMMYFUNCTION("""COMPUTED_VALUE"""),1578.0)</f>
        <v>1578</v>
      </c>
      <c r="S878" s="763" t="str">
        <f>IFERROR(__xludf.DUMMYFUNCTION("""COMPUTED_VALUE"""),"Workshop Urban Alessio Cavaliere 2026 - Workshop Alessio Cavaliere 1 febbraio 2026")</f>
        <v>Workshop Urban Alessio Cavaliere 2026 - Workshop Alessio Cavaliere 1 febbraio 2026</v>
      </c>
      <c r="T878" s="763"/>
      <c r="U878" s="763"/>
      <c r="V878" s="763">
        <f>IFERROR(__xludf.DUMMYFUNCTION("""COMPUTED_VALUE"""),1.0)</f>
        <v>1</v>
      </c>
      <c r="W878" s="763">
        <f>IFERROR(__xludf.DUMMYFUNCTION("""COMPUTED_VALUE"""),37.0)</f>
        <v>37</v>
      </c>
      <c r="X878" s="763">
        <f>IFERROR(__xludf.DUMMYFUNCTION("""COMPUTED_VALUE"""),37.0)</f>
        <v>37</v>
      </c>
      <c r="Y878" s="763"/>
      <c r="Z878" s="768" t="str">
        <f>IFERROR(__xludf.DUMMYFUNCTION("""COMPUTED_VALUE"""),"https://studio-gem.it/wp-admin/post.php?post=67484&amp;action=edit")</f>
        <v>https://studio-gem.it/wp-admin/post.php?post=67484&amp;action=edit</v>
      </c>
      <c r="AA878" s="763"/>
      <c r="AB878" s="763"/>
      <c r="AC878" s="763"/>
      <c r="AD878" s="763"/>
      <c r="AE878" s="763"/>
      <c r="AF878" s="763"/>
      <c r="AG878" s="763"/>
      <c r="AH878" s="763"/>
      <c r="AI878" s="763"/>
      <c r="AJ878" s="763"/>
      <c r="AK878" s="763"/>
      <c r="AL878" s="763"/>
      <c r="AM878" s="763"/>
      <c r="AN878" s="763"/>
      <c r="AO878" s="763"/>
      <c r="AP878" s="763"/>
      <c r="AQ878" s="763"/>
      <c r="AR878" s="763"/>
      <c r="AS878" s="763"/>
      <c r="AT878" s="763"/>
      <c r="AU878" s="763"/>
      <c r="AV878" s="763"/>
      <c r="AW878" s="763"/>
      <c r="AX878" s="763"/>
      <c r="AY878" s="763"/>
      <c r="AZ878" s="763"/>
      <c r="BA878" s="763"/>
      <c r="BB878" s="763"/>
      <c r="BC878" s="763"/>
      <c r="BD878" s="763"/>
      <c r="BE878" s="763"/>
      <c r="BF878" s="763"/>
      <c r="BG878" s="763" t="b">
        <f>IFERROR(__xludf.DUMMYFUNCTION("""COMPUTED_VALUE"""),TRUE)</f>
        <v>1</v>
      </c>
      <c r="BH878" s="763" t="b">
        <f>IFERROR(__xludf.DUMMYFUNCTION("""COMPUTED_VALUE"""),FALSE)</f>
        <v>0</v>
      </c>
      <c r="BI878" s="763" t="b">
        <f>IFERROR(__xludf.DUMMYFUNCTION("""COMPUTED_VALUE"""),TRUE)</f>
        <v>1</v>
      </c>
      <c r="BJ878" s="763" t="b">
        <f>IFERROR(__xludf.DUMMYFUNCTION("""COMPUTED_VALUE"""),TRUE)</f>
        <v>1</v>
      </c>
    </row>
    <row r="879">
      <c r="A879" s="763">
        <f>IFERROR(__xludf.DUMMYFUNCTION("""COMPUTED_VALUE"""),67486.0)</f>
        <v>67486</v>
      </c>
      <c r="B879" s="763">
        <f>IFERROR(__xludf.DUMMYFUNCTION("""COMPUTED_VALUE"""),67486.0)</f>
        <v>67486</v>
      </c>
      <c r="C879" s="763" t="str">
        <f>IFERROR(__xludf.DUMMYFUNCTION("""COMPUTED_VALUE"""),"2026-01-22 18:33:23")</f>
        <v>2026-01-22 18:33:23</v>
      </c>
      <c r="D879" s="763" t="str">
        <f>IFERROR(__xludf.DUMMYFUNCTION("""COMPUTED_VALUE"""),"completed")</f>
        <v>completed</v>
      </c>
      <c r="E879" s="763" t="str">
        <f>IFERROR(__xludf.DUMMYFUNCTION("""COMPUTED_VALUE"""),"Aurora")</f>
        <v>Aurora</v>
      </c>
      <c r="F879" s="763" t="str">
        <f>IFERROR(__xludf.DUMMYFUNCTION("""COMPUTED_VALUE"""),"Simunno")</f>
        <v>Simunno</v>
      </c>
      <c r="G879" s="763" t="str">
        <f>IFERROR(__xludf.DUMMYFUNCTION("""COMPUTED_VALUE"""),"vania.zum@gmail.com")</f>
        <v>vania.zum@gmail.com</v>
      </c>
      <c r="H879" s="763">
        <f>IFERROR(__xludf.DUMMYFUNCTION("""COMPUTED_VALUE"""),3.480337661E9)</f>
        <v>3480337661</v>
      </c>
      <c r="I879" s="763" t="str">
        <f>IFERROR(__xludf.DUMMYFUNCTION("""COMPUTED_VALUE"""),"Desio")</f>
        <v>Desio</v>
      </c>
      <c r="J879" s="763" t="str">
        <f>IFERROR(__xludf.DUMMYFUNCTION("""COMPUTED_VALUE"""),"Via Tintoretto, 5")</f>
        <v>Via Tintoretto, 5</v>
      </c>
      <c r="K879" s="763">
        <f>IFERROR(__xludf.DUMMYFUNCTION("""COMPUTED_VALUE"""),20832.0)</f>
        <v>20832</v>
      </c>
      <c r="L879" s="763" t="str">
        <f>IFERROR(__xludf.DUMMYFUNCTION("""COMPUTED_VALUE"""),"Satispay")</f>
        <v>Satispay</v>
      </c>
      <c r="M879" s="763"/>
      <c r="N879" s="763" t="str">
        <f>IFERROR(__xludf.DUMMYFUNCTION("""COMPUTED_VALUE"""),"019be6fb-8c9d-791a-aadc-aec503dcd517")</f>
        <v>019be6fb-8c9d-791a-aadc-aec503dcd517</v>
      </c>
      <c r="O879" s="763">
        <f>IFERROR(__xludf.DUMMYFUNCTION("""COMPUTED_VALUE"""),0.0)</f>
        <v>0</v>
      </c>
      <c r="P879" s="767">
        <f>IFERROR(__xludf.DUMMYFUNCTION("""COMPUTED_VALUE"""),1.875)</f>
        <v>1.875</v>
      </c>
      <c r="Q879" s="763" t="str">
        <f>IFERROR(__xludf.DUMMYFUNCTION("""COMPUTED_VALUE"""),"EUR")</f>
        <v>EUR</v>
      </c>
      <c r="R879" s="763">
        <f>IFERROR(__xludf.DUMMYFUNCTION("""COMPUTED_VALUE"""),1579.0)</f>
        <v>1579</v>
      </c>
      <c r="S879" s="763" t="str">
        <f>IFERROR(__xludf.DUMMYFUNCTION("""COMPUTED_VALUE"""),"Workshop Hip Hop Emanuel Lo 2026 - Workshop Emanuel Lo 22 febbraio 2026")</f>
        <v>Workshop Hip Hop Emanuel Lo 2026 - Workshop Emanuel Lo 22 febbraio 2026</v>
      </c>
      <c r="T879" s="763"/>
      <c r="U879" s="763"/>
      <c r="V879" s="763">
        <f>IFERROR(__xludf.DUMMYFUNCTION("""COMPUTED_VALUE"""),1.0)</f>
        <v>1</v>
      </c>
      <c r="W879" s="763">
        <f>IFERROR(__xludf.DUMMYFUNCTION("""COMPUTED_VALUE"""),45.0)</f>
        <v>45</v>
      </c>
      <c r="X879" s="763">
        <f>IFERROR(__xludf.DUMMYFUNCTION("""COMPUTED_VALUE"""),45.0)</f>
        <v>45</v>
      </c>
      <c r="Y879" s="763"/>
      <c r="Z879" s="768" t="str">
        <f>IFERROR(__xludf.DUMMYFUNCTION("""COMPUTED_VALUE"""),"https://studio-gem.it/wp-admin/post.php?post=67486&amp;action=edit")</f>
        <v>https://studio-gem.it/wp-admin/post.php?post=67486&amp;action=edit</v>
      </c>
      <c r="AA879" s="763"/>
      <c r="AB879" s="763"/>
      <c r="AC879" s="763"/>
      <c r="AD879" s="763"/>
      <c r="AE879" s="763"/>
      <c r="AF879" s="763"/>
      <c r="AG879" s="763"/>
      <c r="AH879" s="763"/>
      <c r="AI879" s="763"/>
      <c r="AJ879" s="763"/>
      <c r="AK879" s="763"/>
      <c r="AL879" s="763"/>
      <c r="AM879" s="763"/>
      <c r="AN879" s="763"/>
      <c r="AO879" s="763"/>
      <c r="AP879" s="763"/>
      <c r="AQ879" s="763"/>
      <c r="AR879" s="763"/>
      <c r="AS879" s="763"/>
      <c r="AT879" s="763"/>
      <c r="AU879" s="763"/>
      <c r="AV879" s="763"/>
      <c r="AW879" s="763"/>
      <c r="AX879" s="763"/>
      <c r="AY879" s="763"/>
      <c r="AZ879" s="763"/>
      <c r="BA879" s="763"/>
      <c r="BB879" s="763"/>
      <c r="BC879" s="763"/>
      <c r="BD879" s="763"/>
      <c r="BE879" s="763"/>
      <c r="BF879" s="763"/>
      <c r="BG879" s="763" t="b">
        <f>IFERROR(__xludf.DUMMYFUNCTION("""COMPUTED_VALUE"""),TRUE)</f>
        <v>1</v>
      </c>
      <c r="BH879" s="763" t="b">
        <f>IFERROR(__xludf.DUMMYFUNCTION("""COMPUTED_VALUE"""),FALSE)</f>
        <v>0</v>
      </c>
      <c r="BI879" s="763" t="b">
        <f>IFERROR(__xludf.DUMMYFUNCTION("""COMPUTED_VALUE"""),TRUE)</f>
        <v>1</v>
      </c>
      <c r="BJ879" s="763" t="b">
        <f>IFERROR(__xludf.DUMMYFUNCTION("""COMPUTED_VALUE"""),TRUE)</f>
        <v>1</v>
      </c>
    </row>
    <row r="880">
      <c r="A880" s="763">
        <f>IFERROR(__xludf.DUMMYFUNCTION("""COMPUTED_VALUE"""),67489.0)</f>
        <v>67489</v>
      </c>
      <c r="B880" s="763">
        <f>IFERROR(__xludf.DUMMYFUNCTION("""COMPUTED_VALUE"""),67489.0)</f>
        <v>67489</v>
      </c>
      <c r="C880" s="763" t="str">
        <f>IFERROR(__xludf.DUMMYFUNCTION("""COMPUTED_VALUE"""),"2026-01-22 18:50:36")</f>
        <v>2026-01-22 18:50:36</v>
      </c>
      <c r="D880" s="763" t="str">
        <f>IFERROR(__xludf.DUMMYFUNCTION("""COMPUTED_VALUE"""),"processing")</f>
        <v>processing</v>
      </c>
      <c r="E880" s="763" t="str">
        <f>IFERROR(__xludf.DUMMYFUNCTION("""COMPUTED_VALUE"""),"Guido")</f>
        <v>Guido</v>
      </c>
      <c r="F880" s="763" t="str">
        <f>IFERROR(__xludf.DUMMYFUNCTION("""COMPUTED_VALUE"""),"Zinaghi")</f>
        <v>Zinaghi</v>
      </c>
      <c r="G880" s="763" t="str">
        <f>IFERROR(__xludf.DUMMYFUNCTION("""COMPUTED_VALUE"""),"ida.costabile@gmail.com")</f>
        <v>ida.costabile@gmail.com</v>
      </c>
      <c r="H880" s="763">
        <f>IFERROR(__xludf.DUMMYFUNCTION("""COMPUTED_VALUE"""),3.460412708E9)</f>
        <v>3460412708</v>
      </c>
      <c r="I880" s="763" t="str">
        <f>IFERROR(__xludf.DUMMYFUNCTION("""COMPUTED_VALUE"""),"Giussano")</f>
        <v>Giussano</v>
      </c>
      <c r="J880" s="763" t="str">
        <f>IFERROR(__xludf.DUMMYFUNCTION("""COMPUTED_VALUE"""),"Via martiri della libertà 28")</f>
        <v>Via martiri della libertà 28</v>
      </c>
      <c r="K880" s="763">
        <f>IFERROR(__xludf.DUMMYFUNCTION("""COMPUTED_VALUE"""),20833.0)</f>
        <v>20833</v>
      </c>
      <c r="L880" s="763" t="str">
        <f>IFERROR(__xludf.DUMMYFUNCTION("""COMPUTED_VALUE"""),"Carte di pagamento")</f>
        <v>Carte di pagamento</v>
      </c>
      <c r="M880" s="763"/>
      <c r="N880" s="763" t="str">
        <f>IFERROR(__xludf.DUMMYFUNCTION("""COMPUTED_VALUE"""),"67489-1769107837")</f>
        <v>67489-1769107837</v>
      </c>
      <c r="O880" s="763">
        <f>IFERROR(__xludf.DUMMYFUNCTION("""COMPUTED_VALUE"""),0.0)</f>
        <v>0</v>
      </c>
      <c r="P880" s="767">
        <f>IFERROR(__xludf.DUMMYFUNCTION("""COMPUTED_VALUE"""),1.875)</f>
        <v>1.875</v>
      </c>
      <c r="Q880" s="763" t="str">
        <f>IFERROR(__xludf.DUMMYFUNCTION("""COMPUTED_VALUE"""),"EUR")</f>
        <v>EUR</v>
      </c>
      <c r="R880" s="763">
        <f>IFERROR(__xludf.DUMMYFUNCTION("""COMPUTED_VALUE"""),1580.0)</f>
        <v>1580</v>
      </c>
      <c r="S880" s="763" t="str">
        <f>IFERROR(__xludf.DUMMYFUNCTION("""COMPUTED_VALUE"""),"Workshop Hip Hop Emanuel Lo 2026 - Workshop Emanuel Lo 22 febbraio 2026")</f>
        <v>Workshop Hip Hop Emanuel Lo 2026 - Workshop Emanuel Lo 22 febbraio 2026</v>
      </c>
      <c r="T880" s="763"/>
      <c r="U880" s="763"/>
      <c r="V880" s="763">
        <f>IFERROR(__xludf.DUMMYFUNCTION("""COMPUTED_VALUE"""),1.0)</f>
        <v>1</v>
      </c>
      <c r="W880" s="763">
        <f>IFERROR(__xludf.DUMMYFUNCTION("""COMPUTED_VALUE"""),45.0)</f>
        <v>45</v>
      </c>
      <c r="X880" s="763">
        <f>IFERROR(__xludf.DUMMYFUNCTION("""COMPUTED_VALUE"""),45.0)</f>
        <v>45</v>
      </c>
      <c r="Y880" s="763"/>
      <c r="Z880" s="768" t="str">
        <f>IFERROR(__xludf.DUMMYFUNCTION("""COMPUTED_VALUE"""),"https://studio-gem.it/wp-admin/post.php?post=67489&amp;action=edit")</f>
        <v>https://studio-gem.it/wp-admin/post.php?post=67489&amp;action=edit</v>
      </c>
      <c r="AA880" s="763"/>
      <c r="AB880" s="763"/>
      <c r="AC880" s="763"/>
      <c r="AD880" s="763"/>
      <c r="AE880" s="763"/>
      <c r="AF880" s="763"/>
      <c r="AG880" s="763"/>
      <c r="AH880" s="763"/>
      <c r="AI880" s="763"/>
      <c r="AJ880" s="763"/>
      <c r="AK880" s="763"/>
      <c r="AL880" s="763"/>
      <c r="AM880" s="763"/>
      <c r="AN880" s="763"/>
      <c r="AO880" s="763"/>
      <c r="AP880" s="763"/>
      <c r="AQ880" s="763"/>
      <c r="AR880" s="763"/>
      <c r="AS880" s="763"/>
      <c r="AT880" s="763"/>
      <c r="AU880" s="763"/>
      <c r="AV880" s="763"/>
      <c r="AW880" s="763"/>
      <c r="AX880" s="763"/>
      <c r="AY880" s="763"/>
      <c r="AZ880" s="763"/>
      <c r="BA880" s="763"/>
      <c r="BB880" s="763"/>
      <c r="BC880" s="763"/>
      <c r="BD880" s="763"/>
      <c r="BE880" s="763"/>
      <c r="BF880" s="763"/>
      <c r="BG880" s="763" t="b">
        <f>IFERROR(__xludf.DUMMYFUNCTION("""COMPUTED_VALUE"""),TRUE)</f>
        <v>1</v>
      </c>
      <c r="BH880" s="763" t="b">
        <f>IFERROR(__xludf.DUMMYFUNCTION("""COMPUTED_VALUE"""),FALSE)</f>
        <v>0</v>
      </c>
      <c r="BI880" s="763" t="b">
        <f>IFERROR(__xludf.DUMMYFUNCTION("""COMPUTED_VALUE"""),TRUE)</f>
        <v>1</v>
      </c>
      <c r="BJ880" s="763" t="b">
        <f>IFERROR(__xludf.DUMMYFUNCTION("""COMPUTED_VALUE"""),TRUE)</f>
        <v>1</v>
      </c>
    </row>
    <row r="881">
      <c r="A881" s="763">
        <f>IFERROR(__xludf.DUMMYFUNCTION("""COMPUTED_VALUE"""),67506.0)</f>
        <v>67506</v>
      </c>
      <c r="B881" s="763">
        <f>IFERROR(__xludf.DUMMYFUNCTION("""COMPUTED_VALUE"""),67506.0)</f>
        <v>67506</v>
      </c>
      <c r="C881" s="763" t="str">
        <f>IFERROR(__xludf.DUMMYFUNCTION("""COMPUTED_VALUE"""),"2026-01-25 13:39:44")</f>
        <v>2026-01-25 13:39:44</v>
      </c>
      <c r="D881" s="763" t="str">
        <f>IFERROR(__xludf.DUMMYFUNCTION("""COMPUTED_VALUE"""),"processing")</f>
        <v>processing</v>
      </c>
      <c r="E881" s="763" t="str">
        <f>IFERROR(__xludf.DUMMYFUNCTION("""COMPUTED_VALUE"""),"noemi")</f>
        <v>noemi</v>
      </c>
      <c r="F881" s="763" t="str">
        <f>IFERROR(__xludf.DUMMYFUNCTION("""COMPUTED_VALUE"""),"bulfaro")</f>
        <v>bulfaro</v>
      </c>
      <c r="G881" s="763" t="str">
        <f>IFERROR(__xludf.DUMMYFUNCTION("""COMPUTED_VALUE"""),"noemi.bulfaro@bordoni.edu.it")</f>
        <v>noemi.bulfaro@bordoni.edu.it</v>
      </c>
      <c r="H881" s="763">
        <f>IFERROR(__xludf.DUMMYFUNCTION("""COMPUTED_VALUE"""),3.881564179E9)</f>
        <v>3881564179</v>
      </c>
      <c r="I881" s="763" t="str">
        <f>IFERROR(__xludf.DUMMYFUNCTION("""COMPUTED_VALUE"""),"Guinzano frazione di giussago")</f>
        <v>Guinzano frazione di giussago</v>
      </c>
      <c r="J881" s="763" t="str">
        <f>IFERROR(__xludf.DUMMYFUNCTION("""COMPUTED_VALUE"""),"alessandro manzoni n32")</f>
        <v>alessandro manzoni n32</v>
      </c>
      <c r="K881" s="763">
        <f>IFERROR(__xludf.DUMMYFUNCTION("""COMPUTED_VALUE"""),27010.0)</f>
        <v>27010</v>
      </c>
      <c r="L881" s="763" t="str">
        <f>IFERROR(__xludf.DUMMYFUNCTION("""COMPUTED_VALUE"""),"Carte di pagamento")</f>
        <v>Carte di pagamento</v>
      </c>
      <c r="M881" s="763"/>
      <c r="N881" s="763" t="str">
        <f>IFERROR(__xludf.DUMMYFUNCTION("""COMPUTED_VALUE"""),"67506-1769348386")</f>
        <v>67506-1769348386</v>
      </c>
      <c r="O881" s="763">
        <f>IFERROR(__xludf.DUMMYFUNCTION("""COMPUTED_VALUE"""),0.0)</f>
        <v>0</v>
      </c>
      <c r="P881" s="767">
        <f>IFERROR(__xludf.DUMMYFUNCTION("""COMPUTED_VALUE"""),1.875)</f>
        <v>1.875</v>
      </c>
      <c r="Q881" s="763" t="str">
        <f>IFERROR(__xludf.DUMMYFUNCTION("""COMPUTED_VALUE"""),"EUR")</f>
        <v>EUR</v>
      </c>
      <c r="R881" s="763">
        <f>IFERROR(__xludf.DUMMYFUNCTION("""COMPUTED_VALUE"""),1581.0)</f>
        <v>1581</v>
      </c>
      <c r="S881" s="763" t="str">
        <f>IFERROR(__xludf.DUMMYFUNCTION("""COMPUTED_VALUE"""),"Workshop Hip Hop Emanuel Lo 2026 - Workshop Emanuel Lo 22 febbraio 2026")</f>
        <v>Workshop Hip Hop Emanuel Lo 2026 - Workshop Emanuel Lo 22 febbraio 2026</v>
      </c>
      <c r="T881" s="763"/>
      <c r="U881" s="763"/>
      <c r="V881" s="763">
        <f>IFERROR(__xludf.DUMMYFUNCTION("""COMPUTED_VALUE"""),1.0)</f>
        <v>1</v>
      </c>
      <c r="W881" s="763">
        <f>IFERROR(__xludf.DUMMYFUNCTION("""COMPUTED_VALUE"""),45.0)</f>
        <v>45</v>
      </c>
      <c r="X881" s="763">
        <f>IFERROR(__xludf.DUMMYFUNCTION("""COMPUTED_VALUE"""),45.0)</f>
        <v>45</v>
      </c>
      <c r="Y881" s="763"/>
      <c r="Z881" s="768" t="str">
        <f>IFERROR(__xludf.DUMMYFUNCTION("""COMPUTED_VALUE"""),"https://studio-gem.it/wp-admin/post.php?post=67506&amp;action=edit")</f>
        <v>https://studio-gem.it/wp-admin/post.php?post=67506&amp;action=edit</v>
      </c>
      <c r="AA881" s="763"/>
      <c r="AB881" s="763"/>
      <c r="AC881" s="763"/>
      <c r="AD881" s="763"/>
      <c r="AE881" s="763"/>
      <c r="AF881" s="763"/>
      <c r="AG881" s="763"/>
      <c r="AH881" s="763"/>
      <c r="AI881" s="763"/>
      <c r="AJ881" s="763"/>
      <c r="AK881" s="763"/>
      <c r="AL881" s="763"/>
      <c r="AM881" s="763"/>
      <c r="AN881" s="763"/>
      <c r="AO881" s="763"/>
      <c r="AP881" s="763"/>
      <c r="AQ881" s="763"/>
      <c r="AR881" s="763"/>
      <c r="AS881" s="763"/>
      <c r="AT881" s="763"/>
      <c r="AU881" s="763"/>
      <c r="AV881" s="763"/>
      <c r="AW881" s="763"/>
      <c r="AX881" s="763"/>
      <c r="AY881" s="763"/>
      <c r="AZ881" s="763"/>
      <c r="BA881" s="763"/>
      <c r="BB881" s="763"/>
      <c r="BC881" s="763"/>
      <c r="BD881" s="763"/>
      <c r="BE881" s="763"/>
      <c r="BF881" s="763"/>
      <c r="BG881" s="763" t="b">
        <f>IFERROR(__xludf.DUMMYFUNCTION("""COMPUTED_VALUE"""),TRUE)</f>
        <v>1</v>
      </c>
      <c r="BH881" s="763" t="b">
        <f>IFERROR(__xludf.DUMMYFUNCTION("""COMPUTED_VALUE"""),FALSE)</f>
        <v>0</v>
      </c>
      <c r="BI881" s="763" t="b">
        <f>IFERROR(__xludf.DUMMYFUNCTION("""COMPUTED_VALUE"""),TRUE)</f>
        <v>1</v>
      </c>
      <c r="BJ881" s="763" t="b">
        <f>IFERROR(__xludf.DUMMYFUNCTION("""COMPUTED_VALUE"""),TRUE)</f>
        <v>1</v>
      </c>
    </row>
    <row r="882">
      <c r="A882" s="763">
        <f>IFERROR(__xludf.DUMMYFUNCTION("""COMPUTED_VALUE"""),67513.0)</f>
        <v>67513</v>
      </c>
      <c r="B882" s="763">
        <f>IFERROR(__xludf.DUMMYFUNCTION("""COMPUTED_VALUE"""),67513.0)</f>
        <v>67513</v>
      </c>
      <c r="C882" s="763" t="str">
        <f>IFERROR(__xludf.DUMMYFUNCTION("""COMPUTED_VALUE"""),"2026-01-26 12:23:43")</f>
        <v>2026-01-26 12:23:43</v>
      </c>
      <c r="D882" s="763" t="str">
        <f>IFERROR(__xludf.DUMMYFUNCTION("""COMPUTED_VALUE"""),"completed")</f>
        <v>completed</v>
      </c>
      <c r="E882" s="763" t="str">
        <f>IFERROR(__xludf.DUMMYFUNCTION("""COMPUTED_VALUE"""),"Michela")</f>
        <v>Michela</v>
      </c>
      <c r="F882" s="763" t="str">
        <f>IFERROR(__xludf.DUMMYFUNCTION("""COMPUTED_VALUE"""),"Riboni")</f>
        <v>Riboni</v>
      </c>
      <c r="G882" s="763" t="str">
        <f>IFERROR(__xludf.DUMMYFUNCTION("""COMPUTED_VALUE"""),"michelariboni@yahoo.it")</f>
        <v>michelariboni@yahoo.it</v>
      </c>
      <c r="H882" s="763">
        <f>IFERROR(__xludf.DUMMYFUNCTION("""COMPUTED_VALUE"""),3.386610225E9)</f>
        <v>3386610225</v>
      </c>
      <c r="I882" s="763" t="str">
        <f>IFERROR(__xludf.DUMMYFUNCTION("""COMPUTED_VALUE"""),"Casaletto lodigiano")</f>
        <v>Casaletto lodigiano</v>
      </c>
      <c r="J882" s="763" t="str">
        <f>IFERROR(__xludf.DUMMYFUNCTION("""COMPUTED_VALUE"""),"Via Sabin 13")</f>
        <v>Via Sabin 13</v>
      </c>
      <c r="K882" s="763">
        <f>IFERROR(__xludf.DUMMYFUNCTION("""COMPUTED_VALUE"""),26852.0)</f>
        <v>26852</v>
      </c>
      <c r="L882" s="763" t="str">
        <f>IFERROR(__xludf.DUMMYFUNCTION("""COMPUTED_VALUE"""),"Carte di pagamento")</f>
        <v>Carte di pagamento</v>
      </c>
      <c r="M882" s="763" t="str">
        <f>IFERROR(__xludf.DUMMYFUNCTION("""COMPUTED_VALUE"""),"joel02ws")</f>
        <v>joel02ws</v>
      </c>
      <c r="N882" s="763" t="str">
        <f>IFERROR(__xludf.DUMMYFUNCTION("""COMPUTED_VALUE"""),"67513-1769430225")</f>
        <v>67513-1769430225</v>
      </c>
      <c r="O882" s="763">
        <f>IFERROR(__xludf.DUMMYFUNCTION("""COMPUTED_VALUE"""),0.0)</f>
        <v>0</v>
      </c>
      <c r="P882" s="767">
        <f>IFERROR(__xludf.DUMMYFUNCTION("""COMPUTED_VALUE"""),1.7916666666666667)</f>
        <v>1.791666667</v>
      </c>
      <c r="Q882" s="763" t="str">
        <f>IFERROR(__xludf.DUMMYFUNCTION("""COMPUTED_VALUE"""),"EUR")</f>
        <v>EUR</v>
      </c>
      <c r="R882" s="763">
        <f>IFERROR(__xludf.DUMMYFUNCTION("""COMPUTED_VALUE"""),1582.0)</f>
        <v>1582</v>
      </c>
      <c r="S882" s="763" t="str">
        <f>IFERROR(__xludf.DUMMYFUNCTION("""COMPUTED_VALUE"""),"Workshop Hip Hop Emanuel Lo 2026 - Workshop Emanuel Lo 22 febbraio 2026")</f>
        <v>Workshop Hip Hop Emanuel Lo 2026 - Workshop Emanuel Lo 22 febbraio 2026</v>
      </c>
      <c r="T882" s="763"/>
      <c r="U882" s="763"/>
      <c r="V882" s="763">
        <f>IFERROR(__xludf.DUMMYFUNCTION("""COMPUTED_VALUE"""),1.0)</f>
        <v>1</v>
      </c>
      <c r="W882" s="763">
        <f>IFERROR(__xludf.DUMMYFUNCTION("""COMPUTED_VALUE"""),43.0)</f>
        <v>43</v>
      </c>
      <c r="X882" s="763">
        <f>IFERROR(__xludf.DUMMYFUNCTION("""COMPUTED_VALUE"""),43.0)</f>
        <v>43</v>
      </c>
      <c r="Y882" s="763"/>
      <c r="Z882" s="768" t="str">
        <f>IFERROR(__xludf.DUMMYFUNCTION("""COMPUTED_VALUE"""),"https://studio-gem.it/wp-admin/post.php?post=67513&amp;action=edit")</f>
        <v>https://studio-gem.it/wp-admin/post.php?post=67513&amp;action=edit</v>
      </c>
      <c r="AA882" s="763"/>
      <c r="AB882" s="763"/>
      <c r="AC882" s="763"/>
      <c r="AD882" s="763"/>
      <c r="AE882" s="763"/>
      <c r="AF882" s="763"/>
      <c r="AG882" s="763"/>
      <c r="AH882" s="763"/>
      <c r="AI882" s="763"/>
      <c r="AJ882" s="763"/>
      <c r="AK882" s="763"/>
      <c r="AL882" s="763"/>
      <c r="AM882" s="763"/>
      <c r="AN882" s="763"/>
      <c r="AO882" s="763"/>
      <c r="AP882" s="763"/>
      <c r="AQ882" s="763"/>
      <c r="AR882" s="763"/>
      <c r="AS882" s="763"/>
      <c r="AT882" s="763"/>
      <c r="AU882" s="763"/>
      <c r="AV882" s="763"/>
      <c r="AW882" s="763"/>
      <c r="AX882" s="763"/>
      <c r="AY882" s="763"/>
      <c r="AZ882" s="763"/>
      <c r="BA882" s="763"/>
      <c r="BB882" s="763"/>
      <c r="BC882" s="763"/>
      <c r="BD882" s="763"/>
      <c r="BE882" s="763"/>
      <c r="BF882" s="763"/>
      <c r="BG882" s="763" t="b">
        <f>IFERROR(__xludf.DUMMYFUNCTION("""COMPUTED_VALUE"""),TRUE)</f>
        <v>1</v>
      </c>
      <c r="BH882" s="763" t="b">
        <f>IFERROR(__xludf.DUMMYFUNCTION("""COMPUTED_VALUE"""),FALSE)</f>
        <v>0</v>
      </c>
      <c r="BI882" s="763" t="b">
        <f>IFERROR(__xludf.DUMMYFUNCTION("""COMPUTED_VALUE"""),TRUE)</f>
        <v>1</v>
      </c>
      <c r="BJ882" s="763" t="b">
        <f>IFERROR(__xludf.DUMMYFUNCTION("""COMPUTED_VALUE"""),TRUE)</f>
        <v>1</v>
      </c>
    </row>
    <row r="883">
      <c r="A883" s="763">
        <f>IFERROR(__xludf.DUMMYFUNCTION("""COMPUTED_VALUE"""),67518.0)</f>
        <v>67518</v>
      </c>
      <c r="B883" s="763">
        <f>IFERROR(__xludf.DUMMYFUNCTION("""COMPUTED_VALUE"""),67518.0)</f>
        <v>67518</v>
      </c>
      <c r="C883" s="763" t="str">
        <f>IFERROR(__xludf.DUMMYFUNCTION("""COMPUTED_VALUE"""),"2026-01-26 15:53:19")</f>
        <v>2026-01-26 15:53:19</v>
      </c>
      <c r="D883" s="763" t="str">
        <f>IFERROR(__xludf.DUMMYFUNCTION("""COMPUTED_VALUE"""),"processing")</f>
        <v>processing</v>
      </c>
      <c r="E883" s="763" t="str">
        <f>IFERROR(__xludf.DUMMYFUNCTION("""COMPUTED_VALUE"""),"Leonie")</f>
        <v>Leonie</v>
      </c>
      <c r="F883" s="763" t="str">
        <f>IFERROR(__xludf.DUMMYFUNCTION("""COMPUTED_VALUE"""),"Quinto")</f>
        <v>Quinto</v>
      </c>
      <c r="G883" s="763" t="str">
        <f>IFERROR(__xludf.DUMMYFUNCTION("""COMPUTED_VALUE"""),"vanessa.quinto@alice.it")</f>
        <v>vanessa.quinto@alice.it</v>
      </c>
      <c r="H883" s="763">
        <f>IFERROR(__xludf.DUMMYFUNCTION("""COMPUTED_VALUE"""),3.911164496E9)</f>
        <v>3911164496</v>
      </c>
      <c r="I883" s="763" t="str">
        <f>IFERROR(__xludf.DUMMYFUNCTION("""COMPUTED_VALUE"""),"Pinerolo")</f>
        <v>Pinerolo</v>
      </c>
      <c r="J883" s="763" t="str">
        <f>IFERROR(__xludf.DUMMYFUNCTION("""COMPUTED_VALUE"""),"Via Tabona 42")</f>
        <v>Via Tabona 42</v>
      </c>
      <c r="K883" s="763">
        <f>IFERROR(__xludf.DUMMYFUNCTION("""COMPUTED_VALUE"""),10064.0)</f>
        <v>10064</v>
      </c>
      <c r="L883" s="763" t="str">
        <f>IFERROR(__xludf.DUMMYFUNCTION("""COMPUTED_VALUE"""),"Carte di pagamento")</f>
        <v>Carte di pagamento</v>
      </c>
      <c r="M883" s="763"/>
      <c r="N883" s="763" t="str">
        <f>IFERROR(__xludf.DUMMYFUNCTION("""COMPUTED_VALUE"""),"67518-1769442800")</f>
        <v>67518-1769442800</v>
      </c>
      <c r="O883" s="763">
        <f>IFERROR(__xludf.DUMMYFUNCTION("""COMPUTED_VALUE"""),0.0)</f>
        <v>0</v>
      </c>
      <c r="P883" s="767">
        <f>IFERROR(__xludf.DUMMYFUNCTION("""COMPUTED_VALUE"""),1.875)</f>
        <v>1.875</v>
      </c>
      <c r="Q883" s="763" t="str">
        <f>IFERROR(__xludf.DUMMYFUNCTION("""COMPUTED_VALUE"""),"EUR")</f>
        <v>EUR</v>
      </c>
      <c r="R883" s="763">
        <f>IFERROR(__xludf.DUMMYFUNCTION("""COMPUTED_VALUE"""),1584.0)</f>
        <v>1584</v>
      </c>
      <c r="S883" s="763" t="str">
        <f>IFERROR(__xludf.DUMMYFUNCTION("""COMPUTED_VALUE"""),"Workshop Hip Hop Emanuel Lo 2026 - Workshop Emanuel Lo 22 febbraio 2026")</f>
        <v>Workshop Hip Hop Emanuel Lo 2026 - Workshop Emanuel Lo 22 febbraio 2026</v>
      </c>
      <c r="T883" s="763"/>
      <c r="U883" s="763"/>
      <c r="V883" s="763">
        <f>IFERROR(__xludf.DUMMYFUNCTION("""COMPUTED_VALUE"""),1.0)</f>
        <v>1</v>
      </c>
      <c r="W883" s="763">
        <f>IFERROR(__xludf.DUMMYFUNCTION("""COMPUTED_VALUE"""),45.0)</f>
        <v>45</v>
      </c>
      <c r="X883" s="763">
        <f>IFERROR(__xludf.DUMMYFUNCTION("""COMPUTED_VALUE"""),45.0)</f>
        <v>45</v>
      </c>
      <c r="Y883" s="763"/>
      <c r="Z883" s="768" t="str">
        <f>IFERROR(__xludf.DUMMYFUNCTION("""COMPUTED_VALUE"""),"https://studio-gem.it/wp-admin/post.php?post=67518&amp;action=edit")</f>
        <v>https://studio-gem.it/wp-admin/post.php?post=67518&amp;action=edit</v>
      </c>
      <c r="AA883" s="763"/>
      <c r="AB883" s="763"/>
      <c r="AC883" s="763"/>
      <c r="AD883" s="763"/>
      <c r="AE883" s="763"/>
      <c r="AF883" s="763"/>
      <c r="AG883" s="763"/>
      <c r="AH883" s="763"/>
      <c r="AI883" s="763"/>
      <c r="AJ883" s="763"/>
      <c r="AK883" s="763"/>
      <c r="AL883" s="763"/>
      <c r="AM883" s="763"/>
      <c r="AN883" s="763"/>
      <c r="AO883" s="763"/>
      <c r="AP883" s="763"/>
      <c r="AQ883" s="763"/>
      <c r="AR883" s="763"/>
      <c r="AS883" s="763"/>
      <c r="AT883" s="763"/>
      <c r="AU883" s="763"/>
      <c r="AV883" s="763"/>
      <c r="AW883" s="763"/>
      <c r="AX883" s="763"/>
      <c r="AY883" s="763"/>
      <c r="AZ883" s="763"/>
      <c r="BA883" s="763"/>
      <c r="BB883" s="763"/>
      <c r="BC883" s="763"/>
      <c r="BD883" s="763"/>
      <c r="BE883" s="763"/>
      <c r="BF883" s="763"/>
      <c r="BG883" s="763" t="b">
        <f>IFERROR(__xludf.DUMMYFUNCTION("""COMPUTED_VALUE"""),TRUE)</f>
        <v>1</v>
      </c>
      <c r="BH883" s="763" t="b">
        <f>IFERROR(__xludf.DUMMYFUNCTION("""COMPUTED_VALUE"""),FALSE)</f>
        <v>0</v>
      </c>
      <c r="BI883" s="763" t="b">
        <f>IFERROR(__xludf.DUMMYFUNCTION("""COMPUTED_VALUE"""),TRUE)</f>
        <v>1</v>
      </c>
      <c r="BJ883" s="763" t="b">
        <f>IFERROR(__xludf.DUMMYFUNCTION("""COMPUTED_VALUE"""),TRUE)</f>
        <v>1</v>
      </c>
    </row>
    <row r="884">
      <c r="A884" s="763">
        <f>IFERROR(__xludf.DUMMYFUNCTION("""COMPUTED_VALUE"""),67537.0)</f>
        <v>67537</v>
      </c>
      <c r="B884" s="763">
        <f>IFERROR(__xludf.DUMMYFUNCTION("""COMPUTED_VALUE"""),67537.0)</f>
        <v>67537</v>
      </c>
      <c r="C884" s="763" t="str">
        <f>IFERROR(__xludf.DUMMYFUNCTION("""COMPUTED_VALUE"""),"2026-01-28 15:33:06")</f>
        <v>2026-01-28 15:33:06</v>
      </c>
      <c r="D884" s="763" t="str">
        <f>IFERROR(__xludf.DUMMYFUNCTION("""COMPUTED_VALUE"""),"processing")</f>
        <v>processing</v>
      </c>
      <c r="E884" s="763" t="str">
        <f>IFERROR(__xludf.DUMMYFUNCTION("""COMPUTED_VALUE"""),"Silvia")</f>
        <v>Silvia</v>
      </c>
      <c r="F884" s="763" t="str">
        <f>IFERROR(__xludf.DUMMYFUNCTION("""COMPUTED_VALUE"""),"Andena")</f>
        <v>Andena</v>
      </c>
      <c r="G884" s="763" t="str">
        <f>IFERROR(__xludf.DUMMYFUNCTION("""COMPUTED_VALUE"""),"silviaandena@hotmail.com")</f>
        <v>silviaandena@hotmail.com</v>
      </c>
      <c r="H884" s="763">
        <f>IFERROR(__xludf.DUMMYFUNCTION("""COMPUTED_VALUE"""),3.384272229E9)</f>
        <v>3384272229</v>
      </c>
      <c r="I884" s="763" t="str">
        <f>IFERROR(__xludf.DUMMYFUNCTION("""COMPUTED_VALUE"""),"Milano")</f>
        <v>Milano</v>
      </c>
      <c r="J884" s="763" t="str">
        <f>IFERROR(__xludf.DUMMYFUNCTION("""COMPUTED_VALUE"""),"Via Ettore Ponti 47/A")</f>
        <v>Via Ettore Ponti 47/A</v>
      </c>
      <c r="K884" s="763">
        <f>IFERROR(__xludf.DUMMYFUNCTION("""COMPUTED_VALUE"""),20143.0)</f>
        <v>20143</v>
      </c>
      <c r="L884" s="763" t="str">
        <f>IFERROR(__xludf.DUMMYFUNCTION("""COMPUTED_VALUE"""),"Carte di pagamento")</f>
        <v>Carte di pagamento</v>
      </c>
      <c r="M884" s="763"/>
      <c r="N884" s="763" t="str">
        <f>IFERROR(__xludf.DUMMYFUNCTION("""COMPUTED_VALUE"""),"67537-1769614388")</f>
        <v>67537-1769614388</v>
      </c>
      <c r="O884" s="763">
        <f>IFERROR(__xludf.DUMMYFUNCTION("""COMPUTED_VALUE"""),0.0)</f>
        <v>0</v>
      </c>
      <c r="P884" s="767">
        <f>IFERROR(__xludf.DUMMYFUNCTION("""COMPUTED_VALUE"""),6.0)</f>
        <v>6</v>
      </c>
      <c r="Q884" s="763" t="str">
        <f>IFERROR(__xludf.DUMMYFUNCTION("""COMPUTED_VALUE"""),"EUR")</f>
        <v>EUR</v>
      </c>
      <c r="R884" s="763">
        <f>IFERROR(__xludf.DUMMYFUNCTION("""COMPUTED_VALUE"""),1585.0)</f>
        <v>1585</v>
      </c>
      <c r="S884" s="763" t="str">
        <f>IFERROR(__xludf.DUMMYFUNCTION("""COMPUTED_VALUE"""),"Campus estivo 2026 - Campus estivo 2 settimane")</f>
        <v>Campus estivo 2026 - Campus estivo 2 settimane</v>
      </c>
      <c r="T884" s="763"/>
      <c r="U884" s="763"/>
      <c r="V884" s="763">
        <f>IFERROR(__xludf.DUMMYFUNCTION("""COMPUTED_VALUE"""),1.0)</f>
        <v>1</v>
      </c>
      <c r="W884" s="763">
        <f>IFERROR(__xludf.DUMMYFUNCTION("""COMPUTED_VALUE"""),144.0)</f>
        <v>144</v>
      </c>
      <c r="X884" s="763">
        <f>IFERROR(__xludf.DUMMYFUNCTION("""COMPUTED_VALUE"""),144.0)</f>
        <v>144</v>
      </c>
      <c r="Y884" s="763"/>
      <c r="Z884" s="768" t="str">
        <f>IFERROR(__xludf.DUMMYFUNCTION("""COMPUTED_VALUE"""),"https://studio-gem.it/wp-admin/post.php?post=67537&amp;action=edit")</f>
        <v>https://studio-gem.it/wp-admin/post.php?post=67537&amp;action=edit</v>
      </c>
      <c r="AA884" s="763"/>
      <c r="AB884" s="763"/>
      <c r="AC884" s="763"/>
      <c r="AD884" s="763"/>
      <c r="AE884" s="763"/>
      <c r="AF884" s="763"/>
      <c r="AG884" s="763"/>
      <c r="AH884" s="763"/>
      <c r="AI884" s="763"/>
      <c r="AJ884" s="763"/>
      <c r="AK884" s="763"/>
      <c r="AL884" s="763"/>
      <c r="AM884" s="763"/>
      <c r="AN884" s="763"/>
      <c r="AO884" s="763"/>
      <c r="AP884" s="763"/>
      <c r="AQ884" s="763"/>
      <c r="AR884" s="763"/>
      <c r="AS884" s="763"/>
      <c r="AT884" s="763"/>
      <c r="AU884" s="763"/>
      <c r="AV884" s="763"/>
      <c r="AW884" s="763"/>
      <c r="AX884" s="763"/>
      <c r="AY884" s="763"/>
      <c r="AZ884" s="763"/>
      <c r="BA884" s="763"/>
      <c r="BB884" s="763"/>
      <c r="BC884" s="763"/>
      <c r="BD884" s="763"/>
      <c r="BE884" s="763"/>
      <c r="BF884" s="763"/>
      <c r="BG884" s="763" t="b">
        <f>IFERROR(__xludf.DUMMYFUNCTION("""COMPUTED_VALUE"""),TRUE)</f>
        <v>1</v>
      </c>
      <c r="BH884" s="763" t="b">
        <f>IFERROR(__xludf.DUMMYFUNCTION("""COMPUTED_VALUE"""),FALSE)</f>
        <v>0</v>
      </c>
      <c r="BI884" s="763" t="b">
        <f>IFERROR(__xludf.DUMMYFUNCTION("""COMPUTED_VALUE"""),TRUE)</f>
        <v>1</v>
      </c>
      <c r="BJ884" s="763" t="b">
        <f>IFERROR(__xludf.DUMMYFUNCTION("""COMPUTED_VALUE"""),TRUE)</f>
        <v>1</v>
      </c>
    </row>
    <row r="885">
      <c r="A885" s="763">
        <f>IFERROR(__xludf.DUMMYFUNCTION("""COMPUTED_VALUE"""),67540.0)</f>
        <v>67540</v>
      </c>
      <c r="B885" s="763">
        <f>IFERROR(__xludf.DUMMYFUNCTION("""COMPUTED_VALUE"""),67540.0)</f>
        <v>67540</v>
      </c>
      <c r="C885" s="763" t="str">
        <f>IFERROR(__xludf.DUMMYFUNCTION("""COMPUTED_VALUE"""),"2026-01-28 21:02:14")</f>
        <v>2026-01-28 21:02:14</v>
      </c>
      <c r="D885" s="763" t="str">
        <f>IFERROR(__xludf.DUMMYFUNCTION("""COMPUTED_VALUE"""),"processing")</f>
        <v>processing</v>
      </c>
      <c r="E885" s="763" t="str">
        <f>IFERROR(__xludf.DUMMYFUNCTION("""COMPUTED_VALUE"""),"Beatrice")</f>
        <v>Beatrice</v>
      </c>
      <c r="F885" s="763" t="str">
        <f>IFERROR(__xludf.DUMMYFUNCTION("""COMPUTED_VALUE"""),"De Pandis")</f>
        <v>De Pandis</v>
      </c>
      <c r="G885" s="763" t="str">
        <f>IFERROR(__xludf.DUMMYFUNCTION("""COMPUTED_VALUE"""),"beadepa@virgilio.it")</f>
        <v>beadepa@virgilio.it</v>
      </c>
      <c r="H885" s="763">
        <f>IFERROR(__xludf.DUMMYFUNCTION("""COMPUTED_VALUE"""),3.382295075E9)</f>
        <v>3382295075</v>
      </c>
      <c r="I885" s="763" t="str">
        <f>IFERROR(__xludf.DUMMYFUNCTION("""COMPUTED_VALUE"""),"Milano")</f>
        <v>Milano</v>
      </c>
      <c r="J885" s="763" t="str">
        <f>IFERROR(__xludf.DUMMYFUNCTION("""COMPUTED_VALUE"""),"Via Giulio Ceradini 3")</f>
        <v>Via Giulio Ceradini 3</v>
      </c>
      <c r="K885" s="763">
        <f>IFERROR(__xludf.DUMMYFUNCTION("""COMPUTED_VALUE"""),20129.0)</f>
        <v>20129</v>
      </c>
      <c r="L885" s="763" t="str">
        <f>IFERROR(__xludf.DUMMYFUNCTION("""COMPUTED_VALUE"""),"Carte di pagamento")</f>
        <v>Carte di pagamento</v>
      </c>
      <c r="M885" s="763"/>
      <c r="N885" s="763" t="str">
        <f>IFERROR(__xludf.DUMMYFUNCTION("""COMPUTED_VALUE"""),"67540-1769634136")</f>
        <v>67540-1769634136</v>
      </c>
      <c r="O885" s="763">
        <f>IFERROR(__xludf.DUMMYFUNCTION("""COMPUTED_VALUE"""),0.0)</f>
        <v>0</v>
      </c>
      <c r="P885" s="767">
        <f>IFERROR(__xludf.DUMMYFUNCTION("""COMPUTED_VALUE"""),1.875)</f>
        <v>1.875</v>
      </c>
      <c r="Q885" s="763" t="str">
        <f>IFERROR(__xludf.DUMMYFUNCTION("""COMPUTED_VALUE"""),"EUR")</f>
        <v>EUR</v>
      </c>
      <c r="R885" s="763">
        <f>IFERROR(__xludf.DUMMYFUNCTION("""COMPUTED_VALUE"""),1586.0)</f>
        <v>1586</v>
      </c>
      <c r="S885" s="763" t="str">
        <f>IFERROR(__xludf.DUMMYFUNCTION("""COMPUTED_VALUE"""),"Workshop Hip Hop Emanuel Lo 2026 - Workshop Emanuel Lo 22 febbraio 2026")</f>
        <v>Workshop Hip Hop Emanuel Lo 2026 - Workshop Emanuel Lo 22 febbraio 2026</v>
      </c>
      <c r="T885" s="763"/>
      <c r="U885" s="763"/>
      <c r="V885" s="763">
        <f>IFERROR(__xludf.DUMMYFUNCTION("""COMPUTED_VALUE"""),1.0)</f>
        <v>1</v>
      </c>
      <c r="W885" s="763">
        <f>IFERROR(__xludf.DUMMYFUNCTION("""COMPUTED_VALUE"""),45.0)</f>
        <v>45</v>
      </c>
      <c r="X885" s="763">
        <f>IFERROR(__xludf.DUMMYFUNCTION("""COMPUTED_VALUE"""),45.0)</f>
        <v>45</v>
      </c>
      <c r="Y885" s="763"/>
      <c r="Z885" s="768" t="str">
        <f>IFERROR(__xludf.DUMMYFUNCTION("""COMPUTED_VALUE"""),"https://studio-gem.it/wp-admin/post.php?post=67540&amp;action=edit")</f>
        <v>https://studio-gem.it/wp-admin/post.php?post=67540&amp;action=edit</v>
      </c>
      <c r="AA885" s="763"/>
      <c r="AB885" s="763"/>
      <c r="AC885" s="763"/>
      <c r="AD885" s="763"/>
      <c r="AE885" s="763"/>
      <c r="AF885" s="763"/>
      <c r="AG885" s="763"/>
      <c r="AH885" s="763"/>
      <c r="AI885" s="763"/>
      <c r="AJ885" s="763"/>
      <c r="AK885" s="763"/>
      <c r="AL885" s="763"/>
      <c r="AM885" s="763"/>
      <c r="AN885" s="763"/>
      <c r="AO885" s="763"/>
      <c r="AP885" s="763"/>
      <c r="AQ885" s="763"/>
      <c r="AR885" s="763"/>
      <c r="AS885" s="763"/>
      <c r="AT885" s="763"/>
      <c r="AU885" s="763"/>
      <c r="AV885" s="763"/>
      <c r="AW885" s="763"/>
      <c r="AX885" s="763"/>
      <c r="AY885" s="763"/>
      <c r="AZ885" s="763"/>
      <c r="BA885" s="763"/>
      <c r="BB885" s="763"/>
      <c r="BC885" s="763"/>
      <c r="BD885" s="763"/>
      <c r="BE885" s="763"/>
      <c r="BF885" s="763"/>
      <c r="BG885" s="763" t="b">
        <f>IFERROR(__xludf.DUMMYFUNCTION("""COMPUTED_VALUE"""),TRUE)</f>
        <v>1</v>
      </c>
      <c r="BH885" s="763" t="b">
        <f>IFERROR(__xludf.DUMMYFUNCTION("""COMPUTED_VALUE"""),FALSE)</f>
        <v>0</v>
      </c>
      <c r="BI885" s="763" t="b">
        <f>IFERROR(__xludf.DUMMYFUNCTION("""COMPUTED_VALUE"""),TRUE)</f>
        <v>1</v>
      </c>
      <c r="BJ885" s="763" t="b">
        <f>IFERROR(__xludf.DUMMYFUNCTION("""COMPUTED_VALUE"""),TRUE)</f>
        <v>1</v>
      </c>
    </row>
    <row r="886">
      <c r="A886" s="763">
        <f>IFERROR(__xludf.DUMMYFUNCTION("""COMPUTED_VALUE"""),67542.0)</f>
        <v>67542</v>
      </c>
      <c r="B886" s="763">
        <f>IFERROR(__xludf.DUMMYFUNCTION("""COMPUTED_VALUE"""),67542.0)</f>
        <v>67542</v>
      </c>
      <c r="C886" s="763" t="str">
        <f>IFERROR(__xludf.DUMMYFUNCTION("""COMPUTED_VALUE"""),"2026-01-29 10:09:26")</f>
        <v>2026-01-29 10:09:26</v>
      </c>
      <c r="D886" s="763" t="str">
        <f>IFERROR(__xludf.DUMMYFUNCTION("""COMPUTED_VALUE"""),"pending")</f>
        <v>pending</v>
      </c>
      <c r="E886" s="763" t="str">
        <f>IFERROR(__xludf.DUMMYFUNCTION("""COMPUTED_VALUE"""),"Caroline")</f>
        <v>Caroline</v>
      </c>
      <c r="F886" s="763" t="str">
        <f>IFERROR(__xludf.DUMMYFUNCTION("""COMPUTED_VALUE"""),"Ravasi")</f>
        <v>Ravasi</v>
      </c>
      <c r="G886" s="763" t="str">
        <f>IFERROR(__xludf.DUMMYFUNCTION("""COMPUTED_VALUE"""),"manuela.ravasi@bluewin.ch")</f>
        <v>manuela.ravasi@bluewin.ch</v>
      </c>
      <c r="H886" s="763">
        <f>IFERROR(__xludf.DUMMYFUNCTION("""COMPUTED_VALUE"""),4.17877493E10)</f>
        <v>41787749300</v>
      </c>
      <c r="I886" s="763" t="str">
        <f>IFERROR(__xludf.DUMMYFUNCTION("""COMPUTED_VALUE"""),"Genestrerio Svizzera")</f>
        <v>Genestrerio Svizzera</v>
      </c>
      <c r="J886" s="763" t="str">
        <f>IFERROR(__xludf.DUMMYFUNCTION("""COMPUTED_VALUE"""),"Via campagnola 18b")</f>
        <v>Via campagnola 18b</v>
      </c>
      <c r="K886" s="763">
        <f>IFERROR(__xludf.DUMMYFUNCTION("""COMPUTED_VALUE"""),6852.0)</f>
        <v>6852</v>
      </c>
      <c r="L886" s="763" t="str">
        <f>IFERROR(__xludf.DUMMYFUNCTION("""COMPUTED_VALUE"""),"Carte di pagamento")</f>
        <v>Carte di pagamento</v>
      </c>
      <c r="M886" s="763"/>
      <c r="N886" s="763"/>
      <c r="O886" s="763">
        <f>IFERROR(__xludf.DUMMYFUNCTION("""COMPUTED_VALUE"""),0.0)</f>
        <v>0</v>
      </c>
      <c r="P886" s="767">
        <f>IFERROR(__xludf.DUMMYFUNCTION("""COMPUTED_VALUE"""),1.5416666666666667)</f>
        <v>1.541666667</v>
      </c>
      <c r="Q886" s="763" t="str">
        <f>IFERROR(__xludf.DUMMYFUNCTION("""COMPUTED_VALUE"""),"EUR")</f>
        <v>EUR</v>
      </c>
      <c r="R886" s="763">
        <f>IFERROR(__xludf.DUMMYFUNCTION("""COMPUTED_VALUE"""),1587.0)</f>
        <v>1587</v>
      </c>
      <c r="S886" s="763" t="str">
        <f>IFERROR(__xludf.DUMMYFUNCTION("""COMPUTED_VALUE"""),"Workshop Urban Alessio Cavaliere 2026 - Workshop Alessio Cavaliere 1 febbraio 2026")</f>
        <v>Workshop Urban Alessio Cavaliere 2026 - Workshop Alessio Cavaliere 1 febbraio 2026</v>
      </c>
      <c r="T886" s="763"/>
      <c r="U886" s="763"/>
      <c r="V886" s="763">
        <f>IFERROR(__xludf.DUMMYFUNCTION("""COMPUTED_VALUE"""),1.0)</f>
        <v>1</v>
      </c>
      <c r="W886" s="763">
        <f>IFERROR(__xludf.DUMMYFUNCTION("""COMPUTED_VALUE"""),37.0)</f>
        <v>37</v>
      </c>
      <c r="X886" s="763">
        <f>IFERROR(__xludf.DUMMYFUNCTION("""COMPUTED_VALUE"""),37.0)</f>
        <v>37</v>
      </c>
      <c r="Y886" s="763"/>
      <c r="Z886" s="768" t="str">
        <f>IFERROR(__xludf.DUMMYFUNCTION("""COMPUTED_VALUE"""),"https://studio-gem.it/wp-admin/post.php?post=67542&amp;action=edit")</f>
        <v>https://studio-gem.it/wp-admin/post.php?post=67542&amp;action=edit</v>
      </c>
      <c r="AA886" s="763"/>
      <c r="AB886" s="763"/>
      <c r="AC886" s="763"/>
      <c r="AD886" s="763"/>
      <c r="AE886" s="763"/>
      <c r="AF886" s="763"/>
      <c r="AG886" s="763"/>
      <c r="AH886" s="763"/>
      <c r="AI886" s="763"/>
      <c r="AJ886" s="763"/>
      <c r="AK886" s="763"/>
      <c r="AL886" s="763"/>
      <c r="AM886" s="763"/>
      <c r="AN886" s="763"/>
      <c r="AO886" s="763"/>
      <c r="AP886" s="763"/>
      <c r="AQ886" s="763"/>
      <c r="AR886" s="763"/>
      <c r="AS886" s="763"/>
      <c r="AT886" s="763"/>
      <c r="AU886" s="763"/>
      <c r="AV886" s="763"/>
      <c r="AW886" s="763"/>
      <c r="AX886" s="763"/>
      <c r="AY886" s="763"/>
      <c r="AZ886" s="763"/>
      <c r="BA886" s="763"/>
      <c r="BB886" s="763"/>
      <c r="BC886" s="763"/>
      <c r="BD886" s="763"/>
      <c r="BE886" s="763"/>
      <c r="BF886" s="763"/>
      <c r="BG886" s="763" t="b">
        <f>IFERROR(__xludf.DUMMYFUNCTION("""COMPUTED_VALUE"""),TRUE)</f>
        <v>1</v>
      </c>
      <c r="BH886" s="763" t="b">
        <f>IFERROR(__xludf.DUMMYFUNCTION("""COMPUTED_VALUE"""),FALSE)</f>
        <v>0</v>
      </c>
      <c r="BI886" s="763" t="b">
        <f>IFERROR(__xludf.DUMMYFUNCTION("""COMPUTED_VALUE"""),TRUE)</f>
        <v>1</v>
      </c>
      <c r="BJ886" s="763" t="b">
        <f>IFERROR(__xludf.DUMMYFUNCTION("""COMPUTED_VALUE"""),TRUE)</f>
        <v>1</v>
      </c>
    </row>
    <row r="887">
      <c r="A887" s="763">
        <f>IFERROR(__xludf.DUMMYFUNCTION("""COMPUTED_VALUE"""),67544.0)</f>
        <v>67544</v>
      </c>
      <c r="B887" s="763">
        <f>IFERROR(__xludf.DUMMYFUNCTION("""COMPUTED_VALUE"""),67544.0)</f>
        <v>67544</v>
      </c>
      <c r="C887" s="763" t="str">
        <f>IFERROR(__xludf.DUMMYFUNCTION("""COMPUTED_VALUE"""),"2026-01-29 13:36:29")</f>
        <v>2026-01-29 13:36:29</v>
      </c>
      <c r="D887" s="763" t="str">
        <f>IFERROR(__xludf.DUMMYFUNCTION("""COMPUTED_VALUE"""),"completed")</f>
        <v>completed</v>
      </c>
      <c r="E887" s="763" t="str">
        <f>IFERROR(__xludf.DUMMYFUNCTION("""COMPUTED_VALUE"""),"nora")</f>
        <v>nora</v>
      </c>
      <c r="F887" s="763" t="str">
        <f>IFERROR(__xludf.DUMMYFUNCTION("""COMPUTED_VALUE"""),"macchiarulo")</f>
        <v>macchiarulo</v>
      </c>
      <c r="G887" s="763" t="str">
        <f>IFERROR(__xludf.DUMMYFUNCTION("""COMPUTED_VALUE"""),"epapa60@gmail.com")</f>
        <v>epapa60@gmail.com</v>
      </c>
      <c r="H887" s="763">
        <f>IFERROR(__xludf.DUMMYFUNCTION("""COMPUTED_VALUE"""),3.446218084E9)</f>
        <v>3446218084</v>
      </c>
      <c r="I887" s="763" t="str">
        <f>IFERROR(__xludf.DUMMYFUNCTION("""COMPUTED_VALUE"""),"Milano")</f>
        <v>Milano</v>
      </c>
      <c r="J887" s="763" t="str">
        <f>IFERROR(__xludf.DUMMYFUNCTION("""COMPUTED_VALUE"""),"piazza grandi 15")</f>
        <v>piazza grandi 15</v>
      </c>
      <c r="K887" s="763">
        <f>IFERROR(__xludf.DUMMYFUNCTION("""COMPUTED_VALUE"""),20129.0)</f>
        <v>20129</v>
      </c>
      <c r="L887" s="763" t="str">
        <f>IFERROR(__xludf.DUMMYFUNCTION("""COMPUTED_VALUE"""),"Carte di pagamento")</f>
        <v>Carte di pagamento</v>
      </c>
      <c r="M887" s="763" t="str">
        <f>IFERROR(__xludf.DUMMYFUNCTION("""COMPUTED_VALUE"""),"joel05campus")</f>
        <v>joel05campus</v>
      </c>
      <c r="N887" s="763" t="str">
        <f>IFERROR(__xludf.DUMMYFUNCTION("""COMPUTED_VALUE"""),"67544-1769693791")</f>
        <v>67544-1769693791</v>
      </c>
      <c r="O887" s="763">
        <f>IFERROR(__xludf.DUMMYFUNCTION("""COMPUTED_VALUE"""),0.0)</f>
        <v>0</v>
      </c>
      <c r="P887" s="767">
        <f>IFERROR(__xludf.DUMMYFUNCTION("""COMPUTED_VALUE"""),5.791666666666667)</f>
        <v>5.791666667</v>
      </c>
      <c r="Q887" s="763" t="str">
        <f>IFERROR(__xludf.DUMMYFUNCTION("""COMPUTED_VALUE"""),"EUR")</f>
        <v>EUR</v>
      </c>
      <c r="R887" s="763">
        <f>IFERROR(__xludf.DUMMYFUNCTION("""COMPUTED_VALUE"""),1588.0)</f>
        <v>1588</v>
      </c>
      <c r="S887" s="763" t="str">
        <f>IFERROR(__xludf.DUMMYFUNCTION("""COMPUTED_VALUE"""),"Campus estivo 2026 - Campus estivo 2 settimane")</f>
        <v>Campus estivo 2026 - Campus estivo 2 settimane</v>
      </c>
      <c r="T887" s="763"/>
      <c r="U887" s="763"/>
      <c r="V887" s="763">
        <f>IFERROR(__xludf.DUMMYFUNCTION("""COMPUTED_VALUE"""),1.0)</f>
        <v>1</v>
      </c>
      <c r="W887" s="763">
        <f>IFERROR(__xludf.DUMMYFUNCTION("""COMPUTED_VALUE"""),139.0)</f>
        <v>139</v>
      </c>
      <c r="X887" s="763">
        <f>IFERROR(__xludf.DUMMYFUNCTION("""COMPUTED_VALUE"""),139.0)</f>
        <v>139</v>
      </c>
      <c r="Y887" s="763"/>
      <c r="Z887" s="768" t="str">
        <f>IFERROR(__xludf.DUMMYFUNCTION("""COMPUTED_VALUE"""),"https://studio-gem.it/wp-admin/post.php?post=67544&amp;action=edit")</f>
        <v>https://studio-gem.it/wp-admin/post.php?post=67544&amp;action=edit</v>
      </c>
      <c r="AA887" s="763"/>
      <c r="AB887" s="763"/>
      <c r="AC887" s="763"/>
      <c r="AD887" s="763"/>
      <c r="AE887" s="763"/>
      <c r="AF887" s="763"/>
      <c r="AG887" s="763"/>
      <c r="AH887" s="763"/>
      <c r="AI887" s="763"/>
      <c r="AJ887" s="763"/>
      <c r="AK887" s="763"/>
      <c r="AL887" s="763"/>
      <c r="AM887" s="763"/>
      <c r="AN887" s="763"/>
      <c r="AO887" s="763"/>
      <c r="AP887" s="763"/>
      <c r="AQ887" s="763"/>
      <c r="AR887" s="763"/>
      <c r="AS887" s="763"/>
      <c r="AT887" s="763"/>
      <c r="AU887" s="763"/>
      <c r="AV887" s="763"/>
      <c r="AW887" s="763"/>
      <c r="AX887" s="763"/>
      <c r="AY887" s="763"/>
      <c r="AZ887" s="763"/>
      <c r="BA887" s="763"/>
      <c r="BB887" s="763"/>
      <c r="BC887" s="763"/>
      <c r="BD887" s="763"/>
      <c r="BE887" s="763"/>
      <c r="BF887" s="763"/>
      <c r="BG887" s="763" t="b">
        <f>IFERROR(__xludf.DUMMYFUNCTION("""COMPUTED_VALUE"""),TRUE)</f>
        <v>1</v>
      </c>
      <c r="BH887" s="763" t="b">
        <f>IFERROR(__xludf.DUMMYFUNCTION("""COMPUTED_VALUE"""),FALSE)</f>
        <v>0</v>
      </c>
      <c r="BI887" s="763" t="b">
        <f>IFERROR(__xludf.DUMMYFUNCTION("""COMPUTED_VALUE"""),TRUE)</f>
        <v>1</v>
      </c>
      <c r="BJ887" s="763" t="b">
        <f>IFERROR(__xludf.DUMMYFUNCTION("""COMPUTED_VALUE"""),TRUE)</f>
        <v>1</v>
      </c>
    </row>
    <row r="888">
      <c r="A888" s="763">
        <f>IFERROR(__xludf.DUMMYFUNCTION("""COMPUTED_VALUE"""),67546.0)</f>
        <v>67546</v>
      </c>
      <c r="B888" s="763">
        <f>IFERROR(__xludf.DUMMYFUNCTION("""COMPUTED_VALUE"""),67546.0)</f>
        <v>67546</v>
      </c>
      <c r="C888" s="763" t="str">
        <f>IFERROR(__xludf.DUMMYFUNCTION("""COMPUTED_VALUE"""),"2026-01-29 13:39:46")</f>
        <v>2026-01-29 13:39:46</v>
      </c>
      <c r="D888" s="763" t="str">
        <f>IFERROR(__xludf.DUMMYFUNCTION("""COMPUTED_VALUE"""),"processing")</f>
        <v>processing</v>
      </c>
      <c r="E888" s="763" t="str">
        <f>IFERROR(__xludf.DUMMYFUNCTION("""COMPUTED_VALUE"""),"viola sarah")</f>
        <v>viola sarah</v>
      </c>
      <c r="F888" s="763" t="str">
        <f>IFERROR(__xludf.DUMMYFUNCTION("""COMPUTED_VALUE"""),"macchiarulo")</f>
        <v>macchiarulo</v>
      </c>
      <c r="G888" s="763" t="str">
        <f>IFERROR(__xludf.DUMMYFUNCTION("""COMPUTED_VALUE"""),"epapa60@gmail.com")</f>
        <v>epapa60@gmail.com</v>
      </c>
      <c r="H888" s="763">
        <f>IFERROR(__xludf.DUMMYFUNCTION("""COMPUTED_VALUE"""),3.446218084E9)</f>
        <v>3446218084</v>
      </c>
      <c r="I888" s="763" t="str">
        <f>IFERROR(__xludf.DUMMYFUNCTION("""COMPUTED_VALUE"""),"Milano")</f>
        <v>Milano</v>
      </c>
      <c r="J888" s="763" t="str">
        <f>IFERROR(__xludf.DUMMYFUNCTION("""COMPUTED_VALUE"""),"piazza grandi 15")</f>
        <v>piazza grandi 15</v>
      </c>
      <c r="K888" s="763">
        <f>IFERROR(__xludf.DUMMYFUNCTION("""COMPUTED_VALUE"""),20129.0)</f>
        <v>20129</v>
      </c>
      <c r="L888" s="763" t="str">
        <f>IFERROR(__xludf.DUMMYFUNCTION("""COMPUTED_VALUE"""),"Carte di pagamento")</f>
        <v>Carte di pagamento</v>
      </c>
      <c r="M888" s="763" t="str">
        <f>IFERROR(__xludf.DUMMYFUNCTION("""COMPUTED_VALUE"""),"joel05campus")</f>
        <v>joel05campus</v>
      </c>
      <c r="N888" s="763" t="str">
        <f>IFERROR(__xludf.DUMMYFUNCTION("""COMPUTED_VALUE"""),"67546-1769693987")</f>
        <v>67546-1769693987</v>
      </c>
      <c r="O888" s="763">
        <f>IFERROR(__xludf.DUMMYFUNCTION("""COMPUTED_VALUE"""),0.0)</f>
        <v>0</v>
      </c>
      <c r="P888" s="767">
        <f>IFERROR(__xludf.DUMMYFUNCTION("""COMPUTED_VALUE"""),5.791666666666667)</f>
        <v>5.791666667</v>
      </c>
      <c r="Q888" s="763" t="str">
        <f>IFERROR(__xludf.DUMMYFUNCTION("""COMPUTED_VALUE"""),"EUR")</f>
        <v>EUR</v>
      </c>
      <c r="R888" s="763">
        <f>IFERROR(__xludf.DUMMYFUNCTION("""COMPUTED_VALUE"""),1590.0)</f>
        <v>1590</v>
      </c>
      <c r="S888" s="763" t="str">
        <f>IFERROR(__xludf.DUMMYFUNCTION("""COMPUTED_VALUE"""),"Campus estivo 2026 - Campus estivo 2 settimane")</f>
        <v>Campus estivo 2026 - Campus estivo 2 settimane</v>
      </c>
      <c r="T888" s="763"/>
      <c r="U888" s="763"/>
      <c r="V888" s="763">
        <f>IFERROR(__xludf.DUMMYFUNCTION("""COMPUTED_VALUE"""),1.0)</f>
        <v>1</v>
      </c>
      <c r="W888" s="763">
        <f>IFERROR(__xludf.DUMMYFUNCTION("""COMPUTED_VALUE"""),139.0)</f>
        <v>139</v>
      </c>
      <c r="X888" s="763">
        <f>IFERROR(__xludf.DUMMYFUNCTION("""COMPUTED_VALUE"""),139.0)</f>
        <v>139</v>
      </c>
      <c r="Y888" s="763"/>
      <c r="Z888" s="768" t="str">
        <f>IFERROR(__xludf.DUMMYFUNCTION("""COMPUTED_VALUE"""),"https://studio-gem.it/wp-admin/post.php?post=67546&amp;action=edit")</f>
        <v>https://studio-gem.it/wp-admin/post.php?post=67546&amp;action=edit</v>
      </c>
      <c r="AA888" s="763"/>
      <c r="AB888" s="763"/>
      <c r="AC888" s="763"/>
      <c r="AD888" s="763"/>
      <c r="AE888" s="763"/>
      <c r="AF888" s="763"/>
      <c r="AG888" s="763"/>
      <c r="AH888" s="763"/>
      <c r="AI888" s="763"/>
      <c r="AJ888" s="763"/>
      <c r="AK888" s="763"/>
      <c r="AL888" s="763"/>
      <c r="AM888" s="763"/>
      <c r="AN888" s="763"/>
      <c r="AO888" s="763"/>
      <c r="AP888" s="763"/>
      <c r="AQ888" s="763"/>
      <c r="AR888" s="763"/>
      <c r="AS888" s="763"/>
      <c r="AT888" s="763"/>
      <c r="AU888" s="763"/>
      <c r="AV888" s="763"/>
      <c r="AW888" s="763"/>
      <c r="AX888" s="763"/>
      <c r="AY888" s="763"/>
      <c r="AZ888" s="763"/>
      <c r="BA888" s="763"/>
      <c r="BB888" s="763"/>
      <c r="BC888" s="763"/>
      <c r="BD888" s="763"/>
      <c r="BE888" s="763"/>
      <c r="BF888" s="763"/>
      <c r="BG888" s="763" t="b">
        <f>IFERROR(__xludf.DUMMYFUNCTION("""COMPUTED_VALUE"""),TRUE)</f>
        <v>1</v>
      </c>
      <c r="BH888" s="763" t="b">
        <f>IFERROR(__xludf.DUMMYFUNCTION("""COMPUTED_VALUE"""),FALSE)</f>
        <v>0</v>
      </c>
      <c r="BI888" s="763" t="b">
        <f>IFERROR(__xludf.DUMMYFUNCTION("""COMPUTED_VALUE"""),TRUE)</f>
        <v>1</v>
      </c>
      <c r="BJ888" s="763" t="b">
        <f>IFERROR(__xludf.DUMMYFUNCTION("""COMPUTED_VALUE"""),TRUE)</f>
        <v>1</v>
      </c>
    </row>
    <row r="889">
      <c r="A889" s="763">
        <f>IFERROR(__xludf.DUMMYFUNCTION("""COMPUTED_VALUE"""),67573.0)</f>
        <v>67573</v>
      </c>
      <c r="B889" s="763">
        <f>IFERROR(__xludf.DUMMYFUNCTION("""COMPUTED_VALUE"""),67573.0)</f>
        <v>67573</v>
      </c>
      <c r="C889" s="763" t="str">
        <f>IFERROR(__xludf.DUMMYFUNCTION("""COMPUTED_VALUE"""),"2026-01-30 09:05:41")</f>
        <v>2026-01-30 09:05:41</v>
      </c>
      <c r="D889" s="763" t="str">
        <f>IFERROR(__xludf.DUMMYFUNCTION("""COMPUTED_VALUE"""),"completed")</f>
        <v>completed</v>
      </c>
      <c r="E889" s="763" t="str">
        <f>IFERROR(__xludf.DUMMYFUNCTION("""COMPUTED_VALUE"""),"Luigi")</f>
        <v>Luigi</v>
      </c>
      <c r="F889" s="763" t="str">
        <f>IFERROR(__xludf.DUMMYFUNCTION("""COMPUTED_VALUE"""),"Neri")</f>
        <v>Neri</v>
      </c>
      <c r="G889" s="763" t="str">
        <f>IFERROR(__xludf.DUMMYFUNCTION("""COMPUTED_VALUE"""),"Luigi.neri.67@gmail.com")</f>
        <v>Luigi.neri.67@gmail.com</v>
      </c>
      <c r="H889" s="763">
        <f>IFERROR(__xludf.DUMMYFUNCTION("""COMPUTED_VALUE"""),3.358072949E9)</f>
        <v>3358072949</v>
      </c>
      <c r="I889" s="763" t="str">
        <f>IFERROR(__xludf.DUMMYFUNCTION("""COMPUTED_VALUE"""),"Milano")</f>
        <v>Milano</v>
      </c>
      <c r="J889" s="763" t="str">
        <f>IFERROR(__xludf.DUMMYFUNCTION("""COMPUTED_VALUE"""),"Piazza del Rosario")</f>
        <v>Piazza del Rosario</v>
      </c>
      <c r="K889" s="763">
        <f>IFERROR(__xludf.DUMMYFUNCTION("""COMPUTED_VALUE"""),20144.0)</f>
        <v>20144</v>
      </c>
      <c r="L889" s="763"/>
      <c r="M889" s="763"/>
      <c r="N889" s="763"/>
      <c r="O889" s="763">
        <f>IFERROR(__xludf.DUMMYFUNCTION("""COMPUTED_VALUE"""),0.0)</f>
        <v>0</v>
      </c>
      <c r="P889" s="767">
        <f>IFERROR(__xludf.DUMMYFUNCTION("""COMPUTED_VALUE"""),0.0)</f>
        <v>0</v>
      </c>
      <c r="Q889" s="763" t="str">
        <f>IFERROR(__xludf.DUMMYFUNCTION("""COMPUTED_VALUE"""),"EUR")</f>
        <v>EUR</v>
      </c>
      <c r="R889" s="763">
        <f>IFERROR(__xludf.DUMMYFUNCTION("""COMPUTED_VALUE"""),1592.0)</f>
        <v>1592</v>
      </c>
      <c r="S889" s="763" t="str">
        <f>IFERROR(__xludf.DUMMYFUNCTION("""COMPUTED_VALUE"""),"Domeniche in movimento - Gratuito per open fitness e open mattino 1 lezione dalle 10 alle 10.50")</f>
        <v>Domeniche in movimento - Gratuito per open fitness e open mattino 1 lezione dalle 10 alle 10.50</v>
      </c>
      <c r="T889" s="763"/>
      <c r="U889" s="763"/>
      <c r="V889" s="763">
        <f>IFERROR(__xludf.DUMMYFUNCTION("""COMPUTED_VALUE"""),1.0)</f>
        <v>1</v>
      </c>
      <c r="W889" s="763">
        <f>IFERROR(__xludf.DUMMYFUNCTION("""COMPUTED_VALUE"""),0.0)</f>
        <v>0</v>
      </c>
      <c r="X889" s="763">
        <f>IFERROR(__xludf.DUMMYFUNCTION("""COMPUTED_VALUE"""),0.0)</f>
        <v>0</v>
      </c>
      <c r="Y889" s="763"/>
      <c r="Z889" s="768" t="str">
        <f>IFERROR(__xludf.DUMMYFUNCTION("""COMPUTED_VALUE"""),"https://studio-gem.it/wp-admin/post.php?post=67573&amp;action=edit")</f>
        <v>https://studio-gem.it/wp-admin/post.php?post=67573&amp;action=edit</v>
      </c>
      <c r="AA889" s="763"/>
      <c r="AB889" s="763"/>
      <c r="AC889" s="763"/>
      <c r="AD889" s="763"/>
      <c r="AE889" s="763"/>
      <c r="AF889" s="763"/>
      <c r="AG889" s="763"/>
      <c r="AH889" s="763"/>
      <c r="AI889" s="763"/>
      <c r="AJ889" s="763"/>
      <c r="AK889" s="763"/>
      <c r="AL889" s="763"/>
      <c r="AM889" s="763"/>
      <c r="AN889" s="763"/>
      <c r="AO889" s="763"/>
      <c r="AP889" s="763"/>
      <c r="AQ889" s="763"/>
      <c r="AR889" s="763"/>
      <c r="AS889" s="763"/>
      <c r="AT889" s="763"/>
      <c r="AU889" s="763"/>
      <c r="AV889" s="763"/>
      <c r="AW889" s="763"/>
      <c r="AX889" s="763"/>
      <c r="AY889" s="763"/>
      <c r="AZ889" s="763"/>
      <c r="BA889" s="763"/>
      <c r="BB889" s="763"/>
      <c r="BC889" s="763"/>
      <c r="BD889" s="763"/>
      <c r="BE889" s="763"/>
      <c r="BF889" s="763"/>
      <c r="BG889" s="763" t="b">
        <f>IFERROR(__xludf.DUMMYFUNCTION("""COMPUTED_VALUE"""),TRUE)</f>
        <v>1</v>
      </c>
      <c r="BH889" s="763" t="b">
        <f>IFERROR(__xludf.DUMMYFUNCTION("""COMPUTED_VALUE"""),FALSE)</f>
        <v>0</v>
      </c>
      <c r="BI889" s="763" t="b">
        <f>IFERROR(__xludf.DUMMYFUNCTION("""COMPUTED_VALUE"""),TRUE)</f>
        <v>1</v>
      </c>
      <c r="BJ889" s="763" t="b">
        <f>IFERROR(__xludf.DUMMYFUNCTION("""COMPUTED_VALUE"""),FALSE)</f>
        <v>0</v>
      </c>
    </row>
    <row r="890">
      <c r="A890" s="763">
        <f>IFERROR(__xludf.DUMMYFUNCTION("""COMPUTED_VALUE"""),67573.0)</f>
        <v>67573</v>
      </c>
      <c r="B890" s="763">
        <f>IFERROR(__xludf.DUMMYFUNCTION("""COMPUTED_VALUE"""),67573.0)</f>
        <v>67573</v>
      </c>
      <c r="C890" s="763" t="str">
        <f>IFERROR(__xludf.DUMMYFUNCTION("""COMPUTED_VALUE"""),"2026-01-30 09:05:41")</f>
        <v>2026-01-30 09:05:41</v>
      </c>
      <c r="D890" s="763" t="str">
        <f>IFERROR(__xludf.DUMMYFUNCTION("""COMPUTED_VALUE"""),"completed")</f>
        <v>completed</v>
      </c>
      <c r="E890" s="763" t="str">
        <f>IFERROR(__xludf.DUMMYFUNCTION("""COMPUTED_VALUE"""),"Luigi")</f>
        <v>Luigi</v>
      </c>
      <c r="F890" s="763" t="str">
        <f>IFERROR(__xludf.DUMMYFUNCTION("""COMPUTED_VALUE"""),"Neri")</f>
        <v>Neri</v>
      </c>
      <c r="G890" s="763" t="str">
        <f>IFERROR(__xludf.DUMMYFUNCTION("""COMPUTED_VALUE"""),"Luigi.neri.67@gmail.com")</f>
        <v>Luigi.neri.67@gmail.com</v>
      </c>
      <c r="H890" s="763">
        <f>IFERROR(__xludf.DUMMYFUNCTION("""COMPUTED_VALUE"""),3.358072949E9)</f>
        <v>3358072949</v>
      </c>
      <c r="I890" s="763" t="str">
        <f>IFERROR(__xludf.DUMMYFUNCTION("""COMPUTED_VALUE"""),"Milano")</f>
        <v>Milano</v>
      </c>
      <c r="J890" s="763" t="str">
        <f>IFERROR(__xludf.DUMMYFUNCTION("""COMPUTED_VALUE"""),"Piazza del Rosario")</f>
        <v>Piazza del Rosario</v>
      </c>
      <c r="K890" s="763">
        <f>IFERROR(__xludf.DUMMYFUNCTION("""COMPUTED_VALUE"""),20144.0)</f>
        <v>20144</v>
      </c>
      <c r="L890" s="763"/>
      <c r="M890" s="763"/>
      <c r="N890" s="763"/>
      <c r="O890" s="763">
        <f>IFERROR(__xludf.DUMMYFUNCTION("""COMPUTED_VALUE"""),0.0)</f>
        <v>0</v>
      </c>
      <c r="P890" s="767">
        <f>IFERROR(__xludf.DUMMYFUNCTION("""COMPUTED_VALUE"""),0.0)</f>
        <v>0</v>
      </c>
      <c r="Q890" s="763" t="str">
        <f>IFERROR(__xludf.DUMMYFUNCTION("""COMPUTED_VALUE"""),"EUR")</f>
        <v>EUR</v>
      </c>
      <c r="R890" s="763">
        <f>IFERROR(__xludf.DUMMYFUNCTION("""COMPUTED_VALUE"""),1593.0)</f>
        <v>1593</v>
      </c>
      <c r="S890" s="763" t="str">
        <f>IFERROR(__xludf.DUMMYFUNCTION("""COMPUTED_VALUE"""),"Domeniche in movimento - Gratuito per open fitness e open mattino 1 lezione dalle 11 alle 11.50")</f>
        <v>Domeniche in movimento - Gratuito per open fitness e open mattino 1 lezione dalle 11 alle 11.50</v>
      </c>
      <c r="T890" s="763"/>
      <c r="U890" s="763"/>
      <c r="V890" s="763">
        <f>IFERROR(__xludf.DUMMYFUNCTION("""COMPUTED_VALUE"""),1.0)</f>
        <v>1</v>
      </c>
      <c r="W890" s="763">
        <f>IFERROR(__xludf.DUMMYFUNCTION("""COMPUTED_VALUE"""),0.0)</f>
        <v>0</v>
      </c>
      <c r="X890" s="763">
        <f>IFERROR(__xludf.DUMMYFUNCTION("""COMPUTED_VALUE"""),0.0)</f>
        <v>0</v>
      </c>
      <c r="Y890" s="763"/>
      <c r="Z890" s="768" t="str">
        <f>IFERROR(__xludf.DUMMYFUNCTION("""COMPUTED_VALUE"""),"https://studio-gem.it/wp-admin/post.php?post=67573&amp;action=edit")</f>
        <v>https://studio-gem.it/wp-admin/post.php?post=67573&amp;action=edit</v>
      </c>
      <c r="AA890" s="763"/>
      <c r="AB890" s="763"/>
      <c r="AC890" s="763"/>
      <c r="AD890" s="763"/>
      <c r="AE890" s="763"/>
      <c r="AF890" s="763"/>
      <c r="AG890" s="763"/>
      <c r="AH890" s="763"/>
      <c r="AI890" s="763"/>
      <c r="AJ890" s="763"/>
      <c r="AK890" s="763"/>
      <c r="AL890" s="763"/>
      <c r="AM890" s="763"/>
      <c r="AN890" s="763"/>
      <c r="AO890" s="763"/>
      <c r="AP890" s="763"/>
      <c r="AQ890" s="763"/>
      <c r="AR890" s="763"/>
      <c r="AS890" s="763"/>
      <c r="AT890" s="763"/>
      <c r="AU890" s="763"/>
      <c r="AV890" s="763"/>
      <c r="AW890" s="763"/>
      <c r="AX890" s="763"/>
      <c r="AY890" s="763"/>
      <c r="AZ890" s="763"/>
      <c r="BA890" s="763"/>
      <c r="BB890" s="763"/>
      <c r="BC890" s="763"/>
      <c r="BD890" s="763"/>
      <c r="BE890" s="763"/>
      <c r="BF890" s="763"/>
      <c r="BG890" s="763" t="b">
        <f>IFERROR(__xludf.DUMMYFUNCTION("""COMPUTED_VALUE"""),TRUE)</f>
        <v>1</v>
      </c>
      <c r="BH890" s="763" t="b">
        <f>IFERROR(__xludf.DUMMYFUNCTION("""COMPUTED_VALUE"""),FALSE)</f>
        <v>0</v>
      </c>
      <c r="BI890" s="763" t="b">
        <f>IFERROR(__xludf.DUMMYFUNCTION("""COMPUTED_VALUE"""),TRUE)</f>
        <v>1</v>
      </c>
      <c r="BJ890" s="763" t="b">
        <f>IFERROR(__xludf.DUMMYFUNCTION("""COMPUTED_VALUE"""),FALSE)</f>
        <v>0</v>
      </c>
    </row>
    <row r="891">
      <c r="A891" s="763">
        <f>IFERROR(__xludf.DUMMYFUNCTION("""COMPUTED_VALUE"""),67581.0)</f>
        <v>67581</v>
      </c>
      <c r="B891" s="763">
        <f>IFERROR(__xludf.DUMMYFUNCTION("""COMPUTED_VALUE"""),67581.0)</f>
        <v>67581</v>
      </c>
      <c r="C891" s="763" t="str">
        <f>IFERROR(__xludf.DUMMYFUNCTION("""COMPUTED_VALUE"""),"2026-01-30 10:36:38")</f>
        <v>2026-01-30 10:36:38</v>
      </c>
      <c r="D891" s="763" t="str">
        <f>IFERROR(__xludf.DUMMYFUNCTION("""COMPUTED_VALUE"""),"completed")</f>
        <v>completed</v>
      </c>
      <c r="E891" s="763" t="str">
        <f>IFERROR(__xludf.DUMMYFUNCTION("""COMPUTED_VALUE"""),"Cristina")</f>
        <v>Cristina</v>
      </c>
      <c r="F891" s="763" t="str">
        <f>IFERROR(__xludf.DUMMYFUNCTION("""COMPUTED_VALUE"""),"Bazzaro")</f>
        <v>Bazzaro</v>
      </c>
      <c r="G891" s="763" t="str">
        <f>IFERROR(__xludf.DUMMYFUNCTION("""COMPUTED_VALUE"""),"Cribazar@yahoo.com")</f>
        <v>Cribazar@yahoo.com</v>
      </c>
      <c r="H891" s="763">
        <f>IFERROR(__xludf.DUMMYFUNCTION("""COMPUTED_VALUE"""),3.346236628E9)</f>
        <v>3346236628</v>
      </c>
      <c r="I891" s="763" t="str">
        <f>IFERROR(__xludf.DUMMYFUNCTION("""COMPUTED_VALUE"""),"Milano")</f>
        <v>Milano</v>
      </c>
      <c r="J891" s="763" t="str">
        <f>IFERROR(__xludf.DUMMYFUNCTION("""COMPUTED_VALUE"""),"Piazza del Rosario")</f>
        <v>Piazza del Rosario</v>
      </c>
      <c r="K891" s="763">
        <f>IFERROR(__xludf.DUMMYFUNCTION("""COMPUTED_VALUE"""),20144.0)</f>
        <v>20144</v>
      </c>
      <c r="L891" s="763"/>
      <c r="M891" s="763"/>
      <c r="N891" s="763"/>
      <c r="O891" s="763">
        <f>IFERROR(__xludf.DUMMYFUNCTION("""COMPUTED_VALUE"""),0.0)</f>
        <v>0</v>
      </c>
      <c r="P891" s="767">
        <f>IFERROR(__xludf.DUMMYFUNCTION("""COMPUTED_VALUE"""),0.0)</f>
        <v>0</v>
      </c>
      <c r="Q891" s="763" t="str">
        <f>IFERROR(__xludf.DUMMYFUNCTION("""COMPUTED_VALUE"""),"EUR")</f>
        <v>EUR</v>
      </c>
      <c r="R891" s="763">
        <f>IFERROR(__xludf.DUMMYFUNCTION("""COMPUTED_VALUE"""),1594.0)</f>
        <v>1594</v>
      </c>
      <c r="S891" s="763" t="str">
        <f>IFERROR(__xludf.DUMMYFUNCTION("""COMPUTED_VALUE"""),"Domeniche in movimento - Gratuito per open fitness e open mattino 1 lezione dalle 10 alle 10.50")</f>
        <v>Domeniche in movimento - Gratuito per open fitness e open mattino 1 lezione dalle 10 alle 10.50</v>
      </c>
      <c r="T891" s="763"/>
      <c r="U891" s="763"/>
      <c r="V891" s="763">
        <f>IFERROR(__xludf.DUMMYFUNCTION("""COMPUTED_VALUE"""),1.0)</f>
        <v>1</v>
      </c>
      <c r="W891" s="763">
        <f>IFERROR(__xludf.DUMMYFUNCTION("""COMPUTED_VALUE"""),0.0)</f>
        <v>0</v>
      </c>
      <c r="X891" s="763">
        <f>IFERROR(__xludf.DUMMYFUNCTION("""COMPUTED_VALUE"""),0.0)</f>
        <v>0</v>
      </c>
      <c r="Y891" s="763"/>
      <c r="Z891" s="768" t="str">
        <f>IFERROR(__xludf.DUMMYFUNCTION("""COMPUTED_VALUE"""),"https://studio-gem.it/wp-admin/post.php?post=67581&amp;action=edit")</f>
        <v>https://studio-gem.it/wp-admin/post.php?post=67581&amp;action=edit</v>
      </c>
      <c r="AA891" s="763"/>
      <c r="AB891" s="763"/>
      <c r="AC891" s="763"/>
      <c r="AD891" s="763"/>
      <c r="AE891" s="763"/>
      <c r="AF891" s="763"/>
      <c r="AG891" s="763"/>
      <c r="AH891" s="763"/>
      <c r="AI891" s="763"/>
      <c r="AJ891" s="763"/>
      <c r="AK891" s="763"/>
      <c r="AL891" s="763"/>
      <c r="AM891" s="763"/>
      <c r="AN891" s="763"/>
      <c r="AO891" s="763"/>
      <c r="AP891" s="763"/>
      <c r="AQ891" s="763"/>
      <c r="AR891" s="763"/>
      <c r="AS891" s="763"/>
      <c r="AT891" s="763"/>
      <c r="AU891" s="763"/>
      <c r="AV891" s="763"/>
      <c r="AW891" s="763"/>
      <c r="AX891" s="763"/>
      <c r="AY891" s="763"/>
      <c r="AZ891" s="763"/>
      <c r="BA891" s="763"/>
      <c r="BB891" s="763"/>
      <c r="BC891" s="763"/>
      <c r="BD891" s="763"/>
      <c r="BE891" s="763"/>
      <c r="BF891" s="763"/>
      <c r="BG891" s="763" t="b">
        <f>IFERROR(__xludf.DUMMYFUNCTION("""COMPUTED_VALUE"""),TRUE)</f>
        <v>1</v>
      </c>
      <c r="BH891" s="763" t="b">
        <f>IFERROR(__xludf.DUMMYFUNCTION("""COMPUTED_VALUE"""),FALSE)</f>
        <v>0</v>
      </c>
      <c r="BI891" s="763" t="b">
        <f>IFERROR(__xludf.DUMMYFUNCTION("""COMPUTED_VALUE"""),TRUE)</f>
        <v>1</v>
      </c>
      <c r="BJ891" s="763" t="b">
        <f>IFERROR(__xludf.DUMMYFUNCTION("""COMPUTED_VALUE"""),FALSE)</f>
        <v>0</v>
      </c>
    </row>
    <row r="892">
      <c r="A892" s="763">
        <f>IFERROR(__xludf.DUMMYFUNCTION("""COMPUTED_VALUE"""),67581.0)</f>
        <v>67581</v>
      </c>
      <c r="B892" s="763">
        <f>IFERROR(__xludf.DUMMYFUNCTION("""COMPUTED_VALUE"""),67581.0)</f>
        <v>67581</v>
      </c>
      <c r="C892" s="763" t="str">
        <f>IFERROR(__xludf.DUMMYFUNCTION("""COMPUTED_VALUE"""),"2026-01-30 10:36:38")</f>
        <v>2026-01-30 10:36:38</v>
      </c>
      <c r="D892" s="763" t="str">
        <f>IFERROR(__xludf.DUMMYFUNCTION("""COMPUTED_VALUE"""),"completed")</f>
        <v>completed</v>
      </c>
      <c r="E892" s="763" t="str">
        <f>IFERROR(__xludf.DUMMYFUNCTION("""COMPUTED_VALUE"""),"Cristina")</f>
        <v>Cristina</v>
      </c>
      <c r="F892" s="763" t="str">
        <f>IFERROR(__xludf.DUMMYFUNCTION("""COMPUTED_VALUE"""),"Bazzaro")</f>
        <v>Bazzaro</v>
      </c>
      <c r="G892" s="763" t="str">
        <f>IFERROR(__xludf.DUMMYFUNCTION("""COMPUTED_VALUE"""),"Cribazar@yahoo.com")</f>
        <v>Cribazar@yahoo.com</v>
      </c>
      <c r="H892" s="763">
        <f>IFERROR(__xludf.DUMMYFUNCTION("""COMPUTED_VALUE"""),3.346236628E9)</f>
        <v>3346236628</v>
      </c>
      <c r="I892" s="763" t="str">
        <f>IFERROR(__xludf.DUMMYFUNCTION("""COMPUTED_VALUE"""),"Milano")</f>
        <v>Milano</v>
      </c>
      <c r="J892" s="763" t="str">
        <f>IFERROR(__xludf.DUMMYFUNCTION("""COMPUTED_VALUE"""),"Piazza del Rosario")</f>
        <v>Piazza del Rosario</v>
      </c>
      <c r="K892" s="763">
        <f>IFERROR(__xludf.DUMMYFUNCTION("""COMPUTED_VALUE"""),20144.0)</f>
        <v>20144</v>
      </c>
      <c r="L892" s="763"/>
      <c r="M892" s="763"/>
      <c r="N892" s="763"/>
      <c r="O892" s="763">
        <f>IFERROR(__xludf.DUMMYFUNCTION("""COMPUTED_VALUE"""),0.0)</f>
        <v>0</v>
      </c>
      <c r="P892" s="767">
        <f>IFERROR(__xludf.DUMMYFUNCTION("""COMPUTED_VALUE"""),0.0)</f>
        <v>0</v>
      </c>
      <c r="Q892" s="763" t="str">
        <f>IFERROR(__xludf.DUMMYFUNCTION("""COMPUTED_VALUE"""),"EUR")</f>
        <v>EUR</v>
      </c>
      <c r="R892" s="763">
        <f>IFERROR(__xludf.DUMMYFUNCTION("""COMPUTED_VALUE"""),1595.0)</f>
        <v>1595</v>
      </c>
      <c r="S892" s="763" t="str">
        <f>IFERROR(__xludf.DUMMYFUNCTION("""COMPUTED_VALUE"""),"Domeniche in movimento - Gratuito per open fitness e open mattino 1 lezione dalle 11 alle 11.50")</f>
        <v>Domeniche in movimento - Gratuito per open fitness e open mattino 1 lezione dalle 11 alle 11.50</v>
      </c>
      <c r="T892" s="763"/>
      <c r="U892" s="763"/>
      <c r="V892" s="763">
        <f>IFERROR(__xludf.DUMMYFUNCTION("""COMPUTED_VALUE"""),1.0)</f>
        <v>1</v>
      </c>
      <c r="W892" s="763">
        <f>IFERROR(__xludf.DUMMYFUNCTION("""COMPUTED_VALUE"""),0.0)</f>
        <v>0</v>
      </c>
      <c r="X892" s="763">
        <f>IFERROR(__xludf.DUMMYFUNCTION("""COMPUTED_VALUE"""),0.0)</f>
        <v>0</v>
      </c>
      <c r="Y892" s="763"/>
      <c r="Z892" s="768" t="str">
        <f>IFERROR(__xludf.DUMMYFUNCTION("""COMPUTED_VALUE"""),"https://studio-gem.it/wp-admin/post.php?post=67581&amp;action=edit")</f>
        <v>https://studio-gem.it/wp-admin/post.php?post=67581&amp;action=edit</v>
      </c>
      <c r="AA892" s="763"/>
      <c r="AB892" s="763"/>
      <c r="AC892" s="763"/>
      <c r="AD892" s="763"/>
      <c r="AE892" s="763"/>
      <c r="AF892" s="763"/>
      <c r="AG892" s="763"/>
      <c r="AH892" s="763"/>
      <c r="AI892" s="763"/>
      <c r="AJ892" s="763"/>
      <c r="AK892" s="763"/>
      <c r="AL892" s="763"/>
      <c r="AM892" s="763"/>
      <c r="AN892" s="763"/>
      <c r="AO892" s="763"/>
      <c r="AP892" s="763"/>
      <c r="AQ892" s="763"/>
      <c r="AR892" s="763"/>
      <c r="AS892" s="763"/>
      <c r="AT892" s="763"/>
      <c r="AU892" s="763"/>
      <c r="AV892" s="763"/>
      <c r="AW892" s="763"/>
      <c r="AX892" s="763"/>
      <c r="AY892" s="763"/>
      <c r="AZ892" s="763"/>
      <c r="BA892" s="763"/>
      <c r="BB892" s="763"/>
      <c r="BC892" s="763"/>
      <c r="BD892" s="763"/>
      <c r="BE892" s="763"/>
      <c r="BF892" s="763"/>
      <c r="BG892" s="763" t="b">
        <f>IFERROR(__xludf.DUMMYFUNCTION("""COMPUTED_VALUE"""),TRUE)</f>
        <v>1</v>
      </c>
      <c r="BH892" s="763" t="b">
        <f>IFERROR(__xludf.DUMMYFUNCTION("""COMPUTED_VALUE"""),FALSE)</f>
        <v>0</v>
      </c>
      <c r="BI892" s="763" t="b">
        <f>IFERROR(__xludf.DUMMYFUNCTION("""COMPUTED_VALUE"""),TRUE)</f>
        <v>1</v>
      </c>
      <c r="BJ892" s="763" t="b">
        <f>IFERROR(__xludf.DUMMYFUNCTION("""COMPUTED_VALUE"""),FALSE)</f>
        <v>0</v>
      </c>
    </row>
    <row r="893">
      <c r="A893" s="763">
        <f>IFERROR(__xludf.DUMMYFUNCTION("""COMPUTED_VALUE"""),67612.0)</f>
        <v>67612</v>
      </c>
      <c r="B893" s="763">
        <f>IFERROR(__xludf.DUMMYFUNCTION("""COMPUTED_VALUE"""),67612.0)</f>
        <v>67612</v>
      </c>
      <c r="C893" s="763" t="str">
        <f>IFERROR(__xludf.DUMMYFUNCTION("""COMPUTED_VALUE"""),"2026-01-31 20:55:44")</f>
        <v>2026-01-31 20:55:44</v>
      </c>
      <c r="D893" s="763" t="str">
        <f>IFERROR(__xludf.DUMMYFUNCTION("""COMPUTED_VALUE"""),"completed")</f>
        <v>completed</v>
      </c>
      <c r="E893" s="763" t="str">
        <f>IFERROR(__xludf.DUMMYFUNCTION("""COMPUTED_VALUE"""),"Elena")</f>
        <v>Elena</v>
      </c>
      <c r="F893" s="763" t="str">
        <f>IFERROR(__xludf.DUMMYFUNCTION("""COMPUTED_VALUE"""),"Branchi")</f>
        <v>Branchi</v>
      </c>
      <c r="G893" s="763" t="str">
        <f>IFERROR(__xludf.DUMMYFUNCTION("""COMPUTED_VALUE"""),"elenabranchi.06@gmail.com")</f>
        <v>elenabranchi.06@gmail.com</v>
      </c>
      <c r="H893" s="763">
        <f>IFERROR(__xludf.DUMMYFUNCTION("""COMPUTED_VALUE"""),3.703038263E9)</f>
        <v>3703038263</v>
      </c>
      <c r="I893" s="763" t="str">
        <f>IFERROR(__xludf.DUMMYFUNCTION("""COMPUTED_VALUE"""),"Villasanta")</f>
        <v>Villasanta</v>
      </c>
      <c r="J893" s="763" t="str">
        <f>IFERROR(__xludf.DUMMYFUNCTION("""COMPUTED_VALUE"""),"Vespucci 13")</f>
        <v>Vespucci 13</v>
      </c>
      <c r="K893" s="763">
        <f>IFERROR(__xludf.DUMMYFUNCTION("""COMPUTED_VALUE"""),20852.0)</f>
        <v>20852</v>
      </c>
      <c r="L893" s="763" t="str">
        <f>IFERROR(__xludf.DUMMYFUNCTION("""COMPUTED_VALUE"""),"Satispay")</f>
        <v>Satispay</v>
      </c>
      <c r="M893" s="763"/>
      <c r="N893" s="763" t="str">
        <f>IFERROR(__xludf.DUMMYFUNCTION("""COMPUTED_VALUE"""),"019c15d7-1b8c-7b42-bac7-014fb8ae3c1e")</f>
        <v>019c15d7-1b8c-7b42-bac7-014fb8ae3c1e</v>
      </c>
      <c r="O893" s="763">
        <f>IFERROR(__xludf.DUMMYFUNCTION("""COMPUTED_VALUE"""),0.0)</f>
        <v>0</v>
      </c>
      <c r="P893" s="767">
        <f>IFERROR(__xludf.DUMMYFUNCTION("""COMPUTED_VALUE"""),1.5416666666666667)</f>
        <v>1.541666667</v>
      </c>
      <c r="Q893" s="763" t="str">
        <f>IFERROR(__xludf.DUMMYFUNCTION("""COMPUTED_VALUE"""),"EUR")</f>
        <v>EUR</v>
      </c>
      <c r="R893" s="763">
        <f>IFERROR(__xludf.DUMMYFUNCTION("""COMPUTED_VALUE"""),1596.0)</f>
        <v>1596</v>
      </c>
      <c r="S893" s="763" t="str">
        <f>IFERROR(__xludf.DUMMYFUNCTION("""COMPUTED_VALUE"""),"Workshop Urban Alessio Cavaliere 2026 - Workshop Alessio Cavaliere 1 febbraio 2026")</f>
        <v>Workshop Urban Alessio Cavaliere 2026 - Workshop Alessio Cavaliere 1 febbraio 2026</v>
      </c>
      <c r="T893" s="763"/>
      <c r="U893" s="763"/>
      <c r="V893" s="763">
        <f>IFERROR(__xludf.DUMMYFUNCTION("""COMPUTED_VALUE"""),1.0)</f>
        <v>1</v>
      </c>
      <c r="W893" s="763">
        <f>IFERROR(__xludf.DUMMYFUNCTION("""COMPUTED_VALUE"""),37.0)</f>
        <v>37</v>
      </c>
      <c r="X893" s="763">
        <f>IFERROR(__xludf.DUMMYFUNCTION("""COMPUTED_VALUE"""),37.0)</f>
        <v>37</v>
      </c>
      <c r="Y893" s="763"/>
      <c r="Z893" s="768" t="str">
        <f>IFERROR(__xludf.DUMMYFUNCTION("""COMPUTED_VALUE"""),"https://studio-gem.it/wp-admin/post.php?post=67612&amp;action=edit")</f>
        <v>https://studio-gem.it/wp-admin/post.php?post=67612&amp;action=edit</v>
      </c>
      <c r="AA893" s="763"/>
      <c r="AB893" s="763"/>
      <c r="AC893" s="763"/>
      <c r="AD893" s="763"/>
      <c r="AE893" s="763"/>
      <c r="AF893" s="763"/>
      <c r="AG893" s="763"/>
      <c r="AH893" s="763"/>
      <c r="AI893" s="763"/>
      <c r="AJ893" s="763"/>
      <c r="AK893" s="763"/>
      <c r="AL893" s="763"/>
      <c r="AM893" s="763"/>
      <c r="AN893" s="763"/>
      <c r="AO893" s="763"/>
      <c r="AP893" s="763"/>
      <c r="AQ893" s="763"/>
      <c r="AR893" s="763"/>
      <c r="AS893" s="763"/>
      <c r="AT893" s="763"/>
      <c r="AU893" s="763"/>
      <c r="AV893" s="763"/>
      <c r="AW893" s="763"/>
      <c r="AX893" s="763"/>
      <c r="AY893" s="763"/>
      <c r="AZ893" s="763"/>
      <c r="BA893" s="763"/>
      <c r="BB893" s="763"/>
      <c r="BC893" s="763"/>
      <c r="BD893" s="763"/>
      <c r="BE893" s="763"/>
      <c r="BF893" s="763"/>
      <c r="BG893" s="763" t="b">
        <f>IFERROR(__xludf.DUMMYFUNCTION("""COMPUTED_VALUE"""),TRUE)</f>
        <v>1</v>
      </c>
      <c r="BH893" s="763" t="b">
        <f>IFERROR(__xludf.DUMMYFUNCTION("""COMPUTED_VALUE"""),FALSE)</f>
        <v>0</v>
      </c>
      <c r="BI893" s="763" t="b">
        <f>IFERROR(__xludf.DUMMYFUNCTION("""COMPUTED_VALUE"""),TRUE)</f>
        <v>1</v>
      </c>
      <c r="BJ893" s="763" t="b">
        <f>IFERROR(__xludf.DUMMYFUNCTION("""COMPUTED_VALUE"""),TRUE)</f>
        <v>1</v>
      </c>
    </row>
    <row r="894">
      <c r="A894" s="763">
        <f>IFERROR(__xludf.DUMMYFUNCTION("""COMPUTED_VALUE"""),67620.0)</f>
        <v>67620</v>
      </c>
      <c r="B894" s="763">
        <f>IFERROR(__xludf.DUMMYFUNCTION("""COMPUTED_VALUE"""),67620.0)</f>
        <v>67620</v>
      </c>
      <c r="C894" s="763" t="str">
        <f>IFERROR(__xludf.DUMMYFUNCTION("""COMPUTED_VALUE"""),"2026-02-01 12:03:30")</f>
        <v>2026-02-01 12:03:30</v>
      </c>
      <c r="D894" s="763" t="str">
        <f>IFERROR(__xludf.DUMMYFUNCTION("""COMPUTED_VALUE"""),"processing")</f>
        <v>processing</v>
      </c>
      <c r="E894" s="763" t="str">
        <f>IFERROR(__xludf.DUMMYFUNCTION("""COMPUTED_VALUE"""),"Yasemin")</f>
        <v>Yasemin</v>
      </c>
      <c r="F894" s="763" t="str">
        <f>IFERROR(__xludf.DUMMYFUNCTION("""COMPUTED_VALUE"""),"Eşelioğlu")</f>
        <v>Eşelioğlu</v>
      </c>
      <c r="G894" s="763" t="str">
        <f>IFERROR(__xludf.DUMMYFUNCTION("""COMPUTED_VALUE"""),"yasemineselioglu01@icloud.com")</f>
        <v>yasemineselioglu01@icloud.com</v>
      </c>
      <c r="H894" s="763">
        <f>IFERROR(__xludf.DUMMYFUNCTION("""COMPUTED_VALUE"""),3.445743506E9)</f>
        <v>3445743506</v>
      </c>
      <c r="I894" s="763" t="str">
        <f>IFERROR(__xludf.DUMMYFUNCTION("""COMPUTED_VALUE"""),"Milano")</f>
        <v>Milano</v>
      </c>
      <c r="J894" s="763" t="str">
        <f>IFERROR(__xludf.DUMMYFUNCTION("""COMPUTED_VALUE"""),"via giuseppe ripamonti")</f>
        <v>via giuseppe ripamonti</v>
      </c>
      <c r="K894" s="763">
        <f>IFERROR(__xludf.DUMMYFUNCTION("""COMPUTED_VALUE"""),20135.0)</f>
        <v>20135</v>
      </c>
      <c r="L894" s="763" t="str">
        <f>IFERROR(__xludf.DUMMYFUNCTION("""COMPUTED_VALUE"""),"Carte di pagamento")</f>
        <v>Carte di pagamento</v>
      </c>
      <c r="M894" s="763"/>
      <c r="N894" s="763" t="str">
        <f>IFERROR(__xludf.DUMMYFUNCTION("""COMPUTED_VALUE"""),"67620-1769947411")</f>
        <v>67620-1769947411</v>
      </c>
      <c r="O894" s="763">
        <f>IFERROR(__xludf.DUMMYFUNCTION("""COMPUTED_VALUE"""),0.0)</f>
        <v>0</v>
      </c>
      <c r="P894" s="767">
        <f>IFERROR(__xludf.DUMMYFUNCTION("""COMPUTED_VALUE"""),1.75)</f>
        <v>1.75</v>
      </c>
      <c r="Q894" s="763" t="str">
        <f>IFERROR(__xludf.DUMMYFUNCTION("""COMPUTED_VALUE"""),"EUR")</f>
        <v>EUR</v>
      </c>
      <c r="R894" s="763">
        <f>IFERROR(__xludf.DUMMYFUNCTION("""COMPUTED_VALUE"""),1597.0)</f>
        <v>1597</v>
      </c>
      <c r="S894" s="763" t="str">
        <f>IFERROR(__xludf.DUMMYFUNCTION("""COMPUTED_VALUE"""),"Workshop Urban Alessio Cavaliere 2026 - Workshop Alessio Cavaliere 1 febbraio 2026")</f>
        <v>Workshop Urban Alessio Cavaliere 2026 - Workshop Alessio Cavaliere 1 febbraio 2026</v>
      </c>
      <c r="T894" s="763"/>
      <c r="U894" s="763"/>
      <c r="V894" s="763">
        <f>IFERROR(__xludf.DUMMYFUNCTION("""COMPUTED_VALUE"""),1.0)</f>
        <v>1</v>
      </c>
      <c r="W894" s="763">
        <f>IFERROR(__xludf.DUMMYFUNCTION("""COMPUTED_VALUE"""),42.0)</f>
        <v>42</v>
      </c>
      <c r="X894" s="763">
        <f>IFERROR(__xludf.DUMMYFUNCTION("""COMPUTED_VALUE"""),42.0)</f>
        <v>42</v>
      </c>
      <c r="Y894" s="763"/>
      <c r="Z894" s="768" t="str">
        <f>IFERROR(__xludf.DUMMYFUNCTION("""COMPUTED_VALUE"""),"https://studio-gem.it/wp-admin/post.php?post=67620&amp;action=edit")</f>
        <v>https://studio-gem.it/wp-admin/post.php?post=67620&amp;action=edit</v>
      </c>
      <c r="AA894" s="763"/>
      <c r="AB894" s="763"/>
      <c r="AC894" s="763"/>
      <c r="AD894" s="763"/>
      <c r="AE894" s="763"/>
      <c r="AF894" s="763"/>
      <c r="AG894" s="763"/>
      <c r="AH894" s="763"/>
      <c r="AI894" s="763"/>
      <c r="AJ894" s="763"/>
      <c r="AK894" s="763"/>
      <c r="AL894" s="763"/>
      <c r="AM894" s="763"/>
      <c r="AN894" s="763"/>
      <c r="AO894" s="763"/>
      <c r="AP894" s="763"/>
      <c r="AQ894" s="763"/>
      <c r="AR894" s="763"/>
      <c r="AS894" s="763"/>
      <c r="AT894" s="763"/>
      <c r="AU894" s="763"/>
      <c r="AV894" s="763"/>
      <c r="AW894" s="763"/>
      <c r="AX894" s="763"/>
      <c r="AY894" s="763"/>
      <c r="AZ894" s="763"/>
      <c r="BA894" s="763"/>
      <c r="BB894" s="763"/>
      <c r="BC894" s="763"/>
      <c r="BD894" s="763"/>
      <c r="BE894" s="763"/>
      <c r="BF894" s="763"/>
      <c r="BG894" s="763" t="b">
        <f>IFERROR(__xludf.DUMMYFUNCTION("""COMPUTED_VALUE"""),TRUE)</f>
        <v>1</v>
      </c>
      <c r="BH894" s="763" t="b">
        <f>IFERROR(__xludf.DUMMYFUNCTION("""COMPUTED_VALUE"""),FALSE)</f>
        <v>0</v>
      </c>
      <c r="BI894" s="763" t="b">
        <f>IFERROR(__xludf.DUMMYFUNCTION("""COMPUTED_VALUE"""),TRUE)</f>
        <v>1</v>
      </c>
      <c r="BJ894" s="763" t="b">
        <f>IFERROR(__xludf.DUMMYFUNCTION("""COMPUTED_VALUE"""),TRUE)</f>
        <v>1</v>
      </c>
    </row>
    <row r="895">
      <c r="A895" s="763">
        <f>IFERROR(__xludf.DUMMYFUNCTION("""COMPUTED_VALUE"""),67621.0)</f>
        <v>67621</v>
      </c>
      <c r="B895" s="763">
        <f>IFERROR(__xludf.DUMMYFUNCTION("""COMPUTED_VALUE"""),67621.0)</f>
        <v>67621</v>
      </c>
      <c r="C895" s="763" t="str">
        <f>IFERROR(__xludf.DUMMYFUNCTION("""COMPUTED_VALUE"""),"2026-02-01 12:29:39")</f>
        <v>2026-02-01 12:29:39</v>
      </c>
      <c r="D895" s="763" t="str">
        <f>IFERROR(__xludf.DUMMYFUNCTION("""COMPUTED_VALUE"""),"processing")</f>
        <v>processing</v>
      </c>
      <c r="E895" s="763" t="str">
        <f>IFERROR(__xludf.DUMMYFUNCTION("""COMPUTED_VALUE"""),"Arianna Deris")</f>
        <v>Arianna Deris</v>
      </c>
      <c r="F895" s="763" t="str">
        <f>IFERROR(__xludf.DUMMYFUNCTION("""COMPUTED_VALUE"""),"Fusco")</f>
        <v>Fusco</v>
      </c>
      <c r="G895" s="763" t="str">
        <f>IFERROR(__xludf.DUMMYFUNCTION("""COMPUTED_VALUE"""),"arideris12@gmail.com")</f>
        <v>arideris12@gmail.com</v>
      </c>
      <c r="H895" s="763">
        <f>IFERROR(__xludf.DUMMYFUNCTION("""COMPUTED_VALUE"""),3.39492317E9)</f>
        <v>3394923170</v>
      </c>
      <c r="I895" s="763" t="str">
        <f>IFERROR(__xludf.DUMMYFUNCTION("""COMPUTED_VALUE"""),"Cologno Monzese")</f>
        <v>Cologno Monzese</v>
      </c>
      <c r="J895" s="763" t="str">
        <f>IFERROR(__xludf.DUMMYFUNCTION("""COMPUTED_VALUE"""),"Via delle Ginestre 27/A")</f>
        <v>Via delle Ginestre 27/A</v>
      </c>
      <c r="K895" s="763">
        <f>IFERROR(__xludf.DUMMYFUNCTION("""COMPUTED_VALUE"""),20093.0)</f>
        <v>20093</v>
      </c>
      <c r="L895" s="763" t="str">
        <f>IFERROR(__xludf.DUMMYFUNCTION("""COMPUTED_VALUE"""),"Carte di pagamento")</f>
        <v>Carte di pagamento</v>
      </c>
      <c r="M895" s="763"/>
      <c r="N895" s="763" t="str">
        <f>IFERROR(__xludf.DUMMYFUNCTION("""COMPUTED_VALUE"""),"67621-1769948981")</f>
        <v>67621-1769948981</v>
      </c>
      <c r="O895" s="763">
        <f>IFERROR(__xludf.DUMMYFUNCTION("""COMPUTED_VALUE"""),0.0)</f>
        <v>0</v>
      </c>
      <c r="P895" s="767">
        <f>IFERROR(__xludf.DUMMYFUNCTION("""COMPUTED_VALUE"""),1.75)</f>
        <v>1.75</v>
      </c>
      <c r="Q895" s="763" t="str">
        <f>IFERROR(__xludf.DUMMYFUNCTION("""COMPUTED_VALUE"""),"EUR")</f>
        <v>EUR</v>
      </c>
      <c r="R895" s="763">
        <f>IFERROR(__xludf.DUMMYFUNCTION("""COMPUTED_VALUE"""),1598.0)</f>
        <v>1598</v>
      </c>
      <c r="S895" s="763" t="str">
        <f>IFERROR(__xludf.DUMMYFUNCTION("""COMPUTED_VALUE"""),"Workshop Urban Alessio Cavaliere 2026 - Workshop Alessio Cavaliere 1 febbraio 2026")</f>
        <v>Workshop Urban Alessio Cavaliere 2026 - Workshop Alessio Cavaliere 1 febbraio 2026</v>
      </c>
      <c r="T895" s="763"/>
      <c r="U895" s="763"/>
      <c r="V895" s="763">
        <f>IFERROR(__xludf.DUMMYFUNCTION("""COMPUTED_VALUE"""),1.0)</f>
        <v>1</v>
      </c>
      <c r="W895" s="763">
        <f>IFERROR(__xludf.DUMMYFUNCTION("""COMPUTED_VALUE"""),42.0)</f>
        <v>42</v>
      </c>
      <c r="X895" s="763">
        <f>IFERROR(__xludf.DUMMYFUNCTION("""COMPUTED_VALUE"""),42.0)</f>
        <v>42</v>
      </c>
      <c r="Y895" s="763"/>
      <c r="Z895" s="768" t="str">
        <f>IFERROR(__xludf.DUMMYFUNCTION("""COMPUTED_VALUE"""),"https://studio-gem.it/wp-admin/post.php?post=67621&amp;action=edit")</f>
        <v>https://studio-gem.it/wp-admin/post.php?post=67621&amp;action=edit</v>
      </c>
      <c r="AA895" s="763"/>
      <c r="AB895" s="763"/>
      <c r="AC895" s="763"/>
      <c r="AD895" s="763"/>
      <c r="AE895" s="763"/>
      <c r="AF895" s="763"/>
      <c r="AG895" s="763"/>
      <c r="AH895" s="763"/>
      <c r="AI895" s="763"/>
      <c r="AJ895" s="763"/>
      <c r="AK895" s="763"/>
      <c r="AL895" s="763"/>
      <c r="AM895" s="763"/>
      <c r="AN895" s="763"/>
      <c r="AO895" s="763"/>
      <c r="AP895" s="763"/>
      <c r="AQ895" s="763"/>
      <c r="AR895" s="763"/>
      <c r="AS895" s="763"/>
      <c r="AT895" s="763"/>
      <c r="AU895" s="763"/>
      <c r="AV895" s="763"/>
      <c r="AW895" s="763"/>
      <c r="AX895" s="763"/>
      <c r="AY895" s="763"/>
      <c r="AZ895" s="763"/>
      <c r="BA895" s="763"/>
      <c r="BB895" s="763"/>
      <c r="BC895" s="763"/>
      <c r="BD895" s="763"/>
      <c r="BE895" s="763"/>
      <c r="BF895" s="763"/>
      <c r="BG895" s="763" t="b">
        <f>IFERROR(__xludf.DUMMYFUNCTION("""COMPUTED_VALUE"""),TRUE)</f>
        <v>1</v>
      </c>
      <c r="BH895" s="763" t="b">
        <f>IFERROR(__xludf.DUMMYFUNCTION("""COMPUTED_VALUE"""),FALSE)</f>
        <v>0</v>
      </c>
      <c r="BI895" s="763" t="b">
        <f>IFERROR(__xludf.DUMMYFUNCTION("""COMPUTED_VALUE"""),TRUE)</f>
        <v>1</v>
      </c>
      <c r="BJ895" s="763" t="b">
        <f>IFERROR(__xludf.DUMMYFUNCTION("""COMPUTED_VALUE"""),TRUE)</f>
        <v>1</v>
      </c>
    </row>
    <row r="896">
      <c r="A896" s="763">
        <f>IFERROR(__xludf.DUMMYFUNCTION("""COMPUTED_VALUE"""),67671.0)</f>
        <v>67671</v>
      </c>
      <c r="B896" s="763">
        <f>IFERROR(__xludf.DUMMYFUNCTION("""COMPUTED_VALUE"""),67671.0)</f>
        <v>67671</v>
      </c>
      <c r="C896" s="763" t="str">
        <f>IFERROR(__xludf.DUMMYFUNCTION("""COMPUTED_VALUE"""),"2026-02-03 20:55:48")</f>
        <v>2026-02-03 20:55:48</v>
      </c>
      <c r="D896" s="763" t="str">
        <f>IFERROR(__xludf.DUMMYFUNCTION("""COMPUTED_VALUE"""),"completed")</f>
        <v>completed</v>
      </c>
      <c r="E896" s="763" t="str">
        <f>IFERROR(__xludf.DUMMYFUNCTION("""COMPUTED_VALUE"""),"Alexandra")</f>
        <v>Alexandra</v>
      </c>
      <c r="F896" s="763" t="str">
        <f>IFERROR(__xludf.DUMMYFUNCTION("""COMPUTED_VALUE"""),"Barbulea")</f>
        <v>Barbulea</v>
      </c>
      <c r="G896" s="763" t="str">
        <f>IFERROR(__xludf.DUMMYFUNCTION("""COMPUTED_VALUE"""),"alexandra.barbulea@gmail.com")</f>
        <v>alexandra.barbulea@gmail.com</v>
      </c>
      <c r="H896" s="763">
        <f>IFERROR(__xludf.DUMMYFUNCTION("""COMPUTED_VALUE"""),3.33437642E9)</f>
        <v>3334376420</v>
      </c>
      <c r="I896" s="763" t="str">
        <f>IFERROR(__xludf.DUMMYFUNCTION("""COMPUTED_VALUE"""),"Milano")</f>
        <v>Milano</v>
      </c>
      <c r="J896" s="763" t="str">
        <f>IFERROR(__xludf.DUMMYFUNCTION("""COMPUTED_VALUE"""),"Via privata tirso 6")</f>
        <v>Via privata tirso 6</v>
      </c>
      <c r="K896" s="763">
        <f>IFERROR(__xludf.DUMMYFUNCTION("""COMPUTED_VALUE"""),20141.0)</f>
        <v>20141</v>
      </c>
      <c r="L896" s="763" t="str">
        <f>IFERROR(__xludf.DUMMYFUNCTION("""COMPUTED_VALUE"""),"Apple Pay")</f>
        <v>Apple Pay</v>
      </c>
      <c r="M896" s="763" t="str">
        <f>IFERROR(__xludf.DUMMYFUNCTION("""COMPUTED_VALUE"""),"nura05campus")</f>
        <v>nura05campus</v>
      </c>
      <c r="N896" s="763" t="str">
        <f>IFERROR(__xludf.DUMMYFUNCTION("""COMPUTED_VALUE"""),"67671-1770152150")</f>
        <v>67671-1770152150</v>
      </c>
      <c r="O896" s="763">
        <f>IFERROR(__xludf.DUMMYFUNCTION("""COMPUTED_VALUE"""),0.0)</f>
        <v>0</v>
      </c>
      <c r="P896" s="767">
        <f>IFERROR(__xludf.DUMMYFUNCTION("""COMPUTED_VALUE"""),5.791666666666667)</f>
        <v>5.791666667</v>
      </c>
      <c r="Q896" s="763" t="str">
        <f>IFERROR(__xludf.DUMMYFUNCTION("""COMPUTED_VALUE"""),"EUR")</f>
        <v>EUR</v>
      </c>
      <c r="R896" s="763">
        <f>IFERROR(__xludf.DUMMYFUNCTION("""COMPUTED_VALUE"""),1599.0)</f>
        <v>1599</v>
      </c>
      <c r="S896" s="763" t="str">
        <f>IFERROR(__xludf.DUMMYFUNCTION("""COMPUTED_VALUE"""),"Campus estivo 2026 - Campus estivo 2 settimane")</f>
        <v>Campus estivo 2026 - Campus estivo 2 settimane</v>
      </c>
      <c r="T896" s="763"/>
      <c r="U896" s="763"/>
      <c r="V896" s="763">
        <f>IFERROR(__xludf.DUMMYFUNCTION("""COMPUTED_VALUE"""),1.0)</f>
        <v>1</v>
      </c>
      <c r="W896" s="763">
        <f>IFERROR(__xludf.DUMMYFUNCTION("""COMPUTED_VALUE"""),139.0)</f>
        <v>139</v>
      </c>
      <c r="X896" s="763">
        <f>IFERROR(__xludf.DUMMYFUNCTION("""COMPUTED_VALUE"""),139.0)</f>
        <v>139</v>
      </c>
      <c r="Y896" s="763"/>
      <c r="Z896" s="768" t="str">
        <f>IFERROR(__xludf.DUMMYFUNCTION("""COMPUTED_VALUE"""),"https://studio-gem.it/wp-admin/post.php?post=67671&amp;action=edit")</f>
        <v>https://studio-gem.it/wp-admin/post.php?post=67671&amp;action=edit</v>
      </c>
      <c r="AA896" s="763"/>
      <c r="AB896" s="763"/>
      <c r="AC896" s="763"/>
      <c r="AD896" s="763"/>
      <c r="AE896" s="763"/>
      <c r="AF896" s="763"/>
      <c r="AG896" s="763"/>
      <c r="AH896" s="763"/>
      <c r="AI896" s="763"/>
      <c r="AJ896" s="763"/>
      <c r="AK896" s="763"/>
      <c r="AL896" s="763"/>
      <c r="AM896" s="763"/>
      <c r="AN896" s="763"/>
      <c r="AO896" s="763"/>
      <c r="AP896" s="763"/>
      <c r="AQ896" s="763"/>
      <c r="AR896" s="763"/>
      <c r="AS896" s="763"/>
      <c r="AT896" s="763"/>
      <c r="AU896" s="763"/>
      <c r="AV896" s="763"/>
      <c r="AW896" s="763"/>
      <c r="AX896" s="763"/>
      <c r="AY896" s="763"/>
      <c r="AZ896" s="763"/>
      <c r="BA896" s="763"/>
      <c r="BB896" s="763"/>
      <c r="BC896" s="763"/>
      <c r="BD896" s="763"/>
      <c r="BE896" s="763"/>
      <c r="BF896" s="763"/>
      <c r="BG896" s="763" t="b">
        <f>IFERROR(__xludf.DUMMYFUNCTION("""COMPUTED_VALUE"""),TRUE)</f>
        <v>1</v>
      </c>
      <c r="BH896" s="763" t="b">
        <f>IFERROR(__xludf.DUMMYFUNCTION("""COMPUTED_VALUE"""),FALSE)</f>
        <v>0</v>
      </c>
      <c r="BI896" s="763" t="b">
        <f>IFERROR(__xludf.DUMMYFUNCTION("""COMPUTED_VALUE"""),TRUE)</f>
        <v>1</v>
      </c>
      <c r="BJ896" s="763" t="b">
        <f>IFERROR(__xludf.DUMMYFUNCTION("""COMPUTED_VALUE"""),TRUE)</f>
        <v>1</v>
      </c>
    </row>
    <row r="897">
      <c r="A897" s="763">
        <f>IFERROR(__xludf.DUMMYFUNCTION("""COMPUTED_VALUE"""),67689.0)</f>
        <v>67689</v>
      </c>
      <c r="B897" s="763">
        <f>IFERROR(__xludf.DUMMYFUNCTION("""COMPUTED_VALUE"""),67689.0)</f>
        <v>67689</v>
      </c>
      <c r="C897" s="763" t="str">
        <f>IFERROR(__xludf.DUMMYFUNCTION("""COMPUTED_VALUE"""),"2026-02-04 14:34:41")</f>
        <v>2026-02-04 14:34:41</v>
      </c>
      <c r="D897" s="763" t="str">
        <f>IFERROR(__xludf.DUMMYFUNCTION("""COMPUTED_VALUE"""),"completed")</f>
        <v>completed</v>
      </c>
      <c r="E897" s="763" t="str">
        <f>IFERROR(__xludf.DUMMYFUNCTION("""COMPUTED_VALUE"""),"Lisa")</f>
        <v>Lisa</v>
      </c>
      <c r="F897" s="763" t="str">
        <f>IFERROR(__xludf.DUMMYFUNCTION("""COMPUTED_VALUE"""),"Venturini")</f>
        <v>Venturini</v>
      </c>
      <c r="G897" s="763" t="str">
        <f>IFERROR(__xludf.DUMMYFUNCTION("""COMPUTED_VALUE"""),"lisa03venturini@gmail.com")</f>
        <v>lisa03venturini@gmail.com</v>
      </c>
      <c r="H897" s="763">
        <f>IFERROR(__xludf.DUMMYFUNCTION("""COMPUTED_VALUE"""),3.299590445E9)</f>
        <v>3299590445</v>
      </c>
      <c r="I897" s="763" t="str">
        <f>IFERROR(__xludf.DUMMYFUNCTION("""COMPUTED_VALUE"""),"Milano")</f>
        <v>Milano</v>
      </c>
      <c r="J897" s="763" t="str">
        <f>IFERROR(__xludf.DUMMYFUNCTION("""COMPUTED_VALUE"""),"Isonzo 28")</f>
        <v>Isonzo 28</v>
      </c>
      <c r="K897" s="763">
        <f>IFERROR(__xludf.DUMMYFUNCTION("""COMPUTED_VALUE"""),20135.0)</f>
        <v>20135</v>
      </c>
      <c r="L897" s="763" t="str">
        <f>IFERROR(__xludf.DUMMYFUNCTION("""COMPUTED_VALUE"""),"Apple Pay")</f>
        <v>Apple Pay</v>
      </c>
      <c r="M897" s="763"/>
      <c r="N897" s="763" t="str">
        <f>IFERROR(__xludf.DUMMYFUNCTION("""COMPUTED_VALUE"""),"67689-1770215683")</f>
        <v>67689-1770215683</v>
      </c>
      <c r="O897" s="763">
        <f>IFERROR(__xludf.DUMMYFUNCTION("""COMPUTED_VALUE"""),0.0)</f>
        <v>0</v>
      </c>
      <c r="P897" s="767">
        <f>IFERROR(__xludf.DUMMYFUNCTION("""COMPUTED_VALUE"""),0.9166666666666666)</f>
        <v>0.9166666667</v>
      </c>
      <c r="Q897" s="763" t="str">
        <f>IFERROR(__xludf.DUMMYFUNCTION("""COMPUTED_VALUE"""),"EUR")</f>
        <v>EUR</v>
      </c>
      <c r="R897" s="763">
        <f>IFERROR(__xludf.DUMMYFUNCTION("""COMPUTED_VALUE"""),1601.0)</f>
        <v>1601</v>
      </c>
      <c r="S897" s="763" t="str">
        <f>IFERROR(__xludf.DUMMYFUNCTION("""COMPUTED_VALUE"""),"Open class Heels con Anahita 2026 - Open class Heels con Anahita 2026")</f>
        <v>Open class Heels con Anahita 2026 - Open class Heels con Anahita 2026</v>
      </c>
      <c r="T897" s="763"/>
      <c r="U897" s="763"/>
      <c r="V897" s="763">
        <f>IFERROR(__xludf.DUMMYFUNCTION("""COMPUTED_VALUE"""),1.0)</f>
        <v>1</v>
      </c>
      <c r="W897" s="763">
        <f>IFERROR(__xludf.DUMMYFUNCTION("""COMPUTED_VALUE"""),22.0)</f>
        <v>22</v>
      </c>
      <c r="X897" s="763">
        <f>IFERROR(__xludf.DUMMYFUNCTION("""COMPUTED_VALUE"""),22.0)</f>
        <v>22</v>
      </c>
      <c r="Y897" s="763"/>
      <c r="Z897" s="768" t="str">
        <f>IFERROR(__xludf.DUMMYFUNCTION("""COMPUTED_VALUE"""),"https://studio-gem.it/wp-admin/post.php?post=67689&amp;action=edit")</f>
        <v>https://studio-gem.it/wp-admin/post.php?post=67689&amp;action=edit</v>
      </c>
      <c r="AA897" s="763"/>
      <c r="AB897" s="763"/>
      <c r="AC897" s="763"/>
      <c r="AD897" s="763"/>
      <c r="AE897" s="763"/>
      <c r="AF897" s="763"/>
      <c r="AG897" s="763"/>
      <c r="AH897" s="763"/>
      <c r="AI897" s="763"/>
      <c r="AJ897" s="763"/>
      <c r="AK897" s="763"/>
      <c r="AL897" s="763"/>
      <c r="AM897" s="763"/>
      <c r="AN897" s="763"/>
      <c r="AO897" s="763"/>
      <c r="AP897" s="763"/>
      <c r="AQ897" s="763"/>
      <c r="AR897" s="763"/>
      <c r="AS897" s="763"/>
      <c r="AT897" s="763"/>
      <c r="AU897" s="763"/>
      <c r="AV897" s="763"/>
      <c r="AW897" s="763"/>
      <c r="AX897" s="763"/>
      <c r="AY897" s="763"/>
      <c r="AZ897" s="763"/>
      <c r="BA897" s="763"/>
      <c r="BB897" s="763"/>
      <c r="BC897" s="763"/>
      <c r="BD897" s="763"/>
      <c r="BE897" s="763"/>
      <c r="BF897" s="763"/>
      <c r="BG897" s="763" t="b">
        <f>IFERROR(__xludf.DUMMYFUNCTION("""COMPUTED_VALUE"""),TRUE)</f>
        <v>1</v>
      </c>
      <c r="BH897" s="763" t="b">
        <f>IFERROR(__xludf.DUMMYFUNCTION("""COMPUTED_VALUE"""),FALSE)</f>
        <v>0</v>
      </c>
      <c r="BI897" s="763" t="b">
        <f>IFERROR(__xludf.DUMMYFUNCTION("""COMPUTED_VALUE"""),TRUE)</f>
        <v>1</v>
      </c>
      <c r="BJ897" s="763" t="b">
        <f>IFERROR(__xludf.DUMMYFUNCTION("""COMPUTED_VALUE"""),TRUE)</f>
        <v>1</v>
      </c>
    </row>
    <row r="898">
      <c r="A898" s="763">
        <f>IFERROR(__xludf.DUMMYFUNCTION("""COMPUTED_VALUE"""),67698.0)</f>
        <v>67698</v>
      </c>
      <c r="B898" s="763">
        <f>IFERROR(__xludf.DUMMYFUNCTION("""COMPUTED_VALUE"""),67698.0)</f>
        <v>67698</v>
      </c>
      <c r="C898" s="763" t="str">
        <f>IFERROR(__xludf.DUMMYFUNCTION("""COMPUTED_VALUE"""),"2026-02-04 18:06:24")</f>
        <v>2026-02-04 18:06:24</v>
      </c>
      <c r="D898" s="763" t="str">
        <f>IFERROR(__xludf.DUMMYFUNCTION("""COMPUTED_VALUE"""),"completed")</f>
        <v>completed</v>
      </c>
      <c r="E898" s="763" t="str">
        <f>IFERROR(__xludf.DUMMYFUNCTION("""COMPUTED_VALUE"""),"alessia")</f>
        <v>alessia</v>
      </c>
      <c r="F898" s="763" t="str">
        <f>IFERROR(__xludf.DUMMYFUNCTION("""COMPUTED_VALUE"""),"esposti")</f>
        <v>esposti</v>
      </c>
      <c r="G898" s="763" t="str">
        <f>IFERROR(__xludf.DUMMYFUNCTION("""COMPUTED_VALUE"""),"alessiaesposti04@gmail.com")</f>
        <v>alessiaesposti04@gmail.com</v>
      </c>
      <c r="H898" s="763">
        <f>IFERROR(__xludf.DUMMYFUNCTION("""COMPUTED_VALUE"""),3.920234147E9)</f>
        <v>3920234147</v>
      </c>
      <c r="I898" s="763" t="str">
        <f>IFERROR(__xludf.DUMMYFUNCTION("""COMPUTED_VALUE"""),"Seveso")</f>
        <v>Seveso</v>
      </c>
      <c r="J898" s="763" t="str">
        <f>IFERROR(__xludf.DUMMYFUNCTION("""COMPUTED_VALUE"""),"Via Luigi Galvani 10")</f>
        <v>Via Luigi Galvani 10</v>
      </c>
      <c r="K898" s="763">
        <f>IFERROR(__xludf.DUMMYFUNCTION("""COMPUTED_VALUE"""),20822.0)</f>
        <v>20822</v>
      </c>
      <c r="L898" s="763" t="str">
        <f>IFERROR(__xludf.DUMMYFUNCTION("""COMPUTED_VALUE"""),"Apple Pay")</f>
        <v>Apple Pay</v>
      </c>
      <c r="M898" s="763" t="str">
        <f>IFERROR(__xludf.DUMMYFUNCTION("""COMPUTED_VALUE"""),"estefany02ws")</f>
        <v>estefany02ws</v>
      </c>
      <c r="N898" s="763" t="str">
        <f>IFERROR(__xludf.DUMMYFUNCTION("""COMPUTED_VALUE"""),"67698-1770228509")</f>
        <v>67698-1770228509</v>
      </c>
      <c r="O898" s="763">
        <f>IFERROR(__xludf.DUMMYFUNCTION("""COMPUTED_VALUE"""),0.0)</f>
        <v>0</v>
      </c>
      <c r="P898" s="767">
        <f>IFERROR(__xludf.DUMMYFUNCTION("""COMPUTED_VALUE"""),0.8333333333333334)</f>
        <v>0.8333333333</v>
      </c>
      <c r="Q898" s="763" t="str">
        <f>IFERROR(__xludf.DUMMYFUNCTION("""COMPUTED_VALUE"""),"EUR")</f>
        <v>EUR</v>
      </c>
      <c r="R898" s="763">
        <f>IFERROR(__xludf.DUMMYFUNCTION("""COMPUTED_VALUE"""),1602.0)</f>
        <v>1602</v>
      </c>
      <c r="S898" s="763" t="str">
        <f>IFERROR(__xludf.DUMMYFUNCTION("""COMPUTED_VALUE"""),"Open class Heels con Anahita 2026 - Open class Heels con Anahita 2026")</f>
        <v>Open class Heels con Anahita 2026 - Open class Heels con Anahita 2026</v>
      </c>
      <c r="T898" s="763"/>
      <c r="U898" s="763"/>
      <c r="V898" s="763">
        <f>IFERROR(__xludf.DUMMYFUNCTION("""COMPUTED_VALUE"""),1.0)</f>
        <v>1</v>
      </c>
      <c r="W898" s="763">
        <f>IFERROR(__xludf.DUMMYFUNCTION("""COMPUTED_VALUE"""),20.0)</f>
        <v>20</v>
      </c>
      <c r="X898" s="763">
        <f>IFERROR(__xludf.DUMMYFUNCTION("""COMPUTED_VALUE"""),20.0)</f>
        <v>20</v>
      </c>
      <c r="Y898" s="763"/>
      <c r="Z898" s="768" t="str">
        <f>IFERROR(__xludf.DUMMYFUNCTION("""COMPUTED_VALUE"""),"https://studio-gem.it/wp-admin/post.php?post=67698&amp;action=edit")</f>
        <v>https://studio-gem.it/wp-admin/post.php?post=67698&amp;action=edit</v>
      </c>
      <c r="AA898" s="763"/>
      <c r="AB898" s="763"/>
      <c r="AC898" s="763"/>
      <c r="AD898" s="763"/>
      <c r="AE898" s="763"/>
      <c r="AF898" s="763"/>
      <c r="AG898" s="763"/>
      <c r="AH898" s="763"/>
      <c r="AI898" s="763"/>
      <c r="AJ898" s="763"/>
      <c r="AK898" s="763"/>
      <c r="AL898" s="763"/>
      <c r="AM898" s="763"/>
      <c r="AN898" s="763"/>
      <c r="AO898" s="763"/>
      <c r="AP898" s="763"/>
      <c r="AQ898" s="763"/>
      <c r="AR898" s="763"/>
      <c r="AS898" s="763"/>
      <c r="AT898" s="763"/>
      <c r="AU898" s="763"/>
      <c r="AV898" s="763"/>
      <c r="AW898" s="763"/>
      <c r="AX898" s="763"/>
      <c r="AY898" s="763"/>
      <c r="AZ898" s="763"/>
      <c r="BA898" s="763"/>
      <c r="BB898" s="763"/>
      <c r="BC898" s="763"/>
      <c r="BD898" s="763"/>
      <c r="BE898" s="763"/>
      <c r="BF898" s="763"/>
      <c r="BG898" s="763" t="b">
        <f>IFERROR(__xludf.DUMMYFUNCTION("""COMPUTED_VALUE"""),TRUE)</f>
        <v>1</v>
      </c>
      <c r="BH898" s="763" t="b">
        <f>IFERROR(__xludf.DUMMYFUNCTION("""COMPUTED_VALUE"""),FALSE)</f>
        <v>0</v>
      </c>
      <c r="BI898" s="763" t="b">
        <f>IFERROR(__xludf.DUMMYFUNCTION("""COMPUTED_VALUE"""),TRUE)</f>
        <v>1</v>
      </c>
      <c r="BJ898" s="763" t="b">
        <f>IFERROR(__xludf.DUMMYFUNCTION("""COMPUTED_VALUE"""),TRUE)</f>
        <v>1</v>
      </c>
    </row>
    <row r="899">
      <c r="A899" s="763">
        <f>IFERROR(__xludf.DUMMYFUNCTION("""COMPUTED_VALUE"""),67706.0)</f>
        <v>67706</v>
      </c>
      <c r="B899" s="763">
        <f>IFERROR(__xludf.DUMMYFUNCTION("""COMPUTED_VALUE"""),67706.0)</f>
        <v>67706</v>
      </c>
      <c r="C899" s="763" t="str">
        <f>IFERROR(__xludf.DUMMYFUNCTION("""COMPUTED_VALUE"""),"2026-02-05 18:42:36")</f>
        <v>2026-02-05 18:42:36</v>
      </c>
      <c r="D899" s="763" t="str">
        <f>IFERROR(__xludf.DUMMYFUNCTION("""COMPUTED_VALUE"""),"processing")</f>
        <v>processing</v>
      </c>
      <c r="E899" s="763" t="str">
        <f>IFERROR(__xludf.DUMMYFUNCTION("""COMPUTED_VALUE"""),"Eugenia")</f>
        <v>Eugenia</v>
      </c>
      <c r="F899" s="763" t="str">
        <f>IFERROR(__xludf.DUMMYFUNCTION("""COMPUTED_VALUE"""),"Gambarara")</f>
        <v>Gambarara</v>
      </c>
      <c r="G899" s="763" t="str">
        <f>IFERROR(__xludf.DUMMYFUNCTION("""COMPUTED_VALUE"""),"eugeniagambarara@hotmail.com")</f>
        <v>eugeniagambarara@hotmail.com</v>
      </c>
      <c r="H899" s="763">
        <f>IFERROR(__xludf.DUMMYFUNCTION("""COMPUTED_VALUE"""),3.383599605E9)</f>
        <v>3383599605</v>
      </c>
      <c r="I899" s="763" t="str">
        <f>IFERROR(__xludf.DUMMYFUNCTION("""COMPUTED_VALUE"""),"Milano")</f>
        <v>Milano</v>
      </c>
      <c r="J899" s="763" t="str">
        <f>IFERROR(__xludf.DUMMYFUNCTION("""COMPUTED_VALUE"""),"Via Cassolo 2")</f>
        <v>Via Cassolo 2</v>
      </c>
      <c r="K899" s="763">
        <f>IFERROR(__xludf.DUMMYFUNCTION("""COMPUTED_VALUE"""),20122.0)</f>
        <v>20122</v>
      </c>
      <c r="L899" s="763" t="str">
        <f>IFERROR(__xludf.DUMMYFUNCTION("""COMPUTED_VALUE"""),"Carte di pagamento")</f>
        <v>Carte di pagamento</v>
      </c>
      <c r="M899" s="763"/>
      <c r="N899" s="763" t="str">
        <f>IFERROR(__xludf.DUMMYFUNCTION("""COMPUTED_VALUE"""),"67706-1770316957")</f>
        <v>67706-1770316957</v>
      </c>
      <c r="O899" s="763">
        <f>IFERROR(__xludf.DUMMYFUNCTION("""COMPUTED_VALUE"""),0.0)</f>
        <v>0</v>
      </c>
      <c r="P899" s="767">
        <f>IFERROR(__xludf.DUMMYFUNCTION("""COMPUTED_VALUE"""),6.0)</f>
        <v>6</v>
      </c>
      <c r="Q899" s="763" t="str">
        <f>IFERROR(__xludf.DUMMYFUNCTION("""COMPUTED_VALUE"""),"EUR")</f>
        <v>EUR</v>
      </c>
      <c r="R899" s="763">
        <f>IFERROR(__xludf.DUMMYFUNCTION("""COMPUTED_VALUE"""),1604.0)</f>
        <v>1604</v>
      </c>
      <c r="S899" s="763" t="str">
        <f>IFERROR(__xludf.DUMMYFUNCTION("""COMPUTED_VALUE"""),"Campus estivo 2026 - Campus estivo 2 settimane")</f>
        <v>Campus estivo 2026 - Campus estivo 2 settimane</v>
      </c>
      <c r="T899" s="763"/>
      <c r="U899" s="763"/>
      <c r="V899" s="763">
        <f>IFERROR(__xludf.DUMMYFUNCTION("""COMPUTED_VALUE"""),1.0)</f>
        <v>1</v>
      </c>
      <c r="W899" s="763">
        <f>IFERROR(__xludf.DUMMYFUNCTION("""COMPUTED_VALUE"""),144.0)</f>
        <v>144</v>
      </c>
      <c r="X899" s="763">
        <f>IFERROR(__xludf.DUMMYFUNCTION("""COMPUTED_VALUE"""),144.0)</f>
        <v>144</v>
      </c>
      <c r="Y899" s="763"/>
      <c r="Z899" s="768" t="str">
        <f>IFERROR(__xludf.DUMMYFUNCTION("""COMPUTED_VALUE"""),"https://studio-gem.it/wp-admin/post.php?post=67706&amp;action=edit")</f>
        <v>https://studio-gem.it/wp-admin/post.php?post=67706&amp;action=edit</v>
      </c>
      <c r="AA899" s="763"/>
      <c r="AB899" s="763"/>
      <c r="AC899" s="763"/>
      <c r="AD899" s="763"/>
      <c r="AE899" s="763"/>
      <c r="AF899" s="763"/>
      <c r="AG899" s="763"/>
      <c r="AH899" s="763"/>
      <c r="AI899" s="763"/>
      <c r="AJ899" s="763"/>
      <c r="AK899" s="763"/>
      <c r="AL899" s="763"/>
      <c r="AM899" s="763"/>
      <c r="AN899" s="763"/>
      <c r="AO899" s="763"/>
      <c r="AP899" s="763"/>
      <c r="AQ899" s="763"/>
      <c r="AR899" s="763"/>
      <c r="AS899" s="763"/>
      <c r="AT899" s="763"/>
      <c r="AU899" s="763"/>
      <c r="AV899" s="763"/>
      <c r="AW899" s="763"/>
      <c r="AX899" s="763"/>
      <c r="AY899" s="763"/>
      <c r="AZ899" s="763"/>
      <c r="BA899" s="763"/>
      <c r="BB899" s="763"/>
      <c r="BC899" s="763"/>
      <c r="BD899" s="763"/>
      <c r="BE899" s="763"/>
      <c r="BF899" s="763"/>
      <c r="BG899" s="763" t="b">
        <f>IFERROR(__xludf.DUMMYFUNCTION("""COMPUTED_VALUE"""),TRUE)</f>
        <v>1</v>
      </c>
      <c r="BH899" s="763" t="b">
        <f>IFERROR(__xludf.DUMMYFUNCTION("""COMPUTED_VALUE"""),FALSE)</f>
        <v>0</v>
      </c>
      <c r="BI899" s="763" t="b">
        <f>IFERROR(__xludf.DUMMYFUNCTION("""COMPUTED_VALUE"""),TRUE)</f>
        <v>1</v>
      </c>
      <c r="BJ899" s="763" t="b">
        <f>IFERROR(__xludf.DUMMYFUNCTION("""COMPUTED_VALUE"""),TRUE)</f>
        <v>1</v>
      </c>
    </row>
    <row r="900">
      <c r="A900" s="763">
        <f>IFERROR(__xludf.DUMMYFUNCTION("""COMPUTED_VALUE"""),67707.0)</f>
        <v>67707</v>
      </c>
      <c r="B900" s="763">
        <f>IFERROR(__xludf.DUMMYFUNCTION("""COMPUTED_VALUE"""),67707.0)</f>
        <v>67707</v>
      </c>
      <c r="C900" s="763" t="str">
        <f>IFERROR(__xludf.DUMMYFUNCTION("""COMPUTED_VALUE"""),"2026-02-05 21:41:11")</f>
        <v>2026-02-05 21:41:11</v>
      </c>
      <c r="D900" s="763" t="str">
        <f>IFERROR(__xludf.DUMMYFUNCTION("""COMPUTED_VALUE"""),"pending")</f>
        <v>pending</v>
      </c>
      <c r="E900" s="763" t="str">
        <f>IFERROR(__xludf.DUMMYFUNCTION("""COMPUTED_VALUE"""),"Sara")</f>
        <v>Sara</v>
      </c>
      <c r="F900" s="763" t="str">
        <f>IFERROR(__xludf.DUMMYFUNCTION("""COMPUTED_VALUE"""),"Dipinto")</f>
        <v>Dipinto</v>
      </c>
      <c r="G900" s="763" t="str">
        <f>IFERROR(__xludf.DUMMYFUNCTION("""COMPUTED_VALUE"""),"dipi.sara13@gmail.com")</f>
        <v>dipi.sara13@gmail.com</v>
      </c>
      <c r="H900" s="763">
        <f>IFERROR(__xludf.DUMMYFUNCTION("""COMPUTED_VALUE"""),3.485835439E9)</f>
        <v>3485835439</v>
      </c>
      <c r="I900" s="763" t="str">
        <f>IFERROR(__xludf.DUMMYFUNCTION("""COMPUTED_VALUE"""),"Milano")</f>
        <v>Milano</v>
      </c>
      <c r="J900" s="763" t="str">
        <f>IFERROR(__xludf.DUMMYFUNCTION("""COMPUTED_VALUE"""),"Via carnevali 68")</f>
        <v>Via carnevali 68</v>
      </c>
      <c r="K900" s="763">
        <f>IFERROR(__xludf.DUMMYFUNCTION("""COMPUTED_VALUE"""),20158.0)</f>
        <v>20158</v>
      </c>
      <c r="L900" s="763" t="str">
        <f>IFERROR(__xludf.DUMMYFUNCTION("""COMPUTED_VALUE"""),"Carte di pagamento")</f>
        <v>Carte di pagamento</v>
      </c>
      <c r="M900" s="763"/>
      <c r="N900" s="763"/>
      <c r="O900" s="763">
        <f>IFERROR(__xludf.DUMMYFUNCTION("""COMPUTED_VALUE"""),0.0)</f>
        <v>0</v>
      </c>
      <c r="P900" s="767">
        <f>IFERROR(__xludf.DUMMYFUNCTION("""COMPUTED_VALUE"""),0.9166666666666666)</f>
        <v>0.9166666667</v>
      </c>
      <c r="Q900" s="763" t="str">
        <f>IFERROR(__xludf.DUMMYFUNCTION("""COMPUTED_VALUE"""),"EUR")</f>
        <v>EUR</v>
      </c>
      <c r="R900" s="763">
        <f>IFERROR(__xludf.DUMMYFUNCTION("""COMPUTED_VALUE"""),1605.0)</f>
        <v>1605</v>
      </c>
      <c r="S900" s="763" t="str">
        <f>IFERROR(__xludf.DUMMYFUNCTION("""COMPUTED_VALUE"""),"Open class Heels con Anahita 2026 - Open class Heels con Anahita 2026")</f>
        <v>Open class Heels con Anahita 2026 - Open class Heels con Anahita 2026</v>
      </c>
      <c r="T900" s="763"/>
      <c r="U900" s="763"/>
      <c r="V900" s="763">
        <f>IFERROR(__xludf.DUMMYFUNCTION("""COMPUTED_VALUE"""),1.0)</f>
        <v>1</v>
      </c>
      <c r="W900" s="763">
        <f>IFERROR(__xludf.DUMMYFUNCTION("""COMPUTED_VALUE"""),22.0)</f>
        <v>22</v>
      </c>
      <c r="X900" s="763">
        <f>IFERROR(__xludf.DUMMYFUNCTION("""COMPUTED_VALUE"""),22.0)</f>
        <v>22</v>
      </c>
      <c r="Y900" s="763"/>
      <c r="Z900" s="768" t="str">
        <f>IFERROR(__xludf.DUMMYFUNCTION("""COMPUTED_VALUE"""),"https://studio-gem.it/wp-admin/post.php?post=67707&amp;action=edit")</f>
        <v>https://studio-gem.it/wp-admin/post.php?post=67707&amp;action=edit</v>
      </c>
      <c r="AA900" s="763"/>
      <c r="AB900" s="763"/>
      <c r="AC900" s="763"/>
      <c r="AD900" s="763"/>
      <c r="AE900" s="763"/>
      <c r="AF900" s="763"/>
      <c r="AG900" s="763"/>
      <c r="AH900" s="763"/>
      <c r="AI900" s="763"/>
      <c r="AJ900" s="763"/>
      <c r="AK900" s="763"/>
      <c r="AL900" s="763"/>
      <c r="AM900" s="763"/>
      <c r="AN900" s="763"/>
      <c r="AO900" s="763"/>
      <c r="AP900" s="763"/>
      <c r="AQ900" s="763"/>
      <c r="AR900" s="763"/>
      <c r="AS900" s="763"/>
      <c r="AT900" s="763"/>
      <c r="AU900" s="763"/>
      <c r="AV900" s="763"/>
      <c r="AW900" s="763"/>
      <c r="AX900" s="763"/>
      <c r="AY900" s="763"/>
      <c r="AZ900" s="763"/>
      <c r="BA900" s="763"/>
      <c r="BB900" s="763"/>
      <c r="BC900" s="763"/>
      <c r="BD900" s="763"/>
      <c r="BE900" s="763"/>
      <c r="BF900" s="763"/>
      <c r="BG900" s="763" t="b">
        <f>IFERROR(__xludf.DUMMYFUNCTION("""COMPUTED_VALUE"""),FALSE)</f>
        <v>0</v>
      </c>
      <c r="BH900" s="763" t="b">
        <f>IFERROR(__xludf.DUMMYFUNCTION("""COMPUTED_VALUE"""),FALSE)</f>
        <v>0</v>
      </c>
      <c r="BI900" s="763" t="b">
        <f>IFERROR(__xludf.DUMMYFUNCTION("""COMPUTED_VALUE"""),FALSE)</f>
        <v>0</v>
      </c>
      <c r="BJ900" s="763" t="b">
        <f>IFERROR(__xludf.DUMMYFUNCTION("""COMPUTED_VALUE"""),FALSE)</f>
        <v>0</v>
      </c>
    </row>
    <row r="901">
      <c r="A901" s="763">
        <f>IFERROR(__xludf.DUMMYFUNCTION("""COMPUTED_VALUE"""),67709.0)</f>
        <v>67709</v>
      </c>
      <c r="B901" s="763">
        <f>IFERROR(__xludf.DUMMYFUNCTION("""COMPUTED_VALUE"""),67709.0)</f>
        <v>67709</v>
      </c>
      <c r="C901" s="763" t="str">
        <f>IFERROR(__xludf.DUMMYFUNCTION("""COMPUTED_VALUE"""),"2026-02-06 11:09:39")</f>
        <v>2026-02-06 11:09:39</v>
      </c>
      <c r="D901" s="763" t="str">
        <f>IFERROR(__xludf.DUMMYFUNCTION("""COMPUTED_VALUE"""),"completed")</f>
        <v>completed</v>
      </c>
      <c r="E901" s="763" t="str">
        <f>IFERROR(__xludf.DUMMYFUNCTION("""COMPUTED_VALUE"""),"Matteo")</f>
        <v>Matteo</v>
      </c>
      <c r="F901" s="763" t="str">
        <f>IFERROR(__xludf.DUMMYFUNCTION("""COMPUTED_VALUE"""),"Ferrandino")</f>
        <v>Ferrandino</v>
      </c>
      <c r="G901" s="763" t="str">
        <f>IFERROR(__xludf.DUMMYFUNCTION("""COMPUTED_VALUE"""),"matteoferrandino@hotmail.it")</f>
        <v>matteoferrandino@hotmail.it</v>
      </c>
      <c r="H901" s="763">
        <f>IFERROR(__xludf.DUMMYFUNCTION("""COMPUTED_VALUE"""),3.468298086E9)</f>
        <v>3468298086</v>
      </c>
      <c r="I901" s="763" t="str">
        <f>IFERROR(__xludf.DUMMYFUNCTION("""COMPUTED_VALUE"""),"Nova Milanese")</f>
        <v>Nova Milanese</v>
      </c>
      <c r="J901" s="763" t="str">
        <f>IFERROR(__xludf.DUMMYFUNCTION("""COMPUTED_VALUE"""),"Via Villa, 9")</f>
        <v>Via Villa, 9</v>
      </c>
      <c r="K901" s="763">
        <f>IFERROR(__xludf.DUMMYFUNCTION("""COMPUTED_VALUE"""),20834.0)</f>
        <v>20834</v>
      </c>
      <c r="L901" s="763" t="str">
        <f>IFERROR(__xludf.DUMMYFUNCTION("""COMPUTED_VALUE"""),"Apple Pay")</f>
        <v>Apple Pay</v>
      </c>
      <c r="M901" s="763" t="str">
        <f>IFERROR(__xludf.DUMMYFUNCTION("""COMPUTED_VALUE"""),"alexandra02ws")</f>
        <v>alexandra02ws</v>
      </c>
      <c r="N901" s="763" t="str">
        <f>IFERROR(__xludf.DUMMYFUNCTION("""COMPUTED_VALUE"""),"67709-1770376180")</f>
        <v>67709-1770376180</v>
      </c>
      <c r="O901" s="763">
        <f>IFERROR(__xludf.DUMMYFUNCTION("""COMPUTED_VALUE"""),0.0)</f>
        <v>0</v>
      </c>
      <c r="P901" s="767">
        <f>IFERROR(__xludf.DUMMYFUNCTION("""COMPUTED_VALUE"""),0.8333333333333334)</f>
        <v>0.8333333333</v>
      </c>
      <c r="Q901" s="763" t="str">
        <f>IFERROR(__xludf.DUMMYFUNCTION("""COMPUTED_VALUE"""),"EUR")</f>
        <v>EUR</v>
      </c>
      <c r="R901" s="763">
        <f>IFERROR(__xludf.DUMMYFUNCTION("""COMPUTED_VALUE"""),1606.0)</f>
        <v>1606</v>
      </c>
      <c r="S901" s="763" t="str">
        <f>IFERROR(__xludf.DUMMYFUNCTION("""COMPUTED_VALUE"""),"Open class Heels con Anahita 2026 - Open class Heels con Anahita 2026")</f>
        <v>Open class Heels con Anahita 2026 - Open class Heels con Anahita 2026</v>
      </c>
      <c r="T901" s="763"/>
      <c r="U901" s="763"/>
      <c r="V901" s="763">
        <f>IFERROR(__xludf.DUMMYFUNCTION("""COMPUTED_VALUE"""),1.0)</f>
        <v>1</v>
      </c>
      <c r="W901" s="763">
        <f>IFERROR(__xludf.DUMMYFUNCTION("""COMPUTED_VALUE"""),20.0)</f>
        <v>20</v>
      </c>
      <c r="X901" s="763">
        <f>IFERROR(__xludf.DUMMYFUNCTION("""COMPUTED_VALUE"""),20.0)</f>
        <v>20</v>
      </c>
      <c r="Y901" s="763"/>
      <c r="Z901" s="768" t="str">
        <f>IFERROR(__xludf.DUMMYFUNCTION("""COMPUTED_VALUE"""),"https://studio-gem.it/wp-admin/post.php?post=67709&amp;action=edit")</f>
        <v>https://studio-gem.it/wp-admin/post.php?post=67709&amp;action=edit</v>
      </c>
      <c r="AA901" s="763"/>
      <c r="AB901" s="763"/>
      <c r="AC901" s="763"/>
      <c r="AD901" s="763"/>
      <c r="AE901" s="763"/>
      <c r="AF901" s="763"/>
      <c r="AG901" s="763"/>
      <c r="AH901" s="763"/>
      <c r="AI901" s="763"/>
      <c r="AJ901" s="763"/>
      <c r="AK901" s="763"/>
      <c r="AL901" s="763"/>
      <c r="AM901" s="763"/>
      <c r="AN901" s="763"/>
      <c r="AO901" s="763"/>
      <c r="AP901" s="763"/>
      <c r="AQ901" s="763"/>
      <c r="AR901" s="763"/>
      <c r="AS901" s="763"/>
      <c r="AT901" s="763"/>
      <c r="AU901" s="763"/>
      <c r="AV901" s="763"/>
      <c r="AW901" s="763"/>
      <c r="AX901" s="763"/>
      <c r="AY901" s="763"/>
      <c r="AZ901" s="763"/>
      <c r="BA901" s="763"/>
      <c r="BB901" s="763"/>
      <c r="BC901" s="763"/>
      <c r="BD901" s="763"/>
      <c r="BE901" s="763"/>
      <c r="BF901" s="763"/>
      <c r="BG901" s="763" t="b">
        <f>IFERROR(__xludf.DUMMYFUNCTION("""COMPUTED_VALUE"""),TRUE)</f>
        <v>1</v>
      </c>
      <c r="BH901" s="763" t="b">
        <f>IFERROR(__xludf.DUMMYFUNCTION("""COMPUTED_VALUE"""),FALSE)</f>
        <v>0</v>
      </c>
      <c r="BI901" s="763" t="b">
        <f>IFERROR(__xludf.DUMMYFUNCTION("""COMPUTED_VALUE"""),TRUE)</f>
        <v>1</v>
      </c>
      <c r="BJ901" s="763" t="b">
        <f>IFERROR(__xludf.DUMMYFUNCTION("""COMPUTED_VALUE"""),TRUE)</f>
        <v>1</v>
      </c>
    </row>
    <row r="902">
      <c r="A902" s="763">
        <f>IFERROR(__xludf.DUMMYFUNCTION("""COMPUTED_VALUE"""),67743.0)</f>
        <v>67743</v>
      </c>
      <c r="B902" s="763">
        <f>IFERROR(__xludf.DUMMYFUNCTION("""COMPUTED_VALUE"""),67743.0)</f>
        <v>67743</v>
      </c>
      <c r="C902" s="763" t="str">
        <f>IFERROR(__xludf.DUMMYFUNCTION("""COMPUTED_VALUE"""),"2026-02-06 12:58:46")</f>
        <v>2026-02-06 12:58:46</v>
      </c>
      <c r="D902" s="763" t="str">
        <f>IFERROR(__xludf.DUMMYFUNCTION("""COMPUTED_VALUE"""),"processing")</f>
        <v>processing</v>
      </c>
      <c r="E902" s="763" t="str">
        <f>IFERROR(__xludf.DUMMYFUNCTION("""COMPUTED_VALUE"""),"Alessandra")</f>
        <v>Alessandra</v>
      </c>
      <c r="F902" s="763" t="str">
        <f>IFERROR(__xludf.DUMMYFUNCTION("""COMPUTED_VALUE"""),"Nava")</f>
        <v>Nava</v>
      </c>
      <c r="G902" s="763" t="str">
        <f>IFERROR(__xludf.DUMMYFUNCTION("""COMPUTED_VALUE"""),"alessandranava100@gmail.com")</f>
        <v>alessandranava100@gmail.com</v>
      </c>
      <c r="H902" s="763">
        <f>IFERROR(__xludf.DUMMYFUNCTION("""COMPUTED_VALUE"""),3.338369306E9)</f>
        <v>3338369306</v>
      </c>
      <c r="I902" s="763" t="str">
        <f>IFERROR(__xludf.DUMMYFUNCTION("""COMPUTED_VALUE"""),"Milano")</f>
        <v>Milano</v>
      </c>
      <c r="J902" s="763" t="str">
        <f>IFERROR(__xludf.DUMMYFUNCTION("""COMPUTED_VALUE"""),"Via Sanfelice 12")</f>
        <v>Via Sanfelice 12</v>
      </c>
      <c r="K902" s="763">
        <f>IFERROR(__xludf.DUMMYFUNCTION("""COMPUTED_VALUE"""),20137.0)</f>
        <v>20137</v>
      </c>
      <c r="L902" s="763" t="str">
        <f>IFERROR(__xludf.DUMMYFUNCTION("""COMPUTED_VALUE"""),"Carte di pagamento")</f>
        <v>Carte di pagamento</v>
      </c>
      <c r="M902" s="763" t="str">
        <f>IFERROR(__xludf.DUMMYFUNCTION("""COMPUTED_VALUE"""),"alexandra02ws")</f>
        <v>alexandra02ws</v>
      </c>
      <c r="N902" s="763" t="str">
        <f>IFERROR(__xludf.DUMMYFUNCTION("""COMPUTED_VALUE"""),"67743-1770382728")</f>
        <v>67743-1770382728</v>
      </c>
      <c r="O902" s="763">
        <f>IFERROR(__xludf.DUMMYFUNCTION("""COMPUTED_VALUE"""),0.0)</f>
        <v>0</v>
      </c>
      <c r="P902" s="767">
        <f>IFERROR(__xludf.DUMMYFUNCTION("""COMPUTED_VALUE"""),0.8333333333333334)</f>
        <v>0.8333333333</v>
      </c>
      <c r="Q902" s="763" t="str">
        <f>IFERROR(__xludf.DUMMYFUNCTION("""COMPUTED_VALUE"""),"EUR")</f>
        <v>EUR</v>
      </c>
      <c r="R902" s="763">
        <f>IFERROR(__xludf.DUMMYFUNCTION("""COMPUTED_VALUE"""),1608.0)</f>
        <v>1608</v>
      </c>
      <c r="S902" s="763" t="str">
        <f>IFERROR(__xludf.DUMMYFUNCTION("""COMPUTED_VALUE"""),"Open class Heels con Anahita 2026 - Open class Heels con Anahita 2026")</f>
        <v>Open class Heels con Anahita 2026 - Open class Heels con Anahita 2026</v>
      </c>
      <c r="T902" s="763"/>
      <c r="U902" s="763"/>
      <c r="V902" s="763">
        <f>IFERROR(__xludf.DUMMYFUNCTION("""COMPUTED_VALUE"""),1.0)</f>
        <v>1</v>
      </c>
      <c r="W902" s="763">
        <f>IFERROR(__xludf.DUMMYFUNCTION("""COMPUTED_VALUE"""),20.0)</f>
        <v>20</v>
      </c>
      <c r="X902" s="763">
        <f>IFERROR(__xludf.DUMMYFUNCTION("""COMPUTED_VALUE"""),20.0)</f>
        <v>20</v>
      </c>
      <c r="Y902" s="763"/>
      <c r="Z902" s="768" t="str">
        <f>IFERROR(__xludf.DUMMYFUNCTION("""COMPUTED_VALUE"""),"https://studio-gem.it/wp-admin/post.php?post=67743&amp;action=edit")</f>
        <v>https://studio-gem.it/wp-admin/post.php?post=67743&amp;action=edit</v>
      </c>
      <c r="AA902" s="763"/>
      <c r="AB902" s="763"/>
      <c r="AC902" s="763"/>
      <c r="AD902" s="763"/>
      <c r="AE902" s="763"/>
      <c r="AF902" s="763"/>
      <c r="AG902" s="763"/>
      <c r="AH902" s="763"/>
      <c r="AI902" s="763"/>
      <c r="AJ902" s="763"/>
      <c r="AK902" s="763"/>
      <c r="AL902" s="763"/>
      <c r="AM902" s="763"/>
      <c r="AN902" s="763"/>
      <c r="AO902" s="763"/>
      <c r="AP902" s="763"/>
      <c r="AQ902" s="763"/>
      <c r="AR902" s="763"/>
      <c r="AS902" s="763"/>
      <c r="AT902" s="763"/>
      <c r="AU902" s="763"/>
      <c r="AV902" s="763"/>
      <c r="AW902" s="763"/>
      <c r="AX902" s="763"/>
      <c r="AY902" s="763"/>
      <c r="AZ902" s="763"/>
      <c r="BA902" s="763"/>
      <c r="BB902" s="763"/>
      <c r="BC902" s="763"/>
      <c r="BD902" s="763"/>
      <c r="BE902" s="763"/>
      <c r="BF902" s="763"/>
      <c r="BG902" s="763" t="b">
        <f>IFERROR(__xludf.DUMMYFUNCTION("""COMPUTED_VALUE"""),TRUE)</f>
        <v>1</v>
      </c>
      <c r="BH902" s="763" t="b">
        <f>IFERROR(__xludf.DUMMYFUNCTION("""COMPUTED_VALUE"""),FALSE)</f>
        <v>0</v>
      </c>
      <c r="BI902" s="763" t="b">
        <f>IFERROR(__xludf.DUMMYFUNCTION("""COMPUTED_VALUE"""),TRUE)</f>
        <v>1</v>
      </c>
      <c r="BJ902" s="763" t="b">
        <f>IFERROR(__xludf.DUMMYFUNCTION("""COMPUTED_VALUE"""),TRUE)</f>
        <v>1</v>
      </c>
    </row>
    <row r="903">
      <c r="A903" s="763">
        <f>IFERROR(__xludf.DUMMYFUNCTION("""COMPUTED_VALUE"""),67745.0)</f>
        <v>67745</v>
      </c>
      <c r="B903" s="763">
        <f>IFERROR(__xludf.DUMMYFUNCTION("""COMPUTED_VALUE"""),67745.0)</f>
        <v>67745</v>
      </c>
      <c r="C903" s="763" t="str">
        <f>IFERROR(__xludf.DUMMYFUNCTION("""COMPUTED_VALUE"""),"2026-02-06 13:01:43")</f>
        <v>2026-02-06 13:01:43</v>
      </c>
      <c r="D903" s="763" t="str">
        <f>IFERROR(__xludf.DUMMYFUNCTION("""COMPUTED_VALUE"""),"completed")</f>
        <v>completed</v>
      </c>
      <c r="E903" s="763" t="str">
        <f>IFERROR(__xludf.DUMMYFUNCTION("""COMPUTED_VALUE"""),"Sofia")</f>
        <v>Sofia</v>
      </c>
      <c r="F903" s="763" t="str">
        <f>IFERROR(__xludf.DUMMYFUNCTION("""COMPUTED_VALUE"""),"Fonte")</f>
        <v>Fonte</v>
      </c>
      <c r="G903" s="763" t="str">
        <f>IFERROR(__xludf.DUMMYFUNCTION("""COMPUTED_VALUE"""),"sofiafonte2005@gmail.com")</f>
        <v>sofiafonte2005@gmail.com</v>
      </c>
      <c r="H903" s="763">
        <f>IFERROR(__xludf.DUMMYFUNCTION("""COMPUTED_VALUE"""),3.423550544E9)</f>
        <v>3423550544</v>
      </c>
      <c r="I903" s="763" t="str">
        <f>IFERROR(__xludf.DUMMYFUNCTION("""COMPUTED_VALUE"""),"Milano")</f>
        <v>Milano</v>
      </c>
      <c r="J903" s="763" t="str">
        <f>IFERROR(__xludf.DUMMYFUNCTION("""COMPUTED_VALUE"""),"Via Arezzo, 8")</f>
        <v>Via Arezzo, 8</v>
      </c>
      <c r="K903" s="763">
        <f>IFERROR(__xludf.DUMMYFUNCTION("""COMPUTED_VALUE"""),20162.0)</f>
        <v>20162</v>
      </c>
      <c r="L903" s="763" t="str">
        <f>IFERROR(__xludf.DUMMYFUNCTION("""COMPUTED_VALUE"""),"Carte di pagamento")</f>
        <v>Carte di pagamento</v>
      </c>
      <c r="M903" s="763"/>
      <c r="N903" s="763" t="str">
        <f>IFERROR(__xludf.DUMMYFUNCTION("""COMPUTED_VALUE"""),"67745-1770382905")</f>
        <v>67745-1770382905</v>
      </c>
      <c r="O903" s="763">
        <f>IFERROR(__xludf.DUMMYFUNCTION("""COMPUTED_VALUE"""),0.0)</f>
        <v>0</v>
      </c>
      <c r="P903" s="767">
        <f>IFERROR(__xludf.DUMMYFUNCTION("""COMPUTED_VALUE"""),0.9166666666666666)</f>
        <v>0.9166666667</v>
      </c>
      <c r="Q903" s="763" t="str">
        <f>IFERROR(__xludf.DUMMYFUNCTION("""COMPUTED_VALUE"""),"EUR")</f>
        <v>EUR</v>
      </c>
      <c r="R903" s="763">
        <f>IFERROR(__xludf.DUMMYFUNCTION("""COMPUTED_VALUE"""),1610.0)</f>
        <v>1610</v>
      </c>
      <c r="S903" s="763" t="str">
        <f>IFERROR(__xludf.DUMMYFUNCTION("""COMPUTED_VALUE"""),"Open class Heels con Anahita 2026 - Open class Heels con Anahita 2026")</f>
        <v>Open class Heels con Anahita 2026 - Open class Heels con Anahita 2026</v>
      </c>
      <c r="T903" s="763"/>
      <c r="U903" s="763"/>
      <c r="V903" s="763">
        <f>IFERROR(__xludf.DUMMYFUNCTION("""COMPUTED_VALUE"""),1.0)</f>
        <v>1</v>
      </c>
      <c r="W903" s="763">
        <f>IFERROR(__xludf.DUMMYFUNCTION("""COMPUTED_VALUE"""),22.0)</f>
        <v>22</v>
      </c>
      <c r="X903" s="763">
        <f>IFERROR(__xludf.DUMMYFUNCTION("""COMPUTED_VALUE"""),22.0)</f>
        <v>22</v>
      </c>
      <c r="Y903" s="763"/>
      <c r="Z903" s="768" t="str">
        <f>IFERROR(__xludf.DUMMYFUNCTION("""COMPUTED_VALUE"""),"https://studio-gem.it/wp-admin/post.php?post=67745&amp;action=edit")</f>
        <v>https://studio-gem.it/wp-admin/post.php?post=67745&amp;action=edit</v>
      </c>
      <c r="AA903" s="763"/>
      <c r="AB903" s="763"/>
      <c r="AC903" s="763"/>
      <c r="AD903" s="763"/>
      <c r="AE903" s="763"/>
      <c r="AF903" s="763"/>
      <c r="AG903" s="763"/>
      <c r="AH903" s="763"/>
      <c r="AI903" s="763"/>
      <c r="AJ903" s="763"/>
      <c r="AK903" s="763"/>
      <c r="AL903" s="763"/>
      <c r="AM903" s="763"/>
      <c r="AN903" s="763"/>
      <c r="AO903" s="763"/>
      <c r="AP903" s="763"/>
      <c r="AQ903" s="763"/>
      <c r="AR903" s="763"/>
      <c r="AS903" s="763"/>
      <c r="AT903" s="763"/>
      <c r="AU903" s="763"/>
      <c r="AV903" s="763"/>
      <c r="AW903" s="763"/>
      <c r="AX903" s="763"/>
      <c r="AY903" s="763"/>
      <c r="AZ903" s="763"/>
      <c r="BA903" s="763"/>
      <c r="BB903" s="763"/>
      <c r="BC903" s="763"/>
      <c r="BD903" s="763"/>
      <c r="BE903" s="763"/>
      <c r="BF903" s="763"/>
      <c r="BG903" s="763" t="b">
        <f>IFERROR(__xludf.DUMMYFUNCTION("""COMPUTED_VALUE"""),TRUE)</f>
        <v>1</v>
      </c>
      <c r="BH903" s="763" t="b">
        <f>IFERROR(__xludf.DUMMYFUNCTION("""COMPUTED_VALUE"""),FALSE)</f>
        <v>0</v>
      </c>
      <c r="BI903" s="763" t="b">
        <f>IFERROR(__xludf.DUMMYFUNCTION("""COMPUTED_VALUE"""),TRUE)</f>
        <v>1</v>
      </c>
      <c r="BJ903" s="763" t="b">
        <f>IFERROR(__xludf.DUMMYFUNCTION("""COMPUTED_VALUE"""),TRUE)</f>
        <v>1</v>
      </c>
    </row>
    <row r="904">
      <c r="A904" s="763">
        <f>IFERROR(__xludf.DUMMYFUNCTION("""COMPUTED_VALUE"""),67750.0)</f>
        <v>67750</v>
      </c>
      <c r="B904" s="763">
        <f>IFERROR(__xludf.DUMMYFUNCTION("""COMPUTED_VALUE"""),67750.0)</f>
        <v>67750</v>
      </c>
      <c r="C904" s="763" t="str">
        <f>IFERROR(__xludf.DUMMYFUNCTION("""COMPUTED_VALUE"""),"2026-02-06 13:39:43")</f>
        <v>2026-02-06 13:39:43</v>
      </c>
      <c r="D904" s="763" t="str">
        <f>IFERROR(__xludf.DUMMYFUNCTION("""COMPUTED_VALUE"""),"completed")</f>
        <v>completed</v>
      </c>
      <c r="E904" s="763" t="str">
        <f>IFERROR(__xludf.DUMMYFUNCTION("""COMPUTED_VALUE"""),"Laura")</f>
        <v>Laura</v>
      </c>
      <c r="F904" s="763" t="str">
        <f>IFERROR(__xludf.DUMMYFUNCTION("""COMPUTED_VALUE"""),"Soldati")</f>
        <v>Soldati</v>
      </c>
      <c r="G904" s="763" t="str">
        <f>IFERROR(__xludf.DUMMYFUNCTION("""COMPUTED_VALUE"""),"laurasoldati4@gmail.com")</f>
        <v>laurasoldati4@gmail.com</v>
      </c>
      <c r="H904" s="763">
        <f>IFERROR(__xludf.DUMMYFUNCTION("""COMPUTED_VALUE"""),3.338841283E9)</f>
        <v>3338841283</v>
      </c>
      <c r="I904" s="763" t="str">
        <f>IFERROR(__xludf.DUMMYFUNCTION("""COMPUTED_VALUE"""),"Firenze")</f>
        <v>Firenze</v>
      </c>
      <c r="J904" s="763" t="str">
        <f>IFERROR(__xludf.DUMMYFUNCTION("""COMPUTED_VALUE"""),"Via Guido Monaco 20")</f>
        <v>Via Guido Monaco 20</v>
      </c>
      <c r="K904" s="763">
        <f>IFERROR(__xludf.DUMMYFUNCTION("""COMPUTED_VALUE"""),50144.0)</f>
        <v>50144</v>
      </c>
      <c r="L904" s="763" t="str">
        <f>IFERROR(__xludf.DUMMYFUNCTION("""COMPUTED_VALUE"""),"Apple Pay")</f>
        <v>Apple Pay</v>
      </c>
      <c r="M904" s="763"/>
      <c r="N904" s="763" t="str">
        <f>IFERROR(__xludf.DUMMYFUNCTION("""COMPUTED_VALUE"""),"67750-1770385185")</f>
        <v>67750-1770385185</v>
      </c>
      <c r="O904" s="763">
        <f>IFERROR(__xludf.DUMMYFUNCTION("""COMPUTED_VALUE"""),0.0)</f>
        <v>0</v>
      </c>
      <c r="P904" s="767">
        <f>IFERROR(__xludf.DUMMYFUNCTION("""COMPUTED_VALUE"""),1.875)</f>
        <v>1.875</v>
      </c>
      <c r="Q904" s="763" t="str">
        <f>IFERROR(__xludf.DUMMYFUNCTION("""COMPUTED_VALUE"""),"EUR")</f>
        <v>EUR</v>
      </c>
      <c r="R904" s="763">
        <f>IFERROR(__xludf.DUMMYFUNCTION("""COMPUTED_VALUE"""),1611.0)</f>
        <v>1611</v>
      </c>
      <c r="S904" s="763" t="str">
        <f>IFERROR(__xludf.DUMMYFUNCTION("""COMPUTED_VALUE"""),"Workshop Hip Hop Emanuel Lo 2026 - Workshop Emanuel Lo h 16 22 febbraio 2026")</f>
        <v>Workshop Hip Hop Emanuel Lo 2026 - Workshop Emanuel Lo h 16 22 febbraio 2026</v>
      </c>
      <c r="T904" s="763"/>
      <c r="U904" s="763"/>
      <c r="V904" s="763">
        <f>IFERROR(__xludf.DUMMYFUNCTION("""COMPUTED_VALUE"""),1.0)</f>
        <v>1</v>
      </c>
      <c r="W904" s="763">
        <f>IFERROR(__xludf.DUMMYFUNCTION("""COMPUTED_VALUE"""),45.0)</f>
        <v>45</v>
      </c>
      <c r="X904" s="763">
        <f>IFERROR(__xludf.DUMMYFUNCTION("""COMPUTED_VALUE"""),45.0)</f>
        <v>45</v>
      </c>
      <c r="Y904" s="763"/>
      <c r="Z904" s="768" t="str">
        <f>IFERROR(__xludf.DUMMYFUNCTION("""COMPUTED_VALUE"""),"https://studio-gem.it/wp-admin/post.php?post=67750&amp;action=edit")</f>
        <v>https://studio-gem.it/wp-admin/post.php?post=67750&amp;action=edit</v>
      </c>
      <c r="AA904" s="763"/>
      <c r="AB904" s="763"/>
      <c r="AC904" s="763"/>
      <c r="AD904" s="763"/>
      <c r="AE904" s="763"/>
      <c r="AF904" s="763"/>
      <c r="AG904" s="763"/>
      <c r="AH904" s="763"/>
      <c r="AI904" s="763"/>
      <c r="AJ904" s="763"/>
      <c r="AK904" s="763"/>
      <c r="AL904" s="763"/>
      <c r="AM904" s="763"/>
      <c r="AN904" s="763"/>
      <c r="AO904" s="763"/>
      <c r="AP904" s="763"/>
      <c r="AQ904" s="763"/>
      <c r="AR904" s="763"/>
      <c r="AS904" s="763"/>
      <c r="AT904" s="763"/>
      <c r="AU904" s="763"/>
      <c r="AV904" s="763"/>
      <c r="AW904" s="763"/>
      <c r="AX904" s="763"/>
      <c r="AY904" s="763"/>
      <c r="AZ904" s="763"/>
      <c r="BA904" s="763"/>
      <c r="BB904" s="763"/>
      <c r="BC904" s="763"/>
      <c r="BD904" s="763"/>
      <c r="BE904" s="763"/>
      <c r="BF904" s="763"/>
      <c r="BG904" s="763" t="b">
        <f>IFERROR(__xludf.DUMMYFUNCTION("""COMPUTED_VALUE"""),TRUE)</f>
        <v>1</v>
      </c>
      <c r="BH904" s="763" t="b">
        <f>IFERROR(__xludf.DUMMYFUNCTION("""COMPUTED_VALUE"""),FALSE)</f>
        <v>0</v>
      </c>
      <c r="BI904" s="763" t="b">
        <f>IFERROR(__xludf.DUMMYFUNCTION("""COMPUTED_VALUE"""),TRUE)</f>
        <v>1</v>
      </c>
      <c r="BJ904" s="763" t="b">
        <f>IFERROR(__xludf.DUMMYFUNCTION("""COMPUTED_VALUE"""),TRUE)</f>
        <v>1</v>
      </c>
    </row>
    <row r="905">
      <c r="A905" s="763">
        <f>IFERROR(__xludf.DUMMYFUNCTION("""COMPUTED_VALUE"""),67752.0)</f>
        <v>67752</v>
      </c>
      <c r="B905" s="763">
        <f>IFERROR(__xludf.DUMMYFUNCTION("""COMPUTED_VALUE"""),67752.0)</f>
        <v>67752</v>
      </c>
      <c r="C905" s="763" t="str">
        <f>IFERROR(__xludf.DUMMYFUNCTION("""COMPUTED_VALUE"""),"2026-02-06 13:40:38")</f>
        <v>2026-02-06 13:40:38</v>
      </c>
      <c r="D905" s="763" t="str">
        <f>IFERROR(__xludf.DUMMYFUNCTION("""COMPUTED_VALUE"""),"pending")</f>
        <v>pending</v>
      </c>
      <c r="E905" s="763" t="str">
        <f>IFERROR(__xludf.DUMMYFUNCTION("""COMPUTED_VALUE"""),"Merssi")</f>
        <v>Merssi</v>
      </c>
      <c r="F905" s="763" t="str">
        <f>IFERROR(__xludf.DUMMYFUNCTION("""COMPUTED_VALUE"""),"Ferhati")</f>
        <v>Ferhati</v>
      </c>
      <c r="G905" s="763" t="str">
        <f>IFERROR(__xludf.DUMMYFUNCTION("""COMPUTED_VALUE"""),"ferhatimerssi@hotmail.com")</f>
        <v>ferhatimerssi@hotmail.com</v>
      </c>
      <c r="H905" s="763">
        <f>IFERROR(__xludf.DUMMYFUNCTION("""COMPUTED_VALUE"""),3.345811794E9)</f>
        <v>3345811794</v>
      </c>
      <c r="I905" s="763" t="str">
        <f>IFERROR(__xludf.DUMMYFUNCTION("""COMPUTED_VALUE"""),"Milano")</f>
        <v>Milano</v>
      </c>
      <c r="J905" s="763" t="str">
        <f>IFERROR(__xludf.DUMMYFUNCTION("""COMPUTED_VALUE"""),"Corso luigi manusardi 2")</f>
        <v>Corso luigi manusardi 2</v>
      </c>
      <c r="K905" s="763">
        <f>IFERROR(__xludf.DUMMYFUNCTION("""COMPUTED_VALUE"""),20136.0)</f>
        <v>20136</v>
      </c>
      <c r="L905" s="763" t="str">
        <f>IFERROR(__xludf.DUMMYFUNCTION("""COMPUTED_VALUE"""),"Apple Pay")</f>
        <v>Apple Pay</v>
      </c>
      <c r="M905" s="763"/>
      <c r="N905" s="763"/>
      <c r="O905" s="763">
        <f>IFERROR(__xludf.DUMMYFUNCTION("""COMPUTED_VALUE"""),0.0)</f>
        <v>0</v>
      </c>
      <c r="P905" s="767">
        <f>IFERROR(__xludf.DUMMYFUNCTION("""COMPUTED_VALUE"""),0.9166666666666666)</f>
        <v>0.9166666667</v>
      </c>
      <c r="Q905" s="763" t="str">
        <f>IFERROR(__xludf.DUMMYFUNCTION("""COMPUTED_VALUE"""),"EUR")</f>
        <v>EUR</v>
      </c>
      <c r="R905" s="763">
        <f>IFERROR(__xludf.DUMMYFUNCTION("""COMPUTED_VALUE"""),1612.0)</f>
        <v>1612</v>
      </c>
      <c r="S905" s="763" t="str">
        <f>IFERROR(__xludf.DUMMYFUNCTION("""COMPUTED_VALUE"""),"Open class Heels con Anahita 2026 - Open class Heels con Anahita 2026")</f>
        <v>Open class Heels con Anahita 2026 - Open class Heels con Anahita 2026</v>
      </c>
      <c r="T905" s="763"/>
      <c r="U905" s="763"/>
      <c r="V905" s="763">
        <f>IFERROR(__xludf.DUMMYFUNCTION("""COMPUTED_VALUE"""),1.0)</f>
        <v>1</v>
      </c>
      <c r="W905" s="763">
        <f>IFERROR(__xludf.DUMMYFUNCTION("""COMPUTED_VALUE"""),22.0)</f>
        <v>22</v>
      </c>
      <c r="X905" s="763">
        <f>IFERROR(__xludf.DUMMYFUNCTION("""COMPUTED_VALUE"""),22.0)</f>
        <v>22</v>
      </c>
      <c r="Y905" s="763"/>
      <c r="Z905" s="768" t="str">
        <f>IFERROR(__xludf.DUMMYFUNCTION("""COMPUTED_VALUE"""),"https://studio-gem.it/wp-admin/post.php?post=67752&amp;action=edit")</f>
        <v>https://studio-gem.it/wp-admin/post.php?post=67752&amp;action=edit</v>
      </c>
      <c r="AA905" s="763"/>
      <c r="AB905" s="763"/>
      <c r="AC905" s="763"/>
      <c r="AD905" s="763"/>
      <c r="AE905" s="763"/>
      <c r="AF905" s="763"/>
      <c r="AG905" s="763"/>
      <c r="AH905" s="763"/>
      <c r="AI905" s="763"/>
      <c r="AJ905" s="763"/>
      <c r="AK905" s="763"/>
      <c r="AL905" s="763"/>
      <c r="AM905" s="763"/>
      <c r="AN905" s="763"/>
      <c r="AO905" s="763"/>
      <c r="AP905" s="763"/>
      <c r="AQ905" s="763"/>
      <c r="AR905" s="763"/>
      <c r="AS905" s="763"/>
      <c r="AT905" s="763"/>
      <c r="AU905" s="763"/>
      <c r="AV905" s="763"/>
      <c r="AW905" s="763"/>
      <c r="AX905" s="763"/>
      <c r="AY905" s="763"/>
      <c r="AZ905" s="763"/>
      <c r="BA905" s="763"/>
      <c r="BB905" s="763"/>
      <c r="BC905" s="763"/>
      <c r="BD905" s="763"/>
      <c r="BE905" s="763"/>
      <c r="BF905" s="763"/>
      <c r="BG905" s="763" t="b">
        <f>IFERROR(__xludf.DUMMYFUNCTION("""COMPUTED_VALUE"""),FALSE)</f>
        <v>0</v>
      </c>
      <c r="BH905" s="763" t="b">
        <f>IFERROR(__xludf.DUMMYFUNCTION("""COMPUTED_VALUE"""),FALSE)</f>
        <v>0</v>
      </c>
      <c r="BI905" s="763" t="b">
        <f>IFERROR(__xludf.DUMMYFUNCTION("""COMPUTED_VALUE"""),FALSE)</f>
        <v>0</v>
      </c>
      <c r="BJ905" s="763" t="b">
        <f>IFERROR(__xludf.DUMMYFUNCTION("""COMPUTED_VALUE"""),FALSE)</f>
        <v>0</v>
      </c>
    </row>
    <row r="906">
      <c r="A906" s="763">
        <f>IFERROR(__xludf.DUMMYFUNCTION("""COMPUTED_VALUE"""),67753.0)</f>
        <v>67753</v>
      </c>
      <c r="B906" s="763">
        <f>IFERROR(__xludf.DUMMYFUNCTION("""COMPUTED_VALUE"""),67753.0)</f>
        <v>67753</v>
      </c>
      <c r="C906" s="763" t="str">
        <f>IFERROR(__xludf.DUMMYFUNCTION("""COMPUTED_VALUE"""),"2026-02-06 13:41:41")</f>
        <v>2026-02-06 13:41:41</v>
      </c>
      <c r="D906" s="763" t="str">
        <f>IFERROR(__xludf.DUMMYFUNCTION("""COMPUTED_VALUE"""),"completed")</f>
        <v>completed</v>
      </c>
      <c r="E906" s="763" t="str">
        <f>IFERROR(__xludf.DUMMYFUNCTION("""COMPUTED_VALUE"""),"Merssi")</f>
        <v>Merssi</v>
      </c>
      <c r="F906" s="763" t="str">
        <f>IFERROR(__xludf.DUMMYFUNCTION("""COMPUTED_VALUE"""),"Ferhati")</f>
        <v>Ferhati</v>
      </c>
      <c r="G906" s="763" t="str">
        <f>IFERROR(__xludf.DUMMYFUNCTION("""COMPUTED_VALUE"""),"ferhatimerssi@hotmail.com")</f>
        <v>ferhatimerssi@hotmail.com</v>
      </c>
      <c r="H906" s="763">
        <f>IFERROR(__xludf.DUMMYFUNCTION("""COMPUTED_VALUE"""),3.345811794E9)</f>
        <v>3345811794</v>
      </c>
      <c r="I906" s="763" t="str">
        <f>IFERROR(__xludf.DUMMYFUNCTION("""COMPUTED_VALUE"""),"Milano")</f>
        <v>Milano</v>
      </c>
      <c r="J906" s="763" t="str">
        <f>IFERROR(__xludf.DUMMYFUNCTION("""COMPUTED_VALUE"""),"Corso luigi manusardi 2")</f>
        <v>Corso luigi manusardi 2</v>
      </c>
      <c r="K906" s="763">
        <f>IFERROR(__xludf.DUMMYFUNCTION("""COMPUTED_VALUE"""),20136.0)</f>
        <v>20136</v>
      </c>
      <c r="L906" s="763" t="str">
        <f>IFERROR(__xludf.DUMMYFUNCTION("""COMPUTED_VALUE"""),"Apple Pay")</f>
        <v>Apple Pay</v>
      </c>
      <c r="M906" s="763" t="str">
        <f>IFERROR(__xludf.DUMMYFUNCTION("""COMPUTED_VALUE"""),"alexandra02ws")</f>
        <v>alexandra02ws</v>
      </c>
      <c r="N906" s="763" t="str">
        <f>IFERROR(__xludf.DUMMYFUNCTION("""COMPUTED_VALUE"""),"67753-1770385303")</f>
        <v>67753-1770385303</v>
      </c>
      <c r="O906" s="763">
        <f>IFERROR(__xludf.DUMMYFUNCTION("""COMPUTED_VALUE"""),0.0)</f>
        <v>0</v>
      </c>
      <c r="P906" s="767">
        <f>IFERROR(__xludf.DUMMYFUNCTION("""COMPUTED_VALUE"""),0.8333333333333334)</f>
        <v>0.8333333333</v>
      </c>
      <c r="Q906" s="763" t="str">
        <f>IFERROR(__xludf.DUMMYFUNCTION("""COMPUTED_VALUE"""),"EUR")</f>
        <v>EUR</v>
      </c>
      <c r="R906" s="763">
        <f>IFERROR(__xludf.DUMMYFUNCTION("""COMPUTED_VALUE"""),1613.0)</f>
        <v>1613</v>
      </c>
      <c r="S906" s="763" t="str">
        <f>IFERROR(__xludf.DUMMYFUNCTION("""COMPUTED_VALUE"""),"Open class Heels con Anahita 2026 - Open class Heels con Anahita 2026")</f>
        <v>Open class Heels con Anahita 2026 - Open class Heels con Anahita 2026</v>
      </c>
      <c r="T906" s="763"/>
      <c r="U906" s="763"/>
      <c r="V906" s="763">
        <f>IFERROR(__xludf.DUMMYFUNCTION("""COMPUTED_VALUE"""),1.0)</f>
        <v>1</v>
      </c>
      <c r="W906" s="763">
        <f>IFERROR(__xludf.DUMMYFUNCTION("""COMPUTED_VALUE"""),20.0)</f>
        <v>20</v>
      </c>
      <c r="X906" s="763">
        <f>IFERROR(__xludf.DUMMYFUNCTION("""COMPUTED_VALUE"""),20.0)</f>
        <v>20</v>
      </c>
      <c r="Y906" s="763"/>
      <c r="Z906" s="768" t="str">
        <f>IFERROR(__xludf.DUMMYFUNCTION("""COMPUTED_VALUE"""),"https://studio-gem.it/wp-admin/post.php?post=67753&amp;action=edit")</f>
        <v>https://studio-gem.it/wp-admin/post.php?post=67753&amp;action=edit</v>
      </c>
      <c r="AA906" s="763"/>
      <c r="AB906" s="763"/>
      <c r="AC906" s="763"/>
      <c r="AD906" s="763"/>
      <c r="AE906" s="763"/>
      <c r="AF906" s="763"/>
      <c r="AG906" s="763"/>
      <c r="AH906" s="763"/>
      <c r="AI906" s="763"/>
      <c r="AJ906" s="763"/>
      <c r="AK906" s="763"/>
      <c r="AL906" s="763"/>
      <c r="AM906" s="763"/>
      <c r="AN906" s="763"/>
      <c r="AO906" s="763"/>
      <c r="AP906" s="763"/>
      <c r="AQ906" s="763"/>
      <c r="AR906" s="763"/>
      <c r="AS906" s="763"/>
      <c r="AT906" s="763"/>
      <c r="AU906" s="763"/>
      <c r="AV906" s="763"/>
      <c r="AW906" s="763"/>
      <c r="AX906" s="763"/>
      <c r="AY906" s="763"/>
      <c r="AZ906" s="763"/>
      <c r="BA906" s="763"/>
      <c r="BB906" s="763"/>
      <c r="BC906" s="763"/>
      <c r="BD906" s="763"/>
      <c r="BE906" s="763"/>
      <c r="BF906" s="763"/>
      <c r="BG906" s="763" t="b">
        <f>IFERROR(__xludf.DUMMYFUNCTION("""COMPUTED_VALUE"""),TRUE)</f>
        <v>1</v>
      </c>
      <c r="BH906" s="763" t="b">
        <f>IFERROR(__xludf.DUMMYFUNCTION("""COMPUTED_VALUE"""),FALSE)</f>
        <v>0</v>
      </c>
      <c r="BI906" s="763" t="b">
        <f>IFERROR(__xludf.DUMMYFUNCTION("""COMPUTED_VALUE"""),TRUE)</f>
        <v>1</v>
      </c>
      <c r="BJ906" s="763" t="b">
        <f>IFERROR(__xludf.DUMMYFUNCTION("""COMPUTED_VALUE"""),TRUE)</f>
        <v>1</v>
      </c>
    </row>
    <row r="907">
      <c r="A907" s="763">
        <f>IFERROR(__xludf.DUMMYFUNCTION("""COMPUTED_VALUE"""),67755.0)</f>
        <v>67755</v>
      </c>
      <c r="B907" s="763">
        <f>IFERROR(__xludf.DUMMYFUNCTION("""COMPUTED_VALUE"""),67755.0)</f>
        <v>67755</v>
      </c>
      <c r="C907" s="763" t="str">
        <f>IFERROR(__xludf.DUMMYFUNCTION("""COMPUTED_VALUE"""),"2026-02-06 13:49:38")</f>
        <v>2026-02-06 13:49:38</v>
      </c>
      <c r="D907" s="763" t="str">
        <f>IFERROR(__xludf.DUMMYFUNCTION("""COMPUTED_VALUE"""),"cancelled")</f>
        <v>cancelled</v>
      </c>
      <c r="E907" s="763" t="str">
        <f>IFERROR(__xludf.DUMMYFUNCTION("""COMPUTED_VALUE"""),"Patrizia")</f>
        <v>Patrizia</v>
      </c>
      <c r="F907" s="763" t="str">
        <f>IFERROR(__xludf.DUMMYFUNCTION("""COMPUTED_VALUE"""),"Caruso")</f>
        <v>Caruso</v>
      </c>
      <c r="G907" s="763" t="str">
        <f>IFERROR(__xludf.DUMMYFUNCTION("""COMPUTED_VALUE"""),"patrizia1205@yahoo.it")</f>
        <v>patrizia1205@yahoo.it</v>
      </c>
      <c r="H907" s="763">
        <f>IFERROR(__xludf.DUMMYFUNCTION("""COMPUTED_VALUE"""),3.389317331E9)</f>
        <v>3389317331</v>
      </c>
      <c r="I907" s="763" t="str">
        <f>IFERROR(__xludf.DUMMYFUNCTION("""COMPUTED_VALUE"""),"Torino")</f>
        <v>Torino</v>
      </c>
      <c r="J907" s="763" t="str">
        <f>IFERROR(__xludf.DUMMYFUNCTION("""COMPUTED_VALUE"""),"Via Michele Coppino 77")</f>
        <v>Via Michele Coppino 77</v>
      </c>
      <c r="K907" s="763">
        <f>IFERROR(__xludf.DUMMYFUNCTION("""COMPUTED_VALUE"""),10147.0)</f>
        <v>10147</v>
      </c>
      <c r="L907" s="763" t="str">
        <f>IFERROR(__xludf.DUMMYFUNCTION("""COMPUTED_VALUE"""),"Satispay")</f>
        <v>Satispay</v>
      </c>
      <c r="M907" s="763"/>
      <c r="N907" s="763" t="str">
        <f>IFERROR(__xludf.DUMMYFUNCTION("""COMPUTED_VALUE"""),"019c3337-294f-7630-9921-d89f7fa136fa")</f>
        <v>019c3337-294f-7630-9921-d89f7fa136fa</v>
      </c>
      <c r="O907" s="763">
        <f>IFERROR(__xludf.DUMMYFUNCTION("""COMPUTED_VALUE"""),0.0)</f>
        <v>0</v>
      </c>
      <c r="P907" s="767">
        <f>IFERROR(__xludf.DUMMYFUNCTION("""COMPUTED_VALUE"""),1.875)</f>
        <v>1.875</v>
      </c>
      <c r="Q907" s="763" t="str">
        <f>IFERROR(__xludf.DUMMYFUNCTION("""COMPUTED_VALUE"""),"EUR")</f>
        <v>EUR</v>
      </c>
      <c r="R907" s="763">
        <f>IFERROR(__xludf.DUMMYFUNCTION("""COMPUTED_VALUE"""),1615.0)</f>
        <v>1615</v>
      </c>
      <c r="S907" s="763" t="str">
        <f>IFERROR(__xludf.DUMMYFUNCTION("""COMPUTED_VALUE"""),"Workshop Hip Hop Emanuel Lo 2026 - Workshop Emanuel Lo h 16 22 febbraio 2026")</f>
        <v>Workshop Hip Hop Emanuel Lo 2026 - Workshop Emanuel Lo h 16 22 febbraio 2026</v>
      </c>
      <c r="T907" s="763"/>
      <c r="U907" s="763"/>
      <c r="V907" s="763">
        <f>IFERROR(__xludf.DUMMYFUNCTION("""COMPUTED_VALUE"""),1.0)</f>
        <v>1</v>
      </c>
      <c r="W907" s="763">
        <f>IFERROR(__xludf.DUMMYFUNCTION("""COMPUTED_VALUE"""),45.0)</f>
        <v>45</v>
      </c>
      <c r="X907" s="763">
        <f>IFERROR(__xludf.DUMMYFUNCTION("""COMPUTED_VALUE"""),45.0)</f>
        <v>45</v>
      </c>
      <c r="Y907" s="763"/>
      <c r="Z907" s="768" t="str">
        <f>IFERROR(__xludf.DUMMYFUNCTION("""COMPUTED_VALUE"""),"https://studio-gem.it/wp-admin/post.php?post=67755&amp;action=edit")</f>
        <v>https://studio-gem.it/wp-admin/post.php?post=67755&amp;action=edit</v>
      </c>
      <c r="AA907" s="763"/>
      <c r="AB907" s="763"/>
      <c r="AC907" s="763"/>
      <c r="AD907" s="763"/>
      <c r="AE907" s="763"/>
      <c r="AF907" s="763"/>
      <c r="AG907" s="763"/>
      <c r="AH907" s="763"/>
      <c r="AI907" s="763"/>
      <c r="AJ907" s="763"/>
      <c r="AK907" s="763"/>
      <c r="AL907" s="763"/>
      <c r="AM907" s="763"/>
      <c r="AN907" s="763"/>
      <c r="AO907" s="763"/>
      <c r="AP907" s="763"/>
      <c r="AQ907" s="763"/>
      <c r="AR907" s="763"/>
      <c r="AS907" s="763"/>
      <c r="AT907" s="763"/>
      <c r="AU907" s="763"/>
      <c r="AV907" s="763"/>
      <c r="AW907" s="763"/>
      <c r="AX907" s="763"/>
      <c r="AY907" s="763"/>
      <c r="AZ907" s="763"/>
      <c r="BA907" s="763"/>
      <c r="BB907" s="763"/>
      <c r="BC907" s="763"/>
      <c r="BD907" s="763"/>
      <c r="BE907" s="763"/>
      <c r="BF907" s="763"/>
      <c r="BG907" s="763" t="b">
        <f>IFERROR(__xludf.DUMMYFUNCTION("""COMPUTED_VALUE"""),FALSE)</f>
        <v>0</v>
      </c>
      <c r="BH907" s="763" t="b">
        <f>IFERROR(__xludf.DUMMYFUNCTION("""COMPUTED_VALUE"""),FALSE)</f>
        <v>0</v>
      </c>
      <c r="BI907" s="763" t="b">
        <f>IFERROR(__xludf.DUMMYFUNCTION("""COMPUTED_VALUE"""),FALSE)</f>
        <v>0</v>
      </c>
      <c r="BJ907" s="763" t="b">
        <f>IFERROR(__xludf.DUMMYFUNCTION("""COMPUTED_VALUE"""),FALSE)</f>
        <v>0</v>
      </c>
    </row>
    <row r="908">
      <c r="A908" s="763">
        <f>IFERROR(__xludf.DUMMYFUNCTION("""COMPUTED_VALUE"""),67756.0)</f>
        <v>67756</v>
      </c>
      <c r="B908" s="763">
        <f>IFERROR(__xludf.DUMMYFUNCTION("""COMPUTED_VALUE"""),67756.0)</f>
        <v>67756</v>
      </c>
      <c r="C908" s="763" t="str">
        <f>IFERROR(__xludf.DUMMYFUNCTION("""COMPUTED_VALUE"""),"2026-02-06 13:52:46")</f>
        <v>2026-02-06 13:52:46</v>
      </c>
      <c r="D908" s="763" t="str">
        <f>IFERROR(__xludf.DUMMYFUNCTION("""COMPUTED_VALUE"""),"completed")</f>
        <v>completed</v>
      </c>
      <c r="E908" s="763" t="str">
        <f>IFERROR(__xludf.DUMMYFUNCTION("""COMPUTED_VALUE"""),"Patrizia")</f>
        <v>Patrizia</v>
      </c>
      <c r="F908" s="763" t="str">
        <f>IFERROR(__xludf.DUMMYFUNCTION("""COMPUTED_VALUE"""),"Caruso")</f>
        <v>Caruso</v>
      </c>
      <c r="G908" s="763" t="str">
        <f>IFERROR(__xludf.DUMMYFUNCTION("""COMPUTED_VALUE"""),"patrizia1205@yahoo.it")</f>
        <v>patrizia1205@yahoo.it</v>
      </c>
      <c r="H908" s="763">
        <f>IFERROR(__xludf.DUMMYFUNCTION("""COMPUTED_VALUE"""),3.389317331E9)</f>
        <v>3389317331</v>
      </c>
      <c r="I908" s="763" t="str">
        <f>IFERROR(__xludf.DUMMYFUNCTION("""COMPUTED_VALUE"""),"Torino")</f>
        <v>Torino</v>
      </c>
      <c r="J908" s="763" t="str">
        <f>IFERROR(__xludf.DUMMYFUNCTION("""COMPUTED_VALUE"""),"Via Michele Coppino 77")</f>
        <v>Via Michele Coppino 77</v>
      </c>
      <c r="K908" s="763">
        <f>IFERROR(__xludf.DUMMYFUNCTION("""COMPUTED_VALUE"""),10147.0)</f>
        <v>10147</v>
      </c>
      <c r="L908" s="763" t="str">
        <f>IFERROR(__xludf.DUMMYFUNCTION("""COMPUTED_VALUE"""),"Satispay")</f>
        <v>Satispay</v>
      </c>
      <c r="M908" s="763"/>
      <c r="N908" s="763" t="str">
        <f>IFERROR(__xludf.DUMMYFUNCTION("""COMPUTED_VALUE"""),"019c333a-0564-747a-8371-370d381b6544")</f>
        <v>019c333a-0564-747a-8371-370d381b6544</v>
      </c>
      <c r="O908" s="763">
        <f>IFERROR(__xludf.DUMMYFUNCTION("""COMPUTED_VALUE"""),0.0)</f>
        <v>0</v>
      </c>
      <c r="P908" s="767">
        <f>IFERROR(__xludf.DUMMYFUNCTION("""COMPUTED_VALUE"""),1.875)</f>
        <v>1.875</v>
      </c>
      <c r="Q908" s="763" t="str">
        <f>IFERROR(__xludf.DUMMYFUNCTION("""COMPUTED_VALUE"""),"EUR")</f>
        <v>EUR</v>
      </c>
      <c r="R908" s="763">
        <f>IFERROR(__xludf.DUMMYFUNCTION("""COMPUTED_VALUE"""),1616.0)</f>
        <v>1616</v>
      </c>
      <c r="S908" s="763" t="str">
        <f>IFERROR(__xludf.DUMMYFUNCTION("""COMPUTED_VALUE"""),"Workshop Hip Hop Emanuel Lo 2026 - Workshop Emanuel Lo h 16 22 febbraio 2026")</f>
        <v>Workshop Hip Hop Emanuel Lo 2026 - Workshop Emanuel Lo h 16 22 febbraio 2026</v>
      </c>
      <c r="T908" s="763"/>
      <c r="U908" s="763"/>
      <c r="V908" s="763">
        <f>IFERROR(__xludf.DUMMYFUNCTION("""COMPUTED_VALUE"""),1.0)</f>
        <v>1</v>
      </c>
      <c r="W908" s="763">
        <f>IFERROR(__xludf.DUMMYFUNCTION("""COMPUTED_VALUE"""),45.0)</f>
        <v>45</v>
      </c>
      <c r="X908" s="763">
        <f>IFERROR(__xludf.DUMMYFUNCTION("""COMPUTED_VALUE"""),45.0)</f>
        <v>45</v>
      </c>
      <c r="Y908" s="763"/>
      <c r="Z908" s="768" t="str">
        <f>IFERROR(__xludf.DUMMYFUNCTION("""COMPUTED_VALUE"""),"https://studio-gem.it/wp-admin/post.php?post=67756&amp;action=edit")</f>
        <v>https://studio-gem.it/wp-admin/post.php?post=67756&amp;action=edit</v>
      </c>
      <c r="AA908" s="763"/>
      <c r="AB908" s="763"/>
      <c r="AC908" s="763"/>
      <c r="AD908" s="763"/>
      <c r="AE908" s="763"/>
      <c r="AF908" s="763"/>
      <c r="AG908" s="763"/>
      <c r="AH908" s="763"/>
      <c r="AI908" s="763"/>
      <c r="AJ908" s="763"/>
      <c r="AK908" s="763"/>
      <c r="AL908" s="763"/>
      <c r="AM908" s="763"/>
      <c r="AN908" s="763"/>
      <c r="AO908" s="763"/>
      <c r="AP908" s="763"/>
      <c r="AQ908" s="763"/>
      <c r="AR908" s="763"/>
      <c r="AS908" s="763"/>
      <c r="AT908" s="763"/>
      <c r="AU908" s="763"/>
      <c r="AV908" s="763"/>
      <c r="AW908" s="763"/>
      <c r="AX908" s="763"/>
      <c r="AY908" s="763"/>
      <c r="AZ908" s="763"/>
      <c r="BA908" s="763"/>
      <c r="BB908" s="763"/>
      <c r="BC908" s="763"/>
      <c r="BD908" s="763"/>
      <c r="BE908" s="763"/>
      <c r="BF908" s="763"/>
      <c r="BG908" s="763" t="b">
        <f>IFERROR(__xludf.DUMMYFUNCTION("""COMPUTED_VALUE"""),TRUE)</f>
        <v>1</v>
      </c>
      <c r="BH908" s="763" t="b">
        <f>IFERROR(__xludf.DUMMYFUNCTION("""COMPUTED_VALUE"""),FALSE)</f>
        <v>0</v>
      </c>
      <c r="BI908" s="763" t="b">
        <f>IFERROR(__xludf.DUMMYFUNCTION("""COMPUTED_VALUE"""),TRUE)</f>
        <v>1</v>
      </c>
      <c r="BJ908" s="763" t="b">
        <f>IFERROR(__xludf.DUMMYFUNCTION("""COMPUTED_VALUE"""),TRUE)</f>
        <v>1</v>
      </c>
    </row>
    <row r="909">
      <c r="A909" s="763">
        <f>IFERROR(__xludf.DUMMYFUNCTION("""COMPUTED_VALUE"""),67758.0)</f>
        <v>67758</v>
      </c>
      <c r="B909" s="763">
        <f>IFERROR(__xludf.DUMMYFUNCTION("""COMPUTED_VALUE"""),67758.0)</f>
        <v>67758</v>
      </c>
      <c r="C909" s="763" t="str">
        <f>IFERROR(__xludf.DUMMYFUNCTION("""COMPUTED_VALUE"""),"2026-02-06 14:20:15")</f>
        <v>2026-02-06 14:20:15</v>
      </c>
      <c r="D909" s="763" t="str">
        <f>IFERROR(__xludf.DUMMYFUNCTION("""COMPUTED_VALUE"""),"completed")</f>
        <v>completed</v>
      </c>
      <c r="E909" s="763" t="str">
        <f>IFERROR(__xludf.DUMMYFUNCTION("""COMPUTED_VALUE"""),"Antonio")</f>
        <v>Antonio</v>
      </c>
      <c r="F909" s="763" t="str">
        <f>IFERROR(__xludf.DUMMYFUNCTION("""COMPUTED_VALUE"""),"Sinesi")</f>
        <v>Sinesi</v>
      </c>
      <c r="G909" s="763" t="str">
        <f>IFERROR(__xludf.DUMMYFUNCTION("""COMPUTED_VALUE"""),"ponigo21@gmail.com")</f>
        <v>ponigo21@gmail.com</v>
      </c>
      <c r="H909" s="763">
        <f>IFERROR(__xludf.DUMMYFUNCTION("""COMPUTED_VALUE"""),3.49614682E9)</f>
        <v>3496146820</v>
      </c>
      <c r="I909" s="763" t="str">
        <f>IFERROR(__xludf.DUMMYFUNCTION("""COMPUTED_VALUE"""),"Milano")</f>
        <v>Milano</v>
      </c>
      <c r="J909" s="763">
        <f>IFERROR(__xludf.DUMMYFUNCTION("""COMPUTED_VALUE"""),8.0)</f>
        <v>8</v>
      </c>
      <c r="K909" s="763">
        <f>IFERROR(__xludf.DUMMYFUNCTION("""COMPUTED_VALUE"""),20142.0)</f>
        <v>20142</v>
      </c>
      <c r="L909" s="763" t="str">
        <f>IFERROR(__xludf.DUMMYFUNCTION("""COMPUTED_VALUE"""),"Carte di pagamento")</f>
        <v>Carte di pagamento</v>
      </c>
      <c r="M909" s="763" t="str">
        <f>IFERROR(__xludf.DUMMYFUNCTION("""COMPUTED_VALUE"""),"alexandra02ws")</f>
        <v>alexandra02ws</v>
      </c>
      <c r="N909" s="763" t="str">
        <f>IFERROR(__xludf.DUMMYFUNCTION("""COMPUTED_VALUE"""),"67758-1770387616")</f>
        <v>67758-1770387616</v>
      </c>
      <c r="O909" s="763">
        <f>IFERROR(__xludf.DUMMYFUNCTION("""COMPUTED_VALUE"""),0.0)</f>
        <v>0</v>
      </c>
      <c r="P909" s="767">
        <f>IFERROR(__xludf.DUMMYFUNCTION("""COMPUTED_VALUE"""),1.7916666666666667)</f>
        <v>1.791666667</v>
      </c>
      <c r="Q909" s="763" t="str">
        <f>IFERROR(__xludf.DUMMYFUNCTION("""COMPUTED_VALUE"""),"EUR")</f>
        <v>EUR</v>
      </c>
      <c r="R909" s="763">
        <f>IFERROR(__xludf.DUMMYFUNCTION("""COMPUTED_VALUE"""),1617.0)</f>
        <v>1617</v>
      </c>
      <c r="S909" s="763" t="str">
        <f>IFERROR(__xludf.DUMMYFUNCTION("""COMPUTED_VALUE"""),"Workshop Hip Hop Emanuel Lo 2026 - Workshop Emanuel Lo h 16 22 febbraio 2026")</f>
        <v>Workshop Hip Hop Emanuel Lo 2026 - Workshop Emanuel Lo h 16 22 febbraio 2026</v>
      </c>
      <c r="T909" s="763"/>
      <c r="U909" s="763"/>
      <c r="V909" s="763">
        <f>IFERROR(__xludf.DUMMYFUNCTION("""COMPUTED_VALUE"""),1.0)</f>
        <v>1</v>
      </c>
      <c r="W909" s="763">
        <f>IFERROR(__xludf.DUMMYFUNCTION("""COMPUTED_VALUE"""),43.0)</f>
        <v>43</v>
      </c>
      <c r="X909" s="763">
        <f>IFERROR(__xludf.DUMMYFUNCTION("""COMPUTED_VALUE"""),43.0)</f>
        <v>43</v>
      </c>
      <c r="Y909" s="763"/>
      <c r="Z909" s="768" t="str">
        <f>IFERROR(__xludf.DUMMYFUNCTION("""COMPUTED_VALUE"""),"https://studio-gem.it/wp-admin/post.php?post=67758&amp;action=edit")</f>
        <v>https://studio-gem.it/wp-admin/post.php?post=67758&amp;action=edit</v>
      </c>
      <c r="AA909" s="763"/>
      <c r="AB909" s="763"/>
      <c r="AC909" s="763"/>
      <c r="AD909" s="763"/>
      <c r="AE909" s="763"/>
      <c r="AF909" s="763"/>
      <c r="AG909" s="763"/>
      <c r="AH909" s="763"/>
      <c r="AI909" s="763"/>
      <c r="AJ909" s="763"/>
      <c r="AK909" s="763"/>
      <c r="AL909" s="763"/>
      <c r="AM909" s="763"/>
      <c r="AN909" s="763"/>
      <c r="AO909" s="763"/>
      <c r="AP909" s="763"/>
      <c r="AQ909" s="763"/>
      <c r="AR909" s="763"/>
      <c r="AS909" s="763"/>
      <c r="AT909" s="763"/>
      <c r="AU909" s="763"/>
      <c r="AV909" s="763"/>
      <c r="AW909" s="763"/>
      <c r="AX909" s="763"/>
      <c r="AY909" s="763"/>
      <c r="AZ909" s="763"/>
      <c r="BA909" s="763"/>
      <c r="BB909" s="763"/>
      <c r="BC909" s="763"/>
      <c r="BD909" s="763"/>
      <c r="BE909" s="763"/>
      <c r="BF909" s="763"/>
      <c r="BG909" s="763" t="b">
        <f>IFERROR(__xludf.DUMMYFUNCTION("""COMPUTED_VALUE"""),TRUE)</f>
        <v>1</v>
      </c>
      <c r="BH909" s="763" t="b">
        <f>IFERROR(__xludf.DUMMYFUNCTION("""COMPUTED_VALUE"""),FALSE)</f>
        <v>0</v>
      </c>
      <c r="BI909" s="763" t="b">
        <f>IFERROR(__xludf.DUMMYFUNCTION("""COMPUTED_VALUE"""),TRUE)</f>
        <v>1</v>
      </c>
      <c r="BJ909" s="763" t="b">
        <f>IFERROR(__xludf.DUMMYFUNCTION("""COMPUTED_VALUE"""),TRUE)</f>
        <v>1</v>
      </c>
    </row>
    <row r="910">
      <c r="A910" s="763">
        <f>IFERROR(__xludf.DUMMYFUNCTION("""COMPUTED_VALUE"""),67760.0)</f>
        <v>67760</v>
      </c>
      <c r="B910" s="763">
        <f>IFERROR(__xludf.DUMMYFUNCTION("""COMPUTED_VALUE"""),67760.0)</f>
        <v>67760</v>
      </c>
      <c r="C910" s="763" t="str">
        <f>IFERROR(__xludf.DUMMYFUNCTION("""COMPUTED_VALUE"""),"2026-02-06 14:31:00")</f>
        <v>2026-02-06 14:31:00</v>
      </c>
      <c r="D910" s="763" t="str">
        <f>IFERROR(__xludf.DUMMYFUNCTION("""COMPUTED_VALUE"""),"processing")</f>
        <v>processing</v>
      </c>
      <c r="E910" s="763" t="str">
        <f>IFERROR(__xludf.DUMMYFUNCTION("""COMPUTED_VALUE"""),"Giusy")</f>
        <v>Giusy</v>
      </c>
      <c r="F910" s="763" t="str">
        <f>IFERROR(__xludf.DUMMYFUNCTION("""COMPUTED_VALUE"""),"Campanella")</f>
        <v>Campanella</v>
      </c>
      <c r="G910" s="763" t="str">
        <f>IFERROR(__xludf.DUMMYFUNCTION("""COMPUTED_VALUE"""),"alessia1212@live.com")</f>
        <v>alessia1212@live.com</v>
      </c>
      <c r="H910" s="763">
        <f>IFERROR(__xludf.DUMMYFUNCTION("""COMPUTED_VALUE"""),3.472834898E9)</f>
        <v>3472834898</v>
      </c>
      <c r="I910" s="763" t="str">
        <f>IFERROR(__xludf.DUMMYFUNCTION("""COMPUTED_VALUE"""),"Milano")</f>
        <v>Milano</v>
      </c>
      <c r="J910" s="763" t="str">
        <f>IFERROR(__xludf.DUMMYFUNCTION("""COMPUTED_VALUE"""),"Via creta19")</f>
        <v>Via creta19</v>
      </c>
      <c r="K910" s="763">
        <f>IFERROR(__xludf.DUMMYFUNCTION("""COMPUTED_VALUE"""),20152.0)</f>
        <v>20152</v>
      </c>
      <c r="L910" s="763" t="str">
        <f>IFERROR(__xludf.DUMMYFUNCTION("""COMPUTED_VALUE"""),"Carte di pagamento")</f>
        <v>Carte di pagamento</v>
      </c>
      <c r="M910" s="763"/>
      <c r="N910" s="763" t="str">
        <f>IFERROR(__xludf.DUMMYFUNCTION("""COMPUTED_VALUE"""),"67760-1770388261")</f>
        <v>67760-1770388261</v>
      </c>
      <c r="O910" s="763">
        <f>IFERROR(__xludf.DUMMYFUNCTION("""COMPUTED_VALUE"""),0.0)</f>
        <v>0</v>
      </c>
      <c r="P910" s="767">
        <f>IFERROR(__xludf.DUMMYFUNCTION("""COMPUTED_VALUE"""),1.875)</f>
        <v>1.875</v>
      </c>
      <c r="Q910" s="763" t="str">
        <f>IFERROR(__xludf.DUMMYFUNCTION("""COMPUTED_VALUE"""),"EUR")</f>
        <v>EUR</v>
      </c>
      <c r="R910" s="763">
        <f>IFERROR(__xludf.DUMMYFUNCTION("""COMPUTED_VALUE"""),1619.0)</f>
        <v>1619</v>
      </c>
      <c r="S910" s="763" t="str">
        <f>IFERROR(__xludf.DUMMYFUNCTION("""COMPUTED_VALUE"""),"Workshop Hip Hop Emanuel Lo 2026 - Workshop Emanuel Lo h 16 22 febbraio 2026")</f>
        <v>Workshop Hip Hop Emanuel Lo 2026 - Workshop Emanuel Lo h 16 22 febbraio 2026</v>
      </c>
      <c r="T910" s="763"/>
      <c r="U910" s="763"/>
      <c r="V910" s="763">
        <f>IFERROR(__xludf.DUMMYFUNCTION("""COMPUTED_VALUE"""),1.0)</f>
        <v>1</v>
      </c>
      <c r="W910" s="763">
        <f>IFERROR(__xludf.DUMMYFUNCTION("""COMPUTED_VALUE"""),45.0)</f>
        <v>45</v>
      </c>
      <c r="X910" s="763">
        <f>IFERROR(__xludf.DUMMYFUNCTION("""COMPUTED_VALUE"""),45.0)</f>
        <v>45</v>
      </c>
      <c r="Y910" s="763" t="str">
        <f>IFERROR(__xludf.DUMMYFUNCTION("""COMPUTED_VALUE"""),"Mia figlia si chiama Bergamo Alessia")</f>
        <v>Mia figlia si chiama Bergamo Alessia</v>
      </c>
      <c r="Z910" s="768" t="str">
        <f>IFERROR(__xludf.DUMMYFUNCTION("""COMPUTED_VALUE"""),"https://studio-gem.it/wp-admin/post.php?post=67760&amp;action=edit")</f>
        <v>https://studio-gem.it/wp-admin/post.php?post=67760&amp;action=edit</v>
      </c>
      <c r="AA910" s="763"/>
      <c r="AB910" s="763"/>
      <c r="AC910" s="763"/>
      <c r="AD910" s="763"/>
      <c r="AE910" s="763"/>
      <c r="AF910" s="763"/>
      <c r="AG910" s="763"/>
      <c r="AH910" s="763"/>
      <c r="AI910" s="763"/>
      <c r="AJ910" s="763"/>
      <c r="AK910" s="763"/>
      <c r="AL910" s="763"/>
      <c r="AM910" s="763"/>
      <c r="AN910" s="763"/>
      <c r="AO910" s="763"/>
      <c r="AP910" s="763"/>
      <c r="AQ910" s="763"/>
      <c r="AR910" s="763"/>
      <c r="AS910" s="763"/>
      <c r="AT910" s="763"/>
      <c r="AU910" s="763"/>
      <c r="AV910" s="763"/>
      <c r="AW910" s="763"/>
      <c r="AX910" s="763"/>
      <c r="AY910" s="763"/>
      <c r="AZ910" s="763"/>
      <c r="BA910" s="763"/>
      <c r="BB910" s="763"/>
      <c r="BC910" s="763"/>
      <c r="BD910" s="763"/>
      <c r="BE910" s="763"/>
      <c r="BF910" s="763"/>
      <c r="BG910" s="763" t="b">
        <f>IFERROR(__xludf.DUMMYFUNCTION("""COMPUTED_VALUE"""),TRUE)</f>
        <v>1</v>
      </c>
      <c r="BH910" s="763" t="b">
        <f>IFERROR(__xludf.DUMMYFUNCTION("""COMPUTED_VALUE"""),FALSE)</f>
        <v>0</v>
      </c>
      <c r="BI910" s="763" t="b">
        <f>IFERROR(__xludf.DUMMYFUNCTION("""COMPUTED_VALUE"""),TRUE)</f>
        <v>1</v>
      </c>
      <c r="BJ910" s="763" t="b">
        <f>IFERROR(__xludf.DUMMYFUNCTION("""COMPUTED_VALUE"""),TRUE)</f>
        <v>1</v>
      </c>
    </row>
    <row r="911">
      <c r="A911" s="763">
        <f>IFERROR(__xludf.DUMMYFUNCTION("""COMPUTED_VALUE"""),67761.0)</f>
        <v>67761</v>
      </c>
      <c r="B911" s="763">
        <f>IFERROR(__xludf.DUMMYFUNCTION("""COMPUTED_VALUE"""),67761.0)</f>
        <v>67761</v>
      </c>
      <c r="C911" s="763" t="str">
        <f>IFERROR(__xludf.DUMMYFUNCTION("""COMPUTED_VALUE"""),"2026-02-06 14:38:22")</f>
        <v>2026-02-06 14:38:22</v>
      </c>
      <c r="D911" s="763" t="str">
        <f>IFERROR(__xludf.DUMMYFUNCTION("""COMPUTED_VALUE"""),"processing")</f>
        <v>processing</v>
      </c>
      <c r="E911" s="763" t="str">
        <f>IFERROR(__xludf.DUMMYFUNCTION("""COMPUTED_VALUE"""),"Greta")</f>
        <v>Greta</v>
      </c>
      <c r="F911" s="763" t="str">
        <f>IFERROR(__xludf.DUMMYFUNCTION("""COMPUTED_VALUE"""),"Dagnino")</f>
        <v>Dagnino</v>
      </c>
      <c r="G911" s="763" t="str">
        <f>IFERROR(__xludf.DUMMYFUNCTION("""COMPUTED_VALUE"""),"gretadagnino@gmail.com")</f>
        <v>gretadagnino@gmail.com</v>
      </c>
      <c r="H911" s="763">
        <f>IFERROR(__xludf.DUMMYFUNCTION("""COMPUTED_VALUE"""),3.534266508E9)</f>
        <v>3534266508</v>
      </c>
      <c r="I911" s="763" t="str">
        <f>IFERROR(__xludf.DUMMYFUNCTION("""COMPUTED_VALUE"""),"Albissola Marina")</f>
        <v>Albissola Marina</v>
      </c>
      <c r="J911" s="763" t="str">
        <f>IFERROR(__xludf.DUMMYFUNCTION("""COMPUTED_VALUE"""),"Stefano Grosso 43")</f>
        <v>Stefano Grosso 43</v>
      </c>
      <c r="K911" s="763">
        <f>IFERROR(__xludf.DUMMYFUNCTION("""COMPUTED_VALUE"""),17012.0)</f>
        <v>17012</v>
      </c>
      <c r="L911" s="763" t="str">
        <f>IFERROR(__xludf.DUMMYFUNCTION("""COMPUTED_VALUE"""),"Carte di pagamento")</f>
        <v>Carte di pagamento</v>
      </c>
      <c r="M911" s="763" t="str">
        <f>IFERROR(__xludf.DUMMYFUNCTION("""COMPUTED_VALUE"""),"joel02ws")</f>
        <v>joel02ws</v>
      </c>
      <c r="N911" s="763" t="str">
        <f>IFERROR(__xludf.DUMMYFUNCTION("""COMPUTED_VALUE"""),"67761-1770388704")</f>
        <v>67761-1770388704</v>
      </c>
      <c r="O911" s="763">
        <f>IFERROR(__xludf.DUMMYFUNCTION("""COMPUTED_VALUE"""),0.0)</f>
        <v>0</v>
      </c>
      <c r="P911" s="767">
        <f>IFERROR(__xludf.DUMMYFUNCTION("""COMPUTED_VALUE"""),1.7916666666666667)</f>
        <v>1.791666667</v>
      </c>
      <c r="Q911" s="763" t="str">
        <f>IFERROR(__xludf.DUMMYFUNCTION("""COMPUTED_VALUE"""),"EUR")</f>
        <v>EUR</v>
      </c>
      <c r="R911" s="763">
        <f>IFERROR(__xludf.DUMMYFUNCTION("""COMPUTED_VALUE"""),1620.0)</f>
        <v>1620</v>
      </c>
      <c r="S911" s="763" t="str">
        <f>IFERROR(__xludf.DUMMYFUNCTION("""COMPUTED_VALUE"""),"Workshop Hip Hop Emanuel Lo 2026 - Workshop Emanuel Lo h 16 22 febbraio 2026")</f>
        <v>Workshop Hip Hop Emanuel Lo 2026 - Workshop Emanuel Lo h 16 22 febbraio 2026</v>
      </c>
      <c r="T911" s="763"/>
      <c r="U911" s="763"/>
      <c r="V911" s="763">
        <f>IFERROR(__xludf.DUMMYFUNCTION("""COMPUTED_VALUE"""),1.0)</f>
        <v>1</v>
      </c>
      <c r="W911" s="763">
        <f>IFERROR(__xludf.DUMMYFUNCTION("""COMPUTED_VALUE"""),43.0)</f>
        <v>43</v>
      </c>
      <c r="X911" s="763">
        <f>IFERROR(__xludf.DUMMYFUNCTION("""COMPUTED_VALUE"""),43.0)</f>
        <v>43</v>
      </c>
      <c r="Y911" s="763"/>
      <c r="Z911" s="768" t="str">
        <f>IFERROR(__xludf.DUMMYFUNCTION("""COMPUTED_VALUE"""),"https://studio-gem.it/wp-admin/post.php?post=67761&amp;action=edit")</f>
        <v>https://studio-gem.it/wp-admin/post.php?post=67761&amp;action=edit</v>
      </c>
      <c r="AA911" s="763"/>
      <c r="AB911" s="763"/>
      <c r="AC911" s="763"/>
      <c r="AD911" s="763"/>
      <c r="AE911" s="763"/>
      <c r="AF911" s="763"/>
      <c r="AG911" s="763"/>
      <c r="AH911" s="763"/>
      <c r="AI911" s="763"/>
      <c r="AJ911" s="763"/>
      <c r="AK911" s="763"/>
      <c r="AL911" s="763"/>
      <c r="AM911" s="763"/>
      <c r="AN911" s="763"/>
      <c r="AO911" s="763"/>
      <c r="AP911" s="763"/>
      <c r="AQ911" s="763"/>
      <c r="AR911" s="763"/>
      <c r="AS911" s="763"/>
      <c r="AT911" s="763"/>
      <c r="AU911" s="763"/>
      <c r="AV911" s="763"/>
      <c r="AW911" s="763"/>
      <c r="AX911" s="763"/>
      <c r="AY911" s="763"/>
      <c r="AZ911" s="763"/>
      <c r="BA911" s="763"/>
      <c r="BB911" s="763"/>
      <c r="BC911" s="763"/>
      <c r="BD911" s="763"/>
      <c r="BE911" s="763"/>
      <c r="BF911" s="763"/>
      <c r="BG911" s="763" t="b">
        <f>IFERROR(__xludf.DUMMYFUNCTION("""COMPUTED_VALUE"""),TRUE)</f>
        <v>1</v>
      </c>
      <c r="BH911" s="763" t="b">
        <f>IFERROR(__xludf.DUMMYFUNCTION("""COMPUTED_VALUE"""),FALSE)</f>
        <v>0</v>
      </c>
      <c r="BI911" s="763" t="b">
        <f>IFERROR(__xludf.DUMMYFUNCTION("""COMPUTED_VALUE"""),TRUE)</f>
        <v>1</v>
      </c>
      <c r="BJ911" s="763" t="b">
        <f>IFERROR(__xludf.DUMMYFUNCTION("""COMPUTED_VALUE"""),TRUE)</f>
        <v>1</v>
      </c>
    </row>
    <row r="912">
      <c r="A912" s="763">
        <f>IFERROR(__xludf.DUMMYFUNCTION("""COMPUTED_VALUE"""),67763.0)</f>
        <v>67763</v>
      </c>
      <c r="B912" s="763">
        <f>IFERROR(__xludf.DUMMYFUNCTION("""COMPUTED_VALUE"""),67763.0)</f>
        <v>67763</v>
      </c>
      <c r="C912" s="763" t="str">
        <f>IFERROR(__xludf.DUMMYFUNCTION("""COMPUTED_VALUE"""),"2026-02-06 15:10:38")</f>
        <v>2026-02-06 15:10:38</v>
      </c>
      <c r="D912" s="763" t="str">
        <f>IFERROR(__xludf.DUMMYFUNCTION("""COMPUTED_VALUE"""),"processing")</f>
        <v>processing</v>
      </c>
      <c r="E912" s="763" t="str">
        <f>IFERROR(__xludf.DUMMYFUNCTION("""COMPUTED_VALUE"""),"Martina")</f>
        <v>Martina</v>
      </c>
      <c r="F912" s="763" t="str">
        <f>IFERROR(__xludf.DUMMYFUNCTION("""COMPUTED_VALUE"""),"Durante")</f>
        <v>Durante</v>
      </c>
      <c r="G912" s="763" t="str">
        <f>IFERROR(__xludf.DUMMYFUNCTION("""COMPUTED_VALUE"""),"durantmartina2@gmail.com")</f>
        <v>durantmartina2@gmail.com</v>
      </c>
      <c r="H912" s="763">
        <f>IFERROR(__xludf.DUMMYFUNCTION("""COMPUTED_VALUE"""),3.334033102E9)</f>
        <v>3334033102</v>
      </c>
      <c r="I912" s="763" t="str">
        <f>IFERROR(__xludf.DUMMYFUNCTION("""COMPUTED_VALUE"""),"Cinisello Balsamo")</f>
        <v>Cinisello Balsamo</v>
      </c>
      <c r="J912" s="763" t="str">
        <f>IFERROR(__xludf.DUMMYFUNCTION("""COMPUTED_VALUE"""),"Via San Pio X")</f>
        <v>Via San Pio X</v>
      </c>
      <c r="K912" s="763">
        <f>IFERROR(__xludf.DUMMYFUNCTION("""COMPUTED_VALUE"""),20092.0)</f>
        <v>20092</v>
      </c>
      <c r="L912" s="763" t="str">
        <f>IFERROR(__xludf.DUMMYFUNCTION("""COMPUTED_VALUE"""),"Carte di pagamento")</f>
        <v>Carte di pagamento</v>
      </c>
      <c r="M912" s="763" t="str">
        <f>IFERROR(__xludf.DUMMYFUNCTION("""COMPUTED_VALUE"""),"joel02ws")</f>
        <v>joel02ws</v>
      </c>
      <c r="N912" s="763" t="str">
        <f>IFERROR(__xludf.DUMMYFUNCTION("""COMPUTED_VALUE"""),"67763-1770390640")</f>
        <v>67763-1770390640</v>
      </c>
      <c r="O912" s="763">
        <f>IFERROR(__xludf.DUMMYFUNCTION("""COMPUTED_VALUE"""),0.0)</f>
        <v>0</v>
      </c>
      <c r="P912" s="767">
        <f>IFERROR(__xludf.DUMMYFUNCTION("""COMPUTED_VALUE"""),1.7916666666666667)</f>
        <v>1.791666667</v>
      </c>
      <c r="Q912" s="763" t="str">
        <f>IFERROR(__xludf.DUMMYFUNCTION("""COMPUTED_VALUE"""),"EUR")</f>
        <v>EUR</v>
      </c>
      <c r="R912" s="763">
        <f>IFERROR(__xludf.DUMMYFUNCTION("""COMPUTED_VALUE"""),1622.0)</f>
        <v>1622</v>
      </c>
      <c r="S912" s="763" t="str">
        <f>IFERROR(__xludf.DUMMYFUNCTION("""COMPUTED_VALUE"""),"Workshop Hip Hop Emanuel Lo 2026 - Workshop Emanuel Lo h 16 22 febbraio 2026")</f>
        <v>Workshop Hip Hop Emanuel Lo 2026 - Workshop Emanuel Lo h 16 22 febbraio 2026</v>
      </c>
      <c r="T912" s="763"/>
      <c r="U912" s="763"/>
      <c r="V912" s="763">
        <f>IFERROR(__xludf.DUMMYFUNCTION("""COMPUTED_VALUE"""),1.0)</f>
        <v>1</v>
      </c>
      <c r="W912" s="763">
        <f>IFERROR(__xludf.DUMMYFUNCTION("""COMPUTED_VALUE"""),43.0)</f>
        <v>43</v>
      </c>
      <c r="X912" s="763">
        <f>IFERROR(__xludf.DUMMYFUNCTION("""COMPUTED_VALUE"""),43.0)</f>
        <v>43</v>
      </c>
      <c r="Y912" s="763"/>
      <c r="Z912" s="768" t="str">
        <f>IFERROR(__xludf.DUMMYFUNCTION("""COMPUTED_VALUE"""),"https://studio-gem.it/wp-admin/post.php?post=67763&amp;action=edit")</f>
        <v>https://studio-gem.it/wp-admin/post.php?post=67763&amp;action=edit</v>
      </c>
      <c r="AA912" s="763"/>
      <c r="AB912" s="763"/>
      <c r="AC912" s="763"/>
      <c r="AD912" s="763"/>
      <c r="AE912" s="763"/>
      <c r="AF912" s="763"/>
      <c r="AG912" s="763"/>
      <c r="AH912" s="763"/>
      <c r="AI912" s="763"/>
      <c r="AJ912" s="763"/>
      <c r="AK912" s="763"/>
      <c r="AL912" s="763"/>
      <c r="AM912" s="763"/>
      <c r="AN912" s="763"/>
      <c r="AO912" s="763"/>
      <c r="AP912" s="763"/>
      <c r="AQ912" s="763"/>
      <c r="AR912" s="763"/>
      <c r="AS912" s="763"/>
      <c r="AT912" s="763"/>
      <c r="AU912" s="763"/>
      <c r="AV912" s="763"/>
      <c r="AW912" s="763"/>
      <c r="AX912" s="763"/>
      <c r="AY912" s="763"/>
      <c r="AZ912" s="763"/>
      <c r="BA912" s="763"/>
      <c r="BB912" s="763"/>
      <c r="BC912" s="763"/>
      <c r="BD912" s="763"/>
      <c r="BE912" s="763"/>
      <c r="BF912" s="763"/>
      <c r="BG912" s="763" t="b">
        <f>IFERROR(__xludf.DUMMYFUNCTION("""COMPUTED_VALUE"""),TRUE)</f>
        <v>1</v>
      </c>
      <c r="BH912" s="763" t="b">
        <f>IFERROR(__xludf.DUMMYFUNCTION("""COMPUTED_VALUE"""),FALSE)</f>
        <v>0</v>
      </c>
      <c r="BI912" s="763" t="b">
        <f>IFERROR(__xludf.DUMMYFUNCTION("""COMPUTED_VALUE"""),TRUE)</f>
        <v>1</v>
      </c>
      <c r="BJ912" s="763" t="b">
        <f>IFERROR(__xludf.DUMMYFUNCTION("""COMPUTED_VALUE"""),TRUE)</f>
        <v>1</v>
      </c>
    </row>
    <row r="913">
      <c r="A913" s="763">
        <f>IFERROR(__xludf.DUMMYFUNCTION("""COMPUTED_VALUE"""),67765.0)</f>
        <v>67765</v>
      </c>
      <c r="B913" s="763">
        <f>IFERROR(__xludf.DUMMYFUNCTION("""COMPUTED_VALUE"""),67765.0)</f>
        <v>67765</v>
      </c>
      <c r="C913" s="763" t="str">
        <f>IFERROR(__xludf.DUMMYFUNCTION("""COMPUTED_VALUE"""),"2026-02-06 15:27:44")</f>
        <v>2026-02-06 15:27:44</v>
      </c>
      <c r="D913" s="763" t="str">
        <f>IFERROR(__xludf.DUMMYFUNCTION("""COMPUTED_VALUE"""),"processing")</f>
        <v>processing</v>
      </c>
      <c r="E913" s="763" t="str">
        <f>IFERROR(__xludf.DUMMYFUNCTION("""COMPUTED_VALUE"""),"Giuseppe")</f>
        <v>Giuseppe</v>
      </c>
      <c r="F913" s="763" t="str">
        <f>IFERROR(__xludf.DUMMYFUNCTION("""COMPUTED_VALUE"""),"Rinaldi")</f>
        <v>Rinaldi</v>
      </c>
      <c r="G913" s="763" t="str">
        <f>IFERROR(__xludf.DUMMYFUNCTION("""COMPUTED_VALUE"""),"giusepperinaldi99@libero.it")</f>
        <v>giusepperinaldi99@libero.it</v>
      </c>
      <c r="H913" s="763">
        <f>IFERROR(__xludf.DUMMYFUNCTION("""COMPUTED_VALUE"""),3.803882342E9)</f>
        <v>3803882342</v>
      </c>
      <c r="I913" s="763" t="str">
        <f>IFERROR(__xludf.DUMMYFUNCTION("""COMPUTED_VALUE"""),"Palermo")</f>
        <v>Palermo</v>
      </c>
      <c r="J913" s="763" t="str">
        <f>IFERROR(__xludf.DUMMYFUNCTION("""COMPUTED_VALUE"""),"Via Giacomo Besio N.7")</f>
        <v>Via Giacomo Besio N.7</v>
      </c>
      <c r="K913" s="763">
        <f>IFERROR(__xludf.DUMMYFUNCTION("""COMPUTED_VALUE"""),90145.0)</f>
        <v>90145</v>
      </c>
      <c r="L913" s="763" t="str">
        <f>IFERROR(__xludf.DUMMYFUNCTION("""COMPUTED_VALUE"""),"Carte di pagamento")</f>
        <v>Carte di pagamento</v>
      </c>
      <c r="M913" s="763" t="str">
        <f>IFERROR(__xludf.DUMMYFUNCTION("""COMPUTED_VALUE"""),"alexandra02ws")</f>
        <v>alexandra02ws</v>
      </c>
      <c r="N913" s="763" t="str">
        <f>IFERROR(__xludf.DUMMYFUNCTION("""COMPUTED_VALUE"""),"67765-1770391666")</f>
        <v>67765-1770391666</v>
      </c>
      <c r="O913" s="763">
        <f>IFERROR(__xludf.DUMMYFUNCTION("""COMPUTED_VALUE"""),0.0)</f>
        <v>0</v>
      </c>
      <c r="P913" s="767">
        <f>IFERROR(__xludf.DUMMYFUNCTION("""COMPUTED_VALUE"""),1.7916666666666667)</f>
        <v>1.791666667</v>
      </c>
      <c r="Q913" s="763" t="str">
        <f>IFERROR(__xludf.DUMMYFUNCTION("""COMPUTED_VALUE"""),"EUR")</f>
        <v>EUR</v>
      </c>
      <c r="R913" s="763">
        <f>IFERROR(__xludf.DUMMYFUNCTION("""COMPUTED_VALUE"""),1624.0)</f>
        <v>1624</v>
      </c>
      <c r="S913" s="763" t="str">
        <f>IFERROR(__xludf.DUMMYFUNCTION("""COMPUTED_VALUE"""),"Workshop Hip Hop Emanuel Lo 2026 - Workshop Emanuel Lo h 16 22 febbraio 2026")</f>
        <v>Workshop Hip Hop Emanuel Lo 2026 - Workshop Emanuel Lo h 16 22 febbraio 2026</v>
      </c>
      <c r="T913" s="763"/>
      <c r="U913" s="763"/>
      <c r="V913" s="763">
        <f>IFERROR(__xludf.DUMMYFUNCTION("""COMPUTED_VALUE"""),1.0)</f>
        <v>1</v>
      </c>
      <c r="W913" s="763">
        <f>IFERROR(__xludf.DUMMYFUNCTION("""COMPUTED_VALUE"""),43.0)</f>
        <v>43</v>
      </c>
      <c r="X913" s="763">
        <f>IFERROR(__xludf.DUMMYFUNCTION("""COMPUTED_VALUE"""),43.0)</f>
        <v>43</v>
      </c>
      <c r="Y913" s="763"/>
      <c r="Z913" s="768" t="str">
        <f>IFERROR(__xludf.DUMMYFUNCTION("""COMPUTED_VALUE"""),"https://studio-gem.it/wp-admin/post.php?post=67765&amp;action=edit")</f>
        <v>https://studio-gem.it/wp-admin/post.php?post=67765&amp;action=edit</v>
      </c>
      <c r="AA913" s="763"/>
      <c r="AB913" s="763"/>
      <c r="AC913" s="763"/>
      <c r="AD913" s="763"/>
      <c r="AE913" s="763"/>
      <c r="AF913" s="763"/>
      <c r="AG913" s="763"/>
      <c r="AH913" s="763"/>
      <c r="AI913" s="763"/>
      <c r="AJ913" s="763"/>
      <c r="AK913" s="763"/>
      <c r="AL913" s="763"/>
      <c r="AM913" s="763"/>
      <c r="AN913" s="763"/>
      <c r="AO913" s="763"/>
      <c r="AP913" s="763"/>
      <c r="AQ913" s="763"/>
      <c r="AR913" s="763"/>
      <c r="AS913" s="763"/>
      <c r="AT913" s="763"/>
      <c r="AU913" s="763"/>
      <c r="AV913" s="763"/>
      <c r="AW913" s="763"/>
      <c r="AX913" s="763"/>
      <c r="AY913" s="763"/>
      <c r="AZ913" s="763"/>
      <c r="BA913" s="763"/>
      <c r="BB913" s="763"/>
      <c r="BC913" s="763"/>
      <c r="BD913" s="763"/>
      <c r="BE913" s="763"/>
      <c r="BF913" s="763"/>
      <c r="BG913" s="763" t="b">
        <f>IFERROR(__xludf.DUMMYFUNCTION("""COMPUTED_VALUE"""),TRUE)</f>
        <v>1</v>
      </c>
      <c r="BH913" s="763" t="b">
        <f>IFERROR(__xludf.DUMMYFUNCTION("""COMPUTED_VALUE"""),FALSE)</f>
        <v>0</v>
      </c>
      <c r="BI913" s="763" t="b">
        <f>IFERROR(__xludf.DUMMYFUNCTION("""COMPUTED_VALUE"""),TRUE)</f>
        <v>1</v>
      </c>
      <c r="BJ913" s="763" t="b">
        <f>IFERROR(__xludf.DUMMYFUNCTION("""COMPUTED_VALUE"""),TRUE)</f>
        <v>1</v>
      </c>
    </row>
    <row r="914">
      <c r="A914" s="763">
        <f>IFERROR(__xludf.DUMMYFUNCTION("""COMPUTED_VALUE"""),67766.0)</f>
        <v>67766</v>
      </c>
      <c r="B914" s="763">
        <f>IFERROR(__xludf.DUMMYFUNCTION("""COMPUTED_VALUE"""),67766.0)</f>
        <v>67766</v>
      </c>
      <c r="C914" s="763" t="str">
        <f>IFERROR(__xludf.DUMMYFUNCTION("""COMPUTED_VALUE"""),"2026-02-06 15:31:20")</f>
        <v>2026-02-06 15:31:20</v>
      </c>
      <c r="D914" s="763" t="str">
        <f>IFERROR(__xludf.DUMMYFUNCTION("""COMPUTED_VALUE"""),"processing")</f>
        <v>processing</v>
      </c>
      <c r="E914" s="763" t="str">
        <f>IFERROR(__xludf.DUMMYFUNCTION("""COMPUTED_VALUE"""),"emma")</f>
        <v>emma</v>
      </c>
      <c r="F914" s="763" t="str">
        <f>IFERROR(__xludf.DUMMYFUNCTION("""COMPUTED_VALUE"""),"rovedoni")</f>
        <v>rovedoni</v>
      </c>
      <c r="G914" s="763" t="str">
        <f>IFERROR(__xludf.DUMMYFUNCTION("""COMPUTED_VALUE"""),"nausica.gallucci@gmail.com")</f>
        <v>nausica.gallucci@gmail.com</v>
      </c>
      <c r="H914" s="763">
        <f>IFERROR(__xludf.DUMMYFUNCTION("""COMPUTED_VALUE"""),3.471524818E9)</f>
        <v>3471524818</v>
      </c>
      <c r="I914" s="763" t="str">
        <f>IFERROR(__xludf.DUMMYFUNCTION("""COMPUTED_VALUE"""),"Milano")</f>
        <v>Milano</v>
      </c>
      <c r="J914" s="763" t="str">
        <f>IFERROR(__xludf.DUMMYFUNCTION("""COMPUTED_VALUE"""),"VIA ALAMANNI 18")</f>
        <v>VIA ALAMANNI 18</v>
      </c>
      <c r="K914" s="763">
        <f>IFERROR(__xludf.DUMMYFUNCTION("""COMPUTED_VALUE"""),20141.0)</f>
        <v>20141</v>
      </c>
      <c r="L914" s="763" t="str">
        <f>IFERROR(__xludf.DUMMYFUNCTION("""COMPUTED_VALUE"""),"Carte di pagamento")</f>
        <v>Carte di pagamento</v>
      </c>
      <c r="M914" s="763"/>
      <c r="N914" s="763" t="str">
        <f>IFERROR(__xludf.DUMMYFUNCTION("""COMPUTED_VALUE"""),"67766-1770391882")</f>
        <v>67766-1770391882</v>
      </c>
      <c r="O914" s="763">
        <f>IFERROR(__xludf.DUMMYFUNCTION("""COMPUTED_VALUE"""),0.0)</f>
        <v>0</v>
      </c>
      <c r="P914" s="767">
        <f>IFERROR(__xludf.DUMMYFUNCTION("""COMPUTED_VALUE"""),1.875)</f>
        <v>1.875</v>
      </c>
      <c r="Q914" s="763" t="str">
        <f>IFERROR(__xludf.DUMMYFUNCTION("""COMPUTED_VALUE"""),"EUR")</f>
        <v>EUR</v>
      </c>
      <c r="R914" s="763">
        <f>IFERROR(__xludf.DUMMYFUNCTION("""COMPUTED_VALUE"""),1626.0)</f>
        <v>1626</v>
      </c>
      <c r="S914" s="763" t="str">
        <f>IFERROR(__xludf.DUMMYFUNCTION("""COMPUTED_VALUE"""),"Workshop Hip Hop Emanuel Lo 2026 - Workshop Emanuel Lo h 16 22 febbraio 2026")</f>
        <v>Workshop Hip Hop Emanuel Lo 2026 - Workshop Emanuel Lo h 16 22 febbraio 2026</v>
      </c>
      <c r="T914" s="763"/>
      <c r="U914" s="763"/>
      <c r="V914" s="763">
        <f>IFERROR(__xludf.DUMMYFUNCTION("""COMPUTED_VALUE"""),1.0)</f>
        <v>1</v>
      </c>
      <c r="W914" s="763">
        <f>IFERROR(__xludf.DUMMYFUNCTION("""COMPUTED_VALUE"""),45.0)</f>
        <v>45</v>
      </c>
      <c r="X914" s="763">
        <f>IFERROR(__xludf.DUMMYFUNCTION("""COMPUTED_VALUE"""),45.0)</f>
        <v>45</v>
      </c>
      <c r="Y914" s="763"/>
      <c r="Z914" s="768" t="str">
        <f>IFERROR(__xludf.DUMMYFUNCTION("""COMPUTED_VALUE"""),"https://studio-gem.it/wp-admin/post.php?post=67766&amp;action=edit")</f>
        <v>https://studio-gem.it/wp-admin/post.php?post=67766&amp;action=edit</v>
      </c>
      <c r="AA914" s="763"/>
      <c r="AB914" s="763"/>
      <c r="AC914" s="763"/>
      <c r="AD914" s="763"/>
      <c r="AE914" s="763"/>
      <c r="AF914" s="763"/>
      <c r="AG914" s="763"/>
      <c r="AH914" s="763"/>
      <c r="AI914" s="763"/>
      <c r="AJ914" s="763"/>
      <c r="AK914" s="763"/>
      <c r="AL914" s="763"/>
      <c r="AM914" s="763"/>
      <c r="AN914" s="763"/>
      <c r="AO914" s="763"/>
      <c r="AP914" s="763"/>
      <c r="AQ914" s="763"/>
      <c r="AR914" s="763"/>
      <c r="AS914" s="763"/>
      <c r="AT914" s="763"/>
      <c r="AU914" s="763"/>
      <c r="AV914" s="763"/>
      <c r="AW914" s="763"/>
      <c r="AX914" s="763"/>
      <c r="AY914" s="763"/>
      <c r="AZ914" s="763"/>
      <c r="BA914" s="763"/>
      <c r="BB914" s="763"/>
      <c r="BC914" s="763"/>
      <c r="BD914" s="763"/>
      <c r="BE914" s="763"/>
      <c r="BF914" s="763"/>
      <c r="BG914" s="763" t="b">
        <f>IFERROR(__xludf.DUMMYFUNCTION("""COMPUTED_VALUE"""),TRUE)</f>
        <v>1</v>
      </c>
      <c r="BH914" s="763" t="b">
        <f>IFERROR(__xludf.DUMMYFUNCTION("""COMPUTED_VALUE"""),FALSE)</f>
        <v>0</v>
      </c>
      <c r="BI914" s="763" t="b">
        <f>IFERROR(__xludf.DUMMYFUNCTION("""COMPUTED_VALUE"""),TRUE)</f>
        <v>1</v>
      </c>
      <c r="BJ914" s="763" t="b">
        <f>IFERROR(__xludf.DUMMYFUNCTION("""COMPUTED_VALUE"""),TRUE)</f>
        <v>1</v>
      </c>
    </row>
    <row r="915">
      <c r="A915" s="763">
        <f>IFERROR(__xludf.DUMMYFUNCTION("""COMPUTED_VALUE"""),67767.0)</f>
        <v>67767</v>
      </c>
      <c r="B915" s="763">
        <f>IFERROR(__xludf.DUMMYFUNCTION("""COMPUTED_VALUE"""),67767.0)</f>
        <v>67767</v>
      </c>
      <c r="C915" s="763" t="str">
        <f>IFERROR(__xludf.DUMMYFUNCTION("""COMPUTED_VALUE"""),"2026-02-06 16:23:06")</f>
        <v>2026-02-06 16:23:06</v>
      </c>
      <c r="D915" s="763" t="str">
        <f>IFERROR(__xludf.DUMMYFUNCTION("""COMPUTED_VALUE"""),"processing")</f>
        <v>processing</v>
      </c>
      <c r="E915" s="763" t="str">
        <f>IFERROR(__xludf.DUMMYFUNCTION("""COMPUTED_VALUE"""),"Sara")</f>
        <v>Sara</v>
      </c>
      <c r="F915" s="763" t="str">
        <f>IFERROR(__xludf.DUMMYFUNCTION("""COMPUTED_VALUE"""),"Dipinto")</f>
        <v>Dipinto</v>
      </c>
      <c r="G915" s="763" t="str">
        <f>IFERROR(__xludf.DUMMYFUNCTION("""COMPUTED_VALUE"""),"dipi.sara13@gmail.com")</f>
        <v>dipi.sara13@gmail.com</v>
      </c>
      <c r="H915" s="763">
        <f>IFERROR(__xludf.DUMMYFUNCTION("""COMPUTED_VALUE"""),3.485835439E9)</f>
        <v>3485835439</v>
      </c>
      <c r="I915" s="763" t="str">
        <f>IFERROR(__xludf.DUMMYFUNCTION("""COMPUTED_VALUE"""),"Milano")</f>
        <v>Milano</v>
      </c>
      <c r="J915" s="763" t="str">
        <f>IFERROR(__xludf.DUMMYFUNCTION("""COMPUTED_VALUE"""),"Via carnevali 68")</f>
        <v>Via carnevali 68</v>
      </c>
      <c r="K915" s="763">
        <f>IFERROR(__xludf.DUMMYFUNCTION("""COMPUTED_VALUE"""),20158.0)</f>
        <v>20158</v>
      </c>
      <c r="L915" s="763" t="str">
        <f>IFERROR(__xludf.DUMMYFUNCTION("""COMPUTED_VALUE"""),"Carte di pagamento")</f>
        <v>Carte di pagamento</v>
      </c>
      <c r="M915" s="763" t="str">
        <f>IFERROR(__xludf.DUMMYFUNCTION("""COMPUTED_VALUE"""),"estefany02ws")</f>
        <v>estefany02ws</v>
      </c>
      <c r="N915" s="763" t="str">
        <f>IFERROR(__xludf.DUMMYFUNCTION("""COMPUTED_VALUE"""),"67767-1770394988")</f>
        <v>67767-1770394988</v>
      </c>
      <c r="O915" s="763">
        <f>IFERROR(__xludf.DUMMYFUNCTION("""COMPUTED_VALUE"""),0.0)</f>
        <v>0</v>
      </c>
      <c r="P915" s="767">
        <f>IFERROR(__xludf.DUMMYFUNCTION("""COMPUTED_VALUE"""),0.8333333333333334)</f>
        <v>0.8333333333</v>
      </c>
      <c r="Q915" s="763" t="str">
        <f>IFERROR(__xludf.DUMMYFUNCTION("""COMPUTED_VALUE"""),"EUR")</f>
        <v>EUR</v>
      </c>
      <c r="R915" s="763">
        <f>IFERROR(__xludf.DUMMYFUNCTION("""COMPUTED_VALUE"""),1627.0)</f>
        <v>1627</v>
      </c>
      <c r="S915" s="763" t="str">
        <f>IFERROR(__xludf.DUMMYFUNCTION("""COMPUTED_VALUE"""),"Open class Heels con Anahita 2026 - Open class Heels con Anahita 2026")</f>
        <v>Open class Heels con Anahita 2026 - Open class Heels con Anahita 2026</v>
      </c>
      <c r="T915" s="763"/>
      <c r="U915" s="763"/>
      <c r="V915" s="763">
        <f>IFERROR(__xludf.DUMMYFUNCTION("""COMPUTED_VALUE"""),1.0)</f>
        <v>1</v>
      </c>
      <c r="W915" s="763">
        <f>IFERROR(__xludf.DUMMYFUNCTION("""COMPUTED_VALUE"""),20.0)</f>
        <v>20</v>
      </c>
      <c r="X915" s="763">
        <f>IFERROR(__xludf.DUMMYFUNCTION("""COMPUTED_VALUE"""),20.0)</f>
        <v>20</v>
      </c>
      <c r="Y915" s="763"/>
      <c r="Z915" s="768" t="str">
        <f>IFERROR(__xludf.DUMMYFUNCTION("""COMPUTED_VALUE"""),"https://studio-gem.it/wp-admin/post.php?post=67767&amp;action=edit")</f>
        <v>https://studio-gem.it/wp-admin/post.php?post=67767&amp;action=edit</v>
      </c>
      <c r="AA915" s="763"/>
      <c r="AB915" s="763"/>
      <c r="AC915" s="763"/>
      <c r="AD915" s="763"/>
      <c r="AE915" s="763"/>
      <c r="AF915" s="763"/>
      <c r="AG915" s="763"/>
      <c r="AH915" s="763"/>
      <c r="AI915" s="763"/>
      <c r="AJ915" s="763"/>
      <c r="AK915" s="763"/>
      <c r="AL915" s="763"/>
      <c r="AM915" s="763"/>
      <c r="AN915" s="763"/>
      <c r="AO915" s="763"/>
      <c r="AP915" s="763"/>
      <c r="AQ915" s="763"/>
      <c r="AR915" s="763"/>
      <c r="AS915" s="763"/>
      <c r="AT915" s="763"/>
      <c r="AU915" s="763"/>
      <c r="AV915" s="763"/>
      <c r="AW915" s="763"/>
      <c r="AX915" s="763"/>
      <c r="AY915" s="763"/>
      <c r="AZ915" s="763"/>
      <c r="BA915" s="763"/>
      <c r="BB915" s="763"/>
      <c r="BC915" s="763"/>
      <c r="BD915" s="763"/>
      <c r="BE915" s="763"/>
      <c r="BF915" s="763"/>
      <c r="BG915" s="763" t="b">
        <f>IFERROR(__xludf.DUMMYFUNCTION("""COMPUTED_VALUE"""),TRUE)</f>
        <v>1</v>
      </c>
      <c r="BH915" s="763" t="b">
        <f>IFERROR(__xludf.DUMMYFUNCTION("""COMPUTED_VALUE"""),FALSE)</f>
        <v>0</v>
      </c>
      <c r="BI915" s="763" t="b">
        <f>IFERROR(__xludf.DUMMYFUNCTION("""COMPUTED_VALUE"""),TRUE)</f>
        <v>1</v>
      </c>
      <c r="BJ915" s="763" t="b">
        <f>IFERROR(__xludf.DUMMYFUNCTION("""COMPUTED_VALUE"""),TRUE)</f>
        <v>1</v>
      </c>
    </row>
    <row r="916">
      <c r="A916" s="763">
        <f>IFERROR(__xludf.DUMMYFUNCTION("""COMPUTED_VALUE"""),67768.0)</f>
        <v>67768</v>
      </c>
      <c r="B916" s="763">
        <f>IFERROR(__xludf.DUMMYFUNCTION("""COMPUTED_VALUE"""),67768.0)</f>
        <v>67768</v>
      </c>
      <c r="C916" s="763" t="str">
        <f>IFERROR(__xludf.DUMMYFUNCTION("""COMPUTED_VALUE"""),"2026-02-06 18:21:33")</f>
        <v>2026-02-06 18:21:33</v>
      </c>
      <c r="D916" s="763" t="str">
        <f>IFERROR(__xludf.DUMMYFUNCTION("""COMPUTED_VALUE"""),"completed")</f>
        <v>completed</v>
      </c>
      <c r="E916" s="763" t="str">
        <f>IFERROR(__xludf.DUMMYFUNCTION("""COMPUTED_VALUE"""),"LINDA")</f>
        <v>LINDA</v>
      </c>
      <c r="F916" s="763" t="str">
        <f>IFERROR(__xludf.DUMMYFUNCTION("""COMPUTED_VALUE"""),"BETTONI")</f>
        <v>BETTONI</v>
      </c>
      <c r="G916" s="763" t="str">
        <f>IFERROR(__xludf.DUMMYFUNCTION("""COMPUTED_VALUE"""),"linda.bettoni@gmail.com")</f>
        <v>linda.bettoni@gmail.com</v>
      </c>
      <c r="H916" s="763">
        <f>IFERROR(__xludf.DUMMYFUNCTION("""COMPUTED_VALUE"""),3.332103011E9)</f>
        <v>3332103011</v>
      </c>
      <c r="I916" s="763" t="str">
        <f>IFERROR(__xludf.DUMMYFUNCTION("""COMPUTED_VALUE"""),"MERATE")</f>
        <v>MERATE</v>
      </c>
      <c r="J916" s="763" t="str">
        <f>IFERROR(__xludf.DUMMYFUNCTION("""COMPUTED_VALUE"""),"Vicolo Strecciolo 1")</f>
        <v>Vicolo Strecciolo 1</v>
      </c>
      <c r="K916" s="763">
        <f>IFERROR(__xludf.DUMMYFUNCTION("""COMPUTED_VALUE"""),23807.0)</f>
        <v>23807</v>
      </c>
      <c r="L916" s="763" t="str">
        <f>IFERROR(__xludf.DUMMYFUNCTION("""COMPUTED_VALUE"""),"Apple Pay")</f>
        <v>Apple Pay</v>
      </c>
      <c r="M916" s="763" t="str">
        <f>IFERROR(__xludf.DUMMYFUNCTION("""COMPUTED_VALUE"""),"alexandra02ws")</f>
        <v>alexandra02ws</v>
      </c>
      <c r="N916" s="763" t="str">
        <f>IFERROR(__xludf.DUMMYFUNCTION("""COMPUTED_VALUE"""),"67768-1770402095")</f>
        <v>67768-1770402095</v>
      </c>
      <c r="O916" s="763">
        <f>IFERROR(__xludf.DUMMYFUNCTION("""COMPUTED_VALUE"""),0.0)</f>
        <v>0</v>
      </c>
      <c r="P916" s="767">
        <f>IFERROR(__xludf.DUMMYFUNCTION("""COMPUTED_VALUE"""),1.7916666666666667)</f>
        <v>1.791666667</v>
      </c>
      <c r="Q916" s="763" t="str">
        <f>IFERROR(__xludf.DUMMYFUNCTION("""COMPUTED_VALUE"""),"EUR")</f>
        <v>EUR</v>
      </c>
      <c r="R916" s="763">
        <f>IFERROR(__xludf.DUMMYFUNCTION("""COMPUTED_VALUE"""),1629.0)</f>
        <v>1629</v>
      </c>
      <c r="S916" s="763" t="str">
        <f>IFERROR(__xludf.DUMMYFUNCTION("""COMPUTED_VALUE"""),"Workshop Hip Hop Emanuel Lo 2026 - Workshop Emanuel Lo h 16 22 febbraio 2026")</f>
        <v>Workshop Hip Hop Emanuel Lo 2026 - Workshop Emanuel Lo h 16 22 febbraio 2026</v>
      </c>
      <c r="T916" s="763"/>
      <c r="U916" s="763"/>
      <c r="V916" s="763">
        <f>IFERROR(__xludf.DUMMYFUNCTION("""COMPUTED_VALUE"""),1.0)</f>
        <v>1</v>
      </c>
      <c r="W916" s="763">
        <f>IFERROR(__xludf.DUMMYFUNCTION("""COMPUTED_VALUE"""),43.0)</f>
        <v>43</v>
      </c>
      <c r="X916" s="763">
        <f>IFERROR(__xludf.DUMMYFUNCTION("""COMPUTED_VALUE"""),43.0)</f>
        <v>43</v>
      </c>
      <c r="Y916" s="763"/>
      <c r="Z916" s="768" t="str">
        <f>IFERROR(__xludf.DUMMYFUNCTION("""COMPUTED_VALUE"""),"https://studio-gem.it/wp-admin/post.php?post=67768&amp;action=edit")</f>
        <v>https://studio-gem.it/wp-admin/post.php?post=67768&amp;action=edit</v>
      </c>
      <c r="AA916" s="763"/>
      <c r="AB916" s="763"/>
      <c r="AC916" s="763"/>
      <c r="AD916" s="763"/>
      <c r="AE916" s="763"/>
      <c r="AF916" s="763"/>
      <c r="AG916" s="763"/>
      <c r="AH916" s="763"/>
      <c r="AI916" s="763"/>
      <c r="AJ916" s="763"/>
      <c r="AK916" s="763"/>
      <c r="AL916" s="763"/>
      <c r="AM916" s="763"/>
      <c r="AN916" s="763"/>
      <c r="AO916" s="763"/>
      <c r="AP916" s="763"/>
      <c r="AQ916" s="763"/>
      <c r="AR916" s="763"/>
      <c r="AS916" s="763"/>
      <c r="AT916" s="763"/>
      <c r="AU916" s="763"/>
      <c r="AV916" s="763"/>
      <c r="AW916" s="763"/>
      <c r="AX916" s="763"/>
      <c r="AY916" s="763"/>
      <c r="AZ916" s="763"/>
      <c r="BA916" s="763"/>
      <c r="BB916" s="763"/>
      <c r="BC916" s="763"/>
      <c r="BD916" s="763"/>
      <c r="BE916" s="763"/>
      <c r="BF916" s="763"/>
      <c r="BG916" s="763" t="b">
        <f>IFERROR(__xludf.DUMMYFUNCTION("""COMPUTED_VALUE"""),TRUE)</f>
        <v>1</v>
      </c>
      <c r="BH916" s="763" t="b">
        <f>IFERROR(__xludf.DUMMYFUNCTION("""COMPUTED_VALUE"""),FALSE)</f>
        <v>0</v>
      </c>
      <c r="BI916" s="763" t="b">
        <f>IFERROR(__xludf.DUMMYFUNCTION("""COMPUTED_VALUE"""),TRUE)</f>
        <v>1</v>
      </c>
      <c r="BJ916" s="763" t="b">
        <f>IFERROR(__xludf.DUMMYFUNCTION("""COMPUTED_VALUE"""),TRUE)</f>
        <v>1</v>
      </c>
    </row>
    <row r="917">
      <c r="A917" s="763">
        <f>IFERROR(__xludf.DUMMYFUNCTION("""COMPUTED_VALUE"""),67770.0)</f>
        <v>67770</v>
      </c>
      <c r="B917" s="763">
        <f>IFERROR(__xludf.DUMMYFUNCTION("""COMPUTED_VALUE"""),67770.0)</f>
        <v>67770</v>
      </c>
      <c r="C917" s="763" t="str">
        <f>IFERROR(__xludf.DUMMYFUNCTION("""COMPUTED_VALUE"""),"2026-02-06 21:37:30")</f>
        <v>2026-02-06 21:37:30</v>
      </c>
      <c r="D917" s="763" t="str">
        <f>IFERROR(__xludf.DUMMYFUNCTION("""COMPUTED_VALUE"""),"completed")</f>
        <v>completed</v>
      </c>
      <c r="E917" s="763" t="str">
        <f>IFERROR(__xludf.DUMMYFUNCTION("""COMPUTED_VALUE"""),"Giulia")</f>
        <v>Giulia</v>
      </c>
      <c r="F917" s="763" t="str">
        <f>IFERROR(__xludf.DUMMYFUNCTION("""COMPUTED_VALUE"""),"Tarantini")</f>
        <v>Tarantini</v>
      </c>
      <c r="G917" s="763" t="str">
        <f>IFERROR(__xludf.DUMMYFUNCTION("""COMPUTED_VALUE"""),"giulia.tarantini01@gmail.com")</f>
        <v>giulia.tarantini01@gmail.com</v>
      </c>
      <c r="H917" s="763">
        <f>IFERROR(__xludf.DUMMYFUNCTION("""COMPUTED_VALUE"""),3.313332724E9)</f>
        <v>3313332724</v>
      </c>
      <c r="I917" s="763" t="str">
        <f>IFERROR(__xludf.DUMMYFUNCTION("""COMPUTED_VALUE"""),"Milano")</f>
        <v>Milano</v>
      </c>
      <c r="J917" s="763" t="str">
        <f>IFERROR(__xludf.DUMMYFUNCTION("""COMPUTED_VALUE"""),"Via Eugenio Carpi 21")</f>
        <v>Via Eugenio Carpi 21</v>
      </c>
      <c r="K917" s="763">
        <f>IFERROR(__xludf.DUMMYFUNCTION("""COMPUTED_VALUE"""),20122.0)</f>
        <v>20122</v>
      </c>
      <c r="L917" s="763" t="str">
        <f>IFERROR(__xludf.DUMMYFUNCTION("""COMPUTED_VALUE"""),"Carte di pagamento")</f>
        <v>Carte di pagamento</v>
      </c>
      <c r="M917" s="763"/>
      <c r="N917" s="763" t="str">
        <f>IFERROR(__xludf.DUMMYFUNCTION("""COMPUTED_VALUE"""),"67770-1770413851")</f>
        <v>67770-1770413851</v>
      </c>
      <c r="O917" s="763">
        <f>IFERROR(__xludf.DUMMYFUNCTION("""COMPUTED_VALUE"""),0.0)</f>
        <v>0</v>
      </c>
      <c r="P917" s="767">
        <f>IFERROR(__xludf.DUMMYFUNCTION("""COMPUTED_VALUE"""),0.9166666666666666)</f>
        <v>0.9166666667</v>
      </c>
      <c r="Q917" s="763" t="str">
        <f>IFERROR(__xludf.DUMMYFUNCTION("""COMPUTED_VALUE"""),"EUR")</f>
        <v>EUR</v>
      </c>
      <c r="R917" s="763">
        <f>IFERROR(__xludf.DUMMYFUNCTION("""COMPUTED_VALUE"""),1631.0)</f>
        <v>1631</v>
      </c>
      <c r="S917" s="763" t="str">
        <f>IFERROR(__xludf.DUMMYFUNCTION("""COMPUTED_VALUE"""),"Open class Heels con Anahita 2026 - Open class Heels con Anahita 2026")</f>
        <v>Open class Heels con Anahita 2026 - Open class Heels con Anahita 2026</v>
      </c>
      <c r="T917" s="763"/>
      <c r="U917" s="763"/>
      <c r="V917" s="763">
        <f>IFERROR(__xludf.DUMMYFUNCTION("""COMPUTED_VALUE"""),1.0)</f>
        <v>1</v>
      </c>
      <c r="W917" s="763">
        <f>IFERROR(__xludf.DUMMYFUNCTION("""COMPUTED_VALUE"""),22.0)</f>
        <v>22</v>
      </c>
      <c r="X917" s="763">
        <f>IFERROR(__xludf.DUMMYFUNCTION("""COMPUTED_VALUE"""),22.0)</f>
        <v>22</v>
      </c>
      <c r="Y917" s="763"/>
      <c r="Z917" s="768" t="str">
        <f>IFERROR(__xludf.DUMMYFUNCTION("""COMPUTED_VALUE"""),"https://studio-gem.it/wp-admin/post.php?post=67770&amp;action=edit")</f>
        <v>https://studio-gem.it/wp-admin/post.php?post=67770&amp;action=edit</v>
      </c>
      <c r="AA917" s="763"/>
      <c r="AB917" s="763"/>
      <c r="AC917" s="763"/>
      <c r="AD917" s="763"/>
      <c r="AE917" s="763"/>
      <c r="AF917" s="763"/>
      <c r="AG917" s="763"/>
      <c r="AH917" s="763"/>
      <c r="AI917" s="763"/>
      <c r="AJ917" s="763"/>
      <c r="AK917" s="763"/>
      <c r="AL917" s="763"/>
      <c r="AM917" s="763"/>
      <c r="AN917" s="763"/>
      <c r="AO917" s="763"/>
      <c r="AP917" s="763"/>
      <c r="AQ917" s="763"/>
      <c r="AR917" s="763"/>
      <c r="AS917" s="763"/>
      <c r="AT917" s="763"/>
      <c r="AU917" s="763"/>
      <c r="AV917" s="763"/>
      <c r="AW917" s="763"/>
      <c r="AX917" s="763"/>
      <c r="AY917" s="763"/>
      <c r="AZ917" s="763"/>
      <c r="BA917" s="763"/>
      <c r="BB917" s="763"/>
      <c r="BC917" s="763"/>
      <c r="BD917" s="763"/>
      <c r="BE917" s="763"/>
      <c r="BF917" s="763"/>
      <c r="BG917" s="763" t="b">
        <f>IFERROR(__xludf.DUMMYFUNCTION("""COMPUTED_VALUE"""),TRUE)</f>
        <v>1</v>
      </c>
      <c r="BH917" s="763" t="b">
        <f>IFERROR(__xludf.DUMMYFUNCTION("""COMPUTED_VALUE"""),FALSE)</f>
        <v>0</v>
      </c>
      <c r="BI917" s="763" t="b">
        <f>IFERROR(__xludf.DUMMYFUNCTION("""COMPUTED_VALUE"""),TRUE)</f>
        <v>1</v>
      </c>
      <c r="BJ917" s="763" t="b">
        <f>IFERROR(__xludf.DUMMYFUNCTION("""COMPUTED_VALUE"""),TRUE)</f>
        <v>1</v>
      </c>
    </row>
    <row r="918">
      <c r="A918" s="763">
        <f>IFERROR(__xludf.DUMMYFUNCTION("""COMPUTED_VALUE"""),67772.0)</f>
        <v>67772</v>
      </c>
      <c r="B918" s="763">
        <f>IFERROR(__xludf.DUMMYFUNCTION("""COMPUTED_VALUE"""),67772.0)</f>
        <v>67772</v>
      </c>
      <c r="C918" s="763" t="str">
        <f>IFERROR(__xludf.DUMMYFUNCTION("""COMPUTED_VALUE"""),"2026-02-07 01:20:06")</f>
        <v>2026-02-07 01:20:06</v>
      </c>
      <c r="D918" s="763" t="str">
        <f>IFERROR(__xludf.DUMMYFUNCTION("""COMPUTED_VALUE"""),"completed")</f>
        <v>completed</v>
      </c>
      <c r="E918" s="763" t="str">
        <f>IFERROR(__xludf.DUMMYFUNCTION("""COMPUTED_VALUE"""),"Martina")</f>
        <v>Martina</v>
      </c>
      <c r="F918" s="763" t="str">
        <f>IFERROR(__xludf.DUMMYFUNCTION("""COMPUTED_VALUE"""),"Gandolfo")</f>
        <v>Gandolfo</v>
      </c>
      <c r="G918" s="763" t="str">
        <f>IFERROR(__xludf.DUMMYFUNCTION("""COMPUTED_VALUE"""),"marty.gandalf@gmail.com")</f>
        <v>marty.gandalf@gmail.com</v>
      </c>
      <c r="H918" s="763">
        <f>IFERROR(__xludf.DUMMYFUNCTION("""COMPUTED_VALUE"""),3.463595862E9)</f>
        <v>3463595862</v>
      </c>
      <c r="I918" s="763" t="str">
        <f>IFERROR(__xludf.DUMMYFUNCTION("""COMPUTED_VALUE"""),"Milano")</f>
        <v>Milano</v>
      </c>
      <c r="J918" s="763" t="str">
        <f>IFERROR(__xludf.DUMMYFUNCTION("""COMPUTED_VALUE"""),"Via San Gregorio 25")</f>
        <v>Via San Gregorio 25</v>
      </c>
      <c r="K918" s="763">
        <f>IFERROR(__xludf.DUMMYFUNCTION("""COMPUTED_VALUE"""),20124.0)</f>
        <v>20124</v>
      </c>
      <c r="L918" s="763" t="str">
        <f>IFERROR(__xludf.DUMMYFUNCTION("""COMPUTED_VALUE"""),"Apple Pay")</f>
        <v>Apple Pay</v>
      </c>
      <c r="M918" s="763"/>
      <c r="N918" s="763" t="str">
        <f>IFERROR(__xludf.DUMMYFUNCTION("""COMPUTED_VALUE"""),"67772-1770427208")</f>
        <v>67772-1770427208</v>
      </c>
      <c r="O918" s="763">
        <f>IFERROR(__xludf.DUMMYFUNCTION("""COMPUTED_VALUE"""),0.0)</f>
        <v>0</v>
      </c>
      <c r="P918" s="767">
        <f>IFERROR(__xludf.DUMMYFUNCTION("""COMPUTED_VALUE"""),0.9166666666666666)</f>
        <v>0.9166666667</v>
      </c>
      <c r="Q918" s="763" t="str">
        <f>IFERROR(__xludf.DUMMYFUNCTION("""COMPUTED_VALUE"""),"EUR")</f>
        <v>EUR</v>
      </c>
      <c r="R918" s="763">
        <f>IFERROR(__xludf.DUMMYFUNCTION("""COMPUTED_VALUE"""),1632.0)</f>
        <v>1632</v>
      </c>
      <c r="S918" s="763" t="str">
        <f>IFERROR(__xludf.DUMMYFUNCTION("""COMPUTED_VALUE"""),"Open class Heels con Anahita 2026 - Open class Heels con Anahita 2026")</f>
        <v>Open class Heels con Anahita 2026 - Open class Heels con Anahita 2026</v>
      </c>
      <c r="T918" s="763"/>
      <c r="U918" s="763"/>
      <c r="V918" s="763">
        <f>IFERROR(__xludf.DUMMYFUNCTION("""COMPUTED_VALUE"""),1.0)</f>
        <v>1</v>
      </c>
      <c r="W918" s="763">
        <f>IFERROR(__xludf.DUMMYFUNCTION("""COMPUTED_VALUE"""),22.0)</f>
        <v>22</v>
      </c>
      <c r="X918" s="763">
        <f>IFERROR(__xludf.DUMMYFUNCTION("""COMPUTED_VALUE"""),22.0)</f>
        <v>22</v>
      </c>
      <c r="Y918" s="763"/>
      <c r="Z918" s="768" t="str">
        <f>IFERROR(__xludf.DUMMYFUNCTION("""COMPUTED_VALUE"""),"https://studio-gem.it/wp-admin/post.php?post=67772&amp;action=edit")</f>
        <v>https://studio-gem.it/wp-admin/post.php?post=67772&amp;action=edit</v>
      </c>
      <c r="AA918" s="763"/>
      <c r="AB918" s="763"/>
      <c r="AC918" s="763"/>
      <c r="AD918" s="763"/>
      <c r="AE918" s="763"/>
      <c r="AF918" s="763"/>
      <c r="AG918" s="763"/>
      <c r="AH918" s="763"/>
      <c r="AI918" s="763"/>
      <c r="AJ918" s="763"/>
      <c r="AK918" s="763"/>
      <c r="AL918" s="763"/>
      <c r="AM918" s="763"/>
      <c r="AN918" s="763"/>
      <c r="AO918" s="763"/>
      <c r="AP918" s="763"/>
      <c r="AQ918" s="763"/>
      <c r="AR918" s="763"/>
      <c r="AS918" s="763"/>
      <c r="AT918" s="763"/>
      <c r="AU918" s="763"/>
      <c r="AV918" s="763"/>
      <c r="AW918" s="763"/>
      <c r="AX918" s="763"/>
      <c r="AY918" s="763"/>
      <c r="AZ918" s="763"/>
      <c r="BA918" s="763"/>
      <c r="BB918" s="763"/>
      <c r="BC918" s="763"/>
      <c r="BD918" s="763"/>
      <c r="BE918" s="763"/>
      <c r="BF918" s="763"/>
      <c r="BG918" s="763" t="b">
        <f>IFERROR(__xludf.DUMMYFUNCTION("""COMPUTED_VALUE"""),TRUE)</f>
        <v>1</v>
      </c>
      <c r="BH918" s="763" t="b">
        <f>IFERROR(__xludf.DUMMYFUNCTION("""COMPUTED_VALUE"""),FALSE)</f>
        <v>0</v>
      </c>
      <c r="BI918" s="763" t="b">
        <f>IFERROR(__xludf.DUMMYFUNCTION("""COMPUTED_VALUE"""),TRUE)</f>
        <v>1</v>
      </c>
      <c r="BJ918" s="763" t="b">
        <f>IFERROR(__xludf.DUMMYFUNCTION("""COMPUTED_VALUE"""),TRUE)</f>
        <v>1</v>
      </c>
    </row>
    <row r="919">
      <c r="A919" s="763">
        <f>IFERROR(__xludf.DUMMYFUNCTION("""COMPUTED_VALUE"""),67775.0)</f>
        <v>67775</v>
      </c>
      <c r="B919" s="763">
        <f>IFERROR(__xludf.DUMMYFUNCTION("""COMPUTED_VALUE"""),67775.0)</f>
        <v>67775</v>
      </c>
      <c r="C919" s="763" t="str">
        <f>IFERROR(__xludf.DUMMYFUNCTION("""COMPUTED_VALUE"""),"2026-02-07 12:06:43")</f>
        <v>2026-02-07 12:06:43</v>
      </c>
      <c r="D919" s="763" t="str">
        <f>IFERROR(__xludf.DUMMYFUNCTION("""COMPUTED_VALUE"""),"completed")</f>
        <v>completed</v>
      </c>
      <c r="E919" s="763" t="str">
        <f>IFERROR(__xludf.DUMMYFUNCTION("""COMPUTED_VALUE"""),"Francesca")</f>
        <v>Francesca</v>
      </c>
      <c r="F919" s="763" t="str">
        <f>IFERROR(__xludf.DUMMYFUNCTION("""COMPUTED_VALUE"""),"Raimondi")</f>
        <v>Raimondi</v>
      </c>
      <c r="G919" s="763" t="str">
        <f>IFERROR(__xludf.DUMMYFUNCTION("""COMPUTED_VALUE"""),"francy140692@gmail.com")</f>
        <v>francy140692@gmail.com</v>
      </c>
      <c r="H919" s="763">
        <f>IFERROR(__xludf.DUMMYFUNCTION("""COMPUTED_VALUE"""),3.423729995E9)</f>
        <v>3423729995</v>
      </c>
      <c r="I919" s="763" t="str">
        <f>IFERROR(__xludf.DUMMYFUNCTION("""COMPUTED_VALUE"""),"Fara Olivana con Sola")</f>
        <v>Fara Olivana con Sola</v>
      </c>
      <c r="J919" s="763" t="str">
        <f>IFERROR(__xludf.DUMMYFUNCTION("""COMPUTED_VALUE"""),"Via Verdi, 2")</f>
        <v>Via Verdi, 2</v>
      </c>
      <c r="K919" s="763">
        <f>IFERROR(__xludf.DUMMYFUNCTION("""COMPUTED_VALUE"""),24058.0)</f>
        <v>24058</v>
      </c>
      <c r="L919" s="763" t="str">
        <f>IFERROR(__xludf.DUMMYFUNCTION("""COMPUTED_VALUE"""),"Carte di pagamento")</f>
        <v>Carte di pagamento</v>
      </c>
      <c r="M919" s="763" t="str">
        <f>IFERROR(__xludf.DUMMYFUNCTION("""COMPUTED_VALUE"""),"estefany02ws")</f>
        <v>estefany02ws</v>
      </c>
      <c r="N919" s="763" t="str">
        <f>IFERROR(__xludf.DUMMYFUNCTION("""COMPUTED_VALUE"""),"67775-1770466077")</f>
        <v>67775-1770466077</v>
      </c>
      <c r="O919" s="763">
        <f>IFERROR(__xludf.DUMMYFUNCTION("""COMPUTED_VALUE"""),0.0)</f>
        <v>0</v>
      </c>
      <c r="P919" s="767">
        <f>IFERROR(__xludf.DUMMYFUNCTION("""COMPUTED_VALUE"""),0.8333333333333334)</f>
        <v>0.8333333333</v>
      </c>
      <c r="Q919" s="763" t="str">
        <f>IFERROR(__xludf.DUMMYFUNCTION("""COMPUTED_VALUE"""),"EUR")</f>
        <v>EUR</v>
      </c>
      <c r="R919" s="763">
        <f>IFERROR(__xludf.DUMMYFUNCTION("""COMPUTED_VALUE"""),1635.0)</f>
        <v>1635</v>
      </c>
      <c r="S919" s="763" t="str">
        <f>IFERROR(__xludf.DUMMYFUNCTION("""COMPUTED_VALUE"""),"Open class Heels con Anahita 2026 - Open class Heels con Anahita 2026")</f>
        <v>Open class Heels con Anahita 2026 - Open class Heels con Anahita 2026</v>
      </c>
      <c r="T919" s="763"/>
      <c r="U919" s="763"/>
      <c r="V919" s="763">
        <f>IFERROR(__xludf.DUMMYFUNCTION("""COMPUTED_VALUE"""),1.0)</f>
        <v>1</v>
      </c>
      <c r="W919" s="763">
        <f>IFERROR(__xludf.DUMMYFUNCTION("""COMPUTED_VALUE"""),20.0)</f>
        <v>20</v>
      </c>
      <c r="X919" s="763">
        <f>IFERROR(__xludf.DUMMYFUNCTION("""COMPUTED_VALUE"""),20.0)</f>
        <v>20</v>
      </c>
      <c r="Y919" s="763"/>
      <c r="Z919" s="768" t="str">
        <f>IFERROR(__xludf.DUMMYFUNCTION("""COMPUTED_VALUE"""),"https://studio-gem.it/wp-admin/post.php?post=67775&amp;action=edit")</f>
        <v>https://studio-gem.it/wp-admin/post.php?post=67775&amp;action=edit</v>
      </c>
      <c r="AA919" s="763"/>
      <c r="AB919" s="763"/>
      <c r="AC919" s="763"/>
      <c r="AD919" s="763"/>
      <c r="AE919" s="763"/>
      <c r="AF919" s="763"/>
      <c r="AG919" s="763"/>
      <c r="AH919" s="763"/>
      <c r="AI919" s="763"/>
      <c r="AJ919" s="763"/>
      <c r="AK919" s="763"/>
      <c r="AL919" s="763"/>
      <c r="AM919" s="763"/>
      <c r="AN919" s="763"/>
      <c r="AO919" s="763"/>
      <c r="AP919" s="763"/>
      <c r="AQ919" s="763"/>
      <c r="AR919" s="763"/>
      <c r="AS919" s="763"/>
      <c r="AT919" s="763"/>
      <c r="AU919" s="763"/>
      <c r="AV919" s="763"/>
      <c r="AW919" s="763"/>
      <c r="AX919" s="763"/>
      <c r="AY919" s="763"/>
      <c r="AZ919" s="763"/>
      <c r="BA919" s="763"/>
      <c r="BB919" s="763"/>
      <c r="BC919" s="763"/>
      <c r="BD919" s="763"/>
      <c r="BE919" s="763"/>
      <c r="BF919" s="763"/>
      <c r="BG919" s="763" t="b">
        <f>IFERROR(__xludf.DUMMYFUNCTION("""COMPUTED_VALUE"""),TRUE)</f>
        <v>1</v>
      </c>
      <c r="BH919" s="763" t="b">
        <f>IFERROR(__xludf.DUMMYFUNCTION("""COMPUTED_VALUE"""),FALSE)</f>
        <v>0</v>
      </c>
      <c r="BI919" s="763" t="b">
        <f>IFERROR(__xludf.DUMMYFUNCTION("""COMPUTED_VALUE"""),TRUE)</f>
        <v>1</v>
      </c>
      <c r="BJ919" s="763" t="b">
        <f>IFERROR(__xludf.DUMMYFUNCTION("""COMPUTED_VALUE"""),TRUE)</f>
        <v>1</v>
      </c>
    </row>
    <row r="920">
      <c r="A920" s="763">
        <f>IFERROR(__xludf.DUMMYFUNCTION("""COMPUTED_VALUE"""),67779.0)</f>
        <v>67779</v>
      </c>
      <c r="B920" s="763">
        <f>IFERROR(__xludf.DUMMYFUNCTION("""COMPUTED_VALUE"""),67779.0)</f>
        <v>67779</v>
      </c>
      <c r="C920" s="763" t="str">
        <f>IFERROR(__xludf.DUMMYFUNCTION("""COMPUTED_VALUE"""),"2026-02-08 11:56:29")</f>
        <v>2026-02-08 11:56:29</v>
      </c>
      <c r="D920" s="763" t="str">
        <f>IFERROR(__xludf.DUMMYFUNCTION("""COMPUTED_VALUE"""),"processing")</f>
        <v>processing</v>
      </c>
      <c r="E920" s="763" t="str">
        <f>IFERROR(__xludf.DUMMYFUNCTION("""COMPUTED_VALUE"""),"Chiara")</f>
        <v>Chiara</v>
      </c>
      <c r="F920" s="763" t="str">
        <f>IFERROR(__xludf.DUMMYFUNCTION("""COMPUTED_VALUE"""),"Deserti")</f>
        <v>Deserti</v>
      </c>
      <c r="G920" s="763" t="str">
        <f>IFERROR(__xludf.DUMMYFUNCTION("""COMPUTED_VALUE"""),"desertichiara@gmail.com")</f>
        <v>desertichiara@gmail.com</v>
      </c>
      <c r="H920" s="763">
        <f>IFERROR(__xludf.DUMMYFUNCTION("""COMPUTED_VALUE"""),3.519350411E9)</f>
        <v>3519350411</v>
      </c>
      <c r="I920" s="763" t="str">
        <f>IFERROR(__xludf.DUMMYFUNCTION("""COMPUTED_VALUE"""),"Milano")</f>
        <v>Milano</v>
      </c>
      <c r="J920" s="763" t="str">
        <f>IFERROR(__xludf.DUMMYFUNCTION("""COMPUTED_VALUE"""),"Via Rinaldo Rigola 7/n.7")</f>
        <v>Via Rinaldo Rigola 7/n.7</v>
      </c>
      <c r="K920" s="763">
        <f>IFERROR(__xludf.DUMMYFUNCTION("""COMPUTED_VALUE"""),20159.0)</f>
        <v>20159</v>
      </c>
      <c r="L920" s="763" t="str">
        <f>IFERROR(__xludf.DUMMYFUNCTION("""COMPUTED_VALUE"""),"Carte di pagamento")</f>
        <v>Carte di pagamento</v>
      </c>
      <c r="M920" s="763"/>
      <c r="N920" s="763" t="str">
        <f>IFERROR(__xludf.DUMMYFUNCTION("""COMPUTED_VALUE"""),"67779-1770551790")</f>
        <v>67779-1770551790</v>
      </c>
      <c r="O920" s="763">
        <f>IFERROR(__xludf.DUMMYFUNCTION("""COMPUTED_VALUE"""),0.0)</f>
        <v>0</v>
      </c>
      <c r="P920" s="767">
        <f>IFERROR(__xludf.DUMMYFUNCTION("""COMPUTED_VALUE"""),0.9166666666666666)</f>
        <v>0.9166666667</v>
      </c>
      <c r="Q920" s="763" t="str">
        <f>IFERROR(__xludf.DUMMYFUNCTION("""COMPUTED_VALUE"""),"EUR")</f>
        <v>EUR</v>
      </c>
      <c r="R920" s="763">
        <f>IFERROR(__xludf.DUMMYFUNCTION("""COMPUTED_VALUE"""),1637.0)</f>
        <v>1637</v>
      </c>
      <c r="S920" s="763" t="str">
        <f>IFERROR(__xludf.DUMMYFUNCTION("""COMPUTED_VALUE"""),"Open class Heels con Anahita 2026 - Open class Heels con Anahita 2026")</f>
        <v>Open class Heels con Anahita 2026 - Open class Heels con Anahita 2026</v>
      </c>
      <c r="T920" s="763"/>
      <c r="U920" s="763"/>
      <c r="V920" s="763">
        <f>IFERROR(__xludf.DUMMYFUNCTION("""COMPUTED_VALUE"""),1.0)</f>
        <v>1</v>
      </c>
      <c r="W920" s="763">
        <f>IFERROR(__xludf.DUMMYFUNCTION("""COMPUTED_VALUE"""),22.0)</f>
        <v>22</v>
      </c>
      <c r="X920" s="763">
        <f>IFERROR(__xludf.DUMMYFUNCTION("""COMPUTED_VALUE"""),22.0)</f>
        <v>22</v>
      </c>
      <c r="Y920" s="763"/>
      <c r="Z920" s="768" t="str">
        <f>IFERROR(__xludf.DUMMYFUNCTION("""COMPUTED_VALUE"""),"https://studio-gem.it/wp-admin/post.php?post=67779&amp;action=edit")</f>
        <v>https://studio-gem.it/wp-admin/post.php?post=67779&amp;action=edit</v>
      </c>
      <c r="AA920" s="763"/>
      <c r="AB920" s="763"/>
      <c r="AC920" s="763"/>
      <c r="AD920" s="763"/>
      <c r="AE920" s="763"/>
      <c r="AF920" s="763"/>
      <c r="AG920" s="763"/>
      <c r="AH920" s="763"/>
      <c r="AI920" s="763"/>
      <c r="AJ920" s="763"/>
      <c r="AK920" s="763"/>
      <c r="AL920" s="763"/>
      <c r="AM920" s="763"/>
      <c r="AN920" s="763"/>
      <c r="AO920" s="763"/>
      <c r="AP920" s="763"/>
      <c r="AQ920" s="763"/>
      <c r="AR920" s="763"/>
      <c r="AS920" s="763"/>
      <c r="AT920" s="763"/>
      <c r="AU920" s="763"/>
      <c r="AV920" s="763"/>
      <c r="AW920" s="763"/>
      <c r="AX920" s="763"/>
      <c r="AY920" s="763"/>
      <c r="AZ920" s="763"/>
      <c r="BA920" s="763"/>
      <c r="BB920" s="763"/>
      <c r="BC920" s="763"/>
      <c r="BD920" s="763"/>
      <c r="BE920" s="763"/>
      <c r="BF920" s="763"/>
      <c r="BG920" s="763" t="b">
        <f>IFERROR(__xludf.DUMMYFUNCTION("""COMPUTED_VALUE"""),TRUE)</f>
        <v>1</v>
      </c>
      <c r="BH920" s="763" t="b">
        <f>IFERROR(__xludf.DUMMYFUNCTION("""COMPUTED_VALUE"""),FALSE)</f>
        <v>0</v>
      </c>
      <c r="BI920" s="763" t="b">
        <f>IFERROR(__xludf.DUMMYFUNCTION("""COMPUTED_VALUE"""),TRUE)</f>
        <v>1</v>
      </c>
      <c r="BJ920" s="763" t="b">
        <f>IFERROR(__xludf.DUMMYFUNCTION("""COMPUTED_VALUE"""),TRUE)</f>
        <v>1</v>
      </c>
    </row>
    <row r="921">
      <c r="A921" s="763">
        <f>IFERROR(__xludf.DUMMYFUNCTION("""COMPUTED_VALUE"""),67782.0)</f>
        <v>67782</v>
      </c>
      <c r="B921" s="763">
        <f>IFERROR(__xludf.DUMMYFUNCTION("""COMPUTED_VALUE"""),67782.0)</f>
        <v>67782</v>
      </c>
      <c r="C921" s="763" t="str">
        <f>IFERROR(__xludf.DUMMYFUNCTION("""COMPUTED_VALUE"""),"2026-02-08 13:39:27")</f>
        <v>2026-02-08 13:39:27</v>
      </c>
      <c r="D921" s="763" t="str">
        <f>IFERROR(__xludf.DUMMYFUNCTION("""COMPUTED_VALUE"""),"completed")</f>
        <v>completed</v>
      </c>
      <c r="E921" s="763" t="str">
        <f>IFERROR(__xludf.DUMMYFUNCTION("""COMPUTED_VALUE"""),"Letizia")</f>
        <v>Letizia</v>
      </c>
      <c r="F921" s="763" t="str">
        <f>IFERROR(__xludf.DUMMYFUNCTION("""COMPUTED_VALUE"""),"Marianella")</f>
        <v>Marianella</v>
      </c>
      <c r="G921" s="763" t="str">
        <f>IFERROR(__xludf.DUMMYFUNCTION("""COMPUTED_VALUE"""),"letizia.marianella@gmail.com")</f>
        <v>letizia.marianella@gmail.com</v>
      </c>
      <c r="H921" s="763">
        <f>IFERROR(__xludf.DUMMYFUNCTION("""COMPUTED_VALUE"""),3.333739991E9)</f>
        <v>3333739991</v>
      </c>
      <c r="I921" s="763" t="str">
        <f>IFERROR(__xludf.DUMMYFUNCTION("""COMPUTED_VALUE"""),"Milano")</f>
        <v>Milano</v>
      </c>
      <c r="J921" s="763" t="str">
        <f>IFERROR(__xludf.DUMMYFUNCTION("""COMPUTED_VALUE"""),"via pietro custodi 3")</f>
        <v>via pietro custodi 3</v>
      </c>
      <c r="K921" s="763">
        <f>IFERROR(__xludf.DUMMYFUNCTION("""COMPUTED_VALUE"""),20136.0)</f>
        <v>20136</v>
      </c>
      <c r="L921" s="763" t="str">
        <f>IFERROR(__xludf.DUMMYFUNCTION("""COMPUTED_VALUE"""),"Apple Pay")</f>
        <v>Apple Pay</v>
      </c>
      <c r="M921" s="763"/>
      <c r="N921" s="763" t="str">
        <f>IFERROR(__xludf.DUMMYFUNCTION("""COMPUTED_VALUE"""),"67782-1770557969")</f>
        <v>67782-1770557969</v>
      </c>
      <c r="O921" s="763">
        <f>IFERROR(__xludf.DUMMYFUNCTION("""COMPUTED_VALUE"""),0.0)</f>
        <v>0</v>
      </c>
      <c r="P921" s="767">
        <f>IFERROR(__xludf.DUMMYFUNCTION("""COMPUTED_VALUE"""),1.875)</f>
        <v>1.875</v>
      </c>
      <c r="Q921" s="763" t="str">
        <f>IFERROR(__xludf.DUMMYFUNCTION("""COMPUTED_VALUE"""),"EUR")</f>
        <v>EUR</v>
      </c>
      <c r="R921" s="763">
        <f>IFERROR(__xludf.DUMMYFUNCTION("""COMPUTED_VALUE"""),1638.0)</f>
        <v>1638</v>
      </c>
      <c r="S921" s="763" t="str">
        <f>IFERROR(__xludf.DUMMYFUNCTION("""COMPUTED_VALUE"""),"Workshop Hip Hop Emanuel Lo 2026 - Workshop Emanuel Lo h 16 22 febbraio 2026")</f>
        <v>Workshop Hip Hop Emanuel Lo 2026 - Workshop Emanuel Lo h 16 22 febbraio 2026</v>
      </c>
      <c r="T921" s="763"/>
      <c r="U921" s="763"/>
      <c r="V921" s="763">
        <f>IFERROR(__xludf.DUMMYFUNCTION("""COMPUTED_VALUE"""),1.0)</f>
        <v>1</v>
      </c>
      <c r="W921" s="763">
        <f>IFERROR(__xludf.DUMMYFUNCTION("""COMPUTED_VALUE"""),45.0)</f>
        <v>45</v>
      </c>
      <c r="X921" s="763">
        <f>IFERROR(__xludf.DUMMYFUNCTION("""COMPUTED_VALUE"""),45.0)</f>
        <v>45</v>
      </c>
      <c r="Y921" s="763"/>
      <c r="Z921" s="768" t="str">
        <f>IFERROR(__xludf.DUMMYFUNCTION("""COMPUTED_VALUE"""),"https://studio-gem.it/wp-admin/post.php?post=67782&amp;action=edit")</f>
        <v>https://studio-gem.it/wp-admin/post.php?post=67782&amp;action=edit</v>
      </c>
      <c r="AA921" s="763"/>
      <c r="AB921" s="763"/>
      <c r="AC921" s="763"/>
      <c r="AD921" s="763"/>
      <c r="AE921" s="763"/>
      <c r="AF921" s="763"/>
      <c r="AG921" s="763"/>
      <c r="AH921" s="763"/>
      <c r="AI921" s="763"/>
      <c r="AJ921" s="763"/>
      <c r="AK921" s="763"/>
      <c r="AL921" s="763"/>
      <c r="AM921" s="763"/>
      <c r="AN921" s="763"/>
      <c r="AO921" s="763"/>
      <c r="AP921" s="763"/>
      <c r="AQ921" s="763"/>
      <c r="AR921" s="763"/>
      <c r="AS921" s="763"/>
      <c r="AT921" s="763"/>
      <c r="AU921" s="763"/>
      <c r="AV921" s="763"/>
      <c r="AW921" s="763"/>
      <c r="AX921" s="763"/>
      <c r="AY921" s="763"/>
      <c r="AZ921" s="763"/>
      <c r="BA921" s="763"/>
      <c r="BB921" s="763"/>
      <c r="BC921" s="763"/>
      <c r="BD921" s="763"/>
      <c r="BE921" s="763"/>
      <c r="BF921" s="763"/>
      <c r="BG921" s="763" t="b">
        <f>IFERROR(__xludf.DUMMYFUNCTION("""COMPUTED_VALUE"""),TRUE)</f>
        <v>1</v>
      </c>
      <c r="BH921" s="763" t="b">
        <f>IFERROR(__xludf.DUMMYFUNCTION("""COMPUTED_VALUE"""),FALSE)</f>
        <v>0</v>
      </c>
      <c r="BI921" s="763" t="b">
        <f>IFERROR(__xludf.DUMMYFUNCTION("""COMPUTED_VALUE"""),TRUE)</f>
        <v>1</v>
      </c>
      <c r="BJ921" s="763" t="b">
        <f>IFERROR(__xludf.DUMMYFUNCTION("""COMPUTED_VALUE"""),TRUE)</f>
        <v>1</v>
      </c>
    </row>
    <row r="922">
      <c r="A922" s="763">
        <f>IFERROR(__xludf.DUMMYFUNCTION("""COMPUTED_VALUE"""),67784.0)</f>
        <v>67784</v>
      </c>
      <c r="B922" s="763">
        <f>IFERROR(__xludf.DUMMYFUNCTION("""COMPUTED_VALUE"""),67784.0)</f>
        <v>67784</v>
      </c>
      <c r="C922" s="763" t="str">
        <f>IFERROR(__xludf.DUMMYFUNCTION("""COMPUTED_VALUE"""),"2026-02-08 18:06:34")</f>
        <v>2026-02-08 18:06:34</v>
      </c>
      <c r="D922" s="763" t="str">
        <f>IFERROR(__xludf.DUMMYFUNCTION("""COMPUTED_VALUE"""),"completed")</f>
        <v>completed</v>
      </c>
      <c r="E922" s="763" t="str">
        <f>IFERROR(__xludf.DUMMYFUNCTION("""COMPUTED_VALUE"""),"Padmini")</f>
        <v>Padmini</v>
      </c>
      <c r="F922" s="763" t="str">
        <f>IFERROR(__xludf.DUMMYFUNCTION("""COMPUTED_VALUE"""),"Maraschi")</f>
        <v>Maraschi</v>
      </c>
      <c r="G922" s="763" t="str">
        <f>IFERROR(__xludf.DUMMYFUNCTION("""COMPUTED_VALUE"""),"paddy.mx9@gmail.com")</f>
        <v>paddy.mx9@gmail.com</v>
      </c>
      <c r="H922" s="763">
        <f>IFERROR(__xludf.DUMMYFUNCTION("""COMPUTED_VALUE"""),3.807877826E9)</f>
        <v>3807877826</v>
      </c>
      <c r="I922" s="763" t="str">
        <f>IFERROR(__xludf.DUMMYFUNCTION("""COMPUTED_VALUE"""),"San Giuliano Milanese")</f>
        <v>San Giuliano Milanese</v>
      </c>
      <c r="J922" s="763" t="str">
        <f>IFERROR(__xludf.DUMMYFUNCTION("""COMPUTED_VALUE"""),"Via Fratelli Ruffini 14")</f>
        <v>Via Fratelli Ruffini 14</v>
      </c>
      <c r="K922" s="763">
        <f>IFERROR(__xludf.DUMMYFUNCTION("""COMPUTED_VALUE"""),20098.0)</f>
        <v>20098</v>
      </c>
      <c r="L922" s="763" t="str">
        <f>IFERROR(__xludf.DUMMYFUNCTION("""COMPUTED_VALUE"""),"Carte di pagamento")</f>
        <v>Carte di pagamento</v>
      </c>
      <c r="M922" s="763" t="str">
        <f>IFERROR(__xludf.DUMMYFUNCTION("""COMPUTED_VALUE"""),"nura02ws")</f>
        <v>nura02ws</v>
      </c>
      <c r="N922" s="763" t="str">
        <f>IFERROR(__xludf.DUMMYFUNCTION("""COMPUTED_VALUE"""),"67784-1770574054")</f>
        <v>67784-1770574054</v>
      </c>
      <c r="O922" s="763">
        <f>IFERROR(__xludf.DUMMYFUNCTION("""COMPUTED_VALUE"""),0.0)</f>
        <v>0</v>
      </c>
      <c r="P922" s="767">
        <f>IFERROR(__xludf.DUMMYFUNCTION("""COMPUTED_VALUE"""),0.8333333333333334)</f>
        <v>0.8333333333</v>
      </c>
      <c r="Q922" s="763" t="str">
        <f>IFERROR(__xludf.DUMMYFUNCTION("""COMPUTED_VALUE"""),"EUR")</f>
        <v>EUR</v>
      </c>
      <c r="R922" s="763">
        <f>IFERROR(__xludf.DUMMYFUNCTION("""COMPUTED_VALUE"""),1641.0)</f>
        <v>1641</v>
      </c>
      <c r="S922" s="763" t="str">
        <f>IFERROR(__xludf.DUMMYFUNCTION("""COMPUTED_VALUE"""),"Open class Heels con Anahita 2026 - Open class Heels con Anahita 2026")</f>
        <v>Open class Heels con Anahita 2026 - Open class Heels con Anahita 2026</v>
      </c>
      <c r="T922" s="763"/>
      <c r="U922" s="763"/>
      <c r="V922" s="763">
        <f>IFERROR(__xludf.DUMMYFUNCTION("""COMPUTED_VALUE"""),1.0)</f>
        <v>1</v>
      </c>
      <c r="W922" s="763">
        <f>IFERROR(__xludf.DUMMYFUNCTION("""COMPUTED_VALUE"""),20.0)</f>
        <v>20</v>
      </c>
      <c r="X922" s="763">
        <f>IFERROR(__xludf.DUMMYFUNCTION("""COMPUTED_VALUE"""),20.0)</f>
        <v>20</v>
      </c>
      <c r="Y922" s="763"/>
      <c r="Z922" s="768" t="str">
        <f>IFERROR(__xludf.DUMMYFUNCTION("""COMPUTED_VALUE"""),"https://studio-gem.it/wp-admin/post.php?post=67784&amp;action=edit")</f>
        <v>https://studio-gem.it/wp-admin/post.php?post=67784&amp;action=edit</v>
      </c>
      <c r="AA922" s="763"/>
      <c r="AB922" s="763"/>
      <c r="AC922" s="763"/>
      <c r="AD922" s="763"/>
      <c r="AE922" s="763"/>
      <c r="AF922" s="763"/>
      <c r="AG922" s="763"/>
      <c r="AH922" s="763"/>
      <c r="AI922" s="763"/>
      <c r="AJ922" s="763"/>
      <c r="AK922" s="763"/>
      <c r="AL922" s="763"/>
      <c r="AM922" s="763"/>
      <c r="AN922" s="763"/>
      <c r="AO922" s="763"/>
      <c r="AP922" s="763"/>
      <c r="AQ922" s="763"/>
      <c r="AR922" s="763"/>
      <c r="AS922" s="763"/>
      <c r="AT922" s="763"/>
      <c r="AU922" s="763"/>
      <c r="AV922" s="763"/>
      <c r="AW922" s="763"/>
      <c r="AX922" s="763"/>
      <c r="AY922" s="763"/>
      <c r="AZ922" s="763"/>
      <c r="BA922" s="763"/>
      <c r="BB922" s="763"/>
      <c r="BC922" s="763"/>
      <c r="BD922" s="763"/>
      <c r="BE922" s="763"/>
      <c r="BF922" s="763"/>
      <c r="BG922" s="763" t="b">
        <f>IFERROR(__xludf.DUMMYFUNCTION("""COMPUTED_VALUE"""),TRUE)</f>
        <v>1</v>
      </c>
      <c r="BH922" s="763" t="b">
        <f>IFERROR(__xludf.DUMMYFUNCTION("""COMPUTED_VALUE"""),FALSE)</f>
        <v>0</v>
      </c>
      <c r="BI922" s="763" t="b">
        <f>IFERROR(__xludf.DUMMYFUNCTION("""COMPUTED_VALUE"""),TRUE)</f>
        <v>1</v>
      </c>
      <c r="BJ922" s="763" t="b">
        <f>IFERROR(__xludf.DUMMYFUNCTION("""COMPUTED_VALUE"""),TRUE)</f>
        <v>1</v>
      </c>
    </row>
    <row r="923">
      <c r="A923" s="763">
        <f>IFERROR(__xludf.DUMMYFUNCTION("""COMPUTED_VALUE"""),67787.0)</f>
        <v>67787</v>
      </c>
      <c r="B923" s="763">
        <f>IFERROR(__xludf.DUMMYFUNCTION("""COMPUTED_VALUE"""),67787.0)</f>
        <v>67787</v>
      </c>
      <c r="C923" s="763" t="str">
        <f>IFERROR(__xludf.DUMMYFUNCTION("""COMPUTED_VALUE"""),"2026-02-08 18:44:41")</f>
        <v>2026-02-08 18:44:41</v>
      </c>
      <c r="D923" s="763" t="str">
        <f>IFERROR(__xludf.DUMMYFUNCTION("""COMPUTED_VALUE"""),"completed")</f>
        <v>completed</v>
      </c>
      <c r="E923" s="763" t="str">
        <f>IFERROR(__xludf.DUMMYFUNCTION("""COMPUTED_VALUE"""),"francesca")</f>
        <v>francesca</v>
      </c>
      <c r="F923" s="763" t="str">
        <f>IFERROR(__xludf.DUMMYFUNCTION("""COMPUTED_VALUE"""),"martinucci")</f>
        <v>martinucci</v>
      </c>
      <c r="G923" s="763" t="str">
        <f>IFERROR(__xludf.DUMMYFUNCTION("""COMPUTED_VALUE"""),"francesca.martinucci18@gmail.com")</f>
        <v>francesca.martinucci18@gmail.com</v>
      </c>
      <c r="H923" s="763">
        <f>IFERROR(__xludf.DUMMYFUNCTION("""COMPUTED_VALUE"""),3.924515558E9)</f>
        <v>3924515558</v>
      </c>
      <c r="I923" s="763" t="str">
        <f>IFERROR(__xludf.DUMMYFUNCTION("""COMPUTED_VALUE"""),"milano")</f>
        <v>milano</v>
      </c>
      <c r="J923" s="763" t="str">
        <f>IFERROR(__xludf.DUMMYFUNCTION("""COMPUTED_VALUE"""),"via cima 41")</f>
        <v>via cima 41</v>
      </c>
      <c r="K923" s="763">
        <f>IFERROR(__xludf.DUMMYFUNCTION("""COMPUTED_VALUE"""),20134.0)</f>
        <v>20134</v>
      </c>
      <c r="L923" s="763" t="str">
        <f>IFERROR(__xludf.DUMMYFUNCTION("""COMPUTED_VALUE"""),"Apple Pay")</f>
        <v>Apple Pay</v>
      </c>
      <c r="M923" s="763"/>
      <c r="N923" s="763" t="str">
        <f>IFERROR(__xludf.DUMMYFUNCTION("""COMPUTED_VALUE"""),"67787-1770576283")</f>
        <v>67787-1770576283</v>
      </c>
      <c r="O923" s="763">
        <f>IFERROR(__xludf.DUMMYFUNCTION("""COMPUTED_VALUE"""),0.0)</f>
        <v>0</v>
      </c>
      <c r="P923" s="767">
        <f>IFERROR(__xludf.DUMMYFUNCTION("""COMPUTED_VALUE"""),0.9166666666666666)</f>
        <v>0.9166666667</v>
      </c>
      <c r="Q923" s="763" t="str">
        <f>IFERROR(__xludf.DUMMYFUNCTION("""COMPUTED_VALUE"""),"EUR")</f>
        <v>EUR</v>
      </c>
      <c r="R923" s="763">
        <f>IFERROR(__xludf.DUMMYFUNCTION("""COMPUTED_VALUE"""),1643.0)</f>
        <v>1643</v>
      </c>
      <c r="S923" s="763" t="str">
        <f>IFERROR(__xludf.DUMMYFUNCTION("""COMPUTED_VALUE"""),"Open class Heels con Anahita 2026 - Open class Heels con Anahita 2026")</f>
        <v>Open class Heels con Anahita 2026 - Open class Heels con Anahita 2026</v>
      </c>
      <c r="T923" s="763"/>
      <c r="U923" s="763"/>
      <c r="V923" s="763">
        <f>IFERROR(__xludf.DUMMYFUNCTION("""COMPUTED_VALUE"""),1.0)</f>
        <v>1</v>
      </c>
      <c r="W923" s="763">
        <f>IFERROR(__xludf.DUMMYFUNCTION("""COMPUTED_VALUE"""),22.0)</f>
        <v>22</v>
      </c>
      <c r="X923" s="763">
        <f>IFERROR(__xludf.DUMMYFUNCTION("""COMPUTED_VALUE"""),22.0)</f>
        <v>22</v>
      </c>
      <c r="Y923" s="763"/>
      <c r="Z923" s="768" t="str">
        <f>IFERROR(__xludf.DUMMYFUNCTION("""COMPUTED_VALUE"""),"https://studio-gem.it/wp-admin/post.php?post=67787&amp;action=edit")</f>
        <v>https://studio-gem.it/wp-admin/post.php?post=67787&amp;action=edit</v>
      </c>
      <c r="AA923" s="763"/>
      <c r="AB923" s="763"/>
      <c r="AC923" s="763"/>
      <c r="AD923" s="763"/>
      <c r="AE923" s="763"/>
      <c r="AF923" s="763"/>
      <c r="AG923" s="763"/>
      <c r="AH923" s="763"/>
      <c r="AI923" s="763"/>
      <c r="AJ923" s="763"/>
      <c r="AK923" s="763"/>
      <c r="AL923" s="763"/>
      <c r="AM923" s="763"/>
      <c r="AN923" s="763"/>
      <c r="AO923" s="763"/>
      <c r="AP923" s="763"/>
      <c r="AQ923" s="763"/>
      <c r="AR923" s="763"/>
      <c r="AS923" s="763"/>
      <c r="AT923" s="763"/>
      <c r="AU923" s="763"/>
      <c r="AV923" s="763"/>
      <c r="AW923" s="763"/>
      <c r="AX923" s="763"/>
      <c r="AY923" s="763"/>
      <c r="AZ923" s="763"/>
      <c r="BA923" s="763"/>
      <c r="BB923" s="763"/>
      <c r="BC923" s="763"/>
      <c r="BD923" s="763"/>
      <c r="BE923" s="763"/>
      <c r="BF923" s="763"/>
      <c r="BG923" s="763" t="b">
        <f>IFERROR(__xludf.DUMMYFUNCTION("""COMPUTED_VALUE"""),TRUE)</f>
        <v>1</v>
      </c>
      <c r="BH923" s="763" t="b">
        <f>IFERROR(__xludf.DUMMYFUNCTION("""COMPUTED_VALUE"""),FALSE)</f>
        <v>0</v>
      </c>
      <c r="BI923" s="763" t="b">
        <f>IFERROR(__xludf.DUMMYFUNCTION("""COMPUTED_VALUE"""),TRUE)</f>
        <v>1</v>
      </c>
      <c r="BJ923" s="763" t="b">
        <f>IFERROR(__xludf.DUMMYFUNCTION("""COMPUTED_VALUE"""),TRUE)</f>
        <v>1</v>
      </c>
    </row>
    <row r="924">
      <c r="A924" s="763">
        <f>IFERROR(__xludf.DUMMYFUNCTION("""COMPUTED_VALUE"""),67789.0)</f>
        <v>67789</v>
      </c>
      <c r="B924" s="763">
        <f>IFERROR(__xludf.DUMMYFUNCTION("""COMPUTED_VALUE"""),67789.0)</f>
        <v>67789</v>
      </c>
      <c r="C924" s="763" t="str">
        <f>IFERROR(__xludf.DUMMYFUNCTION("""COMPUTED_VALUE"""),"2026-02-08 18:54:01")</f>
        <v>2026-02-08 18:54:01</v>
      </c>
      <c r="D924" s="763" t="str">
        <f>IFERROR(__xludf.DUMMYFUNCTION("""COMPUTED_VALUE"""),"completed")</f>
        <v>completed</v>
      </c>
      <c r="E924" s="763" t="str">
        <f>IFERROR(__xludf.DUMMYFUNCTION("""COMPUTED_VALUE"""),"sara")</f>
        <v>sara</v>
      </c>
      <c r="F924" s="763" t="str">
        <f>IFERROR(__xludf.DUMMYFUNCTION("""COMPUTED_VALUE"""),"martinucci")</f>
        <v>martinucci</v>
      </c>
      <c r="G924" s="763" t="str">
        <f>IFERROR(__xludf.DUMMYFUNCTION("""COMPUTED_VALUE"""),"sara.martinucci03@gmail.com")</f>
        <v>sara.martinucci03@gmail.com</v>
      </c>
      <c r="H924" s="763">
        <f>IFERROR(__xludf.DUMMYFUNCTION("""COMPUTED_VALUE"""),3.803794681E9)</f>
        <v>3803794681</v>
      </c>
      <c r="I924" s="763" t="str">
        <f>IFERROR(__xludf.DUMMYFUNCTION("""COMPUTED_VALUE"""),"milano")</f>
        <v>milano</v>
      </c>
      <c r="J924" s="763" t="str">
        <f>IFERROR(__xludf.DUMMYFUNCTION("""COMPUTED_VALUE"""),"via cima 41")</f>
        <v>via cima 41</v>
      </c>
      <c r="K924" s="763">
        <f>IFERROR(__xludf.DUMMYFUNCTION("""COMPUTED_VALUE"""),20134.0)</f>
        <v>20134</v>
      </c>
      <c r="L924" s="763" t="str">
        <f>IFERROR(__xludf.DUMMYFUNCTION("""COMPUTED_VALUE"""),"Apple Pay")</f>
        <v>Apple Pay</v>
      </c>
      <c r="M924" s="763"/>
      <c r="N924" s="763" t="str">
        <f>IFERROR(__xludf.DUMMYFUNCTION("""COMPUTED_VALUE"""),"67789-1770576843")</f>
        <v>67789-1770576843</v>
      </c>
      <c r="O924" s="763">
        <f>IFERROR(__xludf.DUMMYFUNCTION("""COMPUTED_VALUE"""),0.0)</f>
        <v>0</v>
      </c>
      <c r="P924" s="767">
        <f>IFERROR(__xludf.DUMMYFUNCTION("""COMPUTED_VALUE"""),0.9166666666666666)</f>
        <v>0.9166666667</v>
      </c>
      <c r="Q924" s="763" t="str">
        <f>IFERROR(__xludf.DUMMYFUNCTION("""COMPUTED_VALUE"""),"EUR")</f>
        <v>EUR</v>
      </c>
      <c r="R924" s="763">
        <f>IFERROR(__xludf.DUMMYFUNCTION("""COMPUTED_VALUE"""),1644.0)</f>
        <v>1644</v>
      </c>
      <c r="S924" s="763" t="str">
        <f>IFERROR(__xludf.DUMMYFUNCTION("""COMPUTED_VALUE"""),"Open class Heels con Anahita 2026 - Open class Heels con Anahita 2026")</f>
        <v>Open class Heels con Anahita 2026 - Open class Heels con Anahita 2026</v>
      </c>
      <c r="T924" s="763"/>
      <c r="U924" s="763"/>
      <c r="V924" s="763">
        <f>IFERROR(__xludf.DUMMYFUNCTION("""COMPUTED_VALUE"""),1.0)</f>
        <v>1</v>
      </c>
      <c r="W924" s="763">
        <f>IFERROR(__xludf.DUMMYFUNCTION("""COMPUTED_VALUE"""),22.0)</f>
        <v>22</v>
      </c>
      <c r="X924" s="763">
        <f>IFERROR(__xludf.DUMMYFUNCTION("""COMPUTED_VALUE"""),22.0)</f>
        <v>22</v>
      </c>
      <c r="Y924" s="763"/>
      <c r="Z924" s="768" t="str">
        <f>IFERROR(__xludf.DUMMYFUNCTION("""COMPUTED_VALUE"""),"https://studio-gem.it/wp-admin/post.php?post=67789&amp;action=edit")</f>
        <v>https://studio-gem.it/wp-admin/post.php?post=67789&amp;action=edit</v>
      </c>
      <c r="AA924" s="763"/>
      <c r="AB924" s="763"/>
      <c r="AC924" s="763"/>
      <c r="AD924" s="763"/>
      <c r="AE924" s="763"/>
      <c r="AF924" s="763"/>
      <c r="AG924" s="763"/>
      <c r="AH924" s="763"/>
      <c r="AI924" s="763"/>
      <c r="AJ924" s="763"/>
      <c r="AK924" s="763"/>
      <c r="AL924" s="763"/>
      <c r="AM924" s="763"/>
      <c r="AN924" s="763"/>
      <c r="AO924" s="763"/>
      <c r="AP924" s="763"/>
      <c r="AQ924" s="763"/>
      <c r="AR924" s="763"/>
      <c r="AS924" s="763"/>
      <c r="AT924" s="763"/>
      <c r="AU924" s="763"/>
      <c r="AV924" s="763"/>
      <c r="AW924" s="763"/>
      <c r="AX924" s="763"/>
      <c r="AY924" s="763"/>
      <c r="AZ924" s="763"/>
      <c r="BA924" s="763"/>
      <c r="BB924" s="763"/>
      <c r="BC924" s="763"/>
      <c r="BD924" s="763"/>
      <c r="BE924" s="763"/>
      <c r="BF924" s="763"/>
      <c r="BG924" s="763" t="b">
        <f>IFERROR(__xludf.DUMMYFUNCTION("""COMPUTED_VALUE"""),TRUE)</f>
        <v>1</v>
      </c>
      <c r="BH924" s="763" t="b">
        <f>IFERROR(__xludf.DUMMYFUNCTION("""COMPUTED_VALUE"""),FALSE)</f>
        <v>0</v>
      </c>
      <c r="BI924" s="763" t="b">
        <f>IFERROR(__xludf.DUMMYFUNCTION("""COMPUTED_VALUE"""),TRUE)</f>
        <v>1</v>
      </c>
      <c r="BJ924" s="763" t="b">
        <f>IFERROR(__xludf.DUMMYFUNCTION("""COMPUTED_VALUE"""),TRUE)</f>
        <v>1</v>
      </c>
    </row>
    <row r="925">
      <c r="A925" s="763">
        <f>IFERROR(__xludf.DUMMYFUNCTION("""COMPUTED_VALUE"""),67791.0)</f>
        <v>67791</v>
      </c>
      <c r="B925" s="763">
        <f>IFERROR(__xludf.DUMMYFUNCTION("""COMPUTED_VALUE"""),67791.0)</f>
        <v>67791</v>
      </c>
      <c r="C925" s="763" t="str">
        <f>IFERROR(__xludf.DUMMYFUNCTION("""COMPUTED_VALUE"""),"2026-02-08 21:35:32")</f>
        <v>2026-02-08 21:35:32</v>
      </c>
      <c r="D925" s="763" t="str">
        <f>IFERROR(__xludf.DUMMYFUNCTION("""COMPUTED_VALUE"""),"completed")</f>
        <v>completed</v>
      </c>
      <c r="E925" s="763" t="str">
        <f>IFERROR(__xludf.DUMMYFUNCTION("""COMPUTED_VALUE"""),"Antonella")</f>
        <v>Antonella</v>
      </c>
      <c r="F925" s="763" t="str">
        <f>IFERROR(__xludf.DUMMYFUNCTION("""COMPUTED_VALUE"""),"Tartaglia")</f>
        <v>Tartaglia</v>
      </c>
      <c r="G925" s="763" t="str">
        <f>IFERROR(__xludf.DUMMYFUNCTION("""COMPUTED_VALUE"""),"Tartaglia")</f>
        <v>Tartaglia</v>
      </c>
      <c r="H925" s="763">
        <f>IFERROR(__xludf.DUMMYFUNCTION("""COMPUTED_VALUE"""),3.355999535E9)</f>
        <v>3355999535</v>
      </c>
      <c r="I925" s="763" t="str">
        <f>IFERROR(__xludf.DUMMYFUNCTION("""COMPUTED_VALUE"""),"Milano")</f>
        <v>Milano</v>
      </c>
      <c r="J925" s="763" t="str">
        <f>IFERROR(__xludf.DUMMYFUNCTION("""COMPUTED_VALUE"""),"Corso Porta Romana 57")</f>
        <v>Corso Porta Romana 57</v>
      </c>
      <c r="K925" s="763">
        <f>IFERROR(__xludf.DUMMYFUNCTION("""COMPUTED_VALUE"""),20122.0)</f>
        <v>20122</v>
      </c>
      <c r="L925" s="763" t="str">
        <f>IFERROR(__xludf.DUMMYFUNCTION("""COMPUTED_VALUE"""),"Carte di pagamento")</f>
        <v>Carte di pagamento</v>
      </c>
      <c r="M925" s="763"/>
      <c r="N925" s="763" t="str">
        <f>IFERROR(__xludf.DUMMYFUNCTION("""COMPUTED_VALUE"""),"67791-1770586533")</f>
        <v>67791-1770586533</v>
      </c>
      <c r="O925" s="763">
        <f>IFERROR(__xludf.DUMMYFUNCTION("""COMPUTED_VALUE"""),0.0)</f>
        <v>0</v>
      </c>
      <c r="P925" s="767">
        <f>IFERROR(__xludf.DUMMYFUNCTION("""COMPUTED_VALUE"""),0.625)</f>
        <v>0.625</v>
      </c>
      <c r="Q925" s="763" t="str">
        <f>IFERROR(__xludf.DUMMYFUNCTION("""COMPUTED_VALUE"""),"EUR")</f>
        <v>EUR</v>
      </c>
      <c r="R925" s="763">
        <f>IFERROR(__xludf.DUMMYFUNCTION("""COMPUTED_VALUE"""),1645.0)</f>
        <v>1645</v>
      </c>
      <c r="S925" s="763" t="str">
        <f>IFERROR(__xludf.DUMMYFUNCTION("""COMPUTED_VALUE"""),"Domeniche in movimento - 1 lezione - Dalle 11 alle 11.50 con Dorian Kuqi €15")</f>
        <v>Domeniche in movimento - 1 lezione - Dalle 11 alle 11.50 con Dorian Kuqi €15</v>
      </c>
      <c r="T925" s="763"/>
      <c r="U925" s="763"/>
      <c r="V925" s="763">
        <f>IFERROR(__xludf.DUMMYFUNCTION("""COMPUTED_VALUE"""),1.0)</f>
        <v>1</v>
      </c>
      <c r="W925" s="763">
        <f>IFERROR(__xludf.DUMMYFUNCTION("""COMPUTED_VALUE"""),15.0)</f>
        <v>15</v>
      </c>
      <c r="X925" s="763">
        <f>IFERROR(__xludf.DUMMYFUNCTION("""COMPUTED_VALUE"""),15.0)</f>
        <v>15</v>
      </c>
      <c r="Y925" s="763"/>
      <c r="Z925" s="768" t="str">
        <f>IFERROR(__xludf.DUMMYFUNCTION("""COMPUTED_VALUE"""),"https://studio-gem.it/wp-admin/post.php?post=67791&amp;action=edit")</f>
        <v>https://studio-gem.it/wp-admin/post.php?post=67791&amp;action=edit</v>
      </c>
      <c r="AA925" s="763"/>
      <c r="AB925" s="763"/>
      <c r="AC925" s="763"/>
      <c r="AD925" s="763"/>
      <c r="AE925" s="763"/>
      <c r="AF925" s="763"/>
      <c r="AG925" s="763"/>
      <c r="AH925" s="763"/>
      <c r="AI925" s="763"/>
      <c r="AJ925" s="763"/>
      <c r="AK925" s="763"/>
      <c r="AL925" s="763"/>
      <c r="AM925" s="763"/>
      <c r="AN925" s="763"/>
      <c r="AO925" s="763"/>
      <c r="AP925" s="763"/>
      <c r="AQ925" s="763"/>
      <c r="AR925" s="763"/>
      <c r="AS925" s="763"/>
      <c r="AT925" s="763"/>
      <c r="AU925" s="763"/>
      <c r="AV925" s="763"/>
      <c r="AW925" s="763"/>
      <c r="AX925" s="763"/>
      <c r="AY925" s="763"/>
      <c r="AZ925" s="763"/>
      <c r="BA925" s="763"/>
      <c r="BB925" s="763"/>
      <c r="BC925" s="763"/>
      <c r="BD925" s="763"/>
      <c r="BE925" s="763"/>
      <c r="BF925" s="763"/>
      <c r="BG925" s="763" t="b">
        <f>IFERROR(__xludf.DUMMYFUNCTION("""COMPUTED_VALUE"""),TRUE)</f>
        <v>1</v>
      </c>
      <c r="BH925" s="763" t="b">
        <f>IFERROR(__xludf.DUMMYFUNCTION("""COMPUTED_VALUE"""),FALSE)</f>
        <v>0</v>
      </c>
      <c r="BI925" s="763" t="b">
        <f>IFERROR(__xludf.DUMMYFUNCTION("""COMPUTED_VALUE"""),TRUE)</f>
        <v>1</v>
      </c>
      <c r="BJ925" s="763" t="b">
        <f>IFERROR(__xludf.DUMMYFUNCTION("""COMPUTED_VALUE"""),FALSE)</f>
        <v>0</v>
      </c>
    </row>
    <row r="926">
      <c r="A926" s="763">
        <f>IFERROR(__xludf.DUMMYFUNCTION("""COMPUTED_VALUE"""),67797.0)</f>
        <v>67797</v>
      </c>
      <c r="B926" s="763">
        <f>IFERROR(__xludf.DUMMYFUNCTION("""COMPUTED_VALUE"""),67797.0)</f>
        <v>67797</v>
      </c>
      <c r="C926" s="763" t="str">
        <f>IFERROR(__xludf.DUMMYFUNCTION("""COMPUTED_VALUE"""),"2026-02-09 08:40:55")</f>
        <v>2026-02-09 08:40:55</v>
      </c>
      <c r="D926" s="763" t="str">
        <f>IFERROR(__xludf.DUMMYFUNCTION("""COMPUTED_VALUE"""),"completed")</f>
        <v>completed</v>
      </c>
      <c r="E926" s="763" t="str">
        <f>IFERROR(__xludf.DUMMYFUNCTION("""COMPUTED_VALUE"""),"Vittoria")</f>
        <v>Vittoria</v>
      </c>
      <c r="F926" s="763" t="str">
        <f>IFERROR(__xludf.DUMMYFUNCTION("""COMPUTED_VALUE"""),"Sortino")</f>
        <v>Sortino</v>
      </c>
      <c r="G926" s="763" t="str">
        <f>IFERROR(__xludf.DUMMYFUNCTION("""COMPUTED_VALUE"""),"vittoriasortino@hotmail.it")</f>
        <v>vittoriasortino@hotmail.it</v>
      </c>
      <c r="H926" s="763">
        <f>IFERROR(__xludf.DUMMYFUNCTION("""COMPUTED_VALUE"""),3.347340944E9)</f>
        <v>3347340944</v>
      </c>
      <c r="I926" s="763" t="str">
        <f>IFERROR(__xludf.DUMMYFUNCTION("""COMPUTED_VALUE"""),"Milano")</f>
        <v>Milano</v>
      </c>
      <c r="J926" s="763" t="str">
        <f>IFERROR(__xludf.DUMMYFUNCTION("""COMPUTED_VALUE"""),"Corso di Porta Vigentina 10")</f>
        <v>Corso di Porta Vigentina 10</v>
      </c>
      <c r="K926" s="763">
        <f>IFERROR(__xludf.DUMMYFUNCTION("""COMPUTED_VALUE"""),20122.0)</f>
        <v>20122</v>
      </c>
      <c r="L926" s="763" t="str">
        <f>IFERROR(__xludf.DUMMYFUNCTION("""COMPUTED_VALUE"""),"Apple Pay")</f>
        <v>Apple Pay</v>
      </c>
      <c r="M926" s="763"/>
      <c r="N926" s="763" t="str">
        <f>IFERROR(__xludf.DUMMYFUNCTION("""COMPUTED_VALUE"""),"67797-1770626544")</f>
        <v>67797-1770626544</v>
      </c>
      <c r="O926" s="763">
        <f>IFERROR(__xludf.DUMMYFUNCTION("""COMPUTED_VALUE"""),0.0)</f>
        <v>0</v>
      </c>
      <c r="P926" s="767">
        <f>IFERROR(__xludf.DUMMYFUNCTION("""COMPUTED_VALUE"""),0.9166666666666666)</f>
        <v>0.9166666667</v>
      </c>
      <c r="Q926" s="763" t="str">
        <f>IFERROR(__xludf.DUMMYFUNCTION("""COMPUTED_VALUE"""),"EUR")</f>
        <v>EUR</v>
      </c>
      <c r="R926" s="763">
        <f>IFERROR(__xludf.DUMMYFUNCTION("""COMPUTED_VALUE"""),1647.0)</f>
        <v>1647</v>
      </c>
      <c r="S926" s="763" t="str">
        <f>IFERROR(__xludf.DUMMYFUNCTION("""COMPUTED_VALUE"""),"Open class Heels con Anahita 2026 - Open class Heels con Anahita 2026")</f>
        <v>Open class Heels con Anahita 2026 - Open class Heels con Anahita 2026</v>
      </c>
      <c r="T926" s="763"/>
      <c r="U926" s="763"/>
      <c r="V926" s="763">
        <f>IFERROR(__xludf.DUMMYFUNCTION("""COMPUTED_VALUE"""),1.0)</f>
        <v>1</v>
      </c>
      <c r="W926" s="763">
        <f>IFERROR(__xludf.DUMMYFUNCTION("""COMPUTED_VALUE"""),22.0)</f>
        <v>22</v>
      </c>
      <c r="X926" s="763">
        <f>IFERROR(__xludf.DUMMYFUNCTION("""COMPUTED_VALUE"""),22.0)</f>
        <v>22</v>
      </c>
      <c r="Y926" s="763"/>
      <c r="Z926" s="768" t="str">
        <f>IFERROR(__xludf.DUMMYFUNCTION("""COMPUTED_VALUE"""),"https://studio-gem.it/wp-admin/post.php?post=67797&amp;action=edit")</f>
        <v>https://studio-gem.it/wp-admin/post.php?post=67797&amp;action=edit</v>
      </c>
      <c r="AA926" s="763"/>
      <c r="AB926" s="763"/>
      <c r="AC926" s="763"/>
      <c r="AD926" s="763"/>
      <c r="AE926" s="763"/>
      <c r="AF926" s="763"/>
      <c r="AG926" s="763"/>
      <c r="AH926" s="763"/>
      <c r="AI926" s="763"/>
      <c r="AJ926" s="763"/>
      <c r="AK926" s="763"/>
      <c r="AL926" s="763"/>
      <c r="AM926" s="763"/>
      <c r="AN926" s="763"/>
      <c r="AO926" s="763"/>
      <c r="AP926" s="763"/>
      <c r="AQ926" s="763"/>
      <c r="AR926" s="763"/>
      <c r="AS926" s="763"/>
      <c r="AT926" s="763"/>
      <c r="AU926" s="763"/>
      <c r="AV926" s="763"/>
      <c r="AW926" s="763"/>
      <c r="AX926" s="763"/>
      <c r="AY926" s="763"/>
      <c r="AZ926" s="763"/>
      <c r="BA926" s="763"/>
      <c r="BB926" s="763"/>
      <c r="BC926" s="763"/>
      <c r="BD926" s="763"/>
      <c r="BE926" s="763"/>
      <c r="BF926" s="763"/>
      <c r="BG926" s="763" t="b">
        <f>IFERROR(__xludf.DUMMYFUNCTION("""COMPUTED_VALUE"""),TRUE)</f>
        <v>1</v>
      </c>
      <c r="BH926" s="763" t="b">
        <f>IFERROR(__xludf.DUMMYFUNCTION("""COMPUTED_VALUE"""),FALSE)</f>
        <v>0</v>
      </c>
      <c r="BI926" s="763" t="b">
        <f>IFERROR(__xludf.DUMMYFUNCTION("""COMPUTED_VALUE"""),TRUE)</f>
        <v>1</v>
      </c>
      <c r="BJ926" s="763" t="b">
        <f>IFERROR(__xludf.DUMMYFUNCTION("""COMPUTED_VALUE"""),TRUE)</f>
        <v>1</v>
      </c>
    </row>
    <row r="927">
      <c r="A927" s="763">
        <f>IFERROR(__xludf.DUMMYFUNCTION("""COMPUTED_VALUE"""),67814.0)</f>
        <v>67814</v>
      </c>
      <c r="B927" s="763">
        <f>IFERROR(__xludf.DUMMYFUNCTION("""COMPUTED_VALUE"""),67814.0)</f>
        <v>67814</v>
      </c>
      <c r="C927" s="763" t="str">
        <f>IFERROR(__xludf.DUMMYFUNCTION("""COMPUTED_VALUE"""),"2026-02-09 16:05:05")</f>
        <v>2026-02-09 16:05:05</v>
      </c>
      <c r="D927" s="763" t="str">
        <f>IFERROR(__xludf.DUMMYFUNCTION("""COMPUTED_VALUE"""),"processing")</f>
        <v>processing</v>
      </c>
      <c r="E927" s="763" t="str">
        <f>IFERROR(__xludf.DUMMYFUNCTION("""COMPUTED_VALUE"""),"Benedict")</f>
        <v>Benedict</v>
      </c>
      <c r="F927" s="763" t="str">
        <f>IFERROR(__xludf.DUMMYFUNCTION("""COMPUTED_VALUE"""),"Berger")</f>
        <v>Berger</v>
      </c>
      <c r="G927" s="763" t="str">
        <f>IFERROR(__xludf.DUMMYFUNCTION("""COMPUTED_VALUE"""),"benedictberger@yahoo.it")</f>
        <v>benedictberger@yahoo.it</v>
      </c>
      <c r="H927" s="763">
        <f>IFERROR(__xludf.DUMMYFUNCTION("""COMPUTED_VALUE"""),3.392262465E9)</f>
        <v>3392262465</v>
      </c>
      <c r="I927" s="763" t="str">
        <f>IFERROR(__xludf.DUMMYFUNCTION("""COMPUTED_VALUE"""),"Milano")</f>
        <v>Milano</v>
      </c>
      <c r="J927" s="763" t="str">
        <f>IFERROR(__xludf.DUMMYFUNCTION("""COMPUTED_VALUE"""),"Marchiondi 5")</f>
        <v>Marchiondi 5</v>
      </c>
      <c r="K927" s="763">
        <f>IFERROR(__xludf.DUMMYFUNCTION("""COMPUTED_VALUE"""),20122.0)</f>
        <v>20122</v>
      </c>
      <c r="L927" s="763" t="str">
        <f>IFERROR(__xludf.DUMMYFUNCTION("""COMPUTED_VALUE"""),"Carte di pagamento")</f>
        <v>Carte di pagamento</v>
      </c>
      <c r="M927" s="763" t="str">
        <f>IFERROR(__xludf.DUMMYFUNCTION("""COMPUTED_VALUE"""),"alexandra05campus")</f>
        <v>alexandra05campus</v>
      </c>
      <c r="N927" s="763" t="str">
        <f>IFERROR(__xludf.DUMMYFUNCTION("""COMPUTED_VALUE"""),"67814-1770653107")</f>
        <v>67814-1770653107</v>
      </c>
      <c r="O927" s="763">
        <f>IFERROR(__xludf.DUMMYFUNCTION("""COMPUTED_VALUE"""),0.0)</f>
        <v>0</v>
      </c>
      <c r="P927" s="767">
        <f>IFERROR(__xludf.DUMMYFUNCTION("""COMPUTED_VALUE"""),5.791666666666667)</f>
        <v>5.791666667</v>
      </c>
      <c r="Q927" s="763" t="str">
        <f>IFERROR(__xludf.DUMMYFUNCTION("""COMPUTED_VALUE"""),"EUR")</f>
        <v>EUR</v>
      </c>
      <c r="R927" s="763">
        <f>IFERROR(__xludf.DUMMYFUNCTION("""COMPUTED_VALUE"""),1648.0)</f>
        <v>1648</v>
      </c>
      <c r="S927" s="763" t="str">
        <f>IFERROR(__xludf.DUMMYFUNCTION("""COMPUTED_VALUE"""),"Campus estivo 2026 - Campus estivo 2 settimane")</f>
        <v>Campus estivo 2026 - Campus estivo 2 settimane</v>
      </c>
      <c r="T927" s="763"/>
      <c r="U927" s="763"/>
      <c r="V927" s="763">
        <f>IFERROR(__xludf.DUMMYFUNCTION("""COMPUTED_VALUE"""),1.0)</f>
        <v>1</v>
      </c>
      <c r="W927" s="763">
        <f>IFERROR(__xludf.DUMMYFUNCTION("""COMPUTED_VALUE"""),139.0)</f>
        <v>139</v>
      </c>
      <c r="X927" s="763">
        <f>IFERROR(__xludf.DUMMYFUNCTION("""COMPUTED_VALUE"""),139.0)</f>
        <v>139</v>
      </c>
      <c r="Y927" s="763"/>
      <c r="Z927" s="768" t="str">
        <f>IFERROR(__xludf.DUMMYFUNCTION("""COMPUTED_VALUE"""),"https://studio-gem.it/wp-admin/post.php?post=67814&amp;action=edit")</f>
        <v>https://studio-gem.it/wp-admin/post.php?post=67814&amp;action=edit</v>
      </c>
      <c r="AA927" s="763"/>
      <c r="AB927" s="763"/>
      <c r="AC927" s="763"/>
      <c r="AD927" s="763"/>
      <c r="AE927" s="763"/>
      <c r="AF927" s="763"/>
      <c r="AG927" s="763"/>
      <c r="AH927" s="763"/>
      <c r="AI927" s="763"/>
      <c r="AJ927" s="763"/>
      <c r="AK927" s="763"/>
      <c r="AL927" s="763"/>
      <c r="AM927" s="763"/>
      <c r="AN927" s="763"/>
      <c r="AO927" s="763"/>
      <c r="AP927" s="763"/>
      <c r="AQ927" s="763"/>
      <c r="AR927" s="763"/>
      <c r="AS927" s="763"/>
      <c r="AT927" s="763"/>
      <c r="AU927" s="763"/>
      <c r="AV927" s="763"/>
      <c r="AW927" s="763"/>
      <c r="AX927" s="763"/>
      <c r="AY927" s="763"/>
      <c r="AZ927" s="763"/>
      <c r="BA927" s="763"/>
      <c r="BB927" s="763"/>
      <c r="BC927" s="763"/>
      <c r="BD927" s="763"/>
      <c r="BE927" s="763"/>
      <c r="BF927" s="763"/>
      <c r="BG927" s="763" t="b">
        <f>IFERROR(__xludf.DUMMYFUNCTION("""COMPUTED_VALUE"""),TRUE)</f>
        <v>1</v>
      </c>
      <c r="BH927" s="763" t="b">
        <f>IFERROR(__xludf.DUMMYFUNCTION("""COMPUTED_VALUE"""),FALSE)</f>
        <v>0</v>
      </c>
      <c r="BI927" s="763" t="b">
        <f>IFERROR(__xludf.DUMMYFUNCTION("""COMPUTED_VALUE"""),TRUE)</f>
        <v>1</v>
      </c>
      <c r="BJ927" s="763" t="b">
        <f>IFERROR(__xludf.DUMMYFUNCTION("""COMPUTED_VALUE"""),TRUE)</f>
        <v>1</v>
      </c>
    </row>
    <row r="928">
      <c r="A928" s="763">
        <f>IFERROR(__xludf.DUMMYFUNCTION("""COMPUTED_VALUE"""),67816.0)</f>
        <v>67816</v>
      </c>
      <c r="B928" s="763">
        <f>IFERROR(__xludf.DUMMYFUNCTION("""COMPUTED_VALUE"""),67816.0)</f>
        <v>67816</v>
      </c>
      <c r="C928" s="763" t="str">
        <f>IFERROR(__xludf.DUMMYFUNCTION("""COMPUTED_VALUE"""),"2026-02-09 17:52:02")</f>
        <v>2026-02-09 17:52:02</v>
      </c>
      <c r="D928" s="763" t="str">
        <f>IFERROR(__xludf.DUMMYFUNCTION("""COMPUTED_VALUE"""),"cancelled")</f>
        <v>cancelled</v>
      </c>
      <c r="E928" s="763" t="str">
        <f>IFERROR(__xludf.DUMMYFUNCTION("""COMPUTED_VALUE"""),"Brando")</f>
        <v>Brando</v>
      </c>
      <c r="F928" s="763" t="str">
        <f>IFERROR(__xludf.DUMMYFUNCTION("""COMPUTED_VALUE"""),"Villa")</f>
        <v>Villa</v>
      </c>
      <c r="G928" s="763" t="str">
        <f>IFERROR(__xludf.DUMMYFUNCTION("""COMPUTED_VALUE"""),"Brandovilla2000@gmail.com")</f>
        <v>Brandovilla2000@gmail.com</v>
      </c>
      <c r="H928" s="763">
        <f>IFERROR(__xludf.DUMMYFUNCTION("""COMPUTED_VALUE"""),3.75539169E9)</f>
        <v>3755391690</v>
      </c>
      <c r="I928" s="763" t="str">
        <f>IFERROR(__xludf.DUMMYFUNCTION("""COMPUTED_VALUE"""),"Milano")</f>
        <v>Milano</v>
      </c>
      <c r="J928" s="763" t="str">
        <f>IFERROR(__xludf.DUMMYFUNCTION("""COMPUTED_VALUE"""),"Via Torino 34")</f>
        <v>Via Torino 34</v>
      </c>
      <c r="K928" s="763">
        <f>IFERROR(__xludf.DUMMYFUNCTION("""COMPUTED_VALUE"""),47843.0)</f>
        <v>47843</v>
      </c>
      <c r="L928" s="763" t="str">
        <f>IFERROR(__xludf.DUMMYFUNCTION("""COMPUTED_VALUE"""),"Apple Pay")</f>
        <v>Apple Pay</v>
      </c>
      <c r="M928" s="763"/>
      <c r="N928" s="763"/>
      <c r="O928" s="763">
        <f>IFERROR(__xludf.DUMMYFUNCTION("""COMPUTED_VALUE"""),0.0)</f>
        <v>0</v>
      </c>
      <c r="P928" s="767">
        <f>IFERROR(__xludf.DUMMYFUNCTION("""COMPUTED_VALUE"""),1.875)</f>
        <v>1.875</v>
      </c>
      <c r="Q928" s="763" t="str">
        <f>IFERROR(__xludf.DUMMYFUNCTION("""COMPUTED_VALUE"""),"EUR")</f>
        <v>EUR</v>
      </c>
      <c r="R928" s="763">
        <f>IFERROR(__xludf.DUMMYFUNCTION("""COMPUTED_VALUE"""),1650.0)</f>
        <v>1650</v>
      </c>
      <c r="S928" s="763" t="str">
        <f>IFERROR(__xludf.DUMMYFUNCTION("""COMPUTED_VALUE"""),"Workshop Hip Hop Emanuel Lo 2026 - Workshop Emanuel Lo h 16 22 febbraio 2026")</f>
        <v>Workshop Hip Hop Emanuel Lo 2026 - Workshop Emanuel Lo h 16 22 febbraio 2026</v>
      </c>
      <c r="T928" s="763"/>
      <c r="U928" s="763"/>
      <c r="V928" s="763">
        <f>IFERROR(__xludf.DUMMYFUNCTION("""COMPUTED_VALUE"""),1.0)</f>
        <v>1</v>
      </c>
      <c r="W928" s="763">
        <f>IFERROR(__xludf.DUMMYFUNCTION("""COMPUTED_VALUE"""),45.0)</f>
        <v>45</v>
      </c>
      <c r="X928" s="763">
        <f>IFERROR(__xludf.DUMMYFUNCTION("""COMPUTED_VALUE"""),45.0)</f>
        <v>45</v>
      </c>
      <c r="Y928" s="763"/>
      <c r="Z928" s="768" t="str">
        <f>IFERROR(__xludf.DUMMYFUNCTION("""COMPUTED_VALUE"""),"https://studio-gem.it/wp-admin/post.php?post=67816&amp;action=edit")</f>
        <v>https://studio-gem.it/wp-admin/post.php?post=67816&amp;action=edit</v>
      </c>
      <c r="AA928" s="763"/>
      <c r="AB928" s="763"/>
      <c r="AC928" s="763"/>
      <c r="AD928" s="763"/>
      <c r="AE928" s="763"/>
      <c r="AF928" s="763"/>
      <c r="AG928" s="763"/>
      <c r="AH928" s="763"/>
      <c r="AI928" s="763"/>
      <c r="AJ928" s="763"/>
      <c r="AK928" s="763"/>
      <c r="AL928" s="763"/>
      <c r="AM928" s="763"/>
      <c r="AN928" s="763"/>
      <c r="AO928" s="763"/>
      <c r="AP928" s="763"/>
      <c r="AQ928" s="763"/>
      <c r="AR928" s="763"/>
      <c r="AS928" s="763"/>
      <c r="AT928" s="763"/>
      <c r="AU928" s="763"/>
      <c r="AV928" s="763"/>
      <c r="AW928" s="763"/>
      <c r="AX928" s="763"/>
      <c r="AY928" s="763"/>
      <c r="AZ928" s="763"/>
      <c r="BA928" s="763"/>
      <c r="BB928" s="763"/>
      <c r="BC928" s="763"/>
      <c r="BD928" s="763"/>
      <c r="BE928" s="763"/>
      <c r="BF928" s="763"/>
      <c r="BG928" s="763" t="b">
        <f>IFERROR(__xludf.DUMMYFUNCTION("""COMPUTED_VALUE"""),FALSE)</f>
        <v>0</v>
      </c>
      <c r="BH928" s="763" t="b">
        <f>IFERROR(__xludf.DUMMYFUNCTION("""COMPUTED_VALUE"""),FALSE)</f>
        <v>0</v>
      </c>
      <c r="BI928" s="763" t="b">
        <f>IFERROR(__xludf.DUMMYFUNCTION("""COMPUTED_VALUE"""),FALSE)</f>
        <v>0</v>
      </c>
      <c r="BJ928" s="763" t="b">
        <f>IFERROR(__xludf.DUMMYFUNCTION("""COMPUTED_VALUE"""),FALSE)</f>
        <v>0</v>
      </c>
    </row>
    <row r="929">
      <c r="A929" s="763">
        <f>IFERROR(__xludf.DUMMYFUNCTION("""COMPUTED_VALUE"""),67817.0)</f>
        <v>67817</v>
      </c>
      <c r="B929" s="763">
        <f>IFERROR(__xludf.DUMMYFUNCTION("""COMPUTED_VALUE"""),67817.0)</f>
        <v>67817</v>
      </c>
      <c r="C929" s="763" t="str">
        <f>IFERROR(__xludf.DUMMYFUNCTION("""COMPUTED_VALUE"""),"2026-02-09 18:03:07")</f>
        <v>2026-02-09 18:03:07</v>
      </c>
      <c r="D929" s="763" t="str">
        <f>IFERROR(__xludf.DUMMYFUNCTION("""COMPUTED_VALUE"""),"completed")</f>
        <v>completed</v>
      </c>
      <c r="E929" s="763" t="str">
        <f>IFERROR(__xludf.DUMMYFUNCTION("""COMPUTED_VALUE"""),"Brando")</f>
        <v>Brando</v>
      </c>
      <c r="F929" s="763" t="str">
        <f>IFERROR(__xludf.DUMMYFUNCTION("""COMPUTED_VALUE"""),"Villa")</f>
        <v>Villa</v>
      </c>
      <c r="G929" s="763" t="str">
        <f>IFERROR(__xludf.DUMMYFUNCTION("""COMPUTED_VALUE"""),"Brandovilla2000@gmail.com")</f>
        <v>Brandovilla2000@gmail.com</v>
      </c>
      <c r="H929" s="763">
        <f>IFERROR(__xludf.DUMMYFUNCTION("""COMPUTED_VALUE"""),3.75539169E9)</f>
        <v>3755391690</v>
      </c>
      <c r="I929" s="763" t="str">
        <f>IFERROR(__xludf.DUMMYFUNCTION("""COMPUTED_VALUE"""),"Milano")</f>
        <v>Milano</v>
      </c>
      <c r="J929" s="763" t="str">
        <f>IFERROR(__xludf.DUMMYFUNCTION("""COMPUTED_VALUE"""),"Via Torino 34")</f>
        <v>Via Torino 34</v>
      </c>
      <c r="K929" s="763">
        <f>IFERROR(__xludf.DUMMYFUNCTION("""COMPUTED_VALUE"""),47843.0)</f>
        <v>47843</v>
      </c>
      <c r="L929" s="763" t="str">
        <f>IFERROR(__xludf.DUMMYFUNCTION("""COMPUTED_VALUE"""),"Apple Pay")</f>
        <v>Apple Pay</v>
      </c>
      <c r="M929" s="763"/>
      <c r="N929" s="763" t="str">
        <f>IFERROR(__xludf.DUMMYFUNCTION("""COMPUTED_VALUE"""),"67817-1770660188")</f>
        <v>67817-1770660188</v>
      </c>
      <c r="O929" s="763">
        <f>IFERROR(__xludf.DUMMYFUNCTION("""COMPUTED_VALUE"""),0.0)</f>
        <v>0</v>
      </c>
      <c r="P929" s="767">
        <f>IFERROR(__xludf.DUMMYFUNCTION("""COMPUTED_VALUE"""),1.875)</f>
        <v>1.875</v>
      </c>
      <c r="Q929" s="763" t="str">
        <f>IFERROR(__xludf.DUMMYFUNCTION("""COMPUTED_VALUE"""),"EUR")</f>
        <v>EUR</v>
      </c>
      <c r="R929" s="763">
        <f>IFERROR(__xludf.DUMMYFUNCTION("""COMPUTED_VALUE"""),1651.0)</f>
        <v>1651</v>
      </c>
      <c r="S929" s="763" t="str">
        <f>IFERROR(__xludf.DUMMYFUNCTION("""COMPUTED_VALUE"""),"Workshop Hip Hop Emanuel Lo 2026 - Workshop Emanuel Lo h 16 22 febbraio 2026")</f>
        <v>Workshop Hip Hop Emanuel Lo 2026 - Workshop Emanuel Lo h 16 22 febbraio 2026</v>
      </c>
      <c r="T929" s="763"/>
      <c r="U929" s="763"/>
      <c r="V929" s="763">
        <f>IFERROR(__xludf.DUMMYFUNCTION("""COMPUTED_VALUE"""),1.0)</f>
        <v>1</v>
      </c>
      <c r="W929" s="763">
        <f>IFERROR(__xludf.DUMMYFUNCTION("""COMPUTED_VALUE"""),45.0)</f>
        <v>45</v>
      </c>
      <c r="X929" s="763">
        <f>IFERROR(__xludf.DUMMYFUNCTION("""COMPUTED_VALUE"""),45.0)</f>
        <v>45</v>
      </c>
      <c r="Y929" s="763"/>
      <c r="Z929" s="768" t="str">
        <f>IFERROR(__xludf.DUMMYFUNCTION("""COMPUTED_VALUE"""),"https://studio-gem.it/wp-admin/post.php?post=67817&amp;action=edit")</f>
        <v>https://studio-gem.it/wp-admin/post.php?post=67817&amp;action=edit</v>
      </c>
      <c r="AA929" s="763"/>
      <c r="AB929" s="763"/>
      <c r="AC929" s="763"/>
      <c r="AD929" s="763"/>
      <c r="AE929" s="763"/>
      <c r="AF929" s="763"/>
      <c r="AG929" s="763"/>
      <c r="AH929" s="763"/>
      <c r="AI929" s="763"/>
      <c r="AJ929" s="763"/>
      <c r="AK929" s="763"/>
      <c r="AL929" s="763"/>
      <c r="AM929" s="763"/>
      <c r="AN929" s="763"/>
      <c r="AO929" s="763"/>
      <c r="AP929" s="763"/>
      <c r="AQ929" s="763"/>
      <c r="AR929" s="763"/>
      <c r="AS929" s="763"/>
      <c r="AT929" s="763"/>
      <c r="AU929" s="763"/>
      <c r="AV929" s="763"/>
      <c r="AW929" s="763"/>
      <c r="AX929" s="763"/>
      <c r="AY929" s="763"/>
      <c r="AZ929" s="763"/>
      <c r="BA929" s="763"/>
      <c r="BB929" s="763"/>
      <c r="BC929" s="763"/>
      <c r="BD929" s="763"/>
      <c r="BE929" s="763"/>
      <c r="BF929" s="763"/>
      <c r="BG929" s="763" t="b">
        <f>IFERROR(__xludf.DUMMYFUNCTION("""COMPUTED_VALUE"""),TRUE)</f>
        <v>1</v>
      </c>
      <c r="BH929" s="763" t="b">
        <f>IFERROR(__xludf.DUMMYFUNCTION("""COMPUTED_VALUE"""),FALSE)</f>
        <v>0</v>
      </c>
      <c r="BI929" s="763" t="b">
        <f>IFERROR(__xludf.DUMMYFUNCTION("""COMPUTED_VALUE"""),TRUE)</f>
        <v>1</v>
      </c>
      <c r="BJ929" s="763" t="b">
        <f>IFERROR(__xludf.DUMMYFUNCTION("""COMPUTED_VALUE"""),TRUE)</f>
        <v>1</v>
      </c>
    </row>
    <row r="930">
      <c r="A930" s="763">
        <f>IFERROR(__xludf.DUMMYFUNCTION("""COMPUTED_VALUE"""),67819.0)</f>
        <v>67819</v>
      </c>
      <c r="B930" s="763">
        <f>IFERROR(__xludf.DUMMYFUNCTION("""COMPUTED_VALUE"""),67819.0)</f>
        <v>67819</v>
      </c>
      <c r="C930" s="763" t="str">
        <f>IFERROR(__xludf.DUMMYFUNCTION("""COMPUTED_VALUE"""),"2026-02-09 18:42:05")</f>
        <v>2026-02-09 18:42:05</v>
      </c>
      <c r="D930" s="763" t="str">
        <f>IFERROR(__xludf.DUMMYFUNCTION("""COMPUTED_VALUE"""),"completed")</f>
        <v>completed</v>
      </c>
      <c r="E930" s="763" t="str">
        <f>IFERROR(__xludf.DUMMYFUNCTION("""COMPUTED_VALUE"""),"Amelia")</f>
        <v>Amelia</v>
      </c>
      <c r="F930" s="763" t="str">
        <f>IFERROR(__xludf.DUMMYFUNCTION("""COMPUTED_VALUE"""),"Marongiu")</f>
        <v>Marongiu</v>
      </c>
      <c r="G930" s="763" t="str">
        <f>IFERROR(__xludf.DUMMYFUNCTION("""COMPUTED_VALUE"""),"adrianaamelia6810@gmail.com")</f>
        <v>adrianaamelia6810@gmail.com</v>
      </c>
      <c r="H930" s="763">
        <f>IFERROR(__xludf.DUMMYFUNCTION("""COMPUTED_VALUE"""),3.337651371E9)</f>
        <v>3337651371</v>
      </c>
      <c r="I930" s="763" t="str">
        <f>IFERROR(__xludf.DUMMYFUNCTION("""COMPUTED_VALUE"""),"Cologno Al Serio")</f>
        <v>Cologno Al Serio</v>
      </c>
      <c r="J930" s="763" t="str">
        <f>IFERROR(__xludf.DUMMYFUNCTION("""COMPUTED_VALUE"""),"Via Dei Caniana 7")</f>
        <v>Via Dei Caniana 7</v>
      </c>
      <c r="K930" s="763">
        <f>IFERROR(__xludf.DUMMYFUNCTION("""COMPUTED_VALUE"""),24055.0)</f>
        <v>24055</v>
      </c>
      <c r="L930" s="763" t="str">
        <f>IFERROR(__xludf.DUMMYFUNCTION("""COMPUTED_VALUE"""),"Carte di pagamento")</f>
        <v>Carte di pagamento</v>
      </c>
      <c r="M930" s="763"/>
      <c r="N930" s="763" t="str">
        <f>IFERROR(__xludf.DUMMYFUNCTION("""COMPUTED_VALUE"""),"67819-1770662527")</f>
        <v>67819-1770662527</v>
      </c>
      <c r="O930" s="763">
        <f>IFERROR(__xludf.DUMMYFUNCTION("""COMPUTED_VALUE"""),0.0)</f>
        <v>0</v>
      </c>
      <c r="P930" s="767">
        <f>IFERROR(__xludf.DUMMYFUNCTION("""COMPUTED_VALUE"""),1.875)</f>
        <v>1.875</v>
      </c>
      <c r="Q930" s="763" t="str">
        <f>IFERROR(__xludf.DUMMYFUNCTION("""COMPUTED_VALUE"""),"EUR")</f>
        <v>EUR</v>
      </c>
      <c r="R930" s="763">
        <f>IFERROR(__xludf.DUMMYFUNCTION("""COMPUTED_VALUE"""),1652.0)</f>
        <v>1652</v>
      </c>
      <c r="S930" s="763" t="str">
        <f>IFERROR(__xludf.DUMMYFUNCTION("""COMPUTED_VALUE"""),"Workshop Hip Hop Emanuel Lo 2026 - Workshop Emanuel Lo h 16 22 febbraio 2026")</f>
        <v>Workshop Hip Hop Emanuel Lo 2026 - Workshop Emanuel Lo h 16 22 febbraio 2026</v>
      </c>
      <c r="T930" s="763"/>
      <c r="U930" s="763"/>
      <c r="V930" s="763">
        <f>IFERROR(__xludf.DUMMYFUNCTION("""COMPUTED_VALUE"""),1.0)</f>
        <v>1</v>
      </c>
      <c r="W930" s="763">
        <f>IFERROR(__xludf.DUMMYFUNCTION("""COMPUTED_VALUE"""),45.0)</f>
        <v>45</v>
      </c>
      <c r="X930" s="763">
        <f>IFERROR(__xludf.DUMMYFUNCTION("""COMPUTED_VALUE"""),45.0)</f>
        <v>45</v>
      </c>
      <c r="Y930" s="763"/>
      <c r="Z930" s="768" t="str">
        <f>IFERROR(__xludf.DUMMYFUNCTION("""COMPUTED_VALUE"""),"https://studio-gem.it/wp-admin/post.php?post=67819&amp;action=edit")</f>
        <v>https://studio-gem.it/wp-admin/post.php?post=67819&amp;action=edit</v>
      </c>
      <c r="AA930" s="763"/>
      <c r="AB930" s="763"/>
      <c r="AC930" s="763"/>
      <c r="AD930" s="763"/>
      <c r="AE930" s="763"/>
      <c r="AF930" s="763"/>
      <c r="AG930" s="763"/>
      <c r="AH930" s="763"/>
      <c r="AI930" s="763"/>
      <c r="AJ930" s="763"/>
      <c r="AK930" s="763"/>
      <c r="AL930" s="763"/>
      <c r="AM930" s="763"/>
      <c r="AN930" s="763"/>
      <c r="AO930" s="763"/>
      <c r="AP930" s="763"/>
      <c r="AQ930" s="763"/>
      <c r="AR930" s="763"/>
      <c r="AS930" s="763"/>
      <c r="AT930" s="763"/>
      <c r="AU930" s="763"/>
      <c r="AV930" s="763"/>
      <c r="AW930" s="763"/>
      <c r="AX930" s="763"/>
      <c r="AY930" s="763"/>
      <c r="AZ930" s="763"/>
      <c r="BA930" s="763"/>
      <c r="BB930" s="763"/>
      <c r="BC930" s="763"/>
      <c r="BD930" s="763"/>
      <c r="BE930" s="763"/>
      <c r="BF930" s="763"/>
      <c r="BG930" s="763" t="b">
        <f>IFERROR(__xludf.DUMMYFUNCTION("""COMPUTED_VALUE"""),TRUE)</f>
        <v>1</v>
      </c>
      <c r="BH930" s="763" t="b">
        <f>IFERROR(__xludf.DUMMYFUNCTION("""COMPUTED_VALUE"""),FALSE)</f>
        <v>0</v>
      </c>
      <c r="BI930" s="763" t="b">
        <f>IFERROR(__xludf.DUMMYFUNCTION("""COMPUTED_VALUE"""),TRUE)</f>
        <v>1</v>
      </c>
      <c r="BJ930" s="763" t="b">
        <f>IFERROR(__xludf.DUMMYFUNCTION("""COMPUTED_VALUE"""),TRUE)</f>
        <v>1</v>
      </c>
    </row>
    <row r="931">
      <c r="A931" s="763">
        <f>IFERROR(__xludf.DUMMYFUNCTION("""COMPUTED_VALUE"""),67839.0)</f>
        <v>67839</v>
      </c>
      <c r="B931" s="763">
        <f>IFERROR(__xludf.DUMMYFUNCTION("""COMPUTED_VALUE"""),67839.0)</f>
        <v>67839</v>
      </c>
      <c r="C931" s="763" t="str">
        <f>IFERROR(__xludf.DUMMYFUNCTION("""COMPUTED_VALUE"""),"2026-02-10 10:00:24")</f>
        <v>2026-02-10 10:00:24</v>
      </c>
      <c r="D931" s="763" t="str">
        <f>IFERROR(__xludf.DUMMYFUNCTION("""COMPUTED_VALUE"""),"completed")</f>
        <v>completed</v>
      </c>
      <c r="E931" s="763" t="str">
        <f>IFERROR(__xludf.DUMMYFUNCTION("""COMPUTED_VALUE"""),"Giulia")</f>
        <v>Giulia</v>
      </c>
      <c r="F931" s="763" t="str">
        <f>IFERROR(__xludf.DUMMYFUNCTION("""COMPUTED_VALUE"""),"Di Nallo")</f>
        <v>Di Nallo</v>
      </c>
      <c r="G931" s="763" t="str">
        <f>IFERROR(__xludf.DUMMYFUNCTION("""COMPUTED_VALUE"""),"giuliadinallo@gmail.com")</f>
        <v>giuliadinallo@gmail.com</v>
      </c>
      <c r="H931" s="763">
        <f>IFERROR(__xludf.DUMMYFUNCTION("""COMPUTED_VALUE"""),3.343323763E9)</f>
        <v>3343323763</v>
      </c>
      <c r="I931" s="763" t="str">
        <f>IFERROR(__xludf.DUMMYFUNCTION("""COMPUTED_VALUE"""),"Milano")</f>
        <v>Milano</v>
      </c>
      <c r="J931" s="763" t="str">
        <f>IFERROR(__xludf.DUMMYFUNCTION("""COMPUTED_VALUE"""),"Via Matteo Maria Boiardo")</f>
        <v>Via Matteo Maria Boiardo</v>
      </c>
      <c r="K931" s="763">
        <f>IFERROR(__xludf.DUMMYFUNCTION("""COMPUTED_VALUE"""),20127.0)</f>
        <v>20127</v>
      </c>
      <c r="L931" s="763" t="str">
        <f>IFERROR(__xludf.DUMMYFUNCTION("""COMPUTED_VALUE"""),"Satispay")</f>
        <v>Satispay</v>
      </c>
      <c r="M931" s="763"/>
      <c r="N931" s="763" t="str">
        <f>IFERROR(__xludf.DUMMYFUNCTION("""COMPUTED_VALUE"""),"019c46fe-bbbb-70a0-9d90-94f7055d6776")</f>
        <v>019c46fe-bbbb-70a0-9d90-94f7055d6776</v>
      </c>
      <c r="O931" s="763">
        <f>IFERROR(__xludf.DUMMYFUNCTION("""COMPUTED_VALUE"""),0.0)</f>
        <v>0</v>
      </c>
      <c r="P931" s="767">
        <f>IFERROR(__xludf.DUMMYFUNCTION("""COMPUTED_VALUE"""),0.9166666666666666)</f>
        <v>0.9166666667</v>
      </c>
      <c r="Q931" s="763" t="str">
        <f>IFERROR(__xludf.DUMMYFUNCTION("""COMPUTED_VALUE"""),"EUR")</f>
        <v>EUR</v>
      </c>
      <c r="R931" s="763">
        <f>IFERROR(__xludf.DUMMYFUNCTION("""COMPUTED_VALUE"""),1653.0)</f>
        <v>1653</v>
      </c>
      <c r="S931" s="763" t="str">
        <f>IFERROR(__xludf.DUMMYFUNCTION("""COMPUTED_VALUE"""),"Open class Heels con Anahita 2026 - Open class Heels con Anahita 2026")</f>
        <v>Open class Heels con Anahita 2026 - Open class Heels con Anahita 2026</v>
      </c>
      <c r="T931" s="763"/>
      <c r="U931" s="763"/>
      <c r="V931" s="763">
        <f>IFERROR(__xludf.DUMMYFUNCTION("""COMPUTED_VALUE"""),1.0)</f>
        <v>1</v>
      </c>
      <c r="W931" s="763">
        <f>IFERROR(__xludf.DUMMYFUNCTION("""COMPUTED_VALUE"""),22.0)</f>
        <v>22</v>
      </c>
      <c r="X931" s="763">
        <f>IFERROR(__xludf.DUMMYFUNCTION("""COMPUTED_VALUE"""),22.0)</f>
        <v>22</v>
      </c>
      <c r="Y931" s="763"/>
      <c r="Z931" s="768" t="str">
        <f>IFERROR(__xludf.DUMMYFUNCTION("""COMPUTED_VALUE"""),"https://studio-gem.it/wp-admin/post.php?post=67839&amp;action=edit")</f>
        <v>https://studio-gem.it/wp-admin/post.php?post=67839&amp;action=edit</v>
      </c>
      <c r="AA931" s="763"/>
      <c r="AB931" s="763"/>
      <c r="AC931" s="763"/>
      <c r="AD931" s="763"/>
      <c r="AE931" s="763"/>
      <c r="AF931" s="763"/>
      <c r="AG931" s="763"/>
      <c r="AH931" s="763"/>
      <c r="AI931" s="763"/>
      <c r="AJ931" s="763"/>
      <c r="AK931" s="763"/>
      <c r="AL931" s="763"/>
      <c r="AM931" s="763"/>
      <c r="AN931" s="763"/>
      <c r="AO931" s="763"/>
      <c r="AP931" s="763"/>
      <c r="AQ931" s="763"/>
      <c r="AR931" s="763"/>
      <c r="AS931" s="763"/>
      <c r="AT931" s="763"/>
      <c r="AU931" s="763"/>
      <c r="AV931" s="763"/>
      <c r="AW931" s="763"/>
      <c r="AX931" s="763"/>
      <c r="AY931" s="763"/>
      <c r="AZ931" s="763"/>
      <c r="BA931" s="763"/>
      <c r="BB931" s="763"/>
      <c r="BC931" s="763"/>
      <c r="BD931" s="763"/>
      <c r="BE931" s="763"/>
      <c r="BF931" s="763"/>
      <c r="BG931" s="763" t="b">
        <f>IFERROR(__xludf.DUMMYFUNCTION("""COMPUTED_VALUE"""),TRUE)</f>
        <v>1</v>
      </c>
      <c r="BH931" s="763" t="b">
        <f>IFERROR(__xludf.DUMMYFUNCTION("""COMPUTED_VALUE"""),FALSE)</f>
        <v>0</v>
      </c>
      <c r="BI931" s="763" t="b">
        <f>IFERROR(__xludf.DUMMYFUNCTION("""COMPUTED_VALUE"""),TRUE)</f>
        <v>1</v>
      </c>
      <c r="BJ931" s="763" t="b">
        <f>IFERROR(__xludf.DUMMYFUNCTION("""COMPUTED_VALUE"""),TRUE)</f>
        <v>1</v>
      </c>
    </row>
    <row r="932">
      <c r="A932" s="763">
        <f>IFERROR(__xludf.DUMMYFUNCTION("""COMPUTED_VALUE"""),67842.0)</f>
        <v>67842</v>
      </c>
      <c r="B932" s="763">
        <f>IFERROR(__xludf.DUMMYFUNCTION("""COMPUTED_VALUE"""),67842.0)</f>
        <v>67842</v>
      </c>
      <c r="C932" s="763" t="str">
        <f>IFERROR(__xludf.DUMMYFUNCTION("""COMPUTED_VALUE"""),"2026-02-10 10:12:48")</f>
        <v>2026-02-10 10:12:48</v>
      </c>
      <c r="D932" s="763" t="str">
        <f>IFERROR(__xludf.DUMMYFUNCTION("""COMPUTED_VALUE"""),"pending")</f>
        <v>pending</v>
      </c>
      <c r="E932" s="763" t="str">
        <f>IFERROR(__xludf.DUMMYFUNCTION("""COMPUTED_VALUE"""),"Rahel")</f>
        <v>Rahel</v>
      </c>
      <c r="F932" s="763" t="str">
        <f>IFERROR(__xludf.DUMMYFUNCTION("""COMPUTED_VALUE"""),"Dross")</f>
        <v>Dross</v>
      </c>
      <c r="G932" s="763" t="str">
        <f>IFERROR(__xludf.DUMMYFUNCTION("""COMPUTED_VALUE"""),"lillimarie.enders@gmail.com")</f>
        <v>lillimarie.enders@gmail.com</v>
      </c>
      <c r="H932" s="763" t="str">
        <f>IFERROR(__xludf.DUMMYFUNCTION("""COMPUTED_VALUE"""),"+4915154152255")</f>
        <v>+4915154152255</v>
      </c>
      <c r="I932" s="763" t="str">
        <f>IFERROR(__xludf.DUMMYFUNCTION("""COMPUTED_VALUE"""),"Milano")</f>
        <v>Milano</v>
      </c>
      <c r="J932" s="763" t="str">
        <f>IFERROR(__xludf.DUMMYFUNCTION("""COMPUTED_VALUE"""),"Via Leone Tolstoi 16")</f>
        <v>Via Leone Tolstoi 16</v>
      </c>
      <c r="K932" s="763">
        <f>IFERROR(__xludf.DUMMYFUNCTION("""COMPUTED_VALUE"""),20146.0)</f>
        <v>20146</v>
      </c>
      <c r="L932" s="763" t="str">
        <f>IFERROR(__xludf.DUMMYFUNCTION("""COMPUTED_VALUE"""),"Apple Pay")</f>
        <v>Apple Pay</v>
      </c>
      <c r="M932" s="763"/>
      <c r="N932" s="763"/>
      <c r="O932" s="763">
        <f>IFERROR(__xludf.DUMMYFUNCTION("""COMPUTED_VALUE"""),0.0)</f>
        <v>0</v>
      </c>
      <c r="P932" s="767">
        <f>IFERROR(__xludf.DUMMYFUNCTION("""COMPUTED_VALUE"""),2.0833333333333335)</f>
        <v>2.083333333</v>
      </c>
      <c r="Q932" s="763" t="str">
        <f>IFERROR(__xludf.DUMMYFUNCTION("""COMPUTED_VALUE"""),"EUR")</f>
        <v>EUR</v>
      </c>
      <c r="R932" s="763">
        <f>IFERROR(__xludf.DUMMYFUNCTION("""COMPUTED_VALUE"""),1654.0)</f>
        <v>1654</v>
      </c>
      <c r="S932" s="763" t="str">
        <f>IFERROR(__xludf.DUMMYFUNCTION("""COMPUTED_VALUE"""),"Gift Card - Gift card 50€")</f>
        <v>Gift Card - Gift card 50€</v>
      </c>
      <c r="T932" s="763"/>
      <c r="U932" s="763"/>
      <c r="V932" s="763">
        <f>IFERROR(__xludf.DUMMYFUNCTION("""COMPUTED_VALUE"""),1.0)</f>
        <v>1</v>
      </c>
      <c r="W932" s="763">
        <f>IFERROR(__xludf.DUMMYFUNCTION("""COMPUTED_VALUE"""),50.0)</f>
        <v>50</v>
      </c>
      <c r="X932" s="763">
        <f>IFERROR(__xludf.DUMMYFUNCTION("""COMPUTED_VALUE"""),50.0)</f>
        <v>50</v>
      </c>
      <c r="Y932" s="763"/>
      <c r="Z932" s="768" t="str">
        <f>IFERROR(__xludf.DUMMYFUNCTION("""COMPUTED_VALUE"""),"https://studio-gem.it/wp-admin/post.php?post=67842&amp;action=edit")</f>
        <v>https://studio-gem.it/wp-admin/post.php?post=67842&amp;action=edit</v>
      </c>
      <c r="AA932" s="763"/>
      <c r="AB932" s="763"/>
      <c r="AC932" s="763"/>
      <c r="AD932" s="763"/>
      <c r="AE932" s="763"/>
      <c r="AF932" s="763"/>
      <c r="AG932" s="763"/>
      <c r="AH932" s="763"/>
      <c r="AI932" s="763"/>
      <c r="AJ932" s="763"/>
      <c r="AK932" s="763"/>
      <c r="AL932" s="763"/>
      <c r="AM932" s="763"/>
      <c r="AN932" s="763"/>
      <c r="AO932" s="763"/>
      <c r="AP932" s="763"/>
      <c r="AQ932" s="763"/>
      <c r="AR932" s="763"/>
      <c r="AS932" s="763"/>
      <c r="AT932" s="763"/>
      <c r="AU932" s="763"/>
      <c r="AV932" s="763"/>
      <c r="AW932" s="763"/>
      <c r="AX932" s="763"/>
      <c r="AY932" s="763"/>
      <c r="AZ932" s="763"/>
      <c r="BA932" s="763"/>
      <c r="BB932" s="763"/>
      <c r="BC932" s="763"/>
      <c r="BD932" s="763"/>
      <c r="BE932" s="763"/>
      <c r="BF932" s="763"/>
      <c r="BG932" s="763" t="b">
        <f>IFERROR(__xludf.DUMMYFUNCTION("""COMPUTED_VALUE"""),FALSE)</f>
        <v>0</v>
      </c>
      <c r="BH932" s="763" t="b">
        <f>IFERROR(__xludf.DUMMYFUNCTION("""COMPUTED_VALUE"""),FALSE)</f>
        <v>0</v>
      </c>
      <c r="BI932" s="763" t="b">
        <f>IFERROR(__xludf.DUMMYFUNCTION("""COMPUTED_VALUE"""),FALSE)</f>
        <v>0</v>
      </c>
      <c r="BJ932" s="763" t="b">
        <f>IFERROR(__xludf.DUMMYFUNCTION("""COMPUTED_VALUE"""),FALSE)</f>
        <v>0</v>
      </c>
    </row>
    <row r="933">
      <c r="A933" s="763">
        <f>IFERROR(__xludf.DUMMYFUNCTION("""COMPUTED_VALUE"""),67843.0)</f>
        <v>67843</v>
      </c>
      <c r="B933" s="763">
        <f>IFERROR(__xludf.DUMMYFUNCTION("""COMPUTED_VALUE"""),67843.0)</f>
        <v>67843</v>
      </c>
      <c r="C933" s="763" t="str">
        <f>IFERROR(__xludf.DUMMYFUNCTION("""COMPUTED_VALUE"""),"2026-02-10 10:14:53")</f>
        <v>2026-02-10 10:14:53</v>
      </c>
      <c r="D933" s="763" t="str">
        <f>IFERROR(__xludf.DUMMYFUNCTION("""COMPUTED_VALUE"""),"completed")</f>
        <v>completed</v>
      </c>
      <c r="E933" s="763" t="str">
        <f>IFERROR(__xludf.DUMMYFUNCTION("""COMPUTED_VALUE"""),"Rahel")</f>
        <v>Rahel</v>
      </c>
      <c r="F933" s="763" t="str">
        <f>IFERROR(__xludf.DUMMYFUNCTION("""COMPUTED_VALUE"""),"Dross")</f>
        <v>Dross</v>
      </c>
      <c r="G933" s="763" t="str">
        <f>IFERROR(__xludf.DUMMYFUNCTION("""COMPUTED_VALUE"""),"lillimarie.enders@gmail.com")</f>
        <v>lillimarie.enders@gmail.com</v>
      </c>
      <c r="H933" s="763" t="str">
        <f>IFERROR(__xludf.DUMMYFUNCTION("""COMPUTED_VALUE"""),"+4915154152255")</f>
        <v>+4915154152255</v>
      </c>
      <c r="I933" s="763" t="str">
        <f>IFERROR(__xludf.DUMMYFUNCTION("""COMPUTED_VALUE"""),"Milano")</f>
        <v>Milano</v>
      </c>
      <c r="J933" s="763" t="str">
        <f>IFERROR(__xludf.DUMMYFUNCTION("""COMPUTED_VALUE"""),"Via Leone Tolstoi 16")</f>
        <v>Via Leone Tolstoi 16</v>
      </c>
      <c r="K933" s="763">
        <f>IFERROR(__xludf.DUMMYFUNCTION("""COMPUTED_VALUE"""),20146.0)</f>
        <v>20146</v>
      </c>
      <c r="L933" s="763" t="str">
        <f>IFERROR(__xludf.DUMMYFUNCTION("""COMPUTED_VALUE"""),"Apple Pay")</f>
        <v>Apple Pay</v>
      </c>
      <c r="M933" s="763"/>
      <c r="N933" s="763" t="str">
        <f>IFERROR(__xludf.DUMMYFUNCTION("""COMPUTED_VALUE"""),"67843-1770718495")</f>
        <v>67843-1770718495</v>
      </c>
      <c r="O933" s="763">
        <f>IFERROR(__xludf.DUMMYFUNCTION("""COMPUTED_VALUE"""),0.0)</f>
        <v>0</v>
      </c>
      <c r="P933" s="767">
        <f>IFERROR(__xludf.DUMMYFUNCTION("""COMPUTED_VALUE"""),2.0833333333333335)</f>
        <v>2.083333333</v>
      </c>
      <c r="Q933" s="763" t="str">
        <f>IFERROR(__xludf.DUMMYFUNCTION("""COMPUTED_VALUE"""),"EUR")</f>
        <v>EUR</v>
      </c>
      <c r="R933" s="763">
        <f>IFERROR(__xludf.DUMMYFUNCTION("""COMPUTED_VALUE"""),1655.0)</f>
        <v>1655</v>
      </c>
      <c r="S933" s="763" t="str">
        <f>IFERROR(__xludf.DUMMYFUNCTION("""COMPUTED_VALUE"""),"Gift Card - Gift card 50€")</f>
        <v>Gift Card - Gift card 50€</v>
      </c>
      <c r="T933" s="763"/>
      <c r="U933" s="763"/>
      <c r="V933" s="763">
        <f>IFERROR(__xludf.DUMMYFUNCTION("""COMPUTED_VALUE"""),1.0)</f>
        <v>1</v>
      </c>
      <c r="W933" s="763">
        <f>IFERROR(__xludf.DUMMYFUNCTION("""COMPUTED_VALUE"""),50.0)</f>
        <v>50</v>
      </c>
      <c r="X933" s="763">
        <f>IFERROR(__xludf.DUMMYFUNCTION("""COMPUTED_VALUE"""),50.0)</f>
        <v>50</v>
      </c>
      <c r="Y933" s="763"/>
      <c r="Z933" s="768" t="str">
        <f>IFERROR(__xludf.DUMMYFUNCTION("""COMPUTED_VALUE"""),"https://studio-gem.it/wp-admin/post.php?post=67843&amp;action=edit")</f>
        <v>https://studio-gem.it/wp-admin/post.php?post=67843&amp;action=edit</v>
      </c>
      <c r="AA933" s="763"/>
      <c r="AB933" s="763"/>
      <c r="AC933" s="763"/>
      <c r="AD933" s="763"/>
      <c r="AE933" s="763"/>
      <c r="AF933" s="763"/>
      <c r="AG933" s="763"/>
      <c r="AH933" s="763"/>
      <c r="AI933" s="763"/>
      <c r="AJ933" s="763"/>
      <c r="AK933" s="763"/>
      <c r="AL933" s="763"/>
      <c r="AM933" s="763"/>
      <c r="AN933" s="763"/>
      <c r="AO933" s="763"/>
      <c r="AP933" s="763"/>
      <c r="AQ933" s="763"/>
      <c r="AR933" s="763"/>
      <c r="AS933" s="763"/>
      <c r="AT933" s="763"/>
      <c r="AU933" s="763"/>
      <c r="AV933" s="763"/>
      <c r="AW933" s="763"/>
      <c r="AX933" s="763"/>
      <c r="AY933" s="763"/>
      <c r="AZ933" s="763"/>
      <c r="BA933" s="763"/>
      <c r="BB933" s="763"/>
      <c r="BC933" s="763"/>
      <c r="BD933" s="763"/>
      <c r="BE933" s="763"/>
      <c r="BF933" s="763"/>
      <c r="BG933" s="763" t="b">
        <f>IFERROR(__xludf.DUMMYFUNCTION("""COMPUTED_VALUE"""),TRUE)</f>
        <v>1</v>
      </c>
      <c r="BH933" s="763" t="b">
        <f>IFERROR(__xludf.DUMMYFUNCTION("""COMPUTED_VALUE"""),FALSE)</f>
        <v>0</v>
      </c>
      <c r="BI933" s="763" t="b">
        <f>IFERROR(__xludf.DUMMYFUNCTION("""COMPUTED_VALUE"""),TRUE)</f>
        <v>1</v>
      </c>
      <c r="BJ933" s="763" t="b">
        <f>IFERROR(__xludf.DUMMYFUNCTION("""COMPUTED_VALUE"""),TRUE)</f>
        <v>1</v>
      </c>
    </row>
    <row r="934">
      <c r="A934" s="763">
        <f>IFERROR(__xludf.DUMMYFUNCTION("""COMPUTED_VALUE"""),67848.0)</f>
        <v>67848</v>
      </c>
      <c r="B934" s="763">
        <f>IFERROR(__xludf.DUMMYFUNCTION("""COMPUTED_VALUE"""),67848.0)</f>
        <v>67848</v>
      </c>
      <c r="C934" s="763" t="str">
        <f>IFERROR(__xludf.DUMMYFUNCTION("""COMPUTED_VALUE"""),"2026-02-10 12:48:49")</f>
        <v>2026-02-10 12:48:49</v>
      </c>
      <c r="D934" s="763" t="str">
        <f>IFERROR(__xludf.DUMMYFUNCTION("""COMPUTED_VALUE"""),"processing")</f>
        <v>processing</v>
      </c>
      <c r="E934" s="763" t="str">
        <f>IFERROR(__xludf.DUMMYFUNCTION("""COMPUTED_VALUE"""),"Claudia")</f>
        <v>Claudia</v>
      </c>
      <c r="F934" s="763" t="str">
        <f>IFERROR(__xludf.DUMMYFUNCTION("""COMPUTED_VALUE"""),"Scipioni")</f>
        <v>Scipioni</v>
      </c>
      <c r="G934" s="763" t="str">
        <f>IFERROR(__xludf.DUMMYFUNCTION("""COMPUTED_VALUE"""),"claudia.scipioni64@gmail.com")</f>
        <v>claudia.scipioni64@gmail.com</v>
      </c>
      <c r="H934" s="763">
        <f>IFERROR(__xludf.DUMMYFUNCTION("""COMPUTED_VALUE"""),3.396859611E9)</f>
        <v>3396859611</v>
      </c>
      <c r="I934" s="763" t="str">
        <f>IFERROR(__xludf.DUMMYFUNCTION("""COMPUTED_VALUE"""),"Milano")</f>
        <v>Milano</v>
      </c>
      <c r="J934" s="763" t="str">
        <f>IFERROR(__xludf.DUMMYFUNCTION("""COMPUTED_VALUE"""),"via Calatafimi 15")</f>
        <v>via Calatafimi 15</v>
      </c>
      <c r="K934" s="763">
        <f>IFERROR(__xludf.DUMMYFUNCTION("""COMPUTED_VALUE"""),20122.0)</f>
        <v>20122</v>
      </c>
      <c r="L934" s="763" t="str">
        <f>IFERROR(__xludf.DUMMYFUNCTION("""COMPUTED_VALUE"""),"Carte di pagamento")</f>
        <v>Carte di pagamento</v>
      </c>
      <c r="M934" s="763"/>
      <c r="N934" s="763" t="str">
        <f>IFERROR(__xludf.DUMMYFUNCTION("""COMPUTED_VALUE"""),"67848-1770727731")</f>
        <v>67848-1770727731</v>
      </c>
      <c r="O934" s="763">
        <f>IFERROR(__xludf.DUMMYFUNCTION("""COMPUTED_VALUE"""),0.0)</f>
        <v>0</v>
      </c>
      <c r="P934" s="767">
        <f>IFERROR(__xludf.DUMMYFUNCTION("""COMPUTED_VALUE"""),1.3333333333333333)</f>
        <v>1.333333333</v>
      </c>
      <c r="Q934" s="763" t="str">
        <f>IFERROR(__xludf.DUMMYFUNCTION("""COMPUTED_VALUE"""),"EUR")</f>
        <v>EUR</v>
      </c>
      <c r="R934" s="763">
        <f>IFERROR(__xludf.DUMMYFUNCTION("""COMPUTED_VALUE"""),1656.0)</f>
        <v>1656</v>
      </c>
      <c r="S934" s="763" t="str">
        <f>IFERROR(__xludf.DUMMYFUNCTION("""COMPUTED_VALUE"""),"Un dia en Cuba 2026 - Un dia en Cuba 2026")</f>
        <v>Un dia en Cuba 2026 - Un dia en Cuba 2026</v>
      </c>
      <c r="T934" s="763"/>
      <c r="U934" s="763"/>
      <c r="V934" s="763">
        <f>IFERROR(__xludf.DUMMYFUNCTION("""COMPUTED_VALUE"""),1.0)</f>
        <v>1</v>
      </c>
      <c r="W934" s="763">
        <f>IFERROR(__xludf.DUMMYFUNCTION("""COMPUTED_VALUE"""),32.0)</f>
        <v>32</v>
      </c>
      <c r="X934" s="763">
        <f>IFERROR(__xludf.DUMMYFUNCTION("""COMPUTED_VALUE"""),32.0)</f>
        <v>32</v>
      </c>
      <c r="Y934" s="763"/>
      <c r="Z934" s="768" t="str">
        <f>IFERROR(__xludf.DUMMYFUNCTION("""COMPUTED_VALUE"""),"https://studio-gem.it/wp-admin/post.php?post=67848&amp;action=edit")</f>
        <v>https://studio-gem.it/wp-admin/post.php?post=67848&amp;action=edit</v>
      </c>
      <c r="AA934" s="763"/>
      <c r="AB934" s="763"/>
      <c r="AC934" s="763"/>
      <c r="AD934" s="763"/>
      <c r="AE934" s="763"/>
      <c r="AF934" s="763"/>
      <c r="AG934" s="763"/>
      <c r="AH934" s="763"/>
      <c r="AI934" s="763"/>
      <c r="AJ934" s="763"/>
      <c r="AK934" s="763"/>
      <c r="AL934" s="763"/>
      <c r="AM934" s="763"/>
      <c r="AN934" s="763"/>
      <c r="AO934" s="763"/>
      <c r="AP934" s="763"/>
      <c r="AQ934" s="763"/>
      <c r="AR934" s="763"/>
      <c r="AS934" s="763"/>
      <c r="AT934" s="763"/>
      <c r="AU934" s="763"/>
      <c r="AV934" s="763"/>
      <c r="AW934" s="763"/>
      <c r="AX934" s="763"/>
      <c r="AY934" s="763"/>
      <c r="AZ934" s="763"/>
      <c r="BA934" s="763"/>
      <c r="BB934" s="763"/>
      <c r="BC934" s="763"/>
      <c r="BD934" s="763"/>
      <c r="BE934" s="763"/>
      <c r="BF934" s="763"/>
      <c r="BG934" s="763" t="b">
        <f>IFERROR(__xludf.DUMMYFUNCTION("""COMPUTED_VALUE"""),TRUE)</f>
        <v>1</v>
      </c>
      <c r="BH934" s="763" t="b">
        <f>IFERROR(__xludf.DUMMYFUNCTION("""COMPUTED_VALUE"""),FALSE)</f>
        <v>0</v>
      </c>
      <c r="BI934" s="763" t="b">
        <f>IFERROR(__xludf.DUMMYFUNCTION("""COMPUTED_VALUE"""),TRUE)</f>
        <v>1</v>
      </c>
      <c r="BJ934" s="763" t="b">
        <f>IFERROR(__xludf.DUMMYFUNCTION("""COMPUTED_VALUE"""),TRUE)</f>
        <v>1</v>
      </c>
    </row>
    <row r="935">
      <c r="A935" s="763">
        <f>IFERROR(__xludf.DUMMYFUNCTION("""COMPUTED_VALUE"""),67851.0)</f>
        <v>67851</v>
      </c>
      <c r="B935" s="763">
        <f>IFERROR(__xludf.DUMMYFUNCTION("""COMPUTED_VALUE"""),67851.0)</f>
        <v>67851</v>
      </c>
      <c r="C935" s="763" t="str">
        <f>IFERROR(__xludf.DUMMYFUNCTION("""COMPUTED_VALUE"""),"2026-02-10 16:17:45")</f>
        <v>2026-02-10 16:17:45</v>
      </c>
      <c r="D935" s="763" t="str">
        <f>IFERROR(__xludf.DUMMYFUNCTION("""COMPUTED_VALUE"""),"processing")</f>
        <v>processing</v>
      </c>
      <c r="E935" s="763" t="str">
        <f>IFERROR(__xludf.DUMMYFUNCTION("""COMPUTED_VALUE"""),"Sandra")</f>
        <v>Sandra</v>
      </c>
      <c r="F935" s="763" t="str">
        <f>IFERROR(__xludf.DUMMYFUNCTION("""COMPUTED_VALUE"""),"Rouvière")</f>
        <v>Rouvière</v>
      </c>
      <c r="G935" s="763" t="str">
        <f>IFERROR(__xludf.DUMMYFUNCTION("""COMPUTED_VALUE"""),"sandra.rouviere123@gmail.com")</f>
        <v>sandra.rouviere123@gmail.com</v>
      </c>
      <c r="H935" s="763" t="str">
        <f>IFERROR(__xludf.DUMMYFUNCTION("""COMPUTED_VALUE"""),"+393346051490")</f>
        <v>+393346051490</v>
      </c>
      <c r="I935" s="763" t="str">
        <f>IFERROR(__xludf.DUMMYFUNCTION("""COMPUTED_VALUE"""),"Milano")</f>
        <v>Milano</v>
      </c>
      <c r="J935" s="763" t="str">
        <f>IFERROR(__xludf.DUMMYFUNCTION("""COMPUTED_VALUE"""),"Corso Garibaldi 49")</f>
        <v>Corso Garibaldi 49</v>
      </c>
      <c r="K935" s="763">
        <f>IFERROR(__xludf.DUMMYFUNCTION("""COMPUTED_VALUE"""),20121.0)</f>
        <v>20121</v>
      </c>
      <c r="L935" s="763" t="str">
        <f>IFERROR(__xludf.DUMMYFUNCTION("""COMPUTED_VALUE"""),"Carte di pagamento")</f>
        <v>Carte di pagamento</v>
      </c>
      <c r="M935" s="763"/>
      <c r="N935" s="763" t="str">
        <f>IFERROR(__xludf.DUMMYFUNCTION("""COMPUTED_VALUE"""),"67851-1770740267")</f>
        <v>67851-1770740267</v>
      </c>
      <c r="O935" s="763">
        <f>IFERROR(__xludf.DUMMYFUNCTION("""COMPUTED_VALUE"""),0.0)</f>
        <v>0</v>
      </c>
      <c r="P935" s="767">
        <f>IFERROR(__xludf.DUMMYFUNCTION("""COMPUTED_VALUE"""),1.3333333333333333)</f>
        <v>1.333333333</v>
      </c>
      <c r="Q935" s="763" t="str">
        <f>IFERROR(__xludf.DUMMYFUNCTION("""COMPUTED_VALUE"""),"EUR")</f>
        <v>EUR</v>
      </c>
      <c r="R935" s="763">
        <f>IFERROR(__xludf.DUMMYFUNCTION("""COMPUTED_VALUE"""),1657.0)</f>
        <v>1657</v>
      </c>
      <c r="S935" s="763" t="str">
        <f>IFERROR(__xludf.DUMMYFUNCTION("""COMPUTED_VALUE"""),"Un dia en Cuba 2026 - Un dia en Cuba 2026")</f>
        <v>Un dia en Cuba 2026 - Un dia en Cuba 2026</v>
      </c>
      <c r="T935" s="763"/>
      <c r="U935" s="763"/>
      <c r="V935" s="763">
        <f>IFERROR(__xludf.DUMMYFUNCTION("""COMPUTED_VALUE"""),1.0)</f>
        <v>1</v>
      </c>
      <c r="W935" s="763">
        <f>IFERROR(__xludf.DUMMYFUNCTION("""COMPUTED_VALUE"""),32.0)</f>
        <v>32</v>
      </c>
      <c r="X935" s="763">
        <f>IFERROR(__xludf.DUMMYFUNCTION("""COMPUTED_VALUE"""),32.0)</f>
        <v>32</v>
      </c>
      <c r="Y935" s="763"/>
      <c r="Z935" s="768" t="str">
        <f>IFERROR(__xludf.DUMMYFUNCTION("""COMPUTED_VALUE"""),"https://studio-gem.it/wp-admin/post.php?post=67851&amp;action=edit")</f>
        <v>https://studio-gem.it/wp-admin/post.php?post=67851&amp;action=edit</v>
      </c>
      <c r="AA935" s="763"/>
      <c r="AB935" s="763"/>
      <c r="AC935" s="763"/>
      <c r="AD935" s="763"/>
      <c r="AE935" s="763"/>
      <c r="AF935" s="763"/>
      <c r="AG935" s="763"/>
      <c r="AH935" s="763"/>
      <c r="AI935" s="763"/>
      <c r="AJ935" s="763"/>
      <c r="AK935" s="763"/>
      <c r="AL935" s="763"/>
      <c r="AM935" s="763"/>
      <c r="AN935" s="763"/>
      <c r="AO935" s="763"/>
      <c r="AP935" s="763"/>
      <c r="AQ935" s="763"/>
      <c r="AR935" s="763"/>
      <c r="AS935" s="763"/>
      <c r="AT935" s="763"/>
      <c r="AU935" s="763"/>
      <c r="AV935" s="763"/>
      <c r="AW935" s="763"/>
      <c r="AX935" s="763"/>
      <c r="AY935" s="763"/>
      <c r="AZ935" s="763"/>
      <c r="BA935" s="763"/>
      <c r="BB935" s="763"/>
      <c r="BC935" s="763"/>
      <c r="BD935" s="763"/>
      <c r="BE935" s="763"/>
      <c r="BF935" s="763"/>
      <c r="BG935" s="763" t="b">
        <f>IFERROR(__xludf.DUMMYFUNCTION("""COMPUTED_VALUE"""),TRUE)</f>
        <v>1</v>
      </c>
      <c r="BH935" s="763" t="b">
        <f>IFERROR(__xludf.DUMMYFUNCTION("""COMPUTED_VALUE"""),FALSE)</f>
        <v>0</v>
      </c>
      <c r="BI935" s="763" t="b">
        <f>IFERROR(__xludf.DUMMYFUNCTION("""COMPUTED_VALUE"""),TRUE)</f>
        <v>1</v>
      </c>
      <c r="BJ935" s="763" t="b">
        <f>IFERROR(__xludf.DUMMYFUNCTION("""COMPUTED_VALUE"""),TRUE)</f>
        <v>1</v>
      </c>
    </row>
    <row r="936">
      <c r="A936" s="763">
        <f>IFERROR(__xludf.DUMMYFUNCTION("""COMPUTED_VALUE"""),67854.0)</f>
        <v>67854</v>
      </c>
      <c r="B936" s="763">
        <f>IFERROR(__xludf.DUMMYFUNCTION("""COMPUTED_VALUE"""),67854.0)</f>
        <v>67854</v>
      </c>
      <c r="C936" s="763" t="str">
        <f>IFERROR(__xludf.DUMMYFUNCTION("""COMPUTED_VALUE"""),"2026-02-10 17:27:38")</f>
        <v>2026-02-10 17:27:38</v>
      </c>
      <c r="D936" s="763" t="str">
        <f>IFERROR(__xludf.DUMMYFUNCTION("""COMPUTED_VALUE"""),"completed")</f>
        <v>completed</v>
      </c>
      <c r="E936" s="763" t="str">
        <f>IFERROR(__xludf.DUMMYFUNCTION("""COMPUTED_VALUE"""),"Jade Lisa")</f>
        <v>Jade Lisa</v>
      </c>
      <c r="F936" s="763" t="str">
        <f>IFERROR(__xludf.DUMMYFUNCTION("""COMPUTED_VALUE"""),"Redfern")</f>
        <v>Redfern</v>
      </c>
      <c r="G936" s="763" t="str">
        <f>IFERROR(__xludf.DUMMYFUNCTION("""COMPUTED_VALUE"""),"jadelisaredfern@gmail.com")</f>
        <v>jadelisaredfern@gmail.com</v>
      </c>
      <c r="H936" s="763" t="str">
        <f>IFERROR(__xludf.DUMMYFUNCTION("""COMPUTED_VALUE"""),"+393388895363")</f>
        <v>+393388895363</v>
      </c>
      <c r="I936" s="763" t="str">
        <f>IFERROR(__xludf.DUMMYFUNCTION("""COMPUTED_VALUE"""),"Milano")</f>
        <v>Milano</v>
      </c>
      <c r="J936" s="763" t="str">
        <f>IFERROR(__xludf.DUMMYFUNCTION("""COMPUTED_VALUE"""),"Viale Emilio Caldara 22")</f>
        <v>Viale Emilio Caldara 22</v>
      </c>
      <c r="K936" s="763">
        <f>IFERROR(__xludf.DUMMYFUNCTION("""COMPUTED_VALUE"""),20122.0)</f>
        <v>20122</v>
      </c>
      <c r="L936" s="763" t="str">
        <f>IFERROR(__xludf.DUMMYFUNCTION("""COMPUTED_VALUE"""),"Apple Pay")</f>
        <v>Apple Pay</v>
      </c>
      <c r="M936" s="763" t="str">
        <f>IFERROR(__xludf.DUMMYFUNCTION("""COMPUTED_VALUE"""),"estefany02ws")</f>
        <v>estefany02ws</v>
      </c>
      <c r="N936" s="763" t="str">
        <f>IFERROR(__xludf.DUMMYFUNCTION("""COMPUTED_VALUE"""),"67854-1770744529")</f>
        <v>67854-1770744529</v>
      </c>
      <c r="O936" s="763">
        <f>IFERROR(__xludf.DUMMYFUNCTION("""COMPUTED_VALUE"""),0.0)</f>
        <v>0</v>
      </c>
      <c r="P936" s="767">
        <f>IFERROR(__xludf.DUMMYFUNCTION("""COMPUTED_VALUE"""),1.25)</f>
        <v>1.25</v>
      </c>
      <c r="Q936" s="763" t="str">
        <f>IFERROR(__xludf.DUMMYFUNCTION("""COMPUTED_VALUE"""),"EUR")</f>
        <v>EUR</v>
      </c>
      <c r="R936" s="763">
        <f>IFERROR(__xludf.DUMMYFUNCTION("""COMPUTED_VALUE"""),1658.0)</f>
        <v>1658</v>
      </c>
      <c r="S936" s="763" t="str">
        <f>IFERROR(__xludf.DUMMYFUNCTION("""COMPUTED_VALUE"""),"Un dia en Cuba 2026 - Un dia en Cuba 2026")</f>
        <v>Un dia en Cuba 2026 - Un dia en Cuba 2026</v>
      </c>
      <c r="T936" s="763"/>
      <c r="U936" s="763"/>
      <c r="V936" s="763">
        <f>IFERROR(__xludf.DUMMYFUNCTION("""COMPUTED_VALUE"""),1.0)</f>
        <v>1</v>
      </c>
      <c r="W936" s="763">
        <f>IFERROR(__xludf.DUMMYFUNCTION("""COMPUTED_VALUE"""),30.0)</f>
        <v>30</v>
      </c>
      <c r="X936" s="763">
        <f>IFERROR(__xludf.DUMMYFUNCTION("""COMPUTED_VALUE"""),30.0)</f>
        <v>30</v>
      </c>
      <c r="Y936" s="763"/>
      <c r="Z936" s="768" t="str">
        <f>IFERROR(__xludf.DUMMYFUNCTION("""COMPUTED_VALUE"""),"https://studio-gem.it/wp-admin/post.php?post=67854&amp;action=edit")</f>
        <v>https://studio-gem.it/wp-admin/post.php?post=67854&amp;action=edit</v>
      </c>
      <c r="AA936" s="763"/>
      <c r="AB936" s="763"/>
      <c r="AC936" s="763"/>
      <c r="AD936" s="763"/>
      <c r="AE936" s="763"/>
      <c r="AF936" s="763"/>
      <c r="AG936" s="763"/>
      <c r="AH936" s="763"/>
      <c r="AI936" s="763"/>
      <c r="AJ936" s="763"/>
      <c r="AK936" s="763"/>
      <c r="AL936" s="763"/>
      <c r="AM936" s="763"/>
      <c r="AN936" s="763"/>
      <c r="AO936" s="763"/>
      <c r="AP936" s="763"/>
      <c r="AQ936" s="763"/>
      <c r="AR936" s="763"/>
      <c r="AS936" s="763"/>
      <c r="AT936" s="763"/>
      <c r="AU936" s="763"/>
      <c r="AV936" s="763"/>
      <c r="AW936" s="763"/>
      <c r="AX936" s="763"/>
      <c r="AY936" s="763"/>
      <c r="AZ936" s="763"/>
      <c r="BA936" s="763"/>
      <c r="BB936" s="763"/>
      <c r="BC936" s="763"/>
      <c r="BD936" s="763"/>
      <c r="BE936" s="763"/>
      <c r="BF936" s="763"/>
      <c r="BG936" s="763" t="b">
        <f>IFERROR(__xludf.DUMMYFUNCTION("""COMPUTED_VALUE"""),TRUE)</f>
        <v>1</v>
      </c>
      <c r="BH936" s="763" t="b">
        <f>IFERROR(__xludf.DUMMYFUNCTION("""COMPUTED_VALUE"""),FALSE)</f>
        <v>0</v>
      </c>
      <c r="BI936" s="763" t="b">
        <f>IFERROR(__xludf.DUMMYFUNCTION("""COMPUTED_VALUE"""),TRUE)</f>
        <v>1</v>
      </c>
      <c r="BJ936" s="763" t="b">
        <f>IFERROR(__xludf.DUMMYFUNCTION("""COMPUTED_VALUE"""),TRUE)</f>
        <v>1</v>
      </c>
    </row>
    <row r="937">
      <c r="A937" s="763">
        <f>IFERROR(__xludf.DUMMYFUNCTION("""COMPUTED_VALUE"""),67856.0)</f>
        <v>67856</v>
      </c>
      <c r="B937" s="763">
        <f>IFERROR(__xludf.DUMMYFUNCTION("""COMPUTED_VALUE"""),67856.0)</f>
        <v>67856</v>
      </c>
      <c r="C937" s="763" t="str">
        <f>IFERROR(__xludf.DUMMYFUNCTION("""COMPUTED_VALUE"""),"2026-02-10 17:40:23")</f>
        <v>2026-02-10 17:40:23</v>
      </c>
      <c r="D937" s="763" t="str">
        <f>IFERROR(__xludf.DUMMYFUNCTION("""COMPUTED_VALUE"""),"completed")</f>
        <v>completed</v>
      </c>
      <c r="E937" s="763" t="str">
        <f>IFERROR(__xludf.DUMMYFUNCTION("""COMPUTED_VALUE"""),"Melide")</f>
        <v>Melide</v>
      </c>
      <c r="F937" s="763" t="str">
        <f>IFERROR(__xludf.DUMMYFUNCTION("""COMPUTED_VALUE"""),"Crippa")</f>
        <v>Crippa</v>
      </c>
      <c r="G937" s="763" t="str">
        <f>IFERROR(__xludf.DUMMYFUNCTION("""COMPUTED_VALUE"""),"melincecrippa99@gmail.com")</f>
        <v>melincecrippa99@gmail.com</v>
      </c>
      <c r="H937" s="763">
        <f>IFERROR(__xludf.DUMMYFUNCTION("""COMPUTED_VALUE"""),3.381642215E9)</f>
        <v>3381642215</v>
      </c>
      <c r="I937" s="763" t="str">
        <f>IFERROR(__xludf.DUMMYFUNCTION("""COMPUTED_VALUE"""),"Dervio")</f>
        <v>Dervio</v>
      </c>
      <c r="J937" s="763" t="str">
        <f>IFERROR(__xludf.DUMMYFUNCTION("""COMPUTED_VALUE"""),"via rubini 7")</f>
        <v>via rubini 7</v>
      </c>
      <c r="K937" s="763">
        <f>IFERROR(__xludf.DUMMYFUNCTION("""COMPUTED_VALUE"""),23824.0)</f>
        <v>23824</v>
      </c>
      <c r="L937" s="763" t="str">
        <f>IFERROR(__xludf.DUMMYFUNCTION("""COMPUTED_VALUE"""),"Apple Pay")</f>
        <v>Apple Pay</v>
      </c>
      <c r="M937" s="763"/>
      <c r="N937" s="763" t="str">
        <f>IFERROR(__xludf.DUMMYFUNCTION("""COMPUTED_VALUE"""),"67856-1770745225")</f>
        <v>67856-1770745225</v>
      </c>
      <c r="O937" s="763">
        <f>IFERROR(__xludf.DUMMYFUNCTION("""COMPUTED_VALUE"""),0.0)</f>
        <v>0</v>
      </c>
      <c r="P937" s="767">
        <f>IFERROR(__xludf.DUMMYFUNCTION("""COMPUTED_VALUE"""),1.3333333333333333)</f>
        <v>1.333333333</v>
      </c>
      <c r="Q937" s="763" t="str">
        <f>IFERROR(__xludf.DUMMYFUNCTION("""COMPUTED_VALUE"""),"EUR")</f>
        <v>EUR</v>
      </c>
      <c r="R937" s="763">
        <f>IFERROR(__xludf.DUMMYFUNCTION("""COMPUTED_VALUE"""),1660.0)</f>
        <v>1660</v>
      </c>
      <c r="S937" s="763" t="str">
        <f>IFERROR(__xludf.DUMMYFUNCTION("""COMPUTED_VALUE"""),"Un dia en Cuba 2026 - Un dia en Cuba 2026")</f>
        <v>Un dia en Cuba 2026 - Un dia en Cuba 2026</v>
      </c>
      <c r="T937" s="763"/>
      <c r="U937" s="763"/>
      <c r="V937" s="763">
        <f>IFERROR(__xludf.DUMMYFUNCTION("""COMPUTED_VALUE"""),1.0)</f>
        <v>1</v>
      </c>
      <c r="W937" s="763">
        <f>IFERROR(__xludf.DUMMYFUNCTION("""COMPUTED_VALUE"""),32.0)</f>
        <v>32</v>
      </c>
      <c r="X937" s="763">
        <f>IFERROR(__xludf.DUMMYFUNCTION("""COMPUTED_VALUE"""),32.0)</f>
        <v>32</v>
      </c>
      <c r="Y937" s="763"/>
      <c r="Z937" s="768" t="str">
        <f>IFERROR(__xludf.DUMMYFUNCTION("""COMPUTED_VALUE"""),"https://studio-gem.it/wp-admin/post.php?post=67856&amp;action=edit")</f>
        <v>https://studio-gem.it/wp-admin/post.php?post=67856&amp;action=edit</v>
      </c>
      <c r="AA937" s="763"/>
      <c r="AB937" s="763"/>
      <c r="AC937" s="763"/>
      <c r="AD937" s="763"/>
      <c r="AE937" s="763"/>
      <c r="AF937" s="763"/>
      <c r="AG937" s="763"/>
      <c r="AH937" s="763"/>
      <c r="AI937" s="763"/>
      <c r="AJ937" s="763"/>
      <c r="AK937" s="763"/>
      <c r="AL937" s="763"/>
      <c r="AM937" s="763"/>
      <c r="AN937" s="763"/>
      <c r="AO937" s="763"/>
      <c r="AP937" s="763"/>
      <c r="AQ937" s="763"/>
      <c r="AR937" s="763"/>
      <c r="AS937" s="763"/>
      <c r="AT937" s="763"/>
      <c r="AU937" s="763"/>
      <c r="AV937" s="763"/>
      <c r="AW937" s="763"/>
      <c r="AX937" s="763"/>
      <c r="AY937" s="763"/>
      <c r="AZ937" s="763"/>
      <c r="BA937" s="763"/>
      <c r="BB937" s="763"/>
      <c r="BC937" s="763"/>
      <c r="BD937" s="763"/>
      <c r="BE937" s="763"/>
      <c r="BF937" s="763"/>
      <c r="BG937" s="763" t="b">
        <f>IFERROR(__xludf.DUMMYFUNCTION("""COMPUTED_VALUE"""),TRUE)</f>
        <v>1</v>
      </c>
      <c r="BH937" s="763" t="b">
        <f>IFERROR(__xludf.DUMMYFUNCTION("""COMPUTED_VALUE"""),FALSE)</f>
        <v>0</v>
      </c>
      <c r="BI937" s="763" t="b">
        <f>IFERROR(__xludf.DUMMYFUNCTION("""COMPUTED_VALUE"""),TRUE)</f>
        <v>1</v>
      </c>
      <c r="BJ937" s="763" t="b">
        <f>IFERROR(__xludf.DUMMYFUNCTION("""COMPUTED_VALUE"""),TRUE)</f>
        <v>1</v>
      </c>
    </row>
    <row r="938">
      <c r="A938" s="763">
        <f>IFERROR(__xludf.DUMMYFUNCTION("""COMPUTED_VALUE"""),67858.0)</f>
        <v>67858</v>
      </c>
      <c r="B938" s="763">
        <f>IFERROR(__xludf.DUMMYFUNCTION("""COMPUTED_VALUE"""),67858.0)</f>
        <v>67858</v>
      </c>
      <c r="C938" s="763" t="str">
        <f>IFERROR(__xludf.DUMMYFUNCTION("""COMPUTED_VALUE"""),"2026-02-10 17:58:48")</f>
        <v>2026-02-10 17:58:48</v>
      </c>
      <c r="D938" s="763" t="str">
        <f>IFERROR(__xludf.DUMMYFUNCTION("""COMPUTED_VALUE"""),"processing")</f>
        <v>processing</v>
      </c>
      <c r="E938" s="763" t="str">
        <f>IFERROR(__xludf.DUMMYFUNCTION("""COMPUTED_VALUE"""),"Caterina")</f>
        <v>Caterina</v>
      </c>
      <c r="F938" s="763" t="str">
        <f>IFERROR(__xludf.DUMMYFUNCTION("""COMPUTED_VALUE"""),"Spiridenko")</f>
        <v>Spiridenko</v>
      </c>
      <c r="G938" s="763" t="str">
        <f>IFERROR(__xludf.DUMMYFUNCTION("""COMPUTED_VALUE"""),"spiridenko.caterina@gmail.com")</f>
        <v>spiridenko.caterina@gmail.com</v>
      </c>
      <c r="H938" s="763">
        <f>IFERROR(__xludf.DUMMYFUNCTION("""COMPUTED_VALUE"""),3.665482253E9)</f>
        <v>3665482253</v>
      </c>
      <c r="I938" s="763" t="str">
        <f>IFERROR(__xludf.DUMMYFUNCTION("""COMPUTED_VALUE"""),"Laveno Mombello")</f>
        <v>Laveno Mombello</v>
      </c>
      <c r="J938" s="763" t="str">
        <f>IFERROR(__xludf.DUMMYFUNCTION("""COMPUTED_VALUE"""),"Via Roma")</f>
        <v>Via Roma</v>
      </c>
      <c r="K938" s="763">
        <f>IFERROR(__xludf.DUMMYFUNCTION("""COMPUTED_VALUE"""),21014.0)</f>
        <v>21014</v>
      </c>
      <c r="L938" s="763" t="str">
        <f>IFERROR(__xludf.DUMMYFUNCTION("""COMPUTED_VALUE"""),"Carte di pagamento")</f>
        <v>Carte di pagamento</v>
      </c>
      <c r="M938" s="763" t="str">
        <f>IFERROR(__xludf.DUMMYFUNCTION("""COMPUTED_VALUE"""),"estefany02ws")</f>
        <v>estefany02ws</v>
      </c>
      <c r="N938" s="763" t="str">
        <f>IFERROR(__xludf.DUMMYFUNCTION("""COMPUTED_VALUE"""),"67858-1770746329")</f>
        <v>67858-1770746329</v>
      </c>
      <c r="O938" s="763">
        <f>IFERROR(__xludf.DUMMYFUNCTION("""COMPUTED_VALUE"""),0.0)</f>
        <v>0</v>
      </c>
      <c r="P938" s="767">
        <f>IFERROR(__xludf.DUMMYFUNCTION("""COMPUTED_VALUE"""),0.8333333333333334)</f>
        <v>0.8333333333</v>
      </c>
      <c r="Q938" s="763" t="str">
        <f>IFERROR(__xludf.DUMMYFUNCTION("""COMPUTED_VALUE"""),"EUR")</f>
        <v>EUR</v>
      </c>
      <c r="R938" s="763">
        <f>IFERROR(__xludf.DUMMYFUNCTION("""COMPUTED_VALUE"""),1661.0)</f>
        <v>1661</v>
      </c>
      <c r="S938" s="763" t="str">
        <f>IFERROR(__xludf.DUMMYFUNCTION("""COMPUTED_VALUE"""),"Open class Heels con Anahita 2026 - Open class Heels con Anahita 2026")</f>
        <v>Open class Heels con Anahita 2026 - Open class Heels con Anahita 2026</v>
      </c>
      <c r="T938" s="763"/>
      <c r="U938" s="763"/>
      <c r="V938" s="763">
        <f>IFERROR(__xludf.DUMMYFUNCTION("""COMPUTED_VALUE"""),1.0)</f>
        <v>1</v>
      </c>
      <c r="W938" s="763">
        <f>IFERROR(__xludf.DUMMYFUNCTION("""COMPUTED_VALUE"""),20.0)</f>
        <v>20</v>
      </c>
      <c r="X938" s="763">
        <f>IFERROR(__xludf.DUMMYFUNCTION("""COMPUTED_VALUE"""),20.0)</f>
        <v>20</v>
      </c>
      <c r="Y938" s="763"/>
      <c r="Z938" s="768" t="str">
        <f>IFERROR(__xludf.DUMMYFUNCTION("""COMPUTED_VALUE"""),"https://studio-gem.it/wp-admin/post.php?post=67858&amp;action=edit")</f>
        <v>https://studio-gem.it/wp-admin/post.php?post=67858&amp;action=edit</v>
      </c>
      <c r="AA938" s="763"/>
      <c r="AB938" s="763"/>
      <c r="AC938" s="763"/>
      <c r="AD938" s="763"/>
      <c r="AE938" s="763"/>
      <c r="AF938" s="763"/>
      <c r="AG938" s="763"/>
      <c r="AH938" s="763"/>
      <c r="AI938" s="763"/>
      <c r="AJ938" s="763"/>
      <c r="AK938" s="763"/>
      <c r="AL938" s="763"/>
      <c r="AM938" s="763"/>
      <c r="AN938" s="763"/>
      <c r="AO938" s="763"/>
      <c r="AP938" s="763"/>
      <c r="AQ938" s="763"/>
      <c r="AR938" s="763"/>
      <c r="AS938" s="763"/>
      <c r="AT938" s="763"/>
      <c r="AU938" s="763"/>
      <c r="AV938" s="763"/>
      <c r="AW938" s="763"/>
      <c r="AX938" s="763"/>
      <c r="AY938" s="763"/>
      <c r="AZ938" s="763"/>
      <c r="BA938" s="763"/>
      <c r="BB938" s="763"/>
      <c r="BC938" s="763"/>
      <c r="BD938" s="763"/>
      <c r="BE938" s="763"/>
      <c r="BF938" s="763"/>
      <c r="BG938" s="763" t="b">
        <f>IFERROR(__xludf.DUMMYFUNCTION("""COMPUTED_VALUE"""),TRUE)</f>
        <v>1</v>
      </c>
      <c r="BH938" s="763" t="b">
        <f>IFERROR(__xludf.DUMMYFUNCTION("""COMPUTED_VALUE"""),FALSE)</f>
        <v>0</v>
      </c>
      <c r="BI938" s="763" t="b">
        <f>IFERROR(__xludf.DUMMYFUNCTION("""COMPUTED_VALUE"""),TRUE)</f>
        <v>1</v>
      </c>
      <c r="BJ938" s="763" t="b">
        <f>IFERROR(__xludf.DUMMYFUNCTION("""COMPUTED_VALUE"""),TRUE)</f>
        <v>1</v>
      </c>
    </row>
    <row r="939">
      <c r="A939" s="763">
        <f>IFERROR(__xludf.DUMMYFUNCTION("""COMPUTED_VALUE"""),67863.0)</f>
        <v>67863</v>
      </c>
      <c r="B939" s="763">
        <f>IFERROR(__xludf.DUMMYFUNCTION("""COMPUTED_VALUE"""),67863.0)</f>
        <v>67863</v>
      </c>
      <c r="C939" s="763" t="str">
        <f>IFERROR(__xludf.DUMMYFUNCTION("""COMPUTED_VALUE"""),"2026-02-11 10:03:44")</f>
        <v>2026-02-11 10:03:44</v>
      </c>
      <c r="D939" s="763" t="str">
        <f>IFERROR(__xludf.DUMMYFUNCTION("""COMPUTED_VALUE"""),"completed")</f>
        <v>completed</v>
      </c>
      <c r="E939" s="763" t="str">
        <f>IFERROR(__xludf.DUMMYFUNCTION("""COMPUTED_VALUE"""),"Oleksandra")</f>
        <v>Oleksandra</v>
      </c>
      <c r="F939" s="763" t="str">
        <f>IFERROR(__xludf.DUMMYFUNCTION("""COMPUTED_VALUE"""),"Koval")</f>
        <v>Koval</v>
      </c>
      <c r="G939" s="763" t="str">
        <f>IFERROR(__xludf.DUMMYFUNCTION("""COMPUTED_VALUE"""),"alekovak55@gmail.com")</f>
        <v>alekovak55@gmail.com</v>
      </c>
      <c r="H939" s="763">
        <f>IFERROR(__xludf.DUMMYFUNCTION("""COMPUTED_VALUE"""),3.913836441E9)</f>
        <v>3913836441</v>
      </c>
      <c r="I939" s="763" t="str">
        <f>IFERROR(__xludf.DUMMYFUNCTION("""COMPUTED_VALUE"""),"Pieve Vergonte")</f>
        <v>Pieve Vergonte</v>
      </c>
      <c r="J939" s="763" t="str">
        <f>IFERROR(__xludf.DUMMYFUNCTION("""COMPUTED_VALUE"""),"Via Dottor Cicoletti 69")</f>
        <v>Via Dottor Cicoletti 69</v>
      </c>
      <c r="K939" s="763">
        <f>IFERROR(__xludf.DUMMYFUNCTION("""COMPUTED_VALUE"""),28886.0)</f>
        <v>28886</v>
      </c>
      <c r="L939" s="763" t="str">
        <f>IFERROR(__xludf.DUMMYFUNCTION("""COMPUTED_VALUE"""),"Carte di pagamento")</f>
        <v>Carte di pagamento</v>
      </c>
      <c r="M939" s="763" t="str">
        <f>IFERROR(__xludf.DUMMYFUNCTION("""COMPUTED_VALUE"""),"alexandra02ws")</f>
        <v>alexandra02ws</v>
      </c>
      <c r="N939" s="763" t="str">
        <f>IFERROR(__xludf.DUMMYFUNCTION("""COMPUTED_VALUE"""),"67863-1770804226")</f>
        <v>67863-1770804226</v>
      </c>
      <c r="O939" s="763">
        <f>IFERROR(__xludf.DUMMYFUNCTION("""COMPUTED_VALUE"""),0.0)</f>
        <v>0</v>
      </c>
      <c r="P939" s="767">
        <f>IFERROR(__xludf.DUMMYFUNCTION("""COMPUTED_VALUE"""),0.8333333333333334)</f>
        <v>0.8333333333</v>
      </c>
      <c r="Q939" s="763" t="str">
        <f>IFERROR(__xludf.DUMMYFUNCTION("""COMPUTED_VALUE"""),"EUR")</f>
        <v>EUR</v>
      </c>
      <c r="R939" s="763">
        <f>IFERROR(__xludf.DUMMYFUNCTION("""COMPUTED_VALUE"""),1663.0)</f>
        <v>1663</v>
      </c>
      <c r="S939" s="763" t="str">
        <f>IFERROR(__xludf.DUMMYFUNCTION("""COMPUTED_VALUE"""),"Open class Heels con Anahita 2026 - Open class Heels con Anahita 2026")</f>
        <v>Open class Heels con Anahita 2026 - Open class Heels con Anahita 2026</v>
      </c>
      <c r="T939" s="763"/>
      <c r="U939" s="763"/>
      <c r="V939" s="763">
        <f>IFERROR(__xludf.DUMMYFUNCTION("""COMPUTED_VALUE"""),1.0)</f>
        <v>1</v>
      </c>
      <c r="W939" s="763">
        <f>IFERROR(__xludf.DUMMYFUNCTION("""COMPUTED_VALUE"""),20.0)</f>
        <v>20</v>
      </c>
      <c r="X939" s="763">
        <f>IFERROR(__xludf.DUMMYFUNCTION("""COMPUTED_VALUE"""),20.0)</f>
        <v>20</v>
      </c>
      <c r="Y939" s="763"/>
      <c r="Z939" s="768" t="str">
        <f>IFERROR(__xludf.DUMMYFUNCTION("""COMPUTED_VALUE"""),"https://studio-gem.it/wp-admin/post.php?post=67863&amp;action=edit")</f>
        <v>https://studio-gem.it/wp-admin/post.php?post=67863&amp;action=edit</v>
      </c>
      <c r="AA939" s="763"/>
      <c r="AB939" s="763"/>
      <c r="AC939" s="763"/>
      <c r="AD939" s="763"/>
      <c r="AE939" s="763"/>
      <c r="AF939" s="763"/>
      <c r="AG939" s="763"/>
      <c r="AH939" s="763"/>
      <c r="AI939" s="763"/>
      <c r="AJ939" s="763"/>
      <c r="AK939" s="763"/>
      <c r="AL939" s="763"/>
      <c r="AM939" s="763"/>
      <c r="AN939" s="763"/>
      <c r="AO939" s="763"/>
      <c r="AP939" s="763"/>
      <c r="AQ939" s="763"/>
      <c r="AR939" s="763"/>
      <c r="AS939" s="763"/>
      <c r="AT939" s="763"/>
      <c r="AU939" s="763"/>
      <c r="AV939" s="763"/>
      <c r="AW939" s="763"/>
      <c r="AX939" s="763"/>
      <c r="AY939" s="763"/>
      <c r="AZ939" s="763"/>
      <c r="BA939" s="763"/>
      <c r="BB939" s="763"/>
      <c r="BC939" s="763"/>
      <c r="BD939" s="763"/>
      <c r="BE939" s="763"/>
      <c r="BF939" s="763"/>
      <c r="BG939" s="763" t="b">
        <f>IFERROR(__xludf.DUMMYFUNCTION("""COMPUTED_VALUE"""),TRUE)</f>
        <v>1</v>
      </c>
      <c r="BH939" s="763" t="b">
        <f>IFERROR(__xludf.DUMMYFUNCTION("""COMPUTED_VALUE"""),FALSE)</f>
        <v>0</v>
      </c>
      <c r="BI939" s="763" t="b">
        <f>IFERROR(__xludf.DUMMYFUNCTION("""COMPUTED_VALUE"""),TRUE)</f>
        <v>1</v>
      </c>
      <c r="BJ939" s="763" t="b">
        <f>IFERROR(__xludf.DUMMYFUNCTION("""COMPUTED_VALUE"""),TRUE)</f>
        <v>1</v>
      </c>
    </row>
    <row r="940">
      <c r="A940" s="763">
        <f>IFERROR(__xludf.DUMMYFUNCTION("""COMPUTED_VALUE"""),67867.0)</f>
        <v>67867</v>
      </c>
      <c r="B940" s="763">
        <f>IFERROR(__xludf.DUMMYFUNCTION("""COMPUTED_VALUE"""),67867.0)</f>
        <v>67867</v>
      </c>
      <c r="C940" s="763" t="str">
        <f>IFERROR(__xludf.DUMMYFUNCTION("""COMPUTED_VALUE"""),"2026-02-11 11:15:55")</f>
        <v>2026-02-11 11:15:55</v>
      </c>
      <c r="D940" s="763" t="str">
        <f>IFERROR(__xludf.DUMMYFUNCTION("""COMPUTED_VALUE"""),"processing")</f>
        <v>processing</v>
      </c>
      <c r="E940" s="763" t="str">
        <f>IFERROR(__xludf.DUMMYFUNCTION("""COMPUTED_VALUE"""),"Ludovica")</f>
        <v>Ludovica</v>
      </c>
      <c r="F940" s="763" t="str">
        <f>IFERROR(__xludf.DUMMYFUNCTION("""COMPUTED_VALUE"""),"Latini Guicciardi")</f>
        <v>Latini Guicciardi</v>
      </c>
      <c r="G940" s="763" t="str">
        <f>IFERROR(__xludf.DUMMYFUNCTION("""COMPUTED_VALUE"""),"ludo.latini@gmail.com")</f>
        <v>ludo.latini@gmail.com</v>
      </c>
      <c r="H940" s="763">
        <f>IFERROR(__xludf.DUMMYFUNCTION("""COMPUTED_VALUE"""),3.496579417E9)</f>
        <v>3496579417</v>
      </c>
      <c r="I940" s="763" t="str">
        <f>IFERROR(__xludf.DUMMYFUNCTION("""COMPUTED_VALUE"""),"Milano")</f>
        <v>Milano</v>
      </c>
      <c r="J940" s="763" t="str">
        <f>IFERROR(__xludf.DUMMYFUNCTION("""COMPUTED_VALUE"""),"Via Ferdinando Bocconi 4")</f>
        <v>Via Ferdinando Bocconi 4</v>
      </c>
      <c r="K940" s="763">
        <f>IFERROR(__xludf.DUMMYFUNCTION("""COMPUTED_VALUE"""),20136.0)</f>
        <v>20136</v>
      </c>
      <c r="L940" s="763" t="str">
        <f>IFERROR(__xludf.DUMMYFUNCTION("""COMPUTED_VALUE"""),"Carte di pagamento")</f>
        <v>Carte di pagamento</v>
      </c>
      <c r="M940" s="763"/>
      <c r="N940" s="763" t="str">
        <f>IFERROR(__xludf.DUMMYFUNCTION("""COMPUTED_VALUE"""),"67867-1770808557")</f>
        <v>67867-1770808557</v>
      </c>
      <c r="O940" s="763">
        <f>IFERROR(__xludf.DUMMYFUNCTION("""COMPUTED_VALUE"""),0.0)</f>
        <v>0</v>
      </c>
      <c r="P940" s="767">
        <f>IFERROR(__xludf.DUMMYFUNCTION("""COMPUTED_VALUE"""),1.3333333333333333)</f>
        <v>1.333333333</v>
      </c>
      <c r="Q940" s="763" t="str">
        <f>IFERROR(__xludf.DUMMYFUNCTION("""COMPUTED_VALUE"""),"EUR")</f>
        <v>EUR</v>
      </c>
      <c r="R940" s="763">
        <f>IFERROR(__xludf.DUMMYFUNCTION("""COMPUTED_VALUE"""),1665.0)</f>
        <v>1665</v>
      </c>
      <c r="S940" s="763" t="str">
        <f>IFERROR(__xludf.DUMMYFUNCTION("""COMPUTED_VALUE"""),"Un dia en Cuba 2026 - Un dia en Cuba 2026")</f>
        <v>Un dia en Cuba 2026 - Un dia en Cuba 2026</v>
      </c>
      <c r="T940" s="763"/>
      <c r="U940" s="763"/>
      <c r="V940" s="763">
        <f>IFERROR(__xludf.DUMMYFUNCTION("""COMPUTED_VALUE"""),1.0)</f>
        <v>1</v>
      </c>
      <c r="W940" s="763">
        <f>IFERROR(__xludf.DUMMYFUNCTION("""COMPUTED_VALUE"""),32.0)</f>
        <v>32</v>
      </c>
      <c r="X940" s="763">
        <f>IFERROR(__xludf.DUMMYFUNCTION("""COMPUTED_VALUE"""),32.0)</f>
        <v>32</v>
      </c>
      <c r="Y940" s="763"/>
      <c r="Z940" s="768" t="str">
        <f>IFERROR(__xludf.DUMMYFUNCTION("""COMPUTED_VALUE"""),"https://studio-gem.it/wp-admin/post.php?post=67867&amp;action=edit")</f>
        <v>https://studio-gem.it/wp-admin/post.php?post=67867&amp;action=edit</v>
      </c>
      <c r="AA940" s="763"/>
      <c r="AB940" s="763"/>
      <c r="AC940" s="763"/>
      <c r="AD940" s="763"/>
      <c r="AE940" s="763"/>
      <c r="AF940" s="763"/>
      <c r="AG940" s="763"/>
      <c r="AH940" s="763"/>
      <c r="AI940" s="763"/>
      <c r="AJ940" s="763"/>
      <c r="AK940" s="763"/>
      <c r="AL940" s="763"/>
      <c r="AM940" s="763"/>
      <c r="AN940" s="763"/>
      <c r="AO940" s="763"/>
      <c r="AP940" s="763"/>
      <c r="AQ940" s="763"/>
      <c r="AR940" s="763"/>
      <c r="AS940" s="763"/>
      <c r="AT940" s="763"/>
      <c r="AU940" s="763"/>
      <c r="AV940" s="763"/>
      <c r="AW940" s="763"/>
      <c r="AX940" s="763"/>
      <c r="AY940" s="763"/>
      <c r="AZ940" s="763"/>
      <c r="BA940" s="763"/>
      <c r="BB940" s="763"/>
      <c r="BC940" s="763"/>
      <c r="BD940" s="763"/>
      <c r="BE940" s="763"/>
      <c r="BF940" s="763"/>
      <c r="BG940" s="763" t="b">
        <f>IFERROR(__xludf.DUMMYFUNCTION("""COMPUTED_VALUE"""),TRUE)</f>
        <v>1</v>
      </c>
      <c r="BH940" s="763" t="b">
        <f>IFERROR(__xludf.DUMMYFUNCTION("""COMPUTED_VALUE"""),FALSE)</f>
        <v>0</v>
      </c>
      <c r="BI940" s="763" t="b">
        <f>IFERROR(__xludf.DUMMYFUNCTION("""COMPUTED_VALUE"""),TRUE)</f>
        <v>1</v>
      </c>
      <c r="BJ940" s="763" t="b">
        <f>IFERROR(__xludf.DUMMYFUNCTION("""COMPUTED_VALUE"""),TRUE)</f>
        <v>1</v>
      </c>
    </row>
    <row r="941">
      <c r="A941" s="763">
        <f>IFERROR(__xludf.DUMMYFUNCTION("""COMPUTED_VALUE"""),67870.0)</f>
        <v>67870</v>
      </c>
      <c r="B941" s="763">
        <f>IFERROR(__xludf.DUMMYFUNCTION("""COMPUTED_VALUE"""),67870.0)</f>
        <v>67870</v>
      </c>
      <c r="C941" s="763" t="str">
        <f>IFERROR(__xludf.DUMMYFUNCTION("""COMPUTED_VALUE"""),"2026-02-11 14:02:03")</f>
        <v>2026-02-11 14:02:03</v>
      </c>
      <c r="D941" s="763" t="str">
        <f>IFERROR(__xludf.DUMMYFUNCTION("""COMPUTED_VALUE"""),"completed")</f>
        <v>completed</v>
      </c>
      <c r="E941" s="763" t="str">
        <f>IFERROR(__xludf.DUMMYFUNCTION("""COMPUTED_VALUE"""),"Paola")</f>
        <v>Paola</v>
      </c>
      <c r="F941" s="763" t="str">
        <f>IFERROR(__xludf.DUMMYFUNCTION("""COMPUTED_VALUE"""),"Nacucchi")</f>
        <v>Nacucchi</v>
      </c>
      <c r="G941" s="763" t="str">
        <f>IFERROR(__xludf.DUMMYFUNCTION("""COMPUTED_VALUE"""),"aolanacu01@gmail.com")</f>
        <v>aolanacu01@gmail.com</v>
      </c>
      <c r="H941" s="763">
        <f>IFERROR(__xludf.DUMMYFUNCTION("""COMPUTED_VALUE"""),3.883027426E9)</f>
        <v>3883027426</v>
      </c>
      <c r="I941" s="763" t="str">
        <f>IFERROR(__xludf.DUMMYFUNCTION("""COMPUTED_VALUE"""),"Milano")</f>
        <v>Milano</v>
      </c>
      <c r="J941" s="763" t="str">
        <f>IFERROR(__xludf.DUMMYFUNCTION("""COMPUTED_VALUE"""),"via Antonio Bazzini 3")</f>
        <v>via Antonio Bazzini 3</v>
      </c>
      <c r="K941" s="763">
        <f>IFERROR(__xludf.DUMMYFUNCTION("""COMPUTED_VALUE"""),20131.0)</f>
        <v>20131</v>
      </c>
      <c r="L941" s="763" t="str">
        <f>IFERROR(__xludf.DUMMYFUNCTION("""COMPUTED_VALUE"""),"Apple Pay")</f>
        <v>Apple Pay</v>
      </c>
      <c r="M941" s="763" t="str">
        <f>IFERROR(__xludf.DUMMYFUNCTION("""COMPUTED_VALUE"""),"nura02ws")</f>
        <v>nura02ws</v>
      </c>
      <c r="N941" s="763" t="str">
        <f>IFERROR(__xludf.DUMMYFUNCTION("""COMPUTED_VALUE"""),"67870-1770818525")</f>
        <v>67870-1770818525</v>
      </c>
      <c r="O941" s="763">
        <f>IFERROR(__xludf.DUMMYFUNCTION("""COMPUTED_VALUE"""),0.0)</f>
        <v>0</v>
      </c>
      <c r="P941" s="767">
        <f>IFERROR(__xludf.DUMMYFUNCTION("""COMPUTED_VALUE"""),0.8333333333333334)</f>
        <v>0.8333333333</v>
      </c>
      <c r="Q941" s="763" t="str">
        <f>IFERROR(__xludf.DUMMYFUNCTION("""COMPUTED_VALUE"""),"EUR")</f>
        <v>EUR</v>
      </c>
      <c r="R941" s="763">
        <f>IFERROR(__xludf.DUMMYFUNCTION("""COMPUTED_VALUE"""),1666.0)</f>
        <v>1666</v>
      </c>
      <c r="S941" s="763" t="str">
        <f>IFERROR(__xludf.DUMMYFUNCTION("""COMPUTED_VALUE"""),"Open class Heels con Anahita 2026 - Open class Heels con Anahita 2026")</f>
        <v>Open class Heels con Anahita 2026 - Open class Heels con Anahita 2026</v>
      </c>
      <c r="T941" s="763"/>
      <c r="U941" s="763"/>
      <c r="V941" s="763">
        <f>IFERROR(__xludf.DUMMYFUNCTION("""COMPUTED_VALUE"""),1.0)</f>
        <v>1</v>
      </c>
      <c r="W941" s="763">
        <f>IFERROR(__xludf.DUMMYFUNCTION("""COMPUTED_VALUE"""),20.0)</f>
        <v>20</v>
      </c>
      <c r="X941" s="763">
        <f>IFERROR(__xludf.DUMMYFUNCTION("""COMPUTED_VALUE"""),20.0)</f>
        <v>20</v>
      </c>
      <c r="Y941" s="763"/>
      <c r="Z941" s="768" t="str">
        <f>IFERROR(__xludf.DUMMYFUNCTION("""COMPUTED_VALUE"""),"https://studio-gem.it/wp-admin/post.php?post=67870&amp;action=edit")</f>
        <v>https://studio-gem.it/wp-admin/post.php?post=67870&amp;action=edit</v>
      </c>
      <c r="AA941" s="763"/>
      <c r="AB941" s="763"/>
      <c r="AC941" s="763"/>
      <c r="AD941" s="763"/>
      <c r="AE941" s="763"/>
      <c r="AF941" s="763"/>
      <c r="AG941" s="763"/>
      <c r="AH941" s="763"/>
      <c r="AI941" s="763"/>
      <c r="AJ941" s="763"/>
      <c r="AK941" s="763"/>
      <c r="AL941" s="763"/>
      <c r="AM941" s="763"/>
      <c r="AN941" s="763"/>
      <c r="AO941" s="763"/>
      <c r="AP941" s="763"/>
      <c r="AQ941" s="763"/>
      <c r="AR941" s="763"/>
      <c r="AS941" s="763"/>
      <c r="AT941" s="763"/>
      <c r="AU941" s="763"/>
      <c r="AV941" s="763"/>
      <c r="AW941" s="763"/>
      <c r="AX941" s="763"/>
      <c r="AY941" s="763"/>
      <c r="AZ941" s="763"/>
      <c r="BA941" s="763"/>
      <c r="BB941" s="763"/>
      <c r="BC941" s="763"/>
      <c r="BD941" s="763"/>
      <c r="BE941" s="763"/>
      <c r="BF941" s="763"/>
      <c r="BG941" s="763" t="b">
        <f>IFERROR(__xludf.DUMMYFUNCTION("""COMPUTED_VALUE"""),TRUE)</f>
        <v>1</v>
      </c>
      <c r="BH941" s="763" t="b">
        <f>IFERROR(__xludf.DUMMYFUNCTION("""COMPUTED_VALUE"""),FALSE)</f>
        <v>0</v>
      </c>
      <c r="BI941" s="763" t="b">
        <f>IFERROR(__xludf.DUMMYFUNCTION("""COMPUTED_VALUE"""),TRUE)</f>
        <v>1</v>
      </c>
      <c r="BJ941" s="763" t="b">
        <f>IFERROR(__xludf.DUMMYFUNCTION("""COMPUTED_VALUE"""),TRUE)</f>
        <v>1</v>
      </c>
    </row>
    <row r="942">
      <c r="A942" s="763">
        <f>IFERROR(__xludf.DUMMYFUNCTION("""COMPUTED_VALUE"""),67883.0)</f>
        <v>67883</v>
      </c>
      <c r="B942" s="763">
        <f>IFERROR(__xludf.DUMMYFUNCTION("""COMPUTED_VALUE"""),67883.0)</f>
        <v>67883</v>
      </c>
      <c r="C942" s="763" t="str">
        <f>IFERROR(__xludf.DUMMYFUNCTION("""COMPUTED_VALUE"""),"2026-02-12 08:14:37")</f>
        <v>2026-02-12 08:14:37</v>
      </c>
      <c r="D942" s="763" t="str">
        <f>IFERROR(__xludf.DUMMYFUNCTION("""COMPUTED_VALUE"""),"completed")</f>
        <v>completed</v>
      </c>
      <c r="E942" s="763" t="str">
        <f>IFERROR(__xludf.DUMMYFUNCTION("""COMPUTED_VALUE"""),"Plamena")</f>
        <v>Plamena</v>
      </c>
      <c r="F942" s="763" t="str">
        <f>IFERROR(__xludf.DUMMYFUNCTION("""COMPUTED_VALUE"""),"Georgieva")</f>
        <v>Georgieva</v>
      </c>
      <c r="G942" s="763" t="str">
        <f>IFERROR(__xludf.DUMMYFUNCTION("""COMPUTED_VALUE"""),"plamena.georgieva3@yahoo.com")</f>
        <v>plamena.georgieva3@yahoo.com</v>
      </c>
      <c r="H942" s="763">
        <f>IFERROR(__xludf.DUMMYFUNCTION("""COMPUTED_VALUE"""),3.420354305E9)</f>
        <v>3420354305</v>
      </c>
      <c r="I942" s="763" t="str">
        <f>IFERROR(__xludf.DUMMYFUNCTION("""COMPUTED_VALUE"""),"Milano")</f>
        <v>Milano</v>
      </c>
      <c r="J942" s="763" t="str">
        <f>IFERROR(__xludf.DUMMYFUNCTION("""COMPUTED_VALUE"""),"Lazzaro papi 14")</f>
        <v>Lazzaro papi 14</v>
      </c>
      <c r="K942" s="763">
        <f>IFERROR(__xludf.DUMMYFUNCTION("""COMPUTED_VALUE"""),20135.0)</f>
        <v>20135</v>
      </c>
      <c r="L942" s="763" t="str">
        <f>IFERROR(__xludf.DUMMYFUNCTION("""COMPUTED_VALUE"""),"Apple Pay")</f>
        <v>Apple Pay</v>
      </c>
      <c r="M942" s="763" t="str">
        <f>IFERROR(__xludf.DUMMYFUNCTION("""COMPUTED_VALUE"""),"nura02ws")</f>
        <v>nura02ws</v>
      </c>
      <c r="N942" s="763" t="str">
        <f>IFERROR(__xludf.DUMMYFUNCTION("""COMPUTED_VALUE"""),"67883-1770884079")</f>
        <v>67883-1770884079</v>
      </c>
      <c r="O942" s="763">
        <f>IFERROR(__xludf.DUMMYFUNCTION("""COMPUTED_VALUE"""),0.0)</f>
        <v>0</v>
      </c>
      <c r="P942" s="767">
        <f>IFERROR(__xludf.DUMMYFUNCTION("""COMPUTED_VALUE"""),0.8333333333333334)</f>
        <v>0.8333333333</v>
      </c>
      <c r="Q942" s="763" t="str">
        <f>IFERROR(__xludf.DUMMYFUNCTION("""COMPUTED_VALUE"""),"EUR")</f>
        <v>EUR</v>
      </c>
      <c r="R942" s="763">
        <f>IFERROR(__xludf.DUMMYFUNCTION("""COMPUTED_VALUE"""),1668.0)</f>
        <v>1668</v>
      </c>
      <c r="S942" s="763" t="str">
        <f>IFERROR(__xludf.DUMMYFUNCTION("""COMPUTED_VALUE"""),"Open class Heels con Anahita 2026 - Open class Heels con Anahita 2026")</f>
        <v>Open class Heels con Anahita 2026 - Open class Heels con Anahita 2026</v>
      </c>
      <c r="T942" s="763"/>
      <c r="U942" s="763"/>
      <c r="V942" s="763">
        <f>IFERROR(__xludf.DUMMYFUNCTION("""COMPUTED_VALUE"""),1.0)</f>
        <v>1</v>
      </c>
      <c r="W942" s="763">
        <f>IFERROR(__xludf.DUMMYFUNCTION("""COMPUTED_VALUE"""),20.0)</f>
        <v>20</v>
      </c>
      <c r="X942" s="763">
        <f>IFERROR(__xludf.DUMMYFUNCTION("""COMPUTED_VALUE"""),20.0)</f>
        <v>20</v>
      </c>
      <c r="Y942" s="763"/>
      <c r="Z942" s="768" t="str">
        <f>IFERROR(__xludf.DUMMYFUNCTION("""COMPUTED_VALUE"""),"https://studio-gem.it/wp-admin/post.php?post=67883&amp;action=edit")</f>
        <v>https://studio-gem.it/wp-admin/post.php?post=67883&amp;action=edit</v>
      </c>
      <c r="AA942" s="763"/>
      <c r="AB942" s="763"/>
      <c r="AC942" s="763"/>
      <c r="AD942" s="763"/>
      <c r="AE942" s="763"/>
      <c r="AF942" s="763"/>
      <c r="AG942" s="763"/>
      <c r="AH942" s="763"/>
      <c r="AI942" s="763"/>
      <c r="AJ942" s="763"/>
      <c r="AK942" s="763"/>
      <c r="AL942" s="763"/>
      <c r="AM942" s="763"/>
      <c r="AN942" s="763"/>
      <c r="AO942" s="763"/>
      <c r="AP942" s="763"/>
      <c r="AQ942" s="763"/>
      <c r="AR942" s="763"/>
      <c r="AS942" s="763"/>
      <c r="AT942" s="763"/>
      <c r="AU942" s="763"/>
      <c r="AV942" s="763"/>
      <c r="AW942" s="763"/>
      <c r="AX942" s="763"/>
      <c r="AY942" s="763"/>
      <c r="AZ942" s="763"/>
      <c r="BA942" s="763"/>
      <c r="BB942" s="763"/>
      <c r="BC942" s="763"/>
      <c r="BD942" s="763"/>
      <c r="BE942" s="763"/>
      <c r="BF942" s="763"/>
      <c r="BG942" s="763" t="b">
        <f>IFERROR(__xludf.DUMMYFUNCTION("""COMPUTED_VALUE"""),TRUE)</f>
        <v>1</v>
      </c>
      <c r="BH942" s="763" t="b">
        <f>IFERROR(__xludf.DUMMYFUNCTION("""COMPUTED_VALUE"""),FALSE)</f>
        <v>0</v>
      </c>
      <c r="BI942" s="763" t="b">
        <f>IFERROR(__xludf.DUMMYFUNCTION("""COMPUTED_VALUE"""),TRUE)</f>
        <v>1</v>
      </c>
      <c r="BJ942" s="763" t="b">
        <f>IFERROR(__xludf.DUMMYFUNCTION("""COMPUTED_VALUE"""),TRUE)</f>
        <v>1</v>
      </c>
    </row>
    <row r="943">
      <c r="A943" s="763">
        <f>IFERROR(__xludf.DUMMYFUNCTION("""COMPUTED_VALUE"""),67886.0)</f>
        <v>67886</v>
      </c>
      <c r="B943" s="763">
        <f>IFERROR(__xludf.DUMMYFUNCTION("""COMPUTED_VALUE"""),67886.0)</f>
        <v>67886</v>
      </c>
      <c r="C943" s="763" t="str">
        <f>IFERROR(__xludf.DUMMYFUNCTION("""COMPUTED_VALUE"""),"2026-02-12 10:40:37")</f>
        <v>2026-02-12 10:40:37</v>
      </c>
      <c r="D943" s="763" t="str">
        <f>IFERROR(__xludf.DUMMYFUNCTION("""COMPUTED_VALUE"""),"completed")</f>
        <v>completed</v>
      </c>
      <c r="E943" s="763" t="str">
        <f>IFERROR(__xludf.DUMMYFUNCTION("""COMPUTED_VALUE"""),"Marta")</f>
        <v>Marta</v>
      </c>
      <c r="F943" s="763" t="str">
        <f>IFERROR(__xludf.DUMMYFUNCTION("""COMPUTED_VALUE"""),"Carriera")</f>
        <v>Carriera</v>
      </c>
      <c r="G943" s="763" t="str">
        <f>IFERROR(__xludf.DUMMYFUNCTION("""COMPUTED_VALUE"""),"mcarriera27@gmail.com")</f>
        <v>mcarriera27@gmail.com</v>
      </c>
      <c r="H943" s="763">
        <f>IFERROR(__xludf.DUMMYFUNCTION("""COMPUTED_VALUE"""),3.770848139E9)</f>
        <v>3770848139</v>
      </c>
      <c r="I943" s="763" t="str">
        <f>IFERROR(__xludf.DUMMYFUNCTION("""COMPUTED_VALUE"""),"Motta Visconti")</f>
        <v>Motta Visconti</v>
      </c>
      <c r="J943" s="763" t="str">
        <f>IFERROR(__xludf.DUMMYFUNCTION("""COMPUTED_VALUE"""),"Via Raffaele Novari, 20")</f>
        <v>Via Raffaele Novari, 20</v>
      </c>
      <c r="K943" s="763">
        <f>IFERROR(__xludf.DUMMYFUNCTION("""COMPUTED_VALUE"""),20086.0)</f>
        <v>20086</v>
      </c>
      <c r="L943" s="763" t="str">
        <f>IFERROR(__xludf.DUMMYFUNCTION("""COMPUTED_VALUE"""),"Satispay")</f>
        <v>Satispay</v>
      </c>
      <c r="M943" s="763" t="str">
        <f>IFERROR(__xludf.DUMMYFUNCTION("""COMPUTED_VALUE"""),"alexandra02ws")</f>
        <v>alexandra02ws</v>
      </c>
      <c r="N943" s="763" t="str">
        <f>IFERROR(__xludf.DUMMYFUNCTION("""COMPUTED_VALUE"""),"019c5179-387e-7c09-8420-eb520ca57049")</f>
        <v>019c5179-387e-7c09-8420-eb520ca57049</v>
      </c>
      <c r="O943" s="763">
        <f>IFERROR(__xludf.DUMMYFUNCTION("""COMPUTED_VALUE"""),0.0)</f>
        <v>0</v>
      </c>
      <c r="P943" s="767">
        <f>IFERROR(__xludf.DUMMYFUNCTION("""COMPUTED_VALUE"""),1.25)</f>
        <v>1.25</v>
      </c>
      <c r="Q943" s="763" t="str">
        <f>IFERROR(__xludf.DUMMYFUNCTION("""COMPUTED_VALUE"""),"EUR")</f>
        <v>EUR</v>
      </c>
      <c r="R943" s="763">
        <f>IFERROR(__xludf.DUMMYFUNCTION("""COMPUTED_VALUE"""),1672.0)</f>
        <v>1672</v>
      </c>
      <c r="S943" s="763" t="str">
        <f>IFERROR(__xludf.DUMMYFUNCTION("""COMPUTED_VALUE"""),"Un dia en Cuba 2026 - Un dia en Cuba 2026")</f>
        <v>Un dia en Cuba 2026 - Un dia en Cuba 2026</v>
      </c>
      <c r="T943" s="763"/>
      <c r="U943" s="763"/>
      <c r="V943" s="763">
        <f>IFERROR(__xludf.DUMMYFUNCTION("""COMPUTED_VALUE"""),1.0)</f>
        <v>1</v>
      </c>
      <c r="W943" s="763">
        <f>IFERROR(__xludf.DUMMYFUNCTION("""COMPUTED_VALUE"""),30.0)</f>
        <v>30</v>
      </c>
      <c r="X943" s="763">
        <f>IFERROR(__xludf.DUMMYFUNCTION("""COMPUTED_VALUE"""),30.0)</f>
        <v>30</v>
      </c>
      <c r="Y943" s="763"/>
      <c r="Z943" s="768" t="str">
        <f>IFERROR(__xludf.DUMMYFUNCTION("""COMPUTED_VALUE"""),"https://studio-gem.it/wp-admin/post.php?post=67886&amp;action=edit")</f>
        <v>https://studio-gem.it/wp-admin/post.php?post=67886&amp;action=edit</v>
      </c>
      <c r="AA943" s="763"/>
      <c r="AB943" s="763"/>
      <c r="AC943" s="763"/>
      <c r="AD943" s="763"/>
      <c r="AE943" s="763"/>
      <c r="AF943" s="763"/>
      <c r="AG943" s="763"/>
      <c r="AH943" s="763"/>
      <c r="AI943" s="763"/>
      <c r="AJ943" s="763"/>
      <c r="AK943" s="763"/>
      <c r="AL943" s="763"/>
      <c r="AM943" s="763"/>
      <c r="AN943" s="763"/>
      <c r="AO943" s="763"/>
      <c r="AP943" s="763"/>
      <c r="AQ943" s="763"/>
      <c r="AR943" s="763"/>
      <c r="AS943" s="763"/>
      <c r="AT943" s="763"/>
      <c r="AU943" s="763"/>
      <c r="AV943" s="763"/>
      <c r="AW943" s="763"/>
      <c r="AX943" s="763"/>
      <c r="AY943" s="763"/>
      <c r="AZ943" s="763"/>
      <c r="BA943" s="763"/>
      <c r="BB943" s="763"/>
      <c r="BC943" s="763"/>
      <c r="BD943" s="763"/>
      <c r="BE943" s="763"/>
      <c r="BF943" s="763"/>
      <c r="BG943" s="763" t="b">
        <f>IFERROR(__xludf.DUMMYFUNCTION("""COMPUTED_VALUE"""),TRUE)</f>
        <v>1</v>
      </c>
      <c r="BH943" s="763" t="b">
        <f>IFERROR(__xludf.DUMMYFUNCTION("""COMPUTED_VALUE"""),FALSE)</f>
        <v>0</v>
      </c>
      <c r="BI943" s="763" t="b">
        <f>IFERROR(__xludf.DUMMYFUNCTION("""COMPUTED_VALUE"""),TRUE)</f>
        <v>1</v>
      </c>
      <c r="BJ943" s="763" t="b">
        <f>IFERROR(__xludf.DUMMYFUNCTION("""COMPUTED_VALUE"""),TRUE)</f>
        <v>1</v>
      </c>
    </row>
    <row r="944">
      <c r="A944" s="763">
        <f>IFERROR(__xludf.DUMMYFUNCTION("""COMPUTED_VALUE"""),67888.0)</f>
        <v>67888</v>
      </c>
      <c r="B944" s="763">
        <f>IFERROR(__xludf.DUMMYFUNCTION("""COMPUTED_VALUE"""),67888.0)</f>
        <v>67888</v>
      </c>
      <c r="C944" s="763" t="str">
        <f>IFERROR(__xludf.DUMMYFUNCTION("""COMPUTED_VALUE"""),"2026-02-12 10:55:25")</f>
        <v>2026-02-12 10:55:25</v>
      </c>
      <c r="D944" s="763" t="str">
        <f>IFERROR(__xludf.DUMMYFUNCTION("""COMPUTED_VALUE"""),"completed")</f>
        <v>completed</v>
      </c>
      <c r="E944" s="763" t="str">
        <f>IFERROR(__xludf.DUMMYFUNCTION("""COMPUTED_VALUE"""),"Marta")</f>
        <v>Marta</v>
      </c>
      <c r="F944" s="763" t="str">
        <f>IFERROR(__xludf.DUMMYFUNCTION("""COMPUTED_VALUE"""),"Carriera")</f>
        <v>Carriera</v>
      </c>
      <c r="G944" s="763" t="str">
        <f>IFERROR(__xludf.DUMMYFUNCTION("""COMPUTED_VALUE"""),"mcarriera27@gmail.com")</f>
        <v>mcarriera27@gmail.com</v>
      </c>
      <c r="H944" s="763">
        <f>IFERROR(__xludf.DUMMYFUNCTION("""COMPUTED_VALUE"""),3.770848139E9)</f>
        <v>3770848139</v>
      </c>
      <c r="I944" s="763" t="str">
        <f>IFERROR(__xludf.DUMMYFUNCTION("""COMPUTED_VALUE"""),"Motta Visconti")</f>
        <v>Motta Visconti</v>
      </c>
      <c r="J944" s="763" t="str">
        <f>IFERROR(__xludf.DUMMYFUNCTION("""COMPUTED_VALUE"""),"Via Raffaele Novari, 20")</f>
        <v>Via Raffaele Novari, 20</v>
      </c>
      <c r="K944" s="763">
        <f>IFERROR(__xludf.DUMMYFUNCTION("""COMPUTED_VALUE"""),20086.0)</f>
        <v>20086</v>
      </c>
      <c r="L944" s="763" t="str">
        <f>IFERROR(__xludf.DUMMYFUNCTION("""COMPUTED_VALUE"""),"Satispay")</f>
        <v>Satispay</v>
      </c>
      <c r="M944" s="763" t="str">
        <f>IFERROR(__xludf.DUMMYFUNCTION("""COMPUTED_VALUE"""),"alexandra02ws")</f>
        <v>alexandra02ws</v>
      </c>
      <c r="N944" s="763" t="str">
        <f>IFERROR(__xludf.DUMMYFUNCTION("""COMPUTED_VALUE"""),"019c517d-cfd5-7933-80e0-5450c54afed1")</f>
        <v>019c517d-cfd5-7933-80e0-5450c54afed1</v>
      </c>
      <c r="O944" s="763">
        <f>IFERROR(__xludf.DUMMYFUNCTION("""COMPUTED_VALUE"""),0.0)</f>
        <v>0</v>
      </c>
      <c r="P944" s="767">
        <f>IFERROR(__xludf.DUMMYFUNCTION("""COMPUTED_VALUE"""),1.25)</f>
        <v>1.25</v>
      </c>
      <c r="Q944" s="763" t="str">
        <f>IFERROR(__xludf.DUMMYFUNCTION("""COMPUTED_VALUE"""),"EUR")</f>
        <v>EUR</v>
      </c>
      <c r="R944" s="763">
        <f>IFERROR(__xludf.DUMMYFUNCTION("""COMPUTED_VALUE"""),1674.0)</f>
        <v>1674</v>
      </c>
      <c r="S944" s="763" t="str">
        <f>IFERROR(__xludf.DUMMYFUNCTION("""COMPUTED_VALUE"""),"Workshop Jasmine Andriano 2026 - Workshop Jasmine Andriano il 19 aprile 2026")</f>
        <v>Workshop Jasmine Andriano 2026 - Workshop Jasmine Andriano il 19 aprile 2026</v>
      </c>
      <c r="T944" s="763"/>
      <c r="U944" s="763"/>
      <c r="V944" s="763">
        <f>IFERROR(__xludf.DUMMYFUNCTION("""COMPUTED_VALUE"""),1.0)</f>
        <v>1</v>
      </c>
      <c r="W944" s="763">
        <f>IFERROR(__xludf.DUMMYFUNCTION("""COMPUTED_VALUE"""),30.0)</f>
        <v>30</v>
      </c>
      <c r="X944" s="763">
        <f>IFERROR(__xludf.DUMMYFUNCTION("""COMPUTED_VALUE"""),30.0)</f>
        <v>30</v>
      </c>
      <c r="Y944" s="763"/>
      <c r="Z944" s="768" t="str">
        <f>IFERROR(__xludf.DUMMYFUNCTION("""COMPUTED_VALUE"""),"https://studio-gem.it/wp-admin/post.php?post=67888&amp;action=edit")</f>
        <v>https://studio-gem.it/wp-admin/post.php?post=67888&amp;action=edit</v>
      </c>
      <c r="AA944" s="763"/>
      <c r="AB944" s="763"/>
      <c r="AC944" s="763"/>
      <c r="AD944" s="763"/>
      <c r="AE944" s="763"/>
      <c r="AF944" s="763"/>
      <c r="AG944" s="763"/>
      <c r="AH944" s="763"/>
      <c r="AI944" s="763"/>
      <c r="AJ944" s="763"/>
      <c r="AK944" s="763"/>
      <c r="AL944" s="763"/>
      <c r="AM944" s="763"/>
      <c r="AN944" s="763"/>
      <c r="AO944" s="763"/>
      <c r="AP944" s="763"/>
      <c r="AQ944" s="763"/>
      <c r="AR944" s="763"/>
      <c r="AS944" s="763"/>
      <c r="AT944" s="763"/>
      <c r="AU944" s="763"/>
      <c r="AV944" s="763"/>
      <c r="AW944" s="763"/>
      <c r="AX944" s="763"/>
      <c r="AY944" s="763"/>
      <c r="AZ944" s="763"/>
      <c r="BA944" s="763"/>
      <c r="BB944" s="763"/>
      <c r="BC944" s="763"/>
      <c r="BD944" s="763"/>
      <c r="BE944" s="763"/>
      <c r="BF944" s="763"/>
      <c r="BG944" s="763" t="b">
        <f>IFERROR(__xludf.DUMMYFUNCTION("""COMPUTED_VALUE"""),TRUE)</f>
        <v>1</v>
      </c>
      <c r="BH944" s="763" t="b">
        <f>IFERROR(__xludf.DUMMYFUNCTION("""COMPUTED_VALUE"""),FALSE)</f>
        <v>0</v>
      </c>
      <c r="BI944" s="763" t="b">
        <f>IFERROR(__xludf.DUMMYFUNCTION("""COMPUTED_VALUE"""),TRUE)</f>
        <v>1</v>
      </c>
      <c r="BJ944" s="763" t="b">
        <f>IFERROR(__xludf.DUMMYFUNCTION("""COMPUTED_VALUE"""),TRUE)</f>
        <v>1</v>
      </c>
    </row>
    <row r="945">
      <c r="A945" s="763">
        <f>IFERROR(__xludf.DUMMYFUNCTION("""COMPUTED_VALUE"""),67896.0)</f>
        <v>67896</v>
      </c>
      <c r="B945" s="763">
        <f>IFERROR(__xludf.DUMMYFUNCTION("""COMPUTED_VALUE"""),67896.0)</f>
        <v>67896</v>
      </c>
      <c r="C945" s="763" t="str">
        <f>IFERROR(__xludf.DUMMYFUNCTION("""COMPUTED_VALUE"""),"2026-02-12 12:19:52")</f>
        <v>2026-02-12 12:19:52</v>
      </c>
      <c r="D945" s="763" t="str">
        <f>IFERROR(__xludf.DUMMYFUNCTION("""COMPUTED_VALUE"""),"processing")</f>
        <v>processing</v>
      </c>
      <c r="E945" s="763" t="str">
        <f>IFERROR(__xludf.DUMMYFUNCTION("""COMPUTED_VALUE"""),"Aurora")</f>
        <v>Aurora</v>
      </c>
      <c r="F945" s="763" t="str">
        <f>IFERROR(__xludf.DUMMYFUNCTION("""COMPUTED_VALUE"""),"Medanich")</f>
        <v>Medanich</v>
      </c>
      <c r="G945" s="763" t="str">
        <f>IFERROR(__xludf.DUMMYFUNCTION("""COMPUTED_VALUE"""),"Aurimfm@gmail.com")</f>
        <v>Aurimfm@gmail.com</v>
      </c>
      <c r="H945" s="763">
        <f>IFERROR(__xludf.DUMMYFUNCTION("""COMPUTED_VALUE"""),3.384362858E9)</f>
        <v>3384362858</v>
      </c>
      <c r="I945" s="763" t="str">
        <f>IFERROR(__xludf.DUMMYFUNCTION("""COMPUTED_VALUE"""),"Torino")</f>
        <v>Torino</v>
      </c>
      <c r="J945" s="763" t="str">
        <f>IFERROR(__xludf.DUMMYFUNCTION("""COMPUTED_VALUE"""),"Piazza Vittorio Veneto 23")</f>
        <v>Piazza Vittorio Veneto 23</v>
      </c>
      <c r="K945" s="763">
        <f>IFERROR(__xludf.DUMMYFUNCTION("""COMPUTED_VALUE"""),10124.0)</f>
        <v>10124</v>
      </c>
      <c r="L945" s="763" t="str">
        <f>IFERROR(__xludf.DUMMYFUNCTION("""COMPUTED_VALUE"""),"Carte di pagamento")</f>
        <v>Carte di pagamento</v>
      </c>
      <c r="M945" s="763" t="str">
        <f>IFERROR(__xludf.DUMMYFUNCTION("""COMPUTED_VALUE"""),"nura02ws")</f>
        <v>nura02ws</v>
      </c>
      <c r="N945" s="763" t="str">
        <f>IFERROR(__xludf.DUMMYFUNCTION("""COMPUTED_VALUE"""),"67896-1770898794")</f>
        <v>67896-1770898794</v>
      </c>
      <c r="O945" s="763">
        <f>IFERROR(__xludf.DUMMYFUNCTION("""COMPUTED_VALUE"""),0.0)</f>
        <v>0</v>
      </c>
      <c r="P945" s="767">
        <f>IFERROR(__xludf.DUMMYFUNCTION("""COMPUTED_VALUE"""),0.8333333333333334)</f>
        <v>0.8333333333</v>
      </c>
      <c r="Q945" s="763" t="str">
        <f>IFERROR(__xludf.DUMMYFUNCTION("""COMPUTED_VALUE"""),"EUR")</f>
        <v>EUR</v>
      </c>
      <c r="R945" s="763">
        <f>IFERROR(__xludf.DUMMYFUNCTION("""COMPUTED_VALUE"""),1677.0)</f>
        <v>1677</v>
      </c>
      <c r="S945" s="763" t="str">
        <f>IFERROR(__xludf.DUMMYFUNCTION("""COMPUTED_VALUE"""),"Open class Heels con Anahita 2026 - Open class Heels con Anahita 2026")</f>
        <v>Open class Heels con Anahita 2026 - Open class Heels con Anahita 2026</v>
      </c>
      <c r="T945" s="763"/>
      <c r="U945" s="763"/>
      <c r="V945" s="763">
        <f>IFERROR(__xludf.DUMMYFUNCTION("""COMPUTED_VALUE"""),1.0)</f>
        <v>1</v>
      </c>
      <c r="W945" s="763">
        <f>IFERROR(__xludf.DUMMYFUNCTION("""COMPUTED_VALUE"""),20.0)</f>
        <v>20</v>
      </c>
      <c r="X945" s="763">
        <f>IFERROR(__xludf.DUMMYFUNCTION("""COMPUTED_VALUE"""),20.0)</f>
        <v>20</v>
      </c>
      <c r="Y945" s="763"/>
      <c r="Z945" s="768" t="str">
        <f>IFERROR(__xludf.DUMMYFUNCTION("""COMPUTED_VALUE"""),"https://studio-gem.it/wp-admin/post.php?post=67896&amp;action=edit")</f>
        <v>https://studio-gem.it/wp-admin/post.php?post=67896&amp;action=edit</v>
      </c>
      <c r="AA945" s="763"/>
      <c r="AB945" s="763"/>
      <c r="AC945" s="763"/>
      <c r="AD945" s="763"/>
      <c r="AE945" s="763"/>
      <c r="AF945" s="763"/>
      <c r="AG945" s="763"/>
      <c r="AH945" s="763"/>
      <c r="AI945" s="763"/>
      <c r="AJ945" s="763"/>
      <c r="AK945" s="763"/>
      <c r="AL945" s="763"/>
      <c r="AM945" s="763"/>
      <c r="AN945" s="763"/>
      <c r="AO945" s="763"/>
      <c r="AP945" s="763"/>
      <c r="AQ945" s="763"/>
      <c r="AR945" s="763"/>
      <c r="AS945" s="763"/>
      <c r="AT945" s="763"/>
      <c r="AU945" s="763"/>
      <c r="AV945" s="763"/>
      <c r="AW945" s="763"/>
      <c r="AX945" s="763"/>
      <c r="AY945" s="763"/>
      <c r="AZ945" s="763"/>
      <c r="BA945" s="763"/>
      <c r="BB945" s="763"/>
      <c r="BC945" s="763"/>
      <c r="BD945" s="763"/>
      <c r="BE945" s="763"/>
      <c r="BF945" s="763"/>
      <c r="BG945" s="763" t="b">
        <f>IFERROR(__xludf.DUMMYFUNCTION("""COMPUTED_VALUE"""),TRUE)</f>
        <v>1</v>
      </c>
      <c r="BH945" s="763" t="b">
        <f>IFERROR(__xludf.DUMMYFUNCTION("""COMPUTED_VALUE"""),FALSE)</f>
        <v>0</v>
      </c>
      <c r="BI945" s="763" t="b">
        <f>IFERROR(__xludf.DUMMYFUNCTION("""COMPUTED_VALUE"""),TRUE)</f>
        <v>1</v>
      </c>
      <c r="BJ945" s="763" t="b">
        <f>IFERROR(__xludf.DUMMYFUNCTION("""COMPUTED_VALUE"""),TRUE)</f>
        <v>1</v>
      </c>
    </row>
    <row r="946">
      <c r="A946" s="763">
        <f>IFERROR(__xludf.DUMMYFUNCTION("""COMPUTED_VALUE"""),67898.0)</f>
        <v>67898</v>
      </c>
      <c r="B946" s="763">
        <f>IFERROR(__xludf.DUMMYFUNCTION("""COMPUTED_VALUE"""),67898.0)</f>
        <v>67898</v>
      </c>
      <c r="C946" s="763" t="str">
        <f>IFERROR(__xludf.DUMMYFUNCTION("""COMPUTED_VALUE"""),"2026-02-12 16:48:49")</f>
        <v>2026-02-12 16:48:49</v>
      </c>
      <c r="D946" s="763" t="str">
        <f>IFERROR(__xludf.DUMMYFUNCTION("""COMPUTED_VALUE"""),"processing")</f>
        <v>processing</v>
      </c>
      <c r="E946" s="763" t="str">
        <f>IFERROR(__xludf.DUMMYFUNCTION("""COMPUTED_VALUE"""),"Clio")</f>
        <v>Clio</v>
      </c>
      <c r="F946" s="763" t="str">
        <f>IFERROR(__xludf.DUMMYFUNCTION("""COMPUTED_VALUE"""),"Brunello")</f>
        <v>Brunello</v>
      </c>
      <c r="G946" s="763" t="str">
        <f>IFERROR(__xludf.DUMMYFUNCTION("""COMPUTED_VALUE"""),"chiaratp@icloud.com")</f>
        <v>chiaratp@icloud.com</v>
      </c>
      <c r="H946" s="763">
        <f>IFERROR(__xludf.DUMMYFUNCTION("""COMPUTED_VALUE"""),3.407851012E9)</f>
        <v>3407851012</v>
      </c>
      <c r="I946" s="763" t="str">
        <f>IFERROR(__xludf.DUMMYFUNCTION("""COMPUTED_VALUE"""),"Milano")</f>
        <v>Milano</v>
      </c>
      <c r="J946" s="763" t="str">
        <f>IFERROR(__xludf.DUMMYFUNCTION("""COMPUTED_VALUE"""),"Corso di porta ticinese 83")</f>
        <v>Corso di porta ticinese 83</v>
      </c>
      <c r="K946" s="763">
        <f>IFERROR(__xludf.DUMMYFUNCTION("""COMPUTED_VALUE"""),20123.0)</f>
        <v>20123</v>
      </c>
      <c r="L946" s="763" t="str">
        <f>IFERROR(__xludf.DUMMYFUNCTION("""COMPUTED_VALUE"""),"Carte di pagamento")</f>
        <v>Carte di pagamento</v>
      </c>
      <c r="M946" s="763" t="str">
        <f>IFERROR(__xludf.DUMMYFUNCTION("""COMPUTED_VALUE"""),"alexandra05campus")</f>
        <v>alexandra05campus</v>
      </c>
      <c r="N946" s="763" t="str">
        <f>IFERROR(__xludf.DUMMYFUNCTION("""COMPUTED_VALUE"""),"67898-1770914931")</f>
        <v>67898-1770914931</v>
      </c>
      <c r="O946" s="763">
        <f>IFERROR(__xludf.DUMMYFUNCTION("""COMPUTED_VALUE"""),0.0)</f>
        <v>0</v>
      </c>
      <c r="P946" s="767">
        <f>IFERROR(__xludf.DUMMYFUNCTION("""COMPUTED_VALUE"""),3.125)</f>
        <v>3.125</v>
      </c>
      <c r="Q946" s="763" t="str">
        <f>IFERROR(__xludf.DUMMYFUNCTION("""COMPUTED_VALUE"""),"EUR")</f>
        <v>EUR</v>
      </c>
      <c r="R946" s="763">
        <f>IFERROR(__xludf.DUMMYFUNCTION("""COMPUTED_VALUE"""),1679.0)</f>
        <v>1679</v>
      </c>
      <c r="S946" s="763" t="str">
        <f>IFERROR(__xludf.DUMMYFUNCTION("""COMPUTED_VALUE"""),"Campus estivo 2026 - Campus estivo 1 settimana")</f>
        <v>Campus estivo 2026 - Campus estivo 1 settimana</v>
      </c>
      <c r="T946" s="763"/>
      <c r="U946" s="763"/>
      <c r="V946" s="763">
        <f>IFERROR(__xludf.DUMMYFUNCTION("""COMPUTED_VALUE"""),1.0)</f>
        <v>1</v>
      </c>
      <c r="W946" s="763">
        <f>IFERROR(__xludf.DUMMYFUNCTION("""COMPUTED_VALUE"""),75.0)</f>
        <v>75</v>
      </c>
      <c r="X946" s="763">
        <f>IFERROR(__xludf.DUMMYFUNCTION("""COMPUTED_VALUE"""),75.0)</f>
        <v>75</v>
      </c>
      <c r="Y946" s="763"/>
      <c r="Z946" s="768" t="str">
        <f>IFERROR(__xludf.DUMMYFUNCTION("""COMPUTED_VALUE"""),"https://studio-gem.it/wp-admin/post.php?post=67898&amp;action=edit")</f>
        <v>https://studio-gem.it/wp-admin/post.php?post=67898&amp;action=edit</v>
      </c>
      <c r="AA946" s="763"/>
      <c r="AB946" s="763"/>
      <c r="AC946" s="763"/>
      <c r="AD946" s="763"/>
      <c r="AE946" s="763"/>
      <c r="AF946" s="763"/>
      <c r="AG946" s="763"/>
      <c r="AH946" s="763"/>
      <c r="AI946" s="763"/>
      <c r="AJ946" s="763"/>
      <c r="AK946" s="763"/>
      <c r="AL946" s="763"/>
      <c r="AM946" s="763"/>
      <c r="AN946" s="763"/>
      <c r="AO946" s="763"/>
      <c r="AP946" s="763"/>
      <c r="AQ946" s="763"/>
      <c r="AR946" s="763"/>
      <c r="AS946" s="763"/>
      <c r="AT946" s="763"/>
      <c r="AU946" s="763"/>
      <c r="AV946" s="763"/>
      <c r="AW946" s="763"/>
      <c r="AX946" s="763"/>
      <c r="AY946" s="763"/>
      <c r="AZ946" s="763"/>
      <c r="BA946" s="763"/>
      <c r="BB946" s="763"/>
      <c r="BC946" s="763"/>
      <c r="BD946" s="763"/>
      <c r="BE946" s="763"/>
      <c r="BF946" s="763"/>
      <c r="BG946" s="763" t="b">
        <f>IFERROR(__xludf.DUMMYFUNCTION("""COMPUTED_VALUE"""),TRUE)</f>
        <v>1</v>
      </c>
      <c r="BH946" s="763" t="b">
        <f>IFERROR(__xludf.DUMMYFUNCTION("""COMPUTED_VALUE"""),FALSE)</f>
        <v>0</v>
      </c>
      <c r="BI946" s="763" t="b">
        <f>IFERROR(__xludf.DUMMYFUNCTION("""COMPUTED_VALUE"""),TRUE)</f>
        <v>1</v>
      </c>
      <c r="BJ946" s="763" t="b">
        <f>IFERROR(__xludf.DUMMYFUNCTION("""COMPUTED_VALUE"""),TRUE)</f>
        <v>1</v>
      </c>
    </row>
    <row r="947">
      <c r="A947" s="763">
        <f>IFERROR(__xludf.DUMMYFUNCTION("""COMPUTED_VALUE"""),67899.0)</f>
        <v>67899</v>
      </c>
      <c r="B947" s="763">
        <f>IFERROR(__xludf.DUMMYFUNCTION("""COMPUTED_VALUE"""),67899.0)</f>
        <v>67899</v>
      </c>
      <c r="C947" s="763" t="str">
        <f>IFERROR(__xludf.DUMMYFUNCTION("""COMPUTED_VALUE"""),"2026-02-12 21:42:18")</f>
        <v>2026-02-12 21:42:18</v>
      </c>
      <c r="D947" s="763" t="str">
        <f>IFERROR(__xludf.DUMMYFUNCTION("""COMPUTED_VALUE"""),"processing")</f>
        <v>processing</v>
      </c>
      <c r="E947" s="763" t="str">
        <f>IFERROR(__xludf.DUMMYFUNCTION("""COMPUTED_VALUE"""),"Irene")</f>
        <v>Irene</v>
      </c>
      <c r="F947" s="763" t="str">
        <f>IFERROR(__xludf.DUMMYFUNCTION("""COMPUTED_VALUE"""),"Gentili")</f>
        <v>Gentili</v>
      </c>
      <c r="G947" s="763" t="str">
        <f>IFERROR(__xludf.DUMMYFUNCTION("""COMPUTED_VALUE"""),"gentili.irene@gmail.com")</f>
        <v>gentili.irene@gmail.com</v>
      </c>
      <c r="H947" s="763">
        <f>IFERROR(__xludf.DUMMYFUNCTION("""COMPUTED_VALUE"""),3.202477786E9)</f>
        <v>3202477786</v>
      </c>
      <c r="I947" s="763" t="str">
        <f>IFERROR(__xludf.DUMMYFUNCTION("""COMPUTED_VALUE"""),"Milano")</f>
        <v>Milano</v>
      </c>
      <c r="J947" s="763" t="str">
        <f>IFERROR(__xludf.DUMMYFUNCTION("""COMPUTED_VALUE"""),"Viale Coni Zugna 63")</f>
        <v>Viale Coni Zugna 63</v>
      </c>
      <c r="K947" s="763">
        <f>IFERROR(__xludf.DUMMYFUNCTION("""COMPUTED_VALUE"""),20144.0)</f>
        <v>20144</v>
      </c>
      <c r="L947" s="763" t="str">
        <f>IFERROR(__xludf.DUMMYFUNCTION("""COMPUTED_VALUE"""),"Carte di pagamento")</f>
        <v>Carte di pagamento</v>
      </c>
      <c r="M947" s="763"/>
      <c r="N947" s="763" t="str">
        <f>IFERROR(__xludf.DUMMYFUNCTION("""COMPUTED_VALUE"""),"67899-1770932540")</f>
        <v>67899-1770932540</v>
      </c>
      <c r="O947" s="763">
        <f>IFERROR(__xludf.DUMMYFUNCTION("""COMPUTED_VALUE"""),0.0)</f>
        <v>0</v>
      </c>
      <c r="P947" s="767">
        <f>IFERROR(__xludf.DUMMYFUNCTION("""COMPUTED_VALUE"""),1.3333333333333333)</f>
        <v>1.333333333</v>
      </c>
      <c r="Q947" s="763" t="str">
        <f>IFERROR(__xludf.DUMMYFUNCTION("""COMPUTED_VALUE"""),"EUR")</f>
        <v>EUR</v>
      </c>
      <c r="R947" s="763">
        <f>IFERROR(__xludf.DUMMYFUNCTION("""COMPUTED_VALUE"""),1681.0)</f>
        <v>1681</v>
      </c>
      <c r="S947" s="763" t="str">
        <f>IFERROR(__xludf.DUMMYFUNCTION("""COMPUTED_VALUE"""),"Un dia en Cuba 2026 - Un dia en Cuba 2026")</f>
        <v>Un dia en Cuba 2026 - Un dia en Cuba 2026</v>
      </c>
      <c r="T947" s="763"/>
      <c r="U947" s="763"/>
      <c r="V947" s="763">
        <f>IFERROR(__xludf.DUMMYFUNCTION("""COMPUTED_VALUE"""),1.0)</f>
        <v>1</v>
      </c>
      <c r="W947" s="763">
        <f>IFERROR(__xludf.DUMMYFUNCTION("""COMPUTED_VALUE"""),32.0)</f>
        <v>32</v>
      </c>
      <c r="X947" s="763">
        <f>IFERROR(__xludf.DUMMYFUNCTION("""COMPUTED_VALUE"""),32.0)</f>
        <v>32</v>
      </c>
      <c r="Y947" s="763"/>
      <c r="Z947" s="768" t="str">
        <f>IFERROR(__xludf.DUMMYFUNCTION("""COMPUTED_VALUE"""),"https://studio-gem.it/wp-admin/post.php?post=67899&amp;action=edit")</f>
        <v>https://studio-gem.it/wp-admin/post.php?post=67899&amp;action=edit</v>
      </c>
      <c r="AA947" s="763"/>
      <c r="AB947" s="763"/>
      <c r="AC947" s="763"/>
      <c r="AD947" s="763"/>
      <c r="AE947" s="763"/>
      <c r="AF947" s="763"/>
      <c r="AG947" s="763"/>
      <c r="AH947" s="763"/>
      <c r="AI947" s="763"/>
      <c r="AJ947" s="763"/>
      <c r="AK947" s="763"/>
      <c r="AL947" s="763"/>
      <c r="AM947" s="763"/>
      <c r="AN947" s="763"/>
      <c r="AO947" s="763"/>
      <c r="AP947" s="763"/>
      <c r="AQ947" s="763"/>
      <c r="AR947" s="763"/>
      <c r="AS947" s="763"/>
      <c r="AT947" s="763"/>
      <c r="AU947" s="763"/>
      <c r="AV947" s="763"/>
      <c r="AW947" s="763"/>
      <c r="AX947" s="763"/>
      <c r="AY947" s="763"/>
      <c r="AZ947" s="763"/>
      <c r="BA947" s="763"/>
      <c r="BB947" s="763"/>
      <c r="BC947" s="763"/>
      <c r="BD947" s="763"/>
      <c r="BE947" s="763"/>
      <c r="BF947" s="763"/>
      <c r="BG947" s="763" t="b">
        <f>IFERROR(__xludf.DUMMYFUNCTION("""COMPUTED_VALUE"""),TRUE)</f>
        <v>1</v>
      </c>
      <c r="BH947" s="763" t="b">
        <f>IFERROR(__xludf.DUMMYFUNCTION("""COMPUTED_VALUE"""),FALSE)</f>
        <v>0</v>
      </c>
      <c r="BI947" s="763" t="b">
        <f>IFERROR(__xludf.DUMMYFUNCTION("""COMPUTED_VALUE"""),TRUE)</f>
        <v>1</v>
      </c>
      <c r="BJ947" s="763" t="b">
        <f>IFERROR(__xludf.DUMMYFUNCTION("""COMPUTED_VALUE"""),TRUE)</f>
        <v>1</v>
      </c>
    </row>
    <row r="948">
      <c r="A948" s="763">
        <f>IFERROR(__xludf.DUMMYFUNCTION("""COMPUTED_VALUE"""),67901.0)</f>
        <v>67901</v>
      </c>
      <c r="B948" s="763">
        <f>IFERROR(__xludf.DUMMYFUNCTION("""COMPUTED_VALUE"""),67901.0)</f>
        <v>67901</v>
      </c>
      <c r="C948" s="763" t="str">
        <f>IFERROR(__xludf.DUMMYFUNCTION("""COMPUTED_VALUE"""),"2026-02-13 07:04:26")</f>
        <v>2026-02-13 07:04:26</v>
      </c>
      <c r="D948" s="763" t="str">
        <f>IFERROR(__xludf.DUMMYFUNCTION("""COMPUTED_VALUE"""),"processing")</f>
        <v>processing</v>
      </c>
      <c r="E948" s="763" t="str">
        <f>IFERROR(__xludf.DUMMYFUNCTION("""COMPUTED_VALUE"""),"Manuela")</f>
        <v>Manuela</v>
      </c>
      <c r="F948" s="763" t="str">
        <f>IFERROR(__xludf.DUMMYFUNCTION("""COMPUTED_VALUE"""),"Precerutti")</f>
        <v>Precerutti</v>
      </c>
      <c r="G948" s="763" t="str">
        <f>IFERROR(__xludf.DUMMYFUNCTION("""COMPUTED_VALUE"""),"manuela.precerutti@cchellenic.com")</f>
        <v>manuela.precerutti@cchellenic.com</v>
      </c>
      <c r="H948" s="763">
        <f>IFERROR(__xludf.DUMMYFUNCTION("""COMPUTED_VALUE"""),3.420984354E9)</f>
        <v>3420984354</v>
      </c>
      <c r="I948" s="763" t="str">
        <f>IFERROR(__xludf.DUMMYFUNCTION("""COMPUTED_VALUE"""),"Milano")</f>
        <v>Milano</v>
      </c>
      <c r="J948" s="763" t="str">
        <f>IFERROR(__xludf.DUMMYFUNCTION("""COMPUTED_VALUE"""),"Via Portinari 1")</f>
        <v>Via Portinari 1</v>
      </c>
      <c r="K948" s="763">
        <f>IFERROR(__xludf.DUMMYFUNCTION("""COMPUTED_VALUE"""),20125.0)</f>
        <v>20125</v>
      </c>
      <c r="L948" s="763" t="str">
        <f>IFERROR(__xludf.DUMMYFUNCTION("""COMPUTED_VALUE"""),"Carte di pagamento")</f>
        <v>Carte di pagamento</v>
      </c>
      <c r="M948" s="763" t="str">
        <f>IFERROR(__xludf.DUMMYFUNCTION("""COMPUTED_VALUE"""),"alexandra02ws")</f>
        <v>alexandra02ws</v>
      </c>
      <c r="N948" s="763" t="str">
        <f>IFERROR(__xludf.DUMMYFUNCTION("""COMPUTED_VALUE"""),"67901-1770966268")</f>
        <v>67901-1770966268</v>
      </c>
      <c r="O948" s="763">
        <f>IFERROR(__xludf.DUMMYFUNCTION("""COMPUTED_VALUE"""),0.0)</f>
        <v>0</v>
      </c>
      <c r="P948" s="767">
        <f>IFERROR(__xludf.DUMMYFUNCTION("""COMPUTED_VALUE"""),1.25)</f>
        <v>1.25</v>
      </c>
      <c r="Q948" s="763" t="str">
        <f>IFERROR(__xludf.DUMMYFUNCTION("""COMPUTED_VALUE"""),"EUR")</f>
        <v>EUR</v>
      </c>
      <c r="R948" s="763">
        <f>IFERROR(__xludf.DUMMYFUNCTION("""COMPUTED_VALUE"""),1682.0)</f>
        <v>1682</v>
      </c>
      <c r="S948" s="763" t="str">
        <f>IFERROR(__xludf.DUMMYFUNCTION("""COMPUTED_VALUE"""),"Un dia en Cuba 2026 - Un dia en Cuba 2026")</f>
        <v>Un dia en Cuba 2026 - Un dia en Cuba 2026</v>
      </c>
      <c r="T948" s="763"/>
      <c r="U948" s="763"/>
      <c r="V948" s="763">
        <f>IFERROR(__xludf.DUMMYFUNCTION("""COMPUTED_VALUE"""),1.0)</f>
        <v>1</v>
      </c>
      <c r="W948" s="763">
        <f>IFERROR(__xludf.DUMMYFUNCTION("""COMPUTED_VALUE"""),30.0)</f>
        <v>30</v>
      </c>
      <c r="X948" s="763">
        <f>IFERROR(__xludf.DUMMYFUNCTION("""COMPUTED_VALUE"""),30.0)</f>
        <v>30</v>
      </c>
      <c r="Y948" s="763"/>
      <c r="Z948" s="768" t="str">
        <f>IFERROR(__xludf.DUMMYFUNCTION("""COMPUTED_VALUE"""),"https://studio-gem.it/wp-admin/post.php?post=67901&amp;action=edit")</f>
        <v>https://studio-gem.it/wp-admin/post.php?post=67901&amp;action=edit</v>
      </c>
      <c r="AA948" s="763"/>
      <c r="AB948" s="763"/>
      <c r="AC948" s="763"/>
      <c r="AD948" s="763"/>
      <c r="AE948" s="763"/>
      <c r="AF948" s="763"/>
      <c r="AG948" s="763"/>
      <c r="AH948" s="763"/>
      <c r="AI948" s="763"/>
      <c r="AJ948" s="763"/>
      <c r="AK948" s="763"/>
      <c r="AL948" s="763"/>
      <c r="AM948" s="763"/>
      <c r="AN948" s="763"/>
      <c r="AO948" s="763"/>
      <c r="AP948" s="763"/>
      <c r="AQ948" s="763"/>
      <c r="AR948" s="763"/>
      <c r="AS948" s="763"/>
      <c r="AT948" s="763"/>
      <c r="AU948" s="763"/>
      <c r="AV948" s="763"/>
      <c r="AW948" s="763"/>
      <c r="AX948" s="763"/>
      <c r="AY948" s="763"/>
      <c r="AZ948" s="763"/>
      <c r="BA948" s="763"/>
      <c r="BB948" s="763"/>
      <c r="BC948" s="763"/>
      <c r="BD948" s="763"/>
      <c r="BE948" s="763"/>
      <c r="BF948" s="763"/>
      <c r="BG948" s="763" t="b">
        <f>IFERROR(__xludf.DUMMYFUNCTION("""COMPUTED_VALUE"""),TRUE)</f>
        <v>1</v>
      </c>
      <c r="BH948" s="763" t="b">
        <f>IFERROR(__xludf.DUMMYFUNCTION("""COMPUTED_VALUE"""),FALSE)</f>
        <v>0</v>
      </c>
      <c r="BI948" s="763" t="b">
        <f>IFERROR(__xludf.DUMMYFUNCTION("""COMPUTED_VALUE"""),TRUE)</f>
        <v>1</v>
      </c>
      <c r="BJ948" s="763" t="b">
        <f>IFERROR(__xludf.DUMMYFUNCTION("""COMPUTED_VALUE"""),TRUE)</f>
        <v>1</v>
      </c>
    </row>
    <row r="949">
      <c r="A949" s="763">
        <f>IFERROR(__xludf.DUMMYFUNCTION("""COMPUTED_VALUE"""),67902.0)</f>
        <v>67902</v>
      </c>
      <c r="B949" s="763">
        <f>IFERROR(__xludf.DUMMYFUNCTION("""COMPUTED_VALUE"""),67902.0)</f>
        <v>67902</v>
      </c>
      <c r="C949" s="763" t="str">
        <f>IFERROR(__xludf.DUMMYFUNCTION("""COMPUTED_VALUE"""),"2026-02-13 07:38:40")</f>
        <v>2026-02-13 07:38:40</v>
      </c>
      <c r="D949" s="763" t="str">
        <f>IFERROR(__xludf.DUMMYFUNCTION("""COMPUTED_VALUE"""),"completed")</f>
        <v>completed</v>
      </c>
      <c r="E949" s="763" t="str">
        <f>IFERROR(__xludf.DUMMYFUNCTION("""COMPUTED_VALUE"""),"Simone")</f>
        <v>Simone</v>
      </c>
      <c r="F949" s="763" t="str">
        <f>IFERROR(__xludf.DUMMYFUNCTION("""COMPUTED_VALUE"""),"Piangerelli")</f>
        <v>Piangerelli</v>
      </c>
      <c r="G949" s="763" t="str">
        <f>IFERROR(__xludf.DUMMYFUNCTION("""COMPUTED_VALUE"""),"simonepiangerelli@libero.it")</f>
        <v>simonepiangerelli@libero.it</v>
      </c>
      <c r="H949" s="763">
        <f>IFERROR(__xludf.DUMMYFUNCTION("""COMPUTED_VALUE"""),3.518042662E9)</f>
        <v>3518042662</v>
      </c>
      <c r="I949" s="763" t="str">
        <f>IFERROR(__xludf.DUMMYFUNCTION("""COMPUTED_VALUE"""),"Milano")</f>
        <v>Milano</v>
      </c>
      <c r="J949" s="763" t="str">
        <f>IFERROR(__xludf.DUMMYFUNCTION("""COMPUTED_VALUE"""),"Viale Bligny 54")</f>
        <v>Viale Bligny 54</v>
      </c>
      <c r="K949" s="763">
        <f>IFERROR(__xludf.DUMMYFUNCTION("""COMPUTED_VALUE"""),20136.0)</f>
        <v>20136</v>
      </c>
      <c r="L949" s="763" t="str">
        <f>IFERROR(__xludf.DUMMYFUNCTION("""COMPUTED_VALUE"""),"Google Pay")</f>
        <v>Google Pay</v>
      </c>
      <c r="M949" s="763"/>
      <c r="N949" s="763" t="str">
        <f>IFERROR(__xludf.DUMMYFUNCTION("""COMPUTED_VALUE"""),"67902-1770968322")</f>
        <v>67902-1770968322</v>
      </c>
      <c r="O949" s="763">
        <f>IFERROR(__xludf.DUMMYFUNCTION("""COMPUTED_VALUE"""),0.0)</f>
        <v>0</v>
      </c>
      <c r="P949" s="767">
        <f>IFERROR(__xludf.DUMMYFUNCTION("""COMPUTED_VALUE"""),1.3333333333333333)</f>
        <v>1.333333333</v>
      </c>
      <c r="Q949" s="763" t="str">
        <f>IFERROR(__xludf.DUMMYFUNCTION("""COMPUTED_VALUE"""),"EUR")</f>
        <v>EUR</v>
      </c>
      <c r="R949" s="763">
        <f>IFERROR(__xludf.DUMMYFUNCTION("""COMPUTED_VALUE"""),1684.0)</f>
        <v>1684</v>
      </c>
      <c r="S949" s="763" t="str">
        <f>IFERROR(__xludf.DUMMYFUNCTION("""COMPUTED_VALUE"""),"Un dia en Cuba 2026 - Un dia en Cuba 2026")</f>
        <v>Un dia en Cuba 2026 - Un dia en Cuba 2026</v>
      </c>
      <c r="T949" s="763"/>
      <c r="U949" s="763"/>
      <c r="V949" s="763">
        <f>IFERROR(__xludf.DUMMYFUNCTION("""COMPUTED_VALUE"""),1.0)</f>
        <v>1</v>
      </c>
      <c r="W949" s="763">
        <f>IFERROR(__xludf.DUMMYFUNCTION("""COMPUTED_VALUE"""),32.0)</f>
        <v>32</v>
      </c>
      <c r="X949" s="763">
        <f>IFERROR(__xludf.DUMMYFUNCTION("""COMPUTED_VALUE"""),32.0)</f>
        <v>32</v>
      </c>
      <c r="Y949" s="763"/>
      <c r="Z949" s="768" t="str">
        <f>IFERROR(__xludf.DUMMYFUNCTION("""COMPUTED_VALUE"""),"https://studio-gem.it/wp-admin/post.php?post=67902&amp;action=edit")</f>
        <v>https://studio-gem.it/wp-admin/post.php?post=67902&amp;action=edit</v>
      </c>
      <c r="AA949" s="763"/>
      <c r="AB949" s="763"/>
      <c r="AC949" s="763"/>
      <c r="AD949" s="763"/>
      <c r="AE949" s="763"/>
      <c r="AF949" s="763"/>
      <c r="AG949" s="763"/>
      <c r="AH949" s="763"/>
      <c r="AI949" s="763"/>
      <c r="AJ949" s="763"/>
      <c r="AK949" s="763"/>
      <c r="AL949" s="763"/>
      <c r="AM949" s="763"/>
      <c r="AN949" s="763"/>
      <c r="AO949" s="763"/>
      <c r="AP949" s="763"/>
      <c r="AQ949" s="763"/>
      <c r="AR949" s="763"/>
      <c r="AS949" s="763"/>
      <c r="AT949" s="763"/>
      <c r="AU949" s="763"/>
      <c r="AV949" s="763"/>
      <c r="AW949" s="763"/>
      <c r="AX949" s="763"/>
      <c r="AY949" s="763"/>
      <c r="AZ949" s="763"/>
      <c r="BA949" s="763"/>
      <c r="BB949" s="763"/>
      <c r="BC949" s="763"/>
      <c r="BD949" s="763"/>
      <c r="BE949" s="763"/>
      <c r="BF949" s="763"/>
      <c r="BG949" s="763" t="b">
        <f>IFERROR(__xludf.DUMMYFUNCTION("""COMPUTED_VALUE"""),TRUE)</f>
        <v>1</v>
      </c>
      <c r="BH949" s="763" t="b">
        <f>IFERROR(__xludf.DUMMYFUNCTION("""COMPUTED_VALUE"""),FALSE)</f>
        <v>0</v>
      </c>
      <c r="BI949" s="763" t="b">
        <f>IFERROR(__xludf.DUMMYFUNCTION("""COMPUTED_VALUE"""),TRUE)</f>
        <v>1</v>
      </c>
      <c r="BJ949" s="763" t="b">
        <f>IFERROR(__xludf.DUMMYFUNCTION("""COMPUTED_VALUE"""),TRUE)</f>
        <v>1</v>
      </c>
    </row>
    <row r="950">
      <c r="A950" s="763">
        <f>IFERROR(__xludf.DUMMYFUNCTION("""COMPUTED_VALUE"""),67904.0)</f>
        <v>67904</v>
      </c>
      <c r="B950" s="763">
        <f>IFERROR(__xludf.DUMMYFUNCTION("""COMPUTED_VALUE"""),67904.0)</f>
        <v>67904</v>
      </c>
      <c r="C950" s="763" t="str">
        <f>IFERROR(__xludf.DUMMYFUNCTION("""COMPUTED_VALUE"""),"2026-02-13 07:48:05")</f>
        <v>2026-02-13 07:48:05</v>
      </c>
      <c r="D950" s="763" t="str">
        <f>IFERROR(__xludf.DUMMYFUNCTION("""COMPUTED_VALUE"""),"completed")</f>
        <v>completed</v>
      </c>
      <c r="E950" s="763" t="str">
        <f>IFERROR(__xludf.DUMMYFUNCTION("""COMPUTED_VALUE"""),"Micaela")</f>
        <v>Micaela</v>
      </c>
      <c r="F950" s="763" t="str">
        <f>IFERROR(__xludf.DUMMYFUNCTION("""COMPUTED_VALUE"""),"Zilio")</f>
        <v>Zilio</v>
      </c>
      <c r="G950" s="763" t="str">
        <f>IFERROR(__xludf.DUMMYFUNCTION("""COMPUTED_VALUE"""),"ziliomicaela@gmail.com")</f>
        <v>ziliomicaela@gmail.com</v>
      </c>
      <c r="H950" s="763">
        <f>IFERROR(__xludf.DUMMYFUNCTION("""COMPUTED_VALUE"""),3.342947286E9)</f>
        <v>3342947286</v>
      </c>
      <c r="I950" s="763" t="str">
        <f>IFERROR(__xludf.DUMMYFUNCTION("""COMPUTED_VALUE"""),"Milano")</f>
        <v>Milano</v>
      </c>
      <c r="J950" s="763" t="str">
        <f>IFERROR(__xludf.DUMMYFUNCTION("""COMPUTED_VALUE"""),"Via Carlo Bellerio 44")</f>
        <v>Via Carlo Bellerio 44</v>
      </c>
      <c r="K950" s="763">
        <f>IFERROR(__xludf.DUMMYFUNCTION("""COMPUTED_VALUE"""),20161.0)</f>
        <v>20161</v>
      </c>
      <c r="L950" s="763" t="str">
        <f>IFERROR(__xludf.DUMMYFUNCTION("""COMPUTED_VALUE"""),"Apple Pay")</f>
        <v>Apple Pay</v>
      </c>
      <c r="M950" s="763" t="str">
        <f>IFERROR(__xludf.DUMMYFUNCTION("""COMPUTED_VALUE"""),"nura02ws")</f>
        <v>nura02ws</v>
      </c>
      <c r="N950" s="763" t="str">
        <f>IFERROR(__xludf.DUMMYFUNCTION("""COMPUTED_VALUE"""),"67904-1770968887")</f>
        <v>67904-1770968887</v>
      </c>
      <c r="O950" s="763">
        <f>IFERROR(__xludf.DUMMYFUNCTION("""COMPUTED_VALUE"""),0.0)</f>
        <v>0</v>
      </c>
      <c r="P950" s="767">
        <f>IFERROR(__xludf.DUMMYFUNCTION("""COMPUTED_VALUE"""),0.8333333333333334)</f>
        <v>0.8333333333</v>
      </c>
      <c r="Q950" s="763" t="str">
        <f>IFERROR(__xludf.DUMMYFUNCTION("""COMPUTED_VALUE"""),"EUR")</f>
        <v>EUR</v>
      </c>
      <c r="R950" s="763">
        <f>IFERROR(__xludf.DUMMYFUNCTION("""COMPUTED_VALUE"""),1685.0)</f>
        <v>1685</v>
      </c>
      <c r="S950" s="763" t="str">
        <f>IFERROR(__xludf.DUMMYFUNCTION("""COMPUTED_VALUE"""),"Open class Heels con Anahita 2026 - Open class Heels con Anahita 2026")</f>
        <v>Open class Heels con Anahita 2026 - Open class Heels con Anahita 2026</v>
      </c>
      <c r="T950" s="763"/>
      <c r="U950" s="763"/>
      <c r="V950" s="763">
        <f>IFERROR(__xludf.DUMMYFUNCTION("""COMPUTED_VALUE"""),1.0)</f>
        <v>1</v>
      </c>
      <c r="W950" s="763">
        <f>IFERROR(__xludf.DUMMYFUNCTION("""COMPUTED_VALUE"""),20.0)</f>
        <v>20</v>
      </c>
      <c r="X950" s="763">
        <f>IFERROR(__xludf.DUMMYFUNCTION("""COMPUTED_VALUE"""),20.0)</f>
        <v>20</v>
      </c>
      <c r="Y950" s="763"/>
      <c r="Z950" s="768" t="str">
        <f>IFERROR(__xludf.DUMMYFUNCTION("""COMPUTED_VALUE"""),"https://studio-gem.it/wp-admin/post.php?post=67904&amp;action=edit")</f>
        <v>https://studio-gem.it/wp-admin/post.php?post=67904&amp;action=edit</v>
      </c>
      <c r="AA950" s="763"/>
      <c r="AB950" s="763"/>
      <c r="AC950" s="763"/>
      <c r="AD950" s="763"/>
      <c r="AE950" s="763"/>
      <c r="AF950" s="763"/>
      <c r="AG950" s="763"/>
      <c r="AH950" s="763"/>
      <c r="AI950" s="763"/>
      <c r="AJ950" s="763"/>
      <c r="AK950" s="763"/>
      <c r="AL950" s="763"/>
      <c r="AM950" s="763"/>
      <c r="AN950" s="763"/>
      <c r="AO950" s="763"/>
      <c r="AP950" s="763"/>
      <c r="AQ950" s="763"/>
      <c r="AR950" s="763"/>
      <c r="AS950" s="763"/>
      <c r="AT950" s="763"/>
      <c r="AU950" s="763"/>
      <c r="AV950" s="763"/>
      <c r="AW950" s="763"/>
      <c r="AX950" s="763"/>
      <c r="AY950" s="763"/>
      <c r="AZ950" s="763"/>
      <c r="BA950" s="763"/>
      <c r="BB950" s="763"/>
      <c r="BC950" s="763"/>
      <c r="BD950" s="763"/>
      <c r="BE950" s="763"/>
      <c r="BF950" s="763"/>
      <c r="BG950" s="763" t="b">
        <f>IFERROR(__xludf.DUMMYFUNCTION("""COMPUTED_VALUE"""),TRUE)</f>
        <v>1</v>
      </c>
      <c r="BH950" s="763" t="b">
        <f>IFERROR(__xludf.DUMMYFUNCTION("""COMPUTED_VALUE"""),FALSE)</f>
        <v>0</v>
      </c>
      <c r="BI950" s="763" t="b">
        <f>IFERROR(__xludf.DUMMYFUNCTION("""COMPUTED_VALUE"""),TRUE)</f>
        <v>1</v>
      </c>
      <c r="BJ950" s="763" t="b">
        <f>IFERROR(__xludf.DUMMYFUNCTION("""COMPUTED_VALUE"""),TRUE)</f>
        <v>1</v>
      </c>
    </row>
    <row r="951">
      <c r="A951" s="763">
        <f>IFERROR(__xludf.DUMMYFUNCTION("""COMPUTED_VALUE"""),67907.0)</f>
        <v>67907</v>
      </c>
      <c r="B951" s="763">
        <f>IFERROR(__xludf.DUMMYFUNCTION("""COMPUTED_VALUE"""),67907.0)</f>
        <v>67907</v>
      </c>
      <c r="C951" s="763" t="str">
        <f>IFERROR(__xludf.DUMMYFUNCTION("""COMPUTED_VALUE"""),"2026-02-13 10:20:14")</f>
        <v>2026-02-13 10:20:14</v>
      </c>
      <c r="D951" s="763" t="str">
        <f>IFERROR(__xludf.DUMMYFUNCTION("""COMPUTED_VALUE"""),"completed")</f>
        <v>completed</v>
      </c>
      <c r="E951" s="763" t="str">
        <f>IFERROR(__xludf.DUMMYFUNCTION("""COMPUTED_VALUE"""),"Loredana")</f>
        <v>Loredana</v>
      </c>
      <c r="F951" s="763" t="str">
        <f>IFERROR(__xludf.DUMMYFUNCTION("""COMPUTED_VALUE"""),"Ancona")</f>
        <v>Ancona</v>
      </c>
      <c r="G951" s="763" t="str">
        <f>IFERROR(__xludf.DUMMYFUNCTION("""COMPUTED_VALUE"""),"nordana_x@yahoo.it")</f>
        <v>nordana_x@yahoo.it</v>
      </c>
      <c r="H951" s="763">
        <f>IFERROR(__xludf.DUMMYFUNCTION("""COMPUTED_VALUE"""),3.477818879E9)</f>
        <v>3477818879</v>
      </c>
      <c r="I951" s="763" t="str">
        <f>IFERROR(__xludf.DUMMYFUNCTION("""COMPUTED_VALUE"""),"Milano")</f>
        <v>Milano</v>
      </c>
      <c r="J951" s="763" t="str">
        <f>IFERROR(__xludf.DUMMYFUNCTION("""COMPUTED_VALUE"""),"Via Emilio Visconti Venosta 3")</f>
        <v>Via Emilio Visconti Venosta 3</v>
      </c>
      <c r="K951" s="763">
        <f>IFERROR(__xludf.DUMMYFUNCTION("""COMPUTED_VALUE"""),20122.0)</f>
        <v>20122</v>
      </c>
      <c r="L951" s="763"/>
      <c r="M951" s="763"/>
      <c r="N951" s="763"/>
      <c r="O951" s="763">
        <f>IFERROR(__xludf.DUMMYFUNCTION("""COMPUTED_VALUE"""),0.0)</f>
        <v>0</v>
      </c>
      <c r="P951" s="767">
        <f>IFERROR(__xludf.DUMMYFUNCTION("""COMPUTED_VALUE"""),0.0)</f>
        <v>0</v>
      </c>
      <c r="Q951" s="763" t="str">
        <f>IFERROR(__xludf.DUMMYFUNCTION("""COMPUTED_VALUE"""),"EUR")</f>
        <v>EUR</v>
      </c>
      <c r="R951" s="763">
        <f>IFERROR(__xludf.DUMMYFUNCTION("""COMPUTED_VALUE"""),1687.0)</f>
        <v>1687</v>
      </c>
      <c r="S951" s="763" t="str">
        <f>IFERROR(__xludf.DUMMYFUNCTION("""COMPUTED_VALUE"""),"Domeniche in movimento - Gratuito per open fitness e open mattino 2 lezioni dalle 10 alle 11.50")</f>
        <v>Domeniche in movimento - Gratuito per open fitness e open mattino 2 lezioni dalle 10 alle 11.50</v>
      </c>
      <c r="T951" s="763"/>
      <c r="U951" s="763"/>
      <c r="V951" s="763">
        <f>IFERROR(__xludf.DUMMYFUNCTION("""COMPUTED_VALUE"""),1.0)</f>
        <v>1</v>
      </c>
      <c r="W951" s="763">
        <f>IFERROR(__xludf.DUMMYFUNCTION("""COMPUTED_VALUE"""),0.0)</f>
        <v>0</v>
      </c>
      <c r="X951" s="763">
        <f>IFERROR(__xludf.DUMMYFUNCTION("""COMPUTED_VALUE"""),0.0)</f>
        <v>0</v>
      </c>
      <c r="Y951" s="763"/>
      <c r="Z951" s="768" t="str">
        <f>IFERROR(__xludf.DUMMYFUNCTION("""COMPUTED_VALUE"""),"https://studio-gem.it/wp-admin/post.php?post=67907&amp;action=edit")</f>
        <v>https://studio-gem.it/wp-admin/post.php?post=67907&amp;action=edit</v>
      </c>
      <c r="AA951" s="763"/>
      <c r="AB951" s="763"/>
      <c r="AC951" s="763"/>
      <c r="AD951" s="763"/>
      <c r="AE951" s="763"/>
      <c r="AF951" s="763"/>
      <c r="AG951" s="763"/>
      <c r="AH951" s="763"/>
      <c r="AI951" s="763"/>
      <c r="AJ951" s="763"/>
      <c r="AK951" s="763"/>
      <c r="AL951" s="763"/>
      <c r="AM951" s="763"/>
      <c r="AN951" s="763"/>
      <c r="AO951" s="763"/>
      <c r="AP951" s="763"/>
      <c r="AQ951" s="763"/>
      <c r="AR951" s="763"/>
      <c r="AS951" s="763"/>
      <c r="AT951" s="763"/>
      <c r="AU951" s="763"/>
      <c r="AV951" s="763"/>
      <c r="AW951" s="763"/>
      <c r="AX951" s="763"/>
      <c r="AY951" s="763"/>
      <c r="AZ951" s="763"/>
      <c r="BA951" s="763"/>
      <c r="BB951" s="763"/>
      <c r="BC951" s="763"/>
      <c r="BD951" s="763"/>
      <c r="BE951" s="763"/>
      <c r="BF951" s="763"/>
      <c r="BG951" s="763" t="b">
        <f>IFERROR(__xludf.DUMMYFUNCTION("""COMPUTED_VALUE"""),TRUE)</f>
        <v>1</v>
      </c>
      <c r="BH951" s="763" t="b">
        <f>IFERROR(__xludf.DUMMYFUNCTION("""COMPUTED_VALUE"""),FALSE)</f>
        <v>0</v>
      </c>
      <c r="BI951" s="763" t="b">
        <f>IFERROR(__xludf.DUMMYFUNCTION("""COMPUTED_VALUE"""),TRUE)</f>
        <v>1</v>
      </c>
      <c r="BJ951" s="763" t="b">
        <f>IFERROR(__xludf.DUMMYFUNCTION("""COMPUTED_VALUE"""),FALSE)</f>
        <v>0</v>
      </c>
    </row>
    <row r="952">
      <c r="A952" s="763">
        <f>IFERROR(__xludf.DUMMYFUNCTION("""COMPUTED_VALUE"""),67909.0)</f>
        <v>67909</v>
      </c>
      <c r="B952" s="763">
        <f>IFERROR(__xludf.DUMMYFUNCTION("""COMPUTED_VALUE"""),67909.0)</f>
        <v>67909</v>
      </c>
      <c r="C952" s="763" t="str">
        <f>IFERROR(__xludf.DUMMYFUNCTION("""COMPUTED_VALUE"""),"2026-02-13 21:15:24")</f>
        <v>2026-02-13 21:15:24</v>
      </c>
      <c r="D952" s="763" t="str">
        <f>IFERROR(__xludf.DUMMYFUNCTION("""COMPUTED_VALUE"""),"completed")</f>
        <v>completed</v>
      </c>
      <c r="E952" s="763" t="str">
        <f>IFERROR(__xludf.DUMMYFUNCTION("""COMPUTED_VALUE"""),"Carmen")</f>
        <v>Carmen</v>
      </c>
      <c r="F952" s="763" t="str">
        <f>IFERROR(__xludf.DUMMYFUNCTION("""COMPUTED_VALUE"""),"Campana")</f>
        <v>Campana</v>
      </c>
      <c r="G952" s="763" t="str">
        <f>IFERROR(__xludf.DUMMYFUNCTION("""COMPUTED_VALUE"""),"psicologa.carmencampana@gmail.com")</f>
        <v>psicologa.carmencampana@gmail.com</v>
      </c>
      <c r="H952" s="763">
        <f>IFERROR(__xludf.DUMMYFUNCTION("""COMPUTED_VALUE"""),3.466219763E9)</f>
        <v>3466219763</v>
      </c>
      <c r="I952" s="763" t="str">
        <f>IFERROR(__xludf.DUMMYFUNCTION("""COMPUTED_VALUE"""),"Milano")</f>
        <v>Milano</v>
      </c>
      <c r="J952" s="763" t="str">
        <f>IFERROR(__xludf.DUMMYFUNCTION("""COMPUTED_VALUE"""),"Viale Brenta 37")</f>
        <v>Viale Brenta 37</v>
      </c>
      <c r="K952" s="763">
        <f>IFERROR(__xludf.DUMMYFUNCTION("""COMPUTED_VALUE"""),20139.0)</f>
        <v>20139</v>
      </c>
      <c r="L952" s="763" t="str">
        <f>IFERROR(__xludf.DUMMYFUNCTION("""COMPUTED_VALUE"""),"Apple Pay")</f>
        <v>Apple Pay</v>
      </c>
      <c r="M952" s="763" t="str">
        <f>IFERROR(__xludf.DUMMYFUNCTION("""COMPUTED_VALUE"""),"nura02ws")</f>
        <v>nura02ws</v>
      </c>
      <c r="N952" s="763" t="str">
        <f>IFERROR(__xludf.DUMMYFUNCTION("""COMPUTED_VALUE"""),"67909-1771017326")</f>
        <v>67909-1771017326</v>
      </c>
      <c r="O952" s="763">
        <f>IFERROR(__xludf.DUMMYFUNCTION("""COMPUTED_VALUE"""),0.0)</f>
        <v>0</v>
      </c>
      <c r="P952" s="767">
        <f>IFERROR(__xludf.DUMMYFUNCTION("""COMPUTED_VALUE"""),0.8333333333333334)</f>
        <v>0.8333333333</v>
      </c>
      <c r="Q952" s="763" t="str">
        <f>IFERROR(__xludf.DUMMYFUNCTION("""COMPUTED_VALUE"""),"EUR")</f>
        <v>EUR</v>
      </c>
      <c r="R952" s="763">
        <f>IFERROR(__xludf.DUMMYFUNCTION("""COMPUTED_VALUE"""),1688.0)</f>
        <v>1688</v>
      </c>
      <c r="S952" s="763" t="str">
        <f>IFERROR(__xludf.DUMMYFUNCTION("""COMPUTED_VALUE"""),"Open class Heels con Anahita 2026 - Open class Heels con Anahita 2026")</f>
        <v>Open class Heels con Anahita 2026 - Open class Heels con Anahita 2026</v>
      </c>
      <c r="T952" s="763"/>
      <c r="U952" s="763"/>
      <c r="V952" s="763">
        <f>IFERROR(__xludf.DUMMYFUNCTION("""COMPUTED_VALUE"""),1.0)</f>
        <v>1</v>
      </c>
      <c r="W952" s="763">
        <f>IFERROR(__xludf.DUMMYFUNCTION("""COMPUTED_VALUE"""),20.0)</f>
        <v>20</v>
      </c>
      <c r="X952" s="763">
        <f>IFERROR(__xludf.DUMMYFUNCTION("""COMPUTED_VALUE"""),20.0)</f>
        <v>20</v>
      </c>
      <c r="Y952" s="763"/>
      <c r="Z952" s="768" t="str">
        <f>IFERROR(__xludf.DUMMYFUNCTION("""COMPUTED_VALUE"""),"https://studio-gem.it/wp-admin/post.php?post=67909&amp;action=edit")</f>
        <v>https://studio-gem.it/wp-admin/post.php?post=67909&amp;action=edit</v>
      </c>
      <c r="AA952" s="763"/>
      <c r="AB952" s="763"/>
      <c r="AC952" s="763"/>
      <c r="AD952" s="763"/>
      <c r="AE952" s="763"/>
      <c r="AF952" s="763"/>
      <c r="AG952" s="763"/>
      <c r="AH952" s="763"/>
      <c r="AI952" s="763"/>
      <c r="AJ952" s="763"/>
      <c r="AK952" s="763"/>
      <c r="AL952" s="763"/>
      <c r="AM952" s="763"/>
      <c r="AN952" s="763"/>
      <c r="AO952" s="763"/>
      <c r="AP952" s="763"/>
      <c r="AQ952" s="763"/>
      <c r="AR952" s="763"/>
      <c r="AS952" s="763"/>
      <c r="AT952" s="763"/>
      <c r="AU952" s="763"/>
      <c r="AV952" s="763"/>
      <c r="AW952" s="763"/>
      <c r="AX952" s="763"/>
      <c r="AY952" s="763"/>
      <c r="AZ952" s="763"/>
      <c r="BA952" s="763"/>
      <c r="BB952" s="763"/>
      <c r="BC952" s="763"/>
      <c r="BD952" s="763"/>
      <c r="BE952" s="763"/>
      <c r="BF952" s="763"/>
      <c r="BG952" s="763" t="b">
        <f>IFERROR(__xludf.DUMMYFUNCTION("""COMPUTED_VALUE"""),TRUE)</f>
        <v>1</v>
      </c>
      <c r="BH952" s="763" t="b">
        <f>IFERROR(__xludf.DUMMYFUNCTION("""COMPUTED_VALUE"""),FALSE)</f>
        <v>0</v>
      </c>
      <c r="BI952" s="763" t="b">
        <f>IFERROR(__xludf.DUMMYFUNCTION("""COMPUTED_VALUE"""),TRUE)</f>
        <v>1</v>
      </c>
      <c r="BJ952" s="763" t="b">
        <f>IFERROR(__xludf.DUMMYFUNCTION("""COMPUTED_VALUE"""),TRUE)</f>
        <v>1</v>
      </c>
    </row>
    <row r="953">
      <c r="A953" s="763">
        <f>IFERROR(__xludf.DUMMYFUNCTION("""COMPUTED_VALUE"""),67911.0)</f>
        <v>67911</v>
      </c>
      <c r="B953" s="763">
        <f>IFERROR(__xludf.DUMMYFUNCTION("""COMPUTED_VALUE"""),67911.0)</f>
        <v>67911</v>
      </c>
      <c r="C953" s="763" t="str">
        <f>IFERROR(__xludf.DUMMYFUNCTION("""COMPUTED_VALUE"""),"2026-02-14 07:08:38")</f>
        <v>2026-02-14 07:08:38</v>
      </c>
      <c r="D953" s="763" t="str">
        <f>IFERROR(__xludf.DUMMYFUNCTION("""COMPUTED_VALUE"""),"cancelled")</f>
        <v>cancelled</v>
      </c>
      <c r="E953" s="763" t="str">
        <f>IFERROR(__xludf.DUMMYFUNCTION("""COMPUTED_VALUE"""),"Linda")</f>
        <v>Linda</v>
      </c>
      <c r="F953" s="763" t="str">
        <f>IFERROR(__xludf.DUMMYFUNCTION("""COMPUTED_VALUE"""),"Micheli")</f>
        <v>Micheli</v>
      </c>
      <c r="G953" s="763" t="str">
        <f>IFERROR(__xludf.DUMMYFUNCTION("""COMPUTED_VALUE"""),"lmicheli638@gmail.com")</f>
        <v>lmicheli638@gmail.com</v>
      </c>
      <c r="H953" s="763">
        <f>IFERROR(__xludf.DUMMYFUNCTION("""COMPUTED_VALUE"""),3.317286206E9)</f>
        <v>3317286206</v>
      </c>
      <c r="I953" s="763" t="str">
        <f>IFERROR(__xludf.DUMMYFUNCTION("""COMPUTED_VALUE"""),"Cavacurta")</f>
        <v>Cavacurta</v>
      </c>
      <c r="J953" s="763" t="str">
        <f>IFERROR(__xludf.DUMMYFUNCTION("""COMPUTED_VALUE"""),"Via Don Giuseppe Sfondrini 3")</f>
        <v>Via Don Giuseppe Sfondrini 3</v>
      </c>
      <c r="K953" s="763">
        <f>IFERROR(__xludf.DUMMYFUNCTION("""COMPUTED_VALUE"""),26844.0)</f>
        <v>26844</v>
      </c>
      <c r="L953" s="763" t="str">
        <f>IFERROR(__xludf.DUMMYFUNCTION("""COMPUTED_VALUE"""),"Apple Pay")</f>
        <v>Apple Pay</v>
      </c>
      <c r="M953" s="763"/>
      <c r="N953" s="763"/>
      <c r="O953" s="763">
        <f>IFERROR(__xludf.DUMMYFUNCTION("""COMPUTED_VALUE"""),0.0)</f>
        <v>0</v>
      </c>
      <c r="P953" s="767">
        <f>IFERROR(__xludf.DUMMYFUNCTION("""COMPUTED_VALUE"""),0.9166666666666666)</f>
        <v>0.9166666667</v>
      </c>
      <c r="Q953" s="763" t="str">
        <f>IFERROR(__xludf.DUMMYFUNCTION("""COMPUTED_VALUE"""),"EUR")</f>
        <v>EUR</v>
      </c>
      <c r="R953" s="763">
        <f>IFERROR(__xludf.DUMMYFUNCTION("""COMPUTED_VALUE"""),1690.0)</f>
        <v>1690</v>
      </c>
      <c r="S953" s="763" t="str">
        <f>IFERROR(__xludf.DUMMYFUNCTION("""COMPUTED_VALUE"""),"Open class Heels con Anahita 2026 - Open class Heels con Anahita 2026")</f>
        <v>Open class Heels con Anahita 2026 - Open class Heels con Anahita 2026</v>
      </c>
      <c r="T953" s="763"/>
      <c r="U953" s="763"/>
      <c r="V953" s="763">
        <f>IFERROR(__xludf.DUMMYFUNCTION("""COMPUTED_VALUE"""),1.0)</f>
        <v>1</v>
      </c>
      <c r="W953" s="763">
        <f>IFERROR(__xludf.DUMMYFUNCTION("""COMPUTED_VALUE"""),22.0)</f>
        <v>22</v>
      </c>
      <c r="X953" s="763">
        <f>IFERROR(__xludf.DUMMYFUNCTION("""COMPUTED_VALUE"""),22.0)</f>
        <v>22</v>
      </c>
      <c r="Y953" s="763"/>
      <c r="Z953" s="768" t="str">
        <f>IFERROR(__xludf.DUMMYFUNCTION("""COMPUTED_VALUE"""),"https://studio-gem.it/wp-admin/post.php?post=67911&amp;action=edit")</f>
        <v>https://studio-gem.it/wp-admin/post.php?post=67911&amp;action=edit</v>
      </c>
      <c r="AA953" s="763"/>
      <c r="AB953" s="763"/>
      <c r="AC953" s="763"/>
      <c r="AD953" s="763"/>
      <c r="AE953" s="763"/>
      <c r="AF953" s="763"/>
      <c r="AG953" s="763"/>
      <c r="AH953" s="763"/>
      <c r="AI953" s="763"/>
      <c r="AJ953" s="763"/>
      <c r="AK953" s="763"/>
      <c r="AL953" s="763"/>
      <c r="AM953" s="763"/>
      <c r="AN953" s="763"/>
      <c r="AO953" s="763"/>
      <c r="AP953" s="763"/>
      <c r="AQ953" s="763"/>
      <c r="AR953" s="763"/>
      <c r="AS953" s="763"/>
      <c r="AT953" s="763"/>
      <c r="AU953" s="763"/>
      <c r="AV953" s="763"/>
      <c r="AW953" s="763"/>
      <c r="AX953" s="763"/>
      <c r="AY953" s="763"/>
      <c r="AZ953" s="763"/>
      <c r="BA953" s="763"/>
      <c r="BB953" s="763"/>
      <c r="BC953" s="763"/>
      <c r="BD953" s="763"/>
      <c r="BE953" s="763"/>
      <c r="BF953" s="763"/>
      <c r="BG953" s="763" t="b">
        <f>IFERROR(__xludf.DUMMYFUNCTION("""COMPUTED_VALUE"""),FALSE)</f>
        <v>0</v>
      </c>
      <c r="BH953" s="763" t="b">
        <f>IFERROR(__xludf.DUMMYFUNCTION("""COMPUTED_VALUE"""),FALSE)</f>
        <v>0</v>
      </c>
      <c r="BI953" s="763" t="b">
        <f>IFERROR(__xludf.DUMMYFUNCTION("""COMPUTED_VALUE"""),FALSE)</f>
        <v>0</v>
      </c>
      <c r="BJ953" s="763" t="b">
        <f>IFERROR(__xludf.DUMMYFUNCTION("""COMPUTED_VALUE"""),FALSE)</f>
        <v>0</v>
      </c>
    </row>
    <row r="954">
      <c r="A954" s="763">
        <f>IFERROR(__xludf.DUMMYFUNCTION("""COMPUTED_VALUE"""),67912.0)</f>
        <v>67912</v>
      </c>
      <c r="B954" s="763">
        <f>IFERROR(__xludf.DUMMYFUNCTION("""COMPUTED_VALUE"""),67912.0)</f>
        <v>67912</v>
      </c>
      <c r="C954" s="763" t="str">
        <f>IFERROR(__xludf.DUMMYFUNCTION("""COMPUTED_VALUE"""),"2026-02-14 07:09:35")</f>
        <v>2026-02-14 07:09:35</v>
      </c>
      <c r="D954" s="763" t="str">
        <f>IFERROR(__xludf.DUMMYFUNCTION("""COMPUTED_VALUE"""),"completed")</f>
        <v>completed</v>
      </c>
      <c r="E954" s="763" t="str">
        <f>IFERROR(__xludf.DUMMYFUNCTION("""COMPUTED_VALUE"""),"Linda")</f>
        <v>Linda</v>
      </c>
      <c r="F954" s="763" t="str">
        <f>IFERROR(__xludf.DUMMYFUNCTION("""COMPUTED_VALUE"""),"Micheli")</f>
        <v>Micheli</v>
      </c>
      <c r="G954" s="763" t="str">
        <f>IFERROR(__xludf.DUMMYFUNCTION("""COMPUTED_VALUE"""),"lmicheli638@gmail.com")</f>
        <v>lmicheli638@gmail.com</v>
      </c>
      <c r="H954" s="763">
        <f>IFERROR(__xludf.DUMMYFUNCTION("""COMPUTED_VALUE"""),3.317286206E9)</f>
        <v>3317286206</v>
      </c>
      <c r="I954" s="763" t="str">
        <f>IFERROR(__xludf.DUMMYFUNCTION("""COMPUTED_VALUE"""),"Cavacurta")</f>
        <v>Cavacurta</v>
      </c>
      <c r="J954" s="763" t="str">
        <f>IFERROR(__xludf.DUMMYFUNCTION("""COMPUTED_VALUE"""),"Via Don Giuseppe Sfondrini 3")</f>
        <v>Via Don Giuseppe Sfondrini 3</v>
      </c>
      <c r="K954" s="763">
        <f>IFERROR(__xludf.DUMMYFUNCTION("""COMPUTED_VALUE"""),26844.0)</f>
        <v>26844</v>
      </c>
      <c r="L954" s="763" t="str">
        <f>IFERROR(__xludf.DUMMYFUNCTION("""COMPUTED_VALUE"""),"Apple Pay")</f>
        <v>Apple Pay</v>
      </c>
      <c r="M954" s="763"/>
      <c r="N954" s="763" t="str">
        <f>IFERROR(__xludf.DUMMYFUNCTION("""COMPUTED_VALUE"""),"67912-1771052976")</f>
        <v>67912-1771052976</v>
      </c>
      <c r="O954" s="763">
        <f>IFERROR(__xludf.DUMMYFUNCTION("""COMPUTED_VALUE"""),0.0)</f>
        <v>0</v>
      </c>
      <c r="P954" s="767">
        <f>IFERROR(__xludf.DUMMYFUNCTION("""COMPUTED_VALUE"""),0.9166666666666666)</f>
        <v>0.9166666667</v>
      </c>
      <c r="Q954" s="763" t="str">
        <f>IFERROR(__xludf.DUMMYFUNCTION("""COMPUTED_VALUE"""),"EUR")</f>
        <v>EUR</v>
      </c>
      <c r="R954" s="763">
        <f>IFERROR(__xludf.DUMMYFUNCTION("""COMPUTED_VALUE"""),1691.0)</f>
        <v>1691</v>
      </c>
      <c r="S954" s="763" t="str">
        <f>IFERROR(__xludf.DUMMYFUNCTION("""COMPUTED_VALUE"""),"Open class Heels con Anahita 2026 - Open class Heels con Anahita 2026")</f>
        <v>Open class Heels con Anahita 2026 - Open class Heels con Anahita 2026</v>
      </c>
      <c r="T954" s="763"/>
      <c r="U954" s="763"/>
      <c r="V954" s="763">
        <f>IFERROR(__xludf.DUMMYFUNCTION("""COMPUTED_VALUE"""),1.0)</f>
        <v>1</v>
      </c>
      <c r="W954" s="763">
        <f>IFERROR(__xludf.DUMMYFUNCTION("""COMPUTED_VALUE"""),22.0)</f>
        <v>22</v>
      </c>
      <c r="X954" s="763">
        <f>IFERROR(__xludf.DUMMYFUNCTION("""COMPUTED_VALUE"""),22.0)</f>
        <v>22</v>
      </c>
      <c r="Y954" s="763"/>
      <c r="Z954" s="768" t="str">
        <f>IFERROR(__xludf.DUMMYFUNCTION("""COMPUTED_VALUE"""),"https://studio-gem.it/wp-admin/post.php?post=67912&amp;action=edit")</f>
        <v>https://studio-gem.it/wp-admin/post.php?post=67912&amp;action=edit</v>
      </c>
      <c r="AA954" s="763"/>
      <c r="AB954" s="763"/>
      <c r="AC954" s="763"/>
      <c r="AD954" s="763"/>
      <c r="AE954" s="763"/>
      <c r="AF954" s="763"/>
      <c r="AG954" s="763"/>
      <c r="AH954" s="763"/>
      <c r="AI954" s="763"/>
      <c r="AJ954" s="763"/>
      <c r="AK954" s="763"/>
      <c r="AL954" s="763"/>
      <c r="AM954" s="763"/>
      <c r="AN954" s="763"/>
      <c r="AO954" s="763"/>
      <c r="AP954" s="763"/>
      <c r="AQ954" s="763"/>
      <c r="AR954" s="763"/>
      <c r="AS954" s="763"/>
      <c r="AT954" s="763"/>
      <c r="AU954" s="763"/>
      <c r="AV954" s="763"/>
      <c r="AW954" s="763"/>
      <c r="AX954" s="763"/>
      <c r="AY954" s="763"/>
      <c r="AZ954" s="763"/>
      <c r="BA954" s="763"/>
      <c r="BB954" s="763"/>
      <c r="BC954" s="763"/>
      <c r="BD954" s="763"/>
      <c r="BE954" s="763"/>
      <c r="BF954" s="763"/>
      <c r="BG954" s="763" t="b">
        <f>IFERROR(__xludf.DUMMYFUNCTION("""COMPUTED_VALUE"""),TRUE)</f>
        <v>1</v>
      </c>
      <c r="BH954" s="763" t="b">
        <f>IFERROR(__xludf.DUMMYFUNCTION("""COMPUTED_VALUE"""),FALSE)</f>
        <v>0</v>
      </c>
      <c r="BI954" s="763" t="b">
        <f>IFERROR(__xludf.DUMMYFUNCTION("""COMPUTED_VALUE"""),TRUE)</f>
        <v>1</v>
      </c>
      <c r="BJ954" s="763" t="b">
        <f>IFERROR(__xludf.DUMMYFUNCTION("""COMPUTED_VALUE"""),TRUE)</f>
        <v>1</v>
      </c>
    </row>
    <row r="955">
      <c r="A955" s="763">
        <f>IFERROR(__xludf.DUMMYFUNCTION("""COMPUTED_VALUE"""),67914.0)</f>
        <v>67914</v>
      </c>
      <c r="B955" s="763">
        <f>IFERROR(__xludf.DUMMYFUNCTION("""COMPUTED_VALUE"""),67914.0)</f>
        <v>67914</v>
      </c>
      <c r="C955" s="763" t="str">
        <f>IFERROR(__xludf.DUMMYFUNCTION("""COMPUTED_VALUE"""),"2026-02-14 10:09:34")</f>
        <v>2026-02-14 10:09:34</v>
      </c>
      <c r="D955" s="763" t="str">
        <f>IFERROR(__xludf.DUMMYFUNCTION("""COMPUTED_VALUE"""),"pending")</f>
        <v>pending</v>
      </c>
      <c r="E955" s="763" t="str">
        <f>IFERROR(__xludf.DUMMYFUNCTION("""COMPUTED_VALUE"""),"DANIELA Antonella")</f>
        <v>DANIELA Antonella</v>
      </c>
      <c r="F955" s="763" t="str">
        <f>IFERROR(__xludf.DUMMYFUNCTION("""COMPUTED_VALUE"""),"Carriero")</f>
        <v>Carriero</v>
      </c>
      <c r="G955" s="763" t="str">
        <f>IFERROR(__xludf.DUMMYFUNCTION("""COMPUTED_VALUE"""),"Danielacarriero@yahoo.it")</f>
        <v>Danielacarriero@yahoo.it</v>
      </c>
      <c r="H955" s="763">
        <f>IFERROR(__xludf.DUMMYFUNCTION("""COMPUTED_VALUE"""),3.346013249E9)</f>
        <v>3346013249</v>
      </c>
      <c r="I955" s="763" t="str">
        <f>IFERROR(__xludf.DUMMYFUNCTION("""COMPUTED_VALUE"""),"Milano")</f>
        <v>Milano</v>
      </c>
      <c r="J955" s="763" t="str">
        <f>IFERROR(__xludf.DUMMYFUNCTION("""COMPUTED_VALUE"""),"Corso lodi 47")</f>
        <v>Corso lodi 47</v>
      </c>
      <c r="K955" s="763">
        <f>IFERROR(__xludf.DUMMYFUNCTION("""COMPUTED_VALUE"""),20139.0)</f>
        <v>20139</v>
      </c>
      <c r="L955" s="763" t="str">
        <f>IFERROR(__xludf.DUMMYFUNCTION("""COMPUTED_VALUE"""),"Carte di pagamento")</f>
        <v>Carte di pagamento</v>
      </c>
      <c r="M955" s="763"/>
      <c r="N955" s="763"/>
      <c r="O955" s="763">
        <f>IFERROR(__xludf.DUMMYFUNCTION("""COMPUTED_VALUE"""),0.0)</f>
        <v>0</v>
      </c>
      <c r="P955" s="767">
        <f>IFERROR(__xludf.DUMMYFUNCTION("""COMPUTED_VALUE"""),1.3333333333333333)</f>
        <v>1.333333333</v>
      </c>
      <c r="Q955" s="763" t="str">
        <f>IFERROR(__xludf.DUMMYFUNCTION("""COMPUTED_VALUE"""),"EUR")</f>
        <v>EUR</v>
      </c>
      <c r="R955" s="763">
        <f>IFERROR(__xludf.DUMMYFUNCTION("""COMPUTED_VALUE"""),1692.0)</f>
        <v>1692</v>
      </c>
      <c r="S955" s="763" t="str">
        <f>IFERROR(__xludf.DUMMYFUNCTION("""COMPUTED_VALUE"""),"Un dia en Cuba 2026 - Un dia en Cuba 2026")</f>
        <v>Un dia en Cuba 2026 - Un dia en Cuba 2026</v>
      </c>
      <c r="T955" s="763"/>
      <c r="U955" s="763"/>
      <c r="V955" s="763">
        <f>IFERROR(__xludf.DUMMYFUNCTION("""COMPUTED_VALUE"""),1.0)</f>
        <v>1</v>
      </c>
      <c r="W955" s="763">
        <f>IFERROR(__xludf.DUMMYFUNCTION("""COMPUTED_VALUE"""),32.0)</f>
        <v>32</v>
      </c>
      <c r="X955" s="763">
        <f>IFERROR(__xludf.DUMMYFUNCTION("""COMPUTED_VALUE"""),32.0)</f>
        <v>32</v>
      </c>
      <c r="Y955" s="763"/>
      <c r="Z955" s="768" t="str">
        <f>IFERROR(__xludf.DUMMYFUNCTION("""COMPUTED_VALUE"""),"https://studio-gem.it/wp-admin/post.php?post=67914&amp;action=edit")</f>
        <v>https://studio-gem.it/wp-admin/post.php?post=67914&amp;action=edit</v>
      </c>
      <c r="AA955" s="763"/>
      <c r="AB955" s="763"/>
      <c r="AC955" s="763"/>
      <c r="AD955" s="763"/>
      <c r="AE955" s="763"/>
      <c r="AF955" s="763"/>
      <c r="AG955" s="763"/>
      <c r="AH955" s="763"/>
      <c r="AI955" s="763"/>
      <c r="AJ955" s="763"/>
      <c r="AK955" s="763"/>
      <c r="AL955" s="763"/>
      <c r="AM955" s="763"/>
      <c r="AN955" s="763"/>
      <c r="AO955" s="763"/>
      <c r="AP955" s="763"/>
      <c r="AQ955" s="763"/>
      <c r="AR955" s="763"/>
      <c r="AS955" s="763"/>
      <c r="AT955" s="763"/>
      <c r="AU955" s="763"/>
      <c r="AV955" s="763"/>
      <c r="AW955" s="763"/>
      <c r="AX955" s="763"/>
      <c r="AY955" s="763"/>
      <c r="AZ955" s="763"/>
      <c r="BA955" s="763"/>
      <c r="BB955" s="763"/>
      <c r="BC955" s="763"/>
      <c r="BD955" s="763"/>
      <c r="BE955" s="763"/>
      <c r="BF955" s="763"/>
      <c r="BG955" s="763" t="b">
        <f>IFERROR(__xludf.DUMMYFUNCTION("""COMPUTED_VALUE"""),TRUE)</f>
        <v>1</v>
      </c>
      <c r="BH955" s="763" t="b">
        <f>IFERROR(__xludf.DUMMYFUNCTION("""COMPUTED_VALUE"""),FALSE)</f>
        <v>0</v>
      </c>
      <c r="BI955" s="763" t="b">
        <f>IFERROR(__xludf.DUMMYFUNCTION("""COMPUTED_VALUE"""),TRUE)</f>
        <v>1</v>
      </c>
      <c r="BJ955" s="763" t="b">
        <f>IFERROR(__xludf.DUMMYFUNCTION("""COMPUTED_VALUE"""),TRUE)</f>
        <v>1</v>
      </c>
    </row>
    <row r="956">
      <c r="A956" s="763">
        <f>IFERROR(__xludf.DUMMYFUNCTION("""COMPUTED_VALUE"""),67915.0)</f>
        <v>67915</v>
      </c>
      <c r="B956" s="763">
        <f>IFERROR(__xludf.DUMMYFUNCTION("""COMPUTED_VALUE"""),67915.0)</f>
        <v>67915</v>
      </c>
      <c r="C956" s="763" t="str">
        <f>IFERROR(__xludf.DUMMYFUNCTION("""COMPUTED_VALUE"""),"2026-02-14 11:42:06")</f>
        <v>2026-02-14 11:42:06</v>
      </c>
      <c r="D956" s="763" t="str">
        <f>IFERROR(__xludf.DUMMYFUNCTION("""COMPUTED_VALUE"""),"completed")</f>
        <v>completed</v>
      </c>
      <c r="E956" s="763" t="str">
        <f>IFERROR(__xludf.DUMMYFUNCTION("""COMPUTED_VALUE"""),"Mathilda")</f>
        <v>Mathilda</v>
      </c>
      <c r="F956" s="763" t="str">
        <f>IFERROR(__xludf.DUMMYFUNCTION("""COMPUTED_VALUE"""),"Semprini")</f>
        <v>Semprini</v>
      </c>
      <c r="G956" s="763" t="str">
        <f>IFERROR(__xludf.DUMMYFUNCTION("""COMPUTED_VALUE"""),"matthyhs@gmail.com")</f>
        <v>matthyhs@gmail.com</v>
      </c>
      <c r="H956" s="763">
        <f>IFERROR(__xludf.DUMMYFUNCTION("""COMPUTED_VALUE"""),3.926253328E9)</f>
        <v>3926253328</v>
      </c>
      <c r="I956" s="763" t="str">
        <f>IFERROR(__xludf.DUMMYFUNCTION("""COMPUTED_VALUE"""),"Milano")</f>
        <v>Milano</v>
      </c>
      <c r="J956" s="763" t="str">
        <f>IFERROR(__xludf.DUMMYFUNCTION("""COMPUTED_VALUE"""),"Via Giovanni Spadolini 12/C")</f>
        <v>Via Giovanni Spadolini 12/C</v>
      </c>
      <c r="K956" s="763">
        <f>IFERROR(__xludf.DUMMYFUNCTION("""COMPUTED_VALUE"""),20141.0)</f>
        <v>20141</v>
      </c>
      <c r="L956" s="763" t="str">
        <f>IFERROR(__xludf.DUMMYFUNCTION("""COMPUTED_VALUE"""),"Carte di pagamento")</f>
        <v>Carte di pagamento</v>
      </c>
      <c r="M956" s="763" t="str">
        <f>IFERROR(__xludf.DUMMYFUNCTION("""COMPUTED_VALUE"""),"alexandra02ws")</f>
        <v>alexandra02ws</v>
      </c>
      <c r="N956" s="763" t="str">
        <f>IFERROR(__xludf.DUMMYFUNCTION("""COMPUTED_VALUE"""),"67915-1771069327")</f>
        <v>67915-1771069327</v>
      </c>
      <c r="O956" s="763">
        <f>IFERROR(__xludf.DUMMYFUNCTION("""COMPUTED_VALUE"""),0.0)</f>
        <v>0</v>
      </c>
      <c r="P956" s="767">
        <f>IFERROR(__xludf.DUMMYFUNCTION("""COMPUTED_VALUE"""),0.8333333333333334)</f>
        <v>0.8333333333</v>
      </c>
      <c r="Q956" s="763" t="str">
        <f>IFERROR(__xludf.DUMMYFUNCTION("""COMPUTED_VALUE"""),"EUR")</f>
        <v>EUR</v>
      </c>
      <c r="R956" s="763">
        <f>IFERROR(__xludf.DUMMYFUNCTION("""COMPUTED_VALUE"""),1693.0)</f>
        <v>1693</v>
      </c>
      <c r="S956" s="763" t="str">
        <f>IFERROR(__xludf.DUMMYFUNCTION("""COMPUTED_VALUE"""),"Open class Heels con Anahita 2026 - Open class Heels con Anahita 2026")</f>
        <v>Open class Heels con Anahita 2026 - Open class Heels con Anahita 2026</v>
      </c>
      <c r="T956" s="763"/>
      <c r="U956" s="763"/>
      <c r="V956" s="763">
        <f>IFERROR(__xludf.DUMMYFUNCTION("""COMPUTED_VALUE"""),1.0)</f>
        <v>1</v>
      </c>
      <c r="W956" s="763">
        <f>IFERROR(__xludf.DUMMYFUNCTION("""COMPUTED_VALUE"""),20.0)</f>
        <v>20</v>
      </c>
      <c r="X956" s="763">
        <f>IFERROR(__xludf.DUMMYFUNCTION("""COMPUTED_VALUE"""),20.0)</f>
        <v>20</v>
      </c>
      <c r="Y956" s="763"/>
      <c r="Z956" s="768" t="str">
        <f>IFERROR(__xludf.DUMMYFUNCTION("""COMPUTED_VALUE"""),"https://studio-gem.it/wp-admin/post.php?post=67915&amp;action=edit")</f>
        <v>https://studio-gem.it/wp-admin/post.php?post=67915&amp;action=edit</v>
      </c>
      <c r="AA956" s="763"/>
      <c r="AB956" s="763"/>
      <c r="AC956" s="763"/>
      <c r="AD956" s="763"/>
      <c r="AE956" s="763"/>
      <c r="AF956" s="763"/>
      <c r="AG956" s="763"/>
      <c r="AH956" s="763"/>
      <c r="AI956" s="763"/>
      <c r="AJ956" s="763"/>
      <c r="AK956" s="763"/>
      <c r="AL956" s="763"/>
      <c r="AM956" s="763"/>
      <c r="AN956" s="763"/>
      <c r="AO956" s="763"/>
      <c r="AP956" s="763"/>
      <c r="AQ956" s="763"/>
      <c r="AR956" s="763"/>
      <c r="AS956" s="763"/>
      <c r="AT956" s="763"/>
      <c r="AU956" s="763"/>
      <c r="AV956" s="763"/>
      <c r="AW956" s="763"/>
      <c r="AX956" s="763"/>
      <c r="AY956" s="763"/>
      <c r="AZ956" s="763"/>
      <c r="BA956" s="763"/>
      <c r="BB956" s="763"/>
      <c r="BC956" s="763"/>
      <c r="BD956" s="763"/>
      <c r="BE956" s="763"/>
      <c r="BF956" s="763"/>
      <c r="BG956" s="763" t="b">
        <f>IFERROR(__xludf.DUMMYFUNCTION("""COMPUTED_VALUE"""),TRUE)</f>
        <v>1</v>
      </c>
      <c r="BH956" s="763" t="b">
        <f>IFERROR(__xludf.DUMMYFUNCTION("""COMPUTED_VALUE"""),FALSE)</f>
        <v>0</v>
      </c>
      <c r="BI956" s="763" t="b">
        <f>IFERROR(__xludf.DUMMYFUNCTION("""COMPUTED_VALUE"""),TRUE)</f>
        <v>1</v>
      </c>
      <c r="BJ956" s="763" t="b">
        <f>IFERROR(__xludf.DUMMYFUNCTION("""COMPUTED_VALUE"""),TRUE)</f>
        <v>1</v>
      </c>
    </row>
    <row r="957">
      <c r="A957" s="763">
        <f>IFERROR(__xludf.DUMMYFUNCTION("""COMPUTED_VALUE"""),67916.0)</f>
        <v>67916</v>
      </c>
      <c r="B957" s="763">
        <f>IFERROR(__xludf.DUMMYFUNCTION("""COMPUTED_VALUE"""),67916.0)</f>
        <v>67916</v>
      </c>
      <c r="C957" s="763" t="str">
        <f>IFERROR(__xludf.DUMMYFUNCTION("""COMPUTED_VALUE"""),"2026-02-14 11:48:09")</f>
        <v>2026-02-14 11:48:09</v>
      </c>
      <c r="D957" s="763" t="str">
        <f>IFERROR(__xludf.DUMMYFUNCTION("""COMPUTED_VALUE"""),"completed")</f>
        <v>completed</v>
      </c>
      <c r="E957" s="763" t="str">
        <f>IFERROR(__xludf.DUMMYFUNCTION("""COMPUTED_VALUE"""),"Sara")</f>
        <v>Sara</v>
      </c>
      <c r="F957" s="763" t="str">
        <f>IFERROR(__xludf.DUMMYFUNCTION("""COMPUTED_VALUE"""),"Pianezze")</f>
        <v>Pianezze</v>
      </c>
      <c r="G957" s="763" t="str">
        <f>IFERROR(__xludf.DUMMYFUNCTION("""COMPUTED_VALUE"""),"sara.pianezze06@gmail.com")</f>
        <v>sara.pianezze06@gmail.com</v>
      </c>
      <c r="H957" s="763">
        <f>IFERROR(__xludf.DUMMYFUNCTION("""COMPUTED_VALUE"""),3.291631986E9)</f>
        <v>3291631986</v>
      </c>
      <c r="I957" s="763" t="str">
        <f>IFERROR(__xludf.DUMMYFUNCTION("""COMPUTED_VALUE"""),"Buccinasco")</f>
        <v>Buccinasco</v>
      </c>
      <c r="J957" s="763" t="str">
        <f>IFERROR(__xludf.DUMMYFUNCTION("""COMPUTED_VALUE"""),"Vigevanese 7")</f>
        <v>Vigevanese 7</v>
      </c>
      <c r="K957" s="763">
        <f>IFERROR(__xludf.DUMMYFUNCTION("""COMPUTED_VALUE"""),20090.0)</f>
        <v>20090</v>
      </c>
      <c r="L957" s="763" t="str">
        <f>IFERROR(__xludf.DUMMYFUNCTION("""COMPUTED_VALUE"""),"Carte di pagamento")</f>
        <v>Carte di pagamento</v>
      </c>
      <c r="M957" s="763" t="str">
        <f>IFERROR(__xludf.DUMMYFUNCTION("""COMPUTED_VALUE"""),"estefany02ws")</f>
        <v>estefany02ws</v>
      </c>
      <c r="N957" s="763" t="str">
        <f>IFERROR(__xludf.DUMMYFUNCTION("""COMPUTED_VALUE"""),"67916-1771069691")</f>
        <v>67916-1771069691</v>
      </c>
      <c r="O957" s="763">
        <f>IFERROR(__xludf.DUMMYFUNCTION("""COMPUTED_VALUE"""),0.0)</f>
        <v>0</v>
      </c>
      <c r="P957" s="767">
        <f>IFERROR(__xludf.DUMMYFUNCTION("""COMPUTED_VALUE"""),0.8333333333333334)</f>
        <v>0.8333333333</v>
      </c>
      <c r="Q957" s="763" t="str">
        <f>IFERROR(__xludf.DUMMYFUNCTION("""COMPUTED_VALUE"""),"EUR")</f>
        <v>EUR</v>
      </c>
      <c r="R957" s="763">
        <f>IFERROR(__xludf.DUMMYFUNCTION("""COMPUTED_VALUE"""),1695.0)</f>
        <v>1695</v>
      </c>
      <c r="S957" s="763" t="str">
        <f>IFERROR(__xludf.DUMMYFUNCTION("""COMPUTED_VALUE"""),"Open class Heels con Anahita 2026 - Open class Heels con Anahita 2026")</f>
        <v>Open class Heels con Anahita 2026 - Open class Heels con Anahita 2026</v>
      </c>
      <c r="T957" s="763"/>
      <c r="U957" s="763"/>
      <c r="V957" s="763">
        <f>IFERROR(__xludf.DUMMYFUNCTION("""COMPUTED_VALUE"""),1.0)</f>
        <v>1</v>
      </c>
      <c r="W957" s="763">
        <f>IFERROR(__xludf.DUMMYFUNCTION("""COMPUTED_VALUE"""),20.0)</f>
        <v>20</v>
      </c>
      <c r="X957" s="763">
        <f>IFERROR(__xludf.DUMMYFUNCTION("""COMPUTED_VALUE"""),20.0)</f>
        <v>20</v>
      </c>
      <c r="Y957" s="763"/>
      <c r="Z957" s="768" t="str">
        <f>IFERROR(__xludf.DUMMYFUNCTION("""COMPUTED_VALUE"""),"https://studio-gem.it/wp-admin/post.php?post=67916&amp;action=edit")</f>
        <v>https://studio-gem.it/wp-admin/post.php?post=67916&amp;action=edit</v>
      </c>
      <c r="AA957" s="763"/>
      <c r="AB957" s="763"/>
      <c r="AC957" s="763"/>
      <c r="AD957" s="763"/>
      <c r="AE957" s="763"/>
      <c r="AF957" s="763"/>
      <c r="AG957" s="763"/>
      <c r="AH957" s="763"/>
      <c r="AI957" s="763"/>
      <c r="AJ957" s="763"/>
      <c r="AK957" s="763"/>
      <c r="AL957" s="763"/>
      <c r="AM957" s="763"/>
      <c r="AN957" s="763"/>
      <c r="AO957" s="763"/>
      <c r="AP957" s="763"/>
      <c r="AQ957" s="763"/>
      <c r="AR957" s="763"/>
      <c r="AS957" s="763"/>
      <c r="AT957" s="763"/>
      <c r="AU957" s="763"/>
      <c r="AV957" s="763"/>
      <c r="AW957" s="763"/>
      <c r="AX957" s="763"/>
      <c r="AY957" s="763"/>
      <c r="AZ957" s="763"/>
      <c r="BA957" s="763"/>
      <c r="BB957" s="763"/>
      <c r="BC957" s="763"/>
      <c r="BD957" s="763"/>
      <c r="BE957" s="763"/>
      <c r="BF957" s="763"/>
      <c r="BG957" s="763" t="b">
        <f>IFERROR(__xludf.DUMMYFUNCTION("""COMPUTED_VALUE"""),TRUE)</f>
        <v>1</v>
      </c>
      <c r="BH957" s="763" t="b">
        <f>IFERROR(__xludf.DUMMYFUNCTION("""COMPUTED_VALUE"""),FALSE)</f>
        <v>0</v>
      </c>
      <c r="BI957" s="763" t="b">
        <f>IFERROR(__xludf.DUMMYFUNCTION("""COMPUTED_VALUE"""),TRUE)</f>
        <v>1</v>
      </c>
      <c r="BJ957" s="763" t="b">
        <f>IFERROR(__xludf.DUMMYFUNCTION("""COMPUTED_VALUE"""),TRUE)</f>
        <v>1</v>
      </c>
    </row>
    <row r="958">
      <c r="A958" s="763">
        <f>IFERROR(__xludf.DUMMYFUNCTION("""COMPUTED_VALUE"""),67919.0)</f>
        <v>67919</v>
      </c>
      <c r="B958" s="763">
        <f>IFERROR(__xludf.DUMMYFUNCTION("""COMPUTED_VALUE"""),67919.0)</f>
        <v>67919</v>
      </c>
      <c r="C958" s="763" t="str">
        <f>IFERROR(__xludf.DUMMYFUNCTION("""COMPUTED_VALUE"""),"2026-02-14 11:56:21")</f>
        <v>2026-02-14 11:56:21</v>
      </c>
      <c r="D958" s="763" t="str">
        <f>IFERROR(__xludf.DUMMYFUNCTION("""COMPUTED_VALUE"""),"completed")</f>
        <v>completed</v>
      </c>
      <c r="E958" s="763" t="str">
        <f>IFERROR(__xludf.DUMMYFUNCTION("""COMPUTED_VALUE"""),"Mikaela")</f>
        <v>Mikaela</v>
      </c>
      <c r="F958" s="763" t="str">
        <f>IFERROR(__xludf.DUMMYFUNCTION("""COMPUTED_VALUE"""),"Semprini")</f>
        <v>Semprini</v>
      </c>
      <c r="G958" s="763" t="str">
        <f>IFERROR(__xludf.DUMMYFUNCTION("""COMPUTED_VALUE"""),"mikaelamiky99@gmail.com")</f>
        <v>mikaelamiky99@gmail.com</v>
      </c>
      <c r="H958" s="763">
        <f>IFERROR(__xludf.DUMMYFUNCTION("""COMPUTED_VALUE"""),3.31741254E9)</f>
        <v>3317412540</v>
      </c>
      <c r="I958" s="763" t="str">
        <f>IFERROR(__xludf.DUMMYFUNCTION("""COMPUTED_VALUE"""),"Milano")</f>
        <v>Milano</v>
      </c>
      <c r="J958" s="763" t="str">
        <f>IFERROR(__xludf.DUMMYFUNCTION("""COMPUTED_VALUE"""),"Via Giovanni Spadolini 12/C")</f>
        <v>Via Giovanni Spadolini 12/C</v>
      </c>
      <c r="K958" s="763">
        <f>IFERROR(__xludf.DUMMYFUNCTION("""COMPUTED_VALUE"""),20141.0)</f>
        <v>20141</v>
      </c>
      <c r="L958" s="763" t="str">
        <f>IFERROR(__xludf.DUMMYFUNCTION("""COMPUTED_VALUE"""),"Satispay")</f>
        <v>Satispay</v>
      </c>
      <c r="M958" s="763" t="str">
        <f>IFERROR(__xludf.DUMMYFUNCTION("""COMPUTED_VALUE"""),"alexandra02ws")</f>
        <v>alexandra02ws</v>
      </c>
      <c r="N958" s="763" t="str">
        <f>IFERROR(__xludf.DUMMYFUNCTION("""COMPUTED_VALUE"""),"019c5c02-52b6-7ca0-bd23-3c082e72f853")</f>
        <v>019c5c02-52b6-7ca0-bd23-3c082e72f853</v>
      </c>
      <c r="O958" s="763">
        <f>IFERROR(__xludf.DUMMYFUNCTION("""COMPUTED_VALUE"""),0.0)</f>
        <v>0</v>
      </c>
      <c r="P958" s="767">
        <f>IFERROR(__xludf.DUMMYFUNCTION("""COMPUTED_VALUE"""),0.8333333333333334)</f>
        <v>0.8333333333</v>
      </c>
      <c r="Q958" s="763" t="str">
        <f>IFERROR(__xludf.DUMMYFUNCTION("""COMPUTED_VALUE"""),"EUR")</f>
        <v>EUR</v>
      </c>
      <c r="R958" s="763">
        <f>IFERROR(__xludf.DUMMYFUNCTION("""COMPUTED_VALUE"""),1697.0)</f>
        <v>1697</v>
      </c>
      <c r="S958" s="763" t="str">
        <f>IFERROR(__xludf.DUMMYFUNCTION("""COMPUTED_VALUE"""),"Open class Heels con Anahita 2026 - Open class Heels con Anahita 2026")</f>
        <v>Open class Heels con Anahita 2026 - Open class Heels con Anahita 2026</v>
      </c>
      <c r="T958" s="763"/>
      <c r="U958" s="763"/>
      <c r="V958" s="763">
        <f>IFERROR(__xludf.DUMMYFUNCTION("""COMPUTED_VALUE"""),1.0)</f>
        <v>1</v>
      </c>
      <c r="W958" s="763">
        <f>IFERROR(__xludf.DUMMYFUNCTION("""COMPUTED_VALUE"""),20.0)</f>
        <v>20</v>
      </c>
      <c r="X958" s="763">
        <f>IFERROR(__xludf.DUMMYFUNCTION("""COMPUTED_VALUE"""),20.0)</f>
        <v>20</v>
      </c>
      <c r="Y958" s="763"/>
      <c r="Z958" s="768" t="str">
        <f>IFERROR(__xludf.DUMMYFUNCTION("""COMPUTED_VALUE"""),"https://studio-gem.it/wp-admin/post.php?post=67919&amp;action=edit")</f>
        <v>https://studio-gem.it/wp-admin/post.php?post=67919&amp;action=edit</v>
      </c>
      <c r="AA958" s="763"/>
      <c r="AB958" s="763"/>
      <c r="AC958" s="763"/>
      <c r="AD958" s="763"/>
      <c r="AE958" s="763"/>
      <c r="AF958" s="763"/>
      <c r="AG958" s="763"/>
      <c r="AH958" s="763"/>
      <c r="AI958" s="763"/>
      <c r="AJ958" s="763"/>
      <c r="AK958" s="763"/>
      <c r="AL958" s="763"/>
      <c r="AM958" s="763"/>
      <c r="AN958" s="763"/>
      <c r="AO958" s="763"/>
      <c r="AP958" s="763"/>
      <c r="AQ958" s="763"/>
      <c r="AR958" s="763"/>
      <c r="AS958" s="763"/>
      <c r="AT958" s="763"/>
      <c r="AU958" s="763"/>
      <c r="AV958" s="763"/>
      <c r="AW958" s="763"/>
      <c r="AX958" s="763"/>
      <c r="AY958" s="763"/>
      <c r="AZ958" s="763"/>
      <c r="BA958" s="763"/>
      <c r="BB958" s="763"/>
      <c r="BC958" s="763"/>
      <c r="BD958" s="763"/>
      <c r="BE958" s="763"/>
      <c r="BF958" s="763"/>
      <c r="BG958" s="763" t="b">
        <f>IFERROR(__xludf.DUMMYFUNCTION("""COMPUTED_VALUE"""),TRUE)</f>
        <v>1</v>
      </c>
      <c r="BH958" s="763" t="b">
        <f>IFERROR(__xludf.DUMMYFUNCTION("""COMPUTED_VALUE"""),FALSE)</f>
        <v>0</v>
      </c>
      <c r="BI958" s="763" t="b">
        <f>IFERROR(__xludf.DUMMYFUNCTION("""COMPUTED_VALUE"""),TRUE)</f>
        <v>1</v>
      </c>
      <c r="BJ958" s="763" t="b">
        <f>IFERROR(__xludf.DUMMYFUNCTION("""COMPUTED_VALUE"""),TRUE)</f>
        <v>1</v>
      </c>
    </row>
    <row r="959">
      <c r="A959" s="763">
        <f>IFERROR(__xludf.DUMMYFUNCTION("""COMPUTED_VALUE"""),67921.0)</f>
        <v>67921</v>
      </c>
      <c r="B959" s="763">
        <f>IFERROR(__xludf.DUMMYFUNCTION("""COMPUTED_VALUE"""),67921.0)</f>
        <v>67921</v>
      </c>
      <c r="C959" s="763" t="str">
        <f>IFERROR(__xludf.DUMMYFUNCTION("""COMPUTED_VALUE"""),"2026-02-14 12:36:28")</f>
        <v>2026-02-14 12:36:28</v>
      </c>
      <c r="D959" s="763" t="str">
        <f>IFERROR(__xludf.DUMMYFUNCTION("""COMPUTED_VALUE"""),"completed")</f>
        <v>completed</v>
      </c>
      <c r="E959" s="763" t="str">
        <f>IFERROR(__xludf.DUMMYFUNCTION("""COMPUTED_VALUE"""),"Padmini")</f>
        <v>Padmini</v>
      </c>
      <c r="F959" s="763" t="str">
        <f>IFERROR(__xludf.DUMMYFUNCTION("""COMPUTED_VALUE"""),"Maraschi")</f>
        <v>Maraschi</v>
      </c>
      <c r="G959" s="763" t="str">
        <f>IFERROR(__xludf.DUMMYFUNCTION("""COMPUTED_VALUE"""),"paddy.mx9@gmail.com")</f>
        <v>paddy.mx9@gmail.com</v>
      </c>
      <c r="H959" s="763">
        <f>IFERROR(__xludf.DUMMYFUNCTION("""COMPUTED_VALUE"""),3.807877826E9)</f>
        <v>3807877826</v>
      </c>
      <c r="I959" s="763" t="str">
        <f>IFERROR(__xludf.DUMMYFUNCTION("""COMPUTED_VALUE"""),"San Giuliano Milanese")</f>
        <v>San Giuliano Milanese</v>
      </c>
      <c r="J959" s="763" t="str">
        <f>IFERROR(__xludf.DUMMYFUNCTION("""COMPUTED_VALUE"""),"Via Fratelli Ruffini 14")</f>
        <v>Via Fratelli Ruffini 14</v>
      </c>
      <c r="K959" s="763">
        <f>IFERROR(__xludf.DUMMYFUNCTION("""COMPUTED_VALUE"""),20098.0)</f>
        <v>20098</v>
      </c>
      <c r="L959" s="763" t="str">
        <f>IFERROR(__xludf.DUMMYFUNCTION("""COMPUTED_VALUE"""),"Apple Pay")</f>
        <v>Apple Pay</v>
      </c>
      <c r="M959" s="763" t="str">
        <f>IFERROR(__xludf.DUMMYFUNCTION("""COMPUTED_VALUE"""),"nura02ws")</f>
        <v>nura02ws</v>
      </c>
      <c r="N959" s="763" t="str">
        <f>IFERROR(__xludf.DUMMYFUNCTION("""COMPUTED_VALUE"""),"67921-1771072670")</f>
        <v>67921-1771072670</v>
      </c>
      <c r="O959" s="763">
        <f>IFERROR(__xludf.DUMMYFUNCTION("""COMPUTED_VALUE"""),0.0)</f>
        <v>0</v>
      </c>
      <c r="P959" s="767">
        <f>IFERROR(__xludf.DUMMYFUNCTION("""COMPUTED_VALUE"""),1.25)</f>
        <v>1.25</v>
      </c>
      <c r="Q959" s="763" t="str">
        <f>IFERROR(__xludf.DUMMYFUNCTION("""COMPUTED_VALUE"""),"EUR")</f>
        <v>EUR</v>
      </c>
      <c r="R959" s="763">
        <f>IFERROR(__xludf.DUMMYFUNCTION("""COMPUTED_VALUE"""),1701.0)</f>
        <v>1701</v>
      </c>
      <c r="S959" s="763" t="str">
        <f>IFERROR(__xludf.DUMMYFUNCTION("""COMPUTED_VALUE"""),"Un dia en Cuba 2026 - Un dia en Cuba 2026")</f>
        <v>Un dia en Cuba 2026 - Un dia en Cuba 2026</v>
      </c>
      <c r="T959" s="763"/>
      <c r="U959" s="763"/>
      <c r="V959" s="763">
        <f>IFERROR(__xludf.DUMMYFUNCTION("""COMPUTED_VALUE"""),1.0)</f>
        <v>1</v>
      </c>
      <c r="W959" s="763">
        <f>IFERROR(__xludf.DUMMYFUNCTION("""COMPUTED_VALUE"""),30.0)</f>
        <v>30</v>
      </c>
      <c r="X959" s="763">
        <f>IFERROR(__xludf.DUMMYFUNCTION("""COMPUTED_VALUE"""),30.0)</f>
        <v>30</v>
      </c>
      <c r="Y959" s="763"/>
      <c r="Z959" s="768" t="str">
        <f>IFERROR(__xludf.DUMMYFUNCTION("""COMPUTED_VALUE"""),"https://studio-gem.it/wp-admin/post.php?post=67921&amp;action=edit")</f>
        <v>https://studio-gem.it/wp-admin/post.php?post=67921&amp;action=edit</v>
      </c>
      <c r="AA959" s="763"/>
      <c r="AB959" s="763"/>
      <c r="AC959" s="763"/>
      <c r="AD959" s="763"/>
      <c r="AE959" s="763"/>
      <c r="AF959" s="763"/>
      <c r="AG959" s="763"/>
      <c r="AH959" s="763"/>
      <c r="AI959" s="763"/>
      <c r="AJ959" s="763"/>
      <c r="AK959" s="763"/>
      <c r="AL959" s="763"/>
      <c r="AM959" s="763"/>
      <c r="AN959" s="763"/>
      <c r="AO959" s="763"/>
      <c r="AP959" s="763"/>
      <c r="AQ959" s="763"/>
      <c r="AR959" s="763"/>
      <c r="AS959" s="763"/>
      <c r="AT959" s="763"/>
      <c r="AU959" s="763"/>
      <c r="AV959" s="763"/>
      <c r="AW959" s="763"/>
      <c r="AX959" s="763"/>
      <c r="AY959" s="763"/>
      <c r="AZ959" s="763"/>
      <c r="BA959" s="763"/>
      <c r="BB959" s="763"/>
      <c r="BC959" s="763"/>
      <c r="BD959" s="763"/>
      <c r="BE959" s="763"/>
      <c r="BF959" s="763"/>
      <c r="BG959" s="763" t="b">
        <f>IFERROR(__xludf.DUMMYFUNCTION("""COMPUTED_VALUE"""),TRUE)</f>
        <v>1</v>
      </c>
      <c r="BH959" s="763" t="b">
        <f>IFERROR(__xludf.DUMMYFUNCTION("""COMPUTED_VALUE"""),FALSE)</f>
        <v>0</v>
      </c>
      <c r="BI959" s="763" t="b">
        <f>IFERROR(__xludf.DUMMYFUNCTION("""COMPUTED_VALUE"""),TRUE)</f>
        <v>1</v>
      </c>
      <c r="BJ959" s="763" t="b">
        <f>IFERROR(__xludf.DUMMYFUNCTION("""COMPUTED_VALUE"""),TRUE)</f>
        <v>1</v>
      </c>
    </row>
    <row r="960">
      <c r="A960" s="763">
        <f>IFERROR(__xludf.DUMMYFUNCTION("""COMPUTED_VALUE"""),67923.0)</f>
        <v>67923</v>
      </c>
      <c r="B960" s="763">
        <f>IFERROR(__xludf.DUMMYFUNCTION("""COMPUTED_VALUE"""),67923.0)</f>
        <v>67923</v>
      </c>
      <c r="C960" s="763" t="str">
        <f>IFERROR(__xludf.DUMMYFUNCTION("""COMPUTED_VALUE"""),"2026-02-14 13:44:53")</f>
        <v>2026-02-14 13:44:53</v>
      </c>
      <c r="D960" s="763" t="str">
        <f>IFERROR(__xludf.DUMMYFUNCTION("""COMPUTED_VALUE"""),"completed")</f>
        <v>completed</v>
      </c>
      <c r="E960" s="763" t="str">
        <f>IFERROR(__xludf.DUMMYFUNCTION("""COMPUTED_VALUE"""),"Diana")</f>
        <v>Diana</v>
      </c>
      <c r="F960" s="763" t="str">
        <f>IFERROR(__xludf.DUMMYFUNCTION("""COMPUTED_VALUE"""),"Bertocchi")</f>
        <v>Bertocchi</v>
      </c>
      <c r="G960" s="763" t="str">
        <f>IFERROR(__xludf.DUMMYFUNCTION("""COMPUTED_VALUE"""),"bertocchidiana@gmail.com")</f>
        <v>bertocchidiana@gmail.com</v>
      </c>
      <c r="H960" s="763">
        <f>IFERROR(__xludf.DUMMYFUNCTION("""COMPUTED_VALUE"""),3.496735854E9)</f>
        <v>3496735854</v>
      </c>
      <c r="I960" s="763" t="str">
        <f>IFERROR(__xludf.DUMMYFUNCTION("""COMPUTED_VALUE"""),"Milano")</f>
        <v>Milano</v>
      </c>
      <c r="J960" s="763" t="str">
        <f>IFERROR(__xludf.DUMMYFUNCTION("""COMPUTED_VALUE"""),"Viale Liguria 23")</f>
        <v>Viale Liguria 23</v>
      </c>
      <c r="K960" s="763">
        <f>IFERROR(__xludf.DUMMYFUNCTION("""COMPUTED_VALUE"""),20143.0)</f>
        <v>20143</v>
      </c>
      <c r="L960" s="763" t="str">
        <f>IFERROR(__xludf.DUMMYFUNCTION("""COMPUTED_VALUE"""),"Apple Pay")</f>
        <v>Apple Pay</v>
      </c>
      <c r="M960" s="763"/>
      <c r="N960" s="763" t="str">
        <f>IFERROR(__xludf.DUMMYFUNCTION("""COMPUTED_VALUE"""),"67923-1771076694")</f>
        <v>67923-1771076694</v>
      </c>
      <c r="O960" s="763">
        <f>IFERROR(__xludf.DUMMYFUNCTION("""COMPUTED_VALUE"""),0.0)</f>
        <v>0</v>
      </c>
      <c r="P960" s="767">
        <f>IFERROR(__xludf.DUMMYFUNCTION("""COMPUTED_VALUE"""),0.9166666666666666)</f>
        <v>0.9166666667</v>
      </c>
      <c r="Q960" s="763" t="str">
        <f>IFERROR(__xludf.DUMMYFUNCTION("""COMPUTED_VALUE"""),"EUR")</f>
        <v>EUR</v>
      </c>
      <c r="R960" s="763">
        <f>IFERROR(__xludf.DUMMYFUNCTION("""COMPUTED_VALUE"""),1703.0)</f>
        <v>1703</v>
      </c>
      <c r="S960" s="763" t="str">
        <f>IFERROR(__xludf.DUMMYFUNCTION("""COMPUTED_VALUE"""),"Open class Heels con Anahita 2026 - Open class Heels con Anahita 2026")</f>
        <v>Open class Heels con Anahita 2026 - Open class Heels con Anahita 2026</v>
      </c>
      <c r="T960" s="763"/>
      <c r="U960" s="763"/>
      <c r="V960" s="763">
        <f>IFERROR(__xludf.DUMMYFUNCTION("""COMPUTED_VALUE"""),1.0)</f>
        <v>1</v>
      </c>
      <c r="W960" s="763">
        <f>IFERROR(__xludf.DUMMYFUNCTION("""COMPUTED_VALUE"""),22.0)</f>
        <v>22</v>
      </c>
      <c r="X960" s="763">
        <f>IFERROR(__xludf.DUMMYFUNCTION("""COMPUTED_VALUE"""),22.0)</f>
        <v>22</v>
      </c>
      <c r="Y960" s="763"/>
      <c r="Z960" s="768" t="str">
        <f>IFERROR(__xludf.DUMMYFUNCTION("""COMPUTED_VALUE"""),"https://studio-gem.it/wp-admin/post.php?post=67923&amp;action=edit")</f>
        <v>https://studio-gem.it/wp-admin/post.php?post=67923&amp;action=edit</v>
      </c>
      <c r="AA960" s="763"/>
      <c r="AB960" s="763"/>
      <c r="AC960" s="763"/>
      <c r="AD960" s="763"/>
      <c r="AE960" s="763"/>
      <c r="AF960" s="763"/>
      <c r="AG960" s="763"/>
      <c r="AH960" s="763"/>
      <c r="AI960" s="763"/>
      <c r="AJ960" s="763"/>
      <c r="AK960" s="763"/>
      <c r="AL960" s="763"/>
      <c r="AM960" s="763"/>
      <c r="AN960" s="763"/>
      <c r="AO960" s="763"/>
      <c r="AP960" s="763"/>
      <c r="AQ960" s="763"/>
      <c r="AR960" s="763"/>
      <c r="AS960" s="763"/>
      <c r="AT960" s="763"/>
      <c r="AU960" s="763"/>
      <c r="AV960" s="763"/>
      <c r="AW960" s="763"/>
      <c r="AX960" s="763"/>
      <c r="AY960" s="763"/>
      <c r="AZ960" s="763"/>
      <c r="BA960" s="763"/>
      <c r="BB960" s="763"/>
      <c r="BC960" s="763"/>
      <c r="BD960" s="763"/>
      <c r="BE960" s="763"/>
      <c r="BF960" s="763"/>
      <c r="BG960" s="763" t="b">
        <f>IFERROR(__xludf.DUMMYFUNCTION("""COMPUTED_VALUE"""),TRUE)</f>
        <v>1</v>
      </c>
      <c r="BH960" s="763" t="b">
        <f>IFERROR(__xludf.DUMMYFUNCTION("""COMPUTED_VALUE"""),FALSE)</f>
        <v>0</v>
      </c>
      <c r="BI960" s="763" t="b">
        <f>IFERROR(__xludf.DUMMYFUNCTION("""COMPUTED_VALUE"""),TRUE)</f>
        <v>1</v>
      </c>
      <c r="BJ960" s="763" t="b">
        <f>IFERROR(__xludf.DUMMYFUNCTION("""COMPUTED_VALUE"""),TRUE)</f>
        <v>1</v>
      </c>
    </row>
    <row r="961">
      <c r="A961" s="763">
        <f>IFERROR(__xludf.DUMMYFUNCTION("""COMPUTED_VALUE"""),67925.0)</f>
        <v>67925</v>
      </c>
      <c r="B961" s="763">
        <f>IFERROR(__xludf.DUMMYFUNCTION("""COMPUTED_VALUE"""),67925.0)</f>
        <v>67925</v>
      </c>
      <c r="C961" s="763" t="str">
        <f>IFERROR(__xludf.DUMMYFUNCTION("""COMPUTED_VALUE"""),"2026-02-14 14:41:12")</f>
        <v>2026-02-14 14:41:12</v>
      </c>
      <c r="D961" s="763" t="str">
        <f>IFERROR(__xludf.DUMMYFUNCTION("""COMPUTED_VALUE"""),"completed")</f>
        <v>completed</v>
      </c>
      <c r="E961" s="763" t="str">
        <f>IFERROR(__xludf.DUMMYFUNCTION("""COMPUTED_VALUE"""),"kevin")</f>
        <v>kevin</v>
      </c>
      <c r="F961" s="763" t="str">
        <f>IFERROR(__xludf.DUMMYFUNCTION("""COMPUTED_VALUE"""),"palumbo")</f>
        <v>palumbo</v>
      </c>
      <c r="G961" s="763" t="str">
        <f>IFERROR(__xludf.DUMMYFUNCTION("""COMPUTED_VALUE"""),"kevin.palumbo93@gmail.com")</f>
        <v>kevin.palumbo93@gmail.com</v>
      </c>
      <c r="H961" s="763">
        <f>IFERROR(__xludf.DUMMYFUNCTION("""COMPUTED_VALUE"""),3.273653268E9)</f>
        <v>3273653268</v>
      </c>
      <c r="I961" s="763" t="str">
        <f>IFERROR(__xludf.DUMMYFUNCTION("""COMPUTED_VALUE"""),"Campobello di Mazara")</f>
        <v>Campobello di Mazara</v>
      </c>
      <c r="J961" s="763" t="str">
        <f>IFERROR(__xludf.DUMMYFUNCTION("""COMPUTED_VALUE"""),"Via Roma 294")</f>
        <v>Via Roma 294</v>
      </c>
      <c r="K961" s="763">
        <f>IFERROR(__xludf.DUMMYFUNCTION("""COMPUTED_VALUE"""),91021.0)</f>
        <v>91021</v>
      </c>
      <c r="L961" s="763" t="str">
        <f>IFERROR(__xludf.DUMMYFUNCTION("""COMPUTED_VALUE"""),"Google Pay")</f>
        <v>Google Pay</v>
      </c>
      <c r="M961" s="763" t="str">
        <f>IFERROR(__xludf.DUMMYFUNCTION("""COMPUTED_VALUE"""),"nura02ws")</f>
        <v>nura02ws</v>
      </c>
      <c r="N961" s="763" t="str">
        <f>IFERROR(__xludf.DUMMYFUNCTION("""COMPUTED_VALUE"""),"67925-1771080074")</f>
        <v>67925-1771080074</v>
      </c>
      <c r="O961" s="763">
        <f>IFERROR(__xludf.DUMMYFUNCTION("""COMPUTED_VALUE"""),0.0)</f>
        <v>0</v>
      </c>
      <c r="P961" s="767">
        <f>IFERROR(__xludf.DUMMYFUNCTION("""COMPUTED_VALUE"""),1.25)</f>
        <v>1.25</v>
      </c>
      <c r="Q961" s="763" t="str">
        <f>IFERROR(__xludf.DUMMYFUNCTION("""COMPUTED_VALUE"""),"EUR")</f>
        <v>EUR</v>
      </c>
      <c r="R961" s="763">
        <f>IFERROR(__xludf.DUMMYFUNCTION("""COMPUTED_VALUE"""),1704.0)</f>
        <v>1704</v>
      </c>
      <c r="S961" s="763" t="str">
        <f>IFERROR(__xludf.DUMMYFUNCTION("""COMPUTED_VALUE"""),"Un dia en Cuba 2026 - Un dia en Cuba 2026")</f>
        <v>Un dia en Cuba 2026 - Un dia en Cuba 2026</v>
      </c>
      <c r="T961" s="763"/>
      <c r="U961" s="763"/>
      <c r="V961" s="763">
        <f>IFERROR(__xludf.DUMMYFUNCTION("""COMPUTED_VALUE"""),1.0)</f>
        <v>1</v>
      </c>
      <c r="W961" s="763">
        <f>IFERROR(__xludf.DUMMYFUNCTION("""COMPUTED_VALUE"""),30.0)</f>
        <v>30</v>
      </c>
      <c r="X961" s="763">
        <f>IFERROR(__xludf.DUMMYFUNCTION("""COMPUTED_VALUE"""),30.0)</f>
        <v>30</v>
      </c>
      <c r="Y961" s="763"/>
      <c r="Z961" s="768" t="str">
        <f>IFERROR(__xludf.DUMMYFUNCTION("""COMPUTED_VALUE"""),"https://studio-gem.it/wp-admin/post.php?post=67925&amp;action=edit")</f>
        <v>https://studio-gem.it/wp-admin/post.php?post=67925&amp;action=edit</v>
      </c>
      <c r="AA961" s="763"/>
      <c r="AB961" s="763"/>
      <c r="AC961" s="763"/>
      <c r="AD961" s="763"/>
      <c r="AE961" s="763"/>
      <c r="AF961" s="763"/>
      <c r="AG961" s="763"/>
      <c r="AH961" s="763"/>
      <c r="AI961" s="763"/>
      <c r="AJ961" s="763"/>
      <c r="AK961" s="763"/>
      <c r="AL961" s="763"/>
      <c r="AM961" s="763"/>
      <c r="AN961" s="763"/>
      <c r="AO961" s="763"/>
      <c r="AP961" s="763"/>
      <c r="AQ961" s="763"/>
      <c r="AR961" s="763"/>
      <c r="AS961" s="763"/>
      <c r="AT961" s="763"/>
      <c r="AU961" s="763"/>
      <c r="AV961" s="763"/>
      <c r="AW961" s="763"/>
      <c r="AX961" s="763"/>
      <c r="AY961" s="763"/>
      <c r="AZ961" s="763"/>
      <c r="BA961" s="763"/>
      <c r="BB961" s="763"/>
      <c r="BC961" s="763"/>
      <c r="BD961" s="763"/>
      <c r="BE961" s="763"/>
      <c r="BF961" s="763"/>
      <c r="BG961" s="763" t="b">
        <f>IFERROR(__xludf.DUMMYFUNCTION("""COMPUTED_VALUE"""),TRUE)</f>
        <v>1</v>
      </c>
      <c r="BH961" s="763" t="b">
        <f>IFERROR(__xludf.DUMMYFUNCTION("""COMPUTED_VALUE"""),FALSE)</f>
        <v>0</v>
      </c>
      <c r="BI961" s="763" t="b">
        <f>IFERROR(__xludf.DUMMYFUNCTION("""COMPUTED_VALUE"""),TRUE)</f>
        <v>1</v>
      </c>
      <c r="BJ961" s="763" t="b">
        <f>IFERROR(__xludf.DUMMYFUNCTION("""COMPUTED_VALUE"""),TRUE)</f>
        <v>1</v>
      </c>
    </row>
    <row r="962">
      <c r="A962" s="763">
        <f>IFERROR(__xludf.DUMMYFUNCTION("""COMPUTED_VALUE"""),67927.0)</f>
        <v>67927</v>
      </c>
      <c r="B962" s="763">
        <f>IFERROR(__xludf.DUMMYFUNCTION("""COMPUTED_VALUE"""),67927.0)</f>
        <v>67927</v>
      </c>
      <c r="C962" s="763" t="str">
        <f>IFERROR(__xludf.DUMMYFUNCTION("""COMPUTED_VALUE"""),"2026-02-14 15:17:22")</f>
        <v>2026-02-14 15:17:22</v>
      </c>
      <c r="D962" s="763" t="str">
        <f>IFERROR(__xludf.DUMMYFUNCTION("""COMPUTED_VALUE"""),"completed")</f>
        <v>completed</v>
      </c>
      <c r="E962" s="763" t="str">
        <f>IFERROR(__xludf.DUMMYFUNCTION("""COMPUTED_VALUE"""),"Letterio")</f>
        <v>Letterio</v>
      </c>
      <c r="F962" s="763" t="str">
        <f>IFERROR(__xludf.DUMMYFUNCTION("""COMPUTED_VALUE"""),"Gerli")</f>
        <v>Gerli</v>
      </c>
      <c r="G962" s="763" t="str">
        <f>IFERROR(__xludf.DUMMYFUNCTION("""COMPUTED_VALUE"""),"letteriogerli@gmail.com")</f>
        <v>letteriogerli@gmail.com</v>
      </c>
      <c r="H962" s="763">
        <f>IFERROR(__xludf.DUMMYFUNCTION("""COMPUTED_VALUE"""),3.398667133E9)</f>
        <v>3398667133</v>
      </c>
      <c r="I962" s="763" t="str">
        <f>IFERROR(__xludf.DUMMYFUNCTION("""COMPUTED_VALUE"""),"MILANO")</f>
        <v>MILANO</v>
      </c>
      <c r="J962" s="763" t="str">
        <f>IFERROR(__xludf.DUMMYFUNCTION("""COMPUTED_VALUE"""),"Corso Lodi 78")</f>
        <v>Corso Lodi 78</v>
      </c>
      <c r="K962" s="763">
        <f>IFERROR(__xludf.DUMMYFUNCTION("""COMPUTED_VALUE"""),20139.0)</f>
        <v>20139</v>
      </c>
      <c r="L962" s="763" t="str">
        <f>IFERROR(__xludf.DUMMYFUNCTION("""COMPUTED_VALUE"""),"Carte di pagamento")</f>
        <v>Carte di pagamento</v>
      </c>
      <c r="M962" s="763"/>
      <c r="N962" s="763" t="str">
        <f>IFERROR(__xludf.DUMMYFUNCTION("""COMPUTED_VALUE"""),"67927-1771083413")</f>
        <v>67927-1771083413</v>
      </c>
      <c r="O962" s="763">
        <f>IFERROR(__xludf.DUMMYFUNCTION("""COMPUTED_VALUE"""),0.0)</f>
        <v>0</v>
      </c>
      <c r="P962" s="767">
        <f>IFERROR(__xludf.DUMMYFUNCTION("""COMPUTED_VALUE"""),1.3333333333333333)</f>
        <v>1.333333333</v>
      </c>
      <c r="Q962" s="763" t="str">
        <f>IFERROR(__xludf.DUMMYFUNCTION("""COMPUTED_VALUE"""),"EUR")</f>
        <v>EUR</v>
      </c>
      <c r="R962" s="763">
        <f>IFERROR(__xludf.DUMMYFUNCTION("""COMPUTED_VALUE"""),1707.0)</f>
        <v>1707</v>
      </c>
      <c r="S962" s="763" t="str">
        <f>IFERROR(__xludf.DUMMYFUNCTION("""COMPUTED_VALUE"""),"Un dia en Cuba 2026 - Un dia en Cuba 2026")</f>
        <v>Un dia en Cuba 2026 - Un dia en Cuba 2026</v>
      </c>
      <c r="T962" s="763"/>
      <c r="U962" s="763"/>
      <c r="V962" s="763">
        <f>IFERROR(__xludf.DUMMYFUNCTION("""COMPUTED_VALUE"""),1.0)</f>
        <v>1</v>
      </c>
      <c r="W962" s="763">
        <f>IFERROR(__xludf.DUMMYFUNCTION("""COMPUTED_VALUE"""),32.0)</f>
        <v>32</v>
      </c>
      <c r="X962" s="763">
        <f>IFERROR(__xludf.DUMMYFUNCTION("""COMPUTED_VALUE"""),32.0)</f>
        <v>32</v>
      </c>
      <c r="Y962" s="763"/>
      <c r="Z962" s="768" t="str">
        <f>IFERROR(__xludf.DUMMYFUNCTION("""COMPUTED_VALUE"""),"https://studio-gem.it/wp-admin/post.php?post=67927&amp;action=edit")</f>
        <v>https://studio-gem.it/wp-admin/post.php?post=67927&amp;action=edit</v>
      </c>
      <c r="AA962" s="763"/>
      <c r="AB962" s="763"/>
      <c r="AC962" s="763"/>
      <c r="AD962" s="763"/>
      <c r="AE962" s="763"/>
      <c r="AF962" s="763"/>
      <c r="AG962" s="763"/>
      <c r="AH962" s="763"/>
      <c r="AI962" s="763"/>
      <c r="AJ962" s="763"/>
      <c r="AK962" s="763"/>
      <c r="AL962" s="763"/>
      <c r="AM962" s="763"/>
      <c r="AN962" s="763"/>
      <c r="AO962" s="763"/>
      <c r="AP962" s="763"/>
      <c r="AQ962" s="763"/>
      <c r="AR962" s="763"/>
      <c r="AS962" s="763"/>
      <c r="AT962" s="763"/>
      <c r="AU962" s="763"/>
      <c r="AV962" s="763"/>
      <c r="AW962" s="763"/>
      <c r="AX962" s="763"/>
      <c r="AY962" s="763"/>
      <c r="AZ962" s="763"/>
      <c r="BA962" s="763"/>
      <c r="BB962" s="763"/>
      <c r="BC962" s="763"/>
      <c r="BD962" s="763"/>
      <c r="BE962" s="763"/>
      <c r="BF962" s="763"/>
      <c r="BG962" s="763" t="b">
        <f>IFERROR(__xludf.DUMMYFUNCTION("""COMPUTED_VALUE"""),TRUE)</f>
        <v>1</v>
      </c>
      <c r="BH962" s="763" t="b">
        <f>IFERROR(__xludf.DUMMYFUNCTION("""COMPUTED_VALUE"""),FALSE)</f>
        <v>0</v>
      </c>
      <c r="BI962" s="763" t="b">
        <f>IFERROR(__xludf.DUMMYFUNCTION("""COMPUTED_VALUE"""),TRUE)</f>
        <v>1</v>
      </c>
      <c r="BJ962" s="763" t="b">
        <f>IFERROR(__xludf.DUMMYFUNCTION("""COMPUTED_VALUE"""),TRUE)</f>
        <v>1</v>
      </c>
    </row>
    <row r="963">
      <c r="A963" s="763">
        <f>IFERROR(__xludf.DUMMYFUNCTION("""COMPUTED_VALUE"""),67929.0)</f>
        <v>67929</v>
      </c>
      <c r="B963" s="763">
        <f>IFERROR(__xludf.DUMMYFUNCTION("""COMPUTED_VALUE"""),67929.0)</f>
        <v>67929</v>
      </c>
      <c r="C963" s="763" t="str">
        <f>IFERROR(__xludf.DUMMYFUNCTION("""COMPUTED_VALUE"""),"2026-02-14 17:09:05")</f>
        <v>2026-02-14 17:09:05</v>
      </c>
      <c r="D963" s="763" t="str">
        <f>IFERROR(__xludf.DUMMYFUNCTION("""COMPUTED_VALUE"""),"completed")</f>
        <v>completed</v>
      </c>
      <c r="E963" s="763" t="str">
        <f>IFERROR(__xludf.DUMMYFUNCTION("""COMPUTED_VALUE"""),"Guillaume")</f>
        <v>Guillaume</v>
      </c>
      <c r="F963" s="763" t="str">
        <f>IFERROR(__xludf.DUMMYFUNCTION("""COMPUTED_VALUE"""),"Alabert")</f>
        <v>Alabert</v>
      </c>
      <c r="G963" s="763" t="str">
        <f>IFERROR(__xludf.DUMMYFUNCTION("""COMPUTED_VALUE"""),"valegui2017@gmail.com")</f>
        <v>valegui2017@gmail.com</v>
      </c>
      <c r="H963" s="763">
        <f>IFERROR(__xludf.DUMMYFUNCTION("""COMPUTED_VALUE"""),3.75696575E9)</f>
        <v>3756965750</v>
      </c>
      <c r="I963" s="763" t="str">
        <f>IFERROR(__xludf.DUMMYFUNCTION("""COMPUTED_VALUE"""),"Milano")</f>
        <v>Milano</v>
      </c>
      <c r="J963" s="763" t="str">
        <f>IFERROR(__xludf.DUMMYFUNCTION("""COMPUTED_VALUE"""),"Via Quadronno, 34")</f>
        <v>Via Quadronno, 34</v>
      </c>
      <c r="K963" s="763">
        <f>IFERROR(__xludf.DUMMYFUNCTION("""COMPUTED_VALUE"""),20122.0)</f>
        <v>20122</v>
      </c>
      <c r="L963" s="763" t="str">
        <f>IFERROR(__xludf.DUMMYFUNCTION("""COMPUTED_VALUE"""),"Carte di pagamento")</f>
        <v>Carte di pagamento</v>
      </c>
      <c r="M963" s="763" t="str">
        <f>IFERROR(__xludf.DUMMYFUNCTION("""COMPUTED_VALUE"""),"estefany05campus")</f>
        <v>estefany05campus</v>
      </c>
      <c r="N963" s="763" t="str">
        <f>IFERROR(__xludf.DUMMYFUNCTION("""COMPUTED_VALUE"""),"67929-1771088947")</f>
        <v>67929-1771088947</v>
      </c>
      <c r="O963" s="763">
        <f>IFERROR(__xludf.DUMMYFUNCTION("""COMPUTED_VALUE"""),0.0)</f>
        <v>0</v>
      </c>
      <c r="P963" s="767">
        <f>IFERROR(__xludf.DUMMYFUNCTION("""COMPUTED_VALUE"""),5.791666666666667)</f>
        <v>5.791666667</v>
      </c>
      <c r="Q963" s="763" t="str">
        <f>IFERROR(__xludf.DUMMYFUNCTION("""COMPUTED_VALUE"""),"EUR")</f>
        <v>EUR</v>
      </c>
      <c r="R963" s="763">
        <f>IFERROR(__xludf.DUMMYFUNCTION("""COMPUTED_VALUE"""),1708.0)</f>
        <v>1708</v>
      </c>
      <c r="S963" s="763" t="str">
        <f>IFERROR(__xludf.DUMMYFUNCTION("""COMPUTED_VALUE"""),"Campus estivo 2026 - Campus estivo 2 settimane")</f>
        <v>Campus estivo 2026 - Campus estivo 2 settimane</v>
      </c>
      <c r="T963" s="763"/>
      <c r="U963" s="763"/>
      <c r="V963" s="763">
        <f>IFERROR(__xludf.DUMMYFUNCTION("""COMPUTED_VALUE"""),1.0)</f>
        <v>1</v>
      </c>
      <c r="W963" s="763">
        <f>IFERROR(__xludf.DUMMYFUNCTION("""COMPUTED_VALUE"""),139.0)</f>
        <v>139</v>
      </c>
      <c r="X963" s="763">
        <f>IFERROR(__xludf.DUMMYFUNCTION("""COMPUTED_VALUE"""),139.0)</f>
        <v>139</v>
      </c>
      <c r="Y963" s="763" t="str">
        <f>IFERROR(__xludf.DUMMYFUNCTION("""COMPUTED_VALUE"""),"Iscrizione Eva Alabert")</f>
        <v>Iscrizione Eva Alabert</v>
      </c>
      <c r="Z963" s="768" t="str">
        <f>IFERROR(__xludf.DUMMYFUNCTION("""COMPUTED_VALUE"""),"https://studio-gem.it/wp-admin/post.php?post=67929&amp;action=edit")</f>
        <v>https://studio-gem.it/wp-admin/post.php?post=67929&amp;action=edit</v>
      </c>
      <c r="AA963" s="763"/>
      <c r="AB963" s="763"/>
      <c r="AC963" s="763"/>
      <c r="AD963" s="763"/>
      <c r="AE963" s="763"/>
      <c r="AF963" s="763"/>
      <c r="AG963" s="763"/>
      <c r="AH963" s="763"/>
      <c r="AI963" s="763"/>
      <c r="AJ963" s="763"/>
      <c r="AK963" s="763"/>
      <c r="AL963" s="763"/>
      <c r="AM963" s="763"/>
      <c r="AN963" s="763"/>
      <c r="AO963" s="763"/>
      <c r="AP963" s="763"/>
      <c r="AQ963" s="763"/>
      <c r="AR963" s="763"/>
      <c r="AS963" s="763"/>
      <c r="AT963" s="763"/>
      <c r="AU963" s="763"/>
      <c r="AV963" s="763"/>
      <c r="AW963" s="763"/>
      <c r="AX963" s="763"/>
      <c r="AY963" s="763"/>
      <c r="AZ963" s="763"/>
      <c r="BA963" s="763"/>
      <c r="BB963" s="763"/>
      <c r="BC963" s="763"/>
      <c r="BD963" s="763"/>
      <c r="BE963" s="763"/>
      <c r="BF963" s="763"/>
      <c r="BG963" s="763" t="b">
        <f>IFERROR(__xludf.DUMMYFUNCTION("""COMPUTED_VALUE"""),TRUE)</f>
        <v>1</v>
      </c>
      <c r="BH963" s="763" t="b">
        <f>IFERROR(__xludf.DUMMYFUNCTION("""COMPUTED_VALUE"""),FALSE)</f>
        <v>0</v>
      </c>
      <c r="BI963" s="763" t="b">
        <f>IFERROR(__xludf.DUMMYFUNCTION("""COMPUTED_VALUE"""),TRUE)</f>
        <v>1</v>
      </c>
      <c r="BJ963" s="763" t="b">
        <f>IFERROR(__xludf.DUMMYFUNCTION("""COMPUTED_VALUE"""),TRUE)</f>
        <v>1</v>
      </c>
    </row>
    <row r="964">
      <c r="A964" s="763">
        <f>IFERROR(__xludf.DUMMYFUNCTION("""COMPUTED_VALUE"""),67931.0)</f>
        <v>67931</v>
      </c>
      <c r="B964" s="763">
        <f>IFERROR(__xludf.DUMMYFUNCTION("""COMPUTED_VALUE"""),67931.0)</f>
        <v>67931</v>
      </c>
      <c r="C964" s="763" t="str">
        <f>IFERROR(__xludf.DUMMYFUNCTION("""COMPUTED_VALUE"""),"2026-02-14 17:22:28")</f>
        <v>2026-02-14 17:22:28</v>
      </c>
      <c r="D964" s="763" t="str">
        <f>IFERROR(__xludf.DUMMYFUNCTION("""COMPUTED_VALUE"""),"completed")</f>
        <v>completed</v>
      </c>
      <c r="E964" s="763" t="str">
        <f>IFERROR(__xludf.DUMMYFUNCTION("""COMPUTED_VALUE"""),"daniela")</f>
        <v>daniela</v>
      </c>
      <c r="F964" s="763" t="str">
        <f>IFERROR(__xludf.DUMMYFUNCTION("""COMPUTED_VALUE"""),"zipoli")</f>
        <v>zipoli</v>
      </c>
      <c r="G964" s="763" t="str">
        <f>IFERROR(__xludf.DUMMYFUNCTION("""COMPUTED_VALUE"""),"zipoli.daniela@gmail.com")</f>
        <v>zipoli.daniela@gmail.com</v>
      </c>
      <c r="H964" s="763">
        <f>IFERROR(__xludf.DUMMYFUNCTION("""COMPUTED_VALUE"""),3.476598369E9)</f>
        <v>3476598369</v>
      </c>
      <c r="I964" s="763" t="str">
        <f>IFERROR(__xludf.DUMMYFUNCTION("""COMPUTED_VALUE"""),"Cesano Boscone")</f>
        <v>Cesano Boscone</v>
      </c>
      <c r="J964" s="763" t="str">
        <f>IFERROR(__xludf.DUMMYFUNCTION("""COMPUTED_VALUE"""),"Bramante 6")</f>
        <v>Bramante 6</v>
      </c>
      <c r="K964" s="763">
        <f>IFERROR(__xludf.DUMMYFUNCTION("""COMPUTED_VALUE"""),20090.0)</f>
        <v>20090</v>
      </c>
      <c r="L964" s="763" t="str">
        <f>IFERROR(__xludf.DUMMYFUNCTION("""COMPUTED_VALUE"""),"Google Pay")</f>
        <v>Google Pay</v>
      </c>
      <c r="M964" s="763"/>
      <c r="N964" s="763" t="str">
        <f>IFERROR(__xludf.DUMMYFUNCTION("""COMPUTED_VALUE"""),"67931-1771089750")</f>
        <v>67931-1771089750</v>
      </c>
      <c r="O964" s="763">
        <f>IFERROR(__xludf.DUMMYFUNCTION("""COMPUTED_VALUE"""),0.0)</f>
        <v>0</v>
      </c>
      <c r="P964" s="767">
        <f>IFERROR(__xludf.DUMMYFUNCTION("""COMPUTED_VALUE"""),1.875)</f>
        <v>1.875</v>
      </c>
      <c r="Q964" s="763" t="str">
        <f>IFERROR(__xludf.DUMMYFUNCTION("""COMPUTED_VALUE"""),"EUR")</f>
        <v>EUR</v>
      </c>
      <c r="R964" s="763">
        <f>IFERROR(__xludf.DUMMYFUNCTION("""COMPUTED_VALUE"""),1710.0)</f>
        <v>1710</v>
      </c>
      <c r="S964" s="763" t="str">
        <f>IFERROR(__xludf.DUMMYFUNCTION("""COMPUTED_VALUE"""),"Workshop Hip Hop Emanuel Lo 2026 - Workshop Emanuel Lo h 16 22 febbraio 2026")</f>
        <v>Workshop Hip Hop Emanuel Lo 2026 - Workshop Emanuel Lo h 16 22 febbraio 2026</v>
      </c>
      <c r="T964" s="763"/>
      <c r="U964" s="763"/>
      <c r="V964" s="763">
        <f>IFERROR(__xludf.DUMMYFUNCTION("""COMPUTED_VALUE"""),1.0)</f>
        <v>1</v>
      </c>
      <c r="W964" s="763">
        <f>IFERROR(__xludf.DUMMYFUNCTION("""COMPUTED_VALUE"""),45.0)</f>
        <v>45</v>
      </c>
      <c r="X964" s="763">
        <f>IFERROR(__xludf.DUMMYFUNCTION("""COMPUTED_VALUE"""),45.0)</f>
        <v>45</v>
      </c>
      <c r="Y964" s="763"/>
      <c r="Z964" s="768" t="str">
        <f>IFERROR(__xludf.DUMMYFUNCTION("""COMPUTED_VALUE"""),"https://studio-gem.it/wp-admin/post.php?post=67931&amp;action=edit")</f>
        <v>https://studio-gem.it/wp-admin/post.php?post=67931&amp;action=edit</v>
      </c>
      <c r="AA964" s="763"/>
      <c r="AB964" s="763"/>
      <c r="AC964" s="763"/>
      <c r="AD964" s="763"/>
      <c r="AE964" s="763"/>
      <c r="AF964" s="763"/>
      <c r="AG964" s="763"/>
      <c r="AH964" s="763"/>
      <c r="AI964" s="763"/>
      <c r="AJ964" s="763"/>
      <c r="AK964" s="763"/>
      <c r="AL964" s="763"/>
      <c r="AM964" s="763"/>
      <c r="AN964" s="763"/>
      <c r="AO964" s="763"/>
      <c r="AP964" s="763"/>
      <c r="AQ964" s="763"/>
      <c r="AR964" s="763"/>
      <c r="AS964" s="763"/>
      <c r="AT964" s="763"/>
      <c r="AU964" s="763"/>
      <c r="AV964" s="763"/>
      <c r="AW964" s="763"/>
      <c r="AX964" s="763"/>
      <c r="AY964" s="763"/>
      <c r="AZ964" s="763"/>
      <c r="BA964" s="763"/>
      <c r="BB964" s="763"/>
      <c r="BC964" s="763"/>
      <c r="BD964" s="763"/>
      <c r="BE964" s="763"/>
      <c r="BF964" s="763"/>
      <c r="BG964" s="763" t="b">
        <f>IFERROR(__xludf.DUMMYFUNCTION("""COMPUTED_VALUE"""),TRUE)</f>
        <v>1</v>
      </c>
      <c r="BH964" s="763" t="b">
        <f>IFERROR(__xludf.DUMMYFUNCTION("""COMPUTED_VALUE"""),FALSE)</f>
        <v>0</v>
      </c>
      <c r="BI964" s="763" t="b">
        <f>IFERROR(__xludf.DUMMYFUNCTION("""COMPUTED_VALUE"""),TRUE)</f>
        <v>1</v>
      </c>
      <c r="BJ964" s="763" t="b">
        <f>IFERROR(__xludf.DUMMYFUNCTION("""COMPUTED_VALUE"""),TRUE)</f>
        <v>1</v>
      </c>
    </row>
    <row r="965">
      <c r="A965" s="763">
        <f>IFERROR(__xludf.DUMMYFUNCTION("""COMPUTED_VALUE"""),67933.0)</f>
        <v>67933</v>
      </c>
      <c r="B965" s="763">
        <f>IFERROR(__xludf.DUMMYFUNCTION("""COMPUTED_VALUE"""),67933.0)</f>
        <v>67933</v>
      </c>
      <c r="C965" s="763" t="str">
        <f>IFERROR(__xludf.DUMMYFUNCTION("""COMPUTED_VALUE"""),"2026-02-14 18:04:11")</f>
        <v>2026-02-14 18:04:11</v>
      </c>
      <c r="D965" s="763" t="str">
        <f>IFERROR(__xludf.DUMMYFUNCTION("""COMPUTED_VALUE"""),"completed")</f>
        <v>completed</v>
      </c>
      <c r="E965" s="763" t="str">
        <f>IFERROR(__xludf.DUMMYFUNCTION("""COMPUTED_VALUE"""),"veronica")</f>
        <v>veronica</v>
      </c>
      <c r="F965" s="763" t="str">
        <f>IFERROR(__xludf.DUMMYFUNCTION("""COMPUTED_VALUE"""),"Buonaiuto")</f>
        <v>Buonaiuto</v>
      </c>
      <c r="G965" s="763" t="str">
        <f>IFERROR(__xludf.DUMMYFUNCTION("""COMPUTED_VALUE"""),"veronicagoodhelp@gmail.com")</f>
        <v>veronicagoodhelp@gmail.com</v>
      </c>
      <c r="H965" s="763">
        <f>IFERROR(__xludf.DUMMYFUNCTION("""COMPUTED_VALUE"""),3.455839425E9)</f>
        <v>3455839425</v>
      </c>
      <c r="I965" s="763" t="str">
        <f>IFERROR(__xludf.DUMMYFUNCTION("""COMPUTED_VALUE"""),"BINASCO")</f>
        <v>BINASCO</v>
      </c>
      <c r="J965" s="763" t="str">
        <f>IFERROR(__xludf.DUMMYFUNCTION("""COMPUTED_VALUE"""),"Via pitagora 14")</f>
        <v>Via pitagora 14</v>
      </c>
      <c r="K965" s="763">
        <f>IFERROR(__xludf.DUMMYFUNCTION("""COMPUTED_VALUE"""),20082.0)</f>
        <v>20082</v>
      </c>
      <c r="L965" s="763" t="str">
        <f>IFERROR(__xludf.DUMMYFUNCTION("""COMPUTED_VALUE"""),"Apple Pay")</f>
        <v>Apple Pay</v>
      </c>
      <c r="M965" s="763"/>
      <c r="N965" s="763" t="str">
        <f>IFERROR(__xludf.DUMMYFUNCTION("""COMPUTED_VALUE"""),"67933-1771092253")</f>
        <v>67933-1771092253</v>
      </c>
      <c r="O965" s="763">
        <f>IFERROR(__xludf.DUMMYFUNCTION("""COMPUTED_VALUE"""),0.0)</f>
        <v>0</v>
      </c>
      <c r="P965" s="767">
        <f>IFERROR(__xludf.DUMMYFUNCTION("""COMPUTED_VALUE"""),1.875)</f>
        <v>1.875</v>
      </c>
      <c r="Q965" s="763" t="str">
        <f>IFERROR(__xludf.DUMMYFUNCTION("""COMPUTED_VALUE"""),"EUR")</f>
        <v>EUR</v>
      </c>
      <c r="R965" s="763">
        <f>IFERROR(__xludf.DUMMYFUNCTION("""COMPUTED_VALUE"""),1711.0)</f>
        <v>1711</v>
      </c>
      <c r="S965" s="763" t="str">
        <f>IFERROR(__xludf.DUMMYFUNCTION("""COMPUTED_VALUE"""),"Workshop Hip Hop Emanuel Lo 2026 - Workshop Emanuel Lo h 16 22 febbraio 2026")</f>
        <v>Workshop Hip Hop Emanuel Lo 2026 - Workshop Emanuel Lo h 16 22 febbraio 2026</v>
      </c>
      <c r="T965" s="763"/>
      <c r="U965" s="763"/>
      <c r="V965" s="763">
        <f>IFERROR(__xludf.DUMMYFUNCTION("""COMPUTED_VALUE"""),1.0)</f>
        <v>1</v>
      </c>
      <c r="W965" s="763">
        <f>IFERROR(__xludf.DUMMYFUNCTION("""COMPUTED_VALUE"""),45.0)</f>
        <v>45</v>
      </c>
      <c r="X965" s="763">
        <f>IFERROR(__xludf.DUMMYFUNCTION("""COMPUTED_VALUE"""),45.0)</f>
        <v>45</v>
      </c>
      <c r="Y965" s="763"/>
      <c r="Z965" s="768" t="str">
        <f>IFERROR(__xludf.DUMMYFUNCTION("""COMPUTED_VALUE"""),"https://studio-gem.it/wp-admin/post.php?post=67933&amp;action=edit")</f>
        <v>https://studio-gem.it/wp-admin/post.php?post=67933&amp;action=edit</v>
      </c>
      <c r="AA965" s="763"/>
      <c r="AB965" s="763"/>
      <c r="AC965" s="763"/>
      <c r="AD965" s="763"/>
      <c r="AE965" s="763"/>
      <c r="AF965" s="763"/>
      <c r="AG965" s="763"/>
      <c r="AH965" s="763"/>
      <c r="AI965" s="763"/>
      <c r="AJ965" s="763"/>
      <c r="AK965" s="763"/>
      <c r="AL965" s="763"/>
      <c r="AM965" s="763"/>
      <c r="AN965" s="763"/>
      <c r="AO965" s="763"/>
      <c r="AP965" s="763"/>
      <c r="AQ965" s="763"/>
      <c r="AR965" s="763"/>
      <c r="AS965" s="763"/>
      <c r="AT965" s="763"/>
      <c r="AU965" s="763"/>
      <c r="AV965" s="763"/>
      <c r="AW965" s="763"/>
      <c r="AX965" s="763"/>
      <c r="AY965" s="763"/>
      <c r="AZ965" s="763"/>
      <c r="BA965" s="763"/>
      <c r="BB965" s="763"/>
      <c r="BC965" s="763"/>
      <c r="BD965" s="763"/>
      <c r="BE965" s="763"/>
      <c r="BF965" s="763"/>
      <c r="BG965" s="763" t="b">
        <f>IFERROR(__xludf.DUMMYFUNCTION("""COMPUTED_VALUE"""),TRUE)</f>
        <v>1</v>
      </c>
      <c r="BH965" s="763" t="b">
        <f>IFERROR(__xludf.DUMMYFUNCTION("""COMPUTED_VALUE"""),FALSE)</f>
        <v>0</v>
      </c>
      <c r="BI965" s="763" t="b">
        <f>IFERROR(__xludf.DUMMYFUNCTION("""COMPUTED_VALUE"""),TRUE)</f>
        <v>1</v>
      </c>
      <c r="BJ965" s="763" t="b">
        <f>IFERROR(__xludf.DUMMYFUNCTION("""COMPUTED_VALUE"""),TRUE)</f>
        <v>1</v>
      </c>
    </row>
    <row r="966">
      <c r="A966" s="763">
        <f>IFERROR(__xludf.DUMMYFUNCTION("""COMPUTED_VALUE"""),67935.0)</f>
        <v>67935</v>
      </c>
      <c r="B966" s="763">
        <f>IFERROR(__xludf.DUMMYFUNCTION("""COMPUTED_VALUE"""),67935.0)</f>
        <v>67935</v>
      </c>
      <c r="C966" s="763" t="str">
        <f>IFERROR(__xludf.DUMMYFUNCTION("""COMPUTED_VALUE"""),"2026-02-14 19:42:40")</f>
        <v>2026-02-14 19:42:40</v>
      </c>
      <c r="D966" s="763" t="str">
        <f>IFERROR(__xludf.DUMMYFUNCTION("""COMPUTED_VALUE"""),"completed")</f>
        <v>completed</v>
      </c>
      <c r="E966" s="763" t="str">
        <f>IFERROR(__xludf.DUMMYFUNCTION("""COMPUTED_VALUE"""),"Guillaume")</f>
        <v>Guillaume</v>
      </c>
      <c r="F966" s="763" t="str">
        <f>IFERROR(__xludf.DUMMYFUNCTION("""COMPUTED_VALUE"""),"Alabert")</f>
        <v>Alabert</v>
      </c>
      <c r="G966" s="763" t="str">
        <f>IFERROR(__xludf.DUMMYFUNCTION("""COMPUTED_VALUE"""),"valegui2017@gmail.com")</f>
        <v>valegui2017@gmail.com</v>
      </c>
      <c r="H966" s="763">
        <f>IFERROR(__xludf.DUMMYFUNCTION("""COMPUTED_VALUE"""),3.75696575E9)</f>
        <v>3756965750</v>
      </c>
      <c r="I966" s="763" t="str">
        <f>IFERROR(__xludf.DUMMYFUNCTION("""COMPUTED_VALUE"""),"Milano")</f>
        <v>Milano</v>
      </c>
      <c r="J966" s="763" t="str">
        <f>IFERROR(__xludf.DUMMYFUNCTION("""COMPUTED_VALUE"""),"Via Quadronno, 34")</f>
        <v>Via Quadronno, 34</v>
      </c>
      <c r="K966" s="763">
        <f>IFERROR(__xludf.DUMMYFUNCTION("""COMPUTED_VALUE"""),20122.0)</f>
        <v>20122</v>
      </c>
      <c r="L966" s="763" t="str">
        <f>IFERROR(__xludf.DUMMYFUNCTION("""COMPUTED_VALUE"""),"Carte di pagamento")</f>
        <v>Carte di pagamento</v>
      </c>
      <c r="M966" s="763"/>
      <c r="N966" s="763" t="str">
        <f>IFERROR(__xludf.DUMMYFUNCTION("""COMPUTED_VALUE"""),"67935-1771098162")</f>
        <v>67935-1771098162</v>
      </c>
      <c r="O966" s="763">
        <f>IFERROR(__xludf.DUMMYFUNCTION("""COMPUTED_VALUE"""),0.0)</f>
        <v>0</v>
      </c>
      <c r="P966" s="767">
        <f>IFERROR(__xludf.DUMMYFUNCTION("""COMPUTED_VALUE"""),6.0)</f>
        <v>6</v>
      </c>
      <c r="Q966" s="763" t="str">
        <f>IFERROR(__xludf.DUMMYFUNCTION("""COMPUTED_VALUE"""),"EUR")</f>
        <v>EUR</v>
      </c>
      <c r="R966" s="763">
        <f>IFERROR(__xludf.DUMMYFUNCTION("""COMPUTED_VALUE"""),1712.0)</f>
        <v>1712</v>
      </c>
      <c r="S966" s="763" t="str">
        <f>IFERROR(__xludf.DUMMYFUNCTION("""COMPUTED_VALUE"""),"Campus estivo 2026 - Campus estivo 2 settimane")</f>
        <v>Campus estivo 2026 - Campus estivo 2 settimane</v>
      </c>
      <c r="T966" s="763"/>
      <c r="U966" s="763"/>
      <c r="V966" s="763">
        <f>IFERROR(__xludf.DUMMYFUNCTION("""COMPUTED_VALUE"""),1.0)</f>
        <v>1</v>
      </c>
      <c r="W966" s="763">
        <f>IFERROR(__xludf.DUMMYFUNCTION("""COMPUTED_VALUE"""),144.0)</f>
        <v>144</v>
      </c>
      <c r="X966" s="763">
        <f>IFERROR(__xludf.DUMMYFUNCTION("""COMPUTED_VALUE"""),144.0)</f>
        <v>144</v>
      </c>
      <c r="Y966" s="763"/>
      <c r="Z966" s="768" t="str">
        <f>IFERROR(__xludf.DUMMYFUNCTION("""COMPUTED_VALUE"""),"https://studio-gem.it/wp-admin/post.php?post=67935&amp;action=edit")</f>
        <v>https://studio-gem.it/wp-admin/post.php?post=67935&amp;action=edit</v>
      </c>
      <c r="AA966" s="763"/>
      <c r="AB966" s="763"/>
      <c r="AC966" s="763"/>
      <c r="AD966" s="763"/>
      <c r="AE966" s="763"/>
      <c r="AF966" s="763"/>
      <c r="AG966" s="763"/>
      <c r="AH966" s="763"/>
      <c r="AI966" s="763"/>
      <c r="AJ966" s="763"/>
      <c r="AK966" s="763"/>
      <c r="AL966" s="763"/>
      <c r="AM966" s="763"/>
      <c r="AN966" s="763"/>
      <c r="AO966" s="763"/>
      <c r="AP966" s="763"/>
      <c r="AQ966" s="763"/>
      <c r="AR966" s="763"/>
      <c r="AS966" s="763"/>
      <c r="AT966" s="763"/>
      <c r="AU966" s="763"/>
      <c r="AV966" s="763"/>
      <c r="AW966" s="763"/>
      <c r="AX966" s="763"/>
      <c r="AY966" s="763"/>
      <c r="AZ966" s="763"/>
      <c r="BA966" s="763"/>
      <c r="BB966" s="763"/>
      <c r="BC966" s="763"/>
      <c r="BD966" s="763"/>
      <c r="BE966" s="763"/>
      <c r="BF966" s="763"/>
      <c r="BG966" s="763" t="b">
        <f>IFERROR(__xludf.DUMMYFUNCTION("""COMPUTED_VALUE"""),TRUE)</f>
        <v>1</v>
      </c>
      <c r="BH966" s="763" t="b">
        <f>IFERROR(__xludf.DUMMYFUNCTION("""COMPUTED_VALUE"""),FALSE)</f>
        <v>0</v>
      </c>
      <c r="BI966" s="763" t="b">
        <f>IFERROR(__xludf.DUMMYFUNCTION("""COMPUTED_VALUE"""),TRUE)</f>
        <v>1</v>
      </c>
      <c r="BJ966" s="763" t="b">
        <f>IFERROR(__xludf.DUMMYFUNCTION("""COMPUTED_VALUE"""),TRUE)</f>
        <v>1</v>
      </c>
    </row>
    <row r="967">
      <c r="A967" s="763">
        <f>IFERROR(__xludf.DUMMYFUNCTION("""COMPUTED_VALUE"""),67937.0)</f>
        <v>67937</v>
      </c>
      <c r="B967" s="763">
        <f>IFERROR(__xludf.DUMMYFUNCTION("""COMPUTED_VALUE"""),67937.0)</f>
        <v>67937</v>
      </c>
      <c r="C967" s="763" t="str">
        <f>IFERROR(__xludf.DUMMYFUNCTION("""COMPUTED_VALUE"""),"2026-02-14 19:48:41")</f>
        <v>2026-02-14 19:48:41</v>
      </c>
      <c r="D967" s="763" t="str">
        <f>IFERROR(__xludf.DUMMYFUNCTION("""COMPUTED_VALUE"""),"processing")</f>
        <v>processing</v>
      </c>
      <c r="E967" s="763" t="str">
        <f>IFERROR(__xludf.DUMMYFUNCTION("""COMPUTED_VALUE"""),"giuseppe")</f>
        <v>giuseppe</v>
      </c>
      <c r="F967" s="763" t="str">
        <f>IFERROR(__xludf.DUMMYFUNCTION("""COMPUTED_VALUE"""),"eleuteri")</f>
        <v>eleuteri</v>
      </c>
      <c r="G967" s="763" t="str">
        <f>IFERROR(__xludf.DUMMYFUNCTION("""COMPUTED_VALUE"""),"giulia.eleuteri06@gmail.com")</f>
        <v>giulia.eleuteri06@gmail.com</v>
      </c>
      <c r="H967" s="763">
        <f>IFERROR(__xludf.DUMMYFUNCTION("""COMPUTED_VALUE"""),3.486480889E9)</f>
        <v>3486480889</v>
      </c>
      <c r="I967" s="763" t="str">
        <f>IFERROR(__xludf.DUMMYFUNCTION("""COMPUTED_VALUE"""),"casalecchio di reno")</f>
        <v>casalecchio di reno</v>
      </c>
      <c r="J967" s="763" t="str">
        <f>IFERROR(__xludf.DUMMYFUNCTION("""COMPUTED_VALUE"""),"via porrettana 446")</f>
        <v>via porrettana 446</v>
      </c>
      <c r="K967" s="763">
        <f>IFERROR(__xludf.DUMMYFUNCTION("""COMPUTED_VALUE"""),40033.0)</f>
        <v>40033</v>
      </c>
      <c r="L967" s="763" t="str">
        <f>IFERROR(__xludf.DUMMYFUNCTION("""COMPUTED_VALUE"""),"Carte di pagamento")</f>
        <v>Carte di pagamento</v>
      </c>
      <c r="M967" s="763"/>
      <c r="N967" s="763" t="str">
        <f>IFERROR(__xludf.DUMMYFUNCTION("""COMPUTED_VALUE"""),"67937-1771099062")</f>
        <v>67937-1771099062</v>
      </c>
      <c r="O967" s="763">
        <f>IFERROR(__xludf.DUMMYFUNCTION("""COMPUTED_VALUE"""),0.0)</f>
        <v>0</v>
      </c>
      <c r="P967" s="767">
        <f>IFERROR(__xludf.DUMMYFUNCTION("""COMPUTED_VALUE"""),1.3333333333333333)</f>
        <v>1.333333333</v>
      </c>
      <c r="Q967" s="763" t="str">
        <f>IFERROR(__xludf.DUMMYFUNCTION("""COMPUTED_VALUE"""),"EUR")</f>
        <v>EUR</v>
      </c>
      <c r="R967" s="763">
        <f>IFERROR(__xludf.DUMMYFUNCTION("""COMPUTED_VALUE"""),1713.0)</f>
        <v>1713</v>
      </c>
      <c r="S967" s="763" t="str">
        <f>IFERROR(__xludf.DUMMYFUNCTION("""COMPUTED_VALUE"""),"Un dia en Cuba 2026 - Un dia en Cuba 2026")</f>
        <v>Un dia en Cuba 2026 - Un dia en Cuba 2026</v>
      </c>
      <c r="T967" s="763"/>
      <c r="U967" s="763"/>
      <c r="V967" s="763">
        <f>IFERROR(__xludf.DUMMYFUNCTION("""COMPUTED_VALUE"""),1.0)</f>
        <v>1</v>
      </c>
      <c r="W967" s="763">
        <f>IFERROR(__xludf.DUMMYFUNCTION("""COMPUTED_VALUE"""),32.0)</f>
        <v>32</v>
      </c>
      <c r="X967" s="763">
        <f>IFERROR(__xludf.DUMMYFUNCTION("""COMPUTED_VALUE"""),32.0)</f>
        <v>32</v>
      </c>
      <c r="Y967" s="763"/>
      <c r="Z967" s="768" t="str">
        <f>IFERROR(__xludf.DUMMYFUNCTION("""COMPUTED_VALUE"""),"https://studio-gem.it/wp-admin/post.php?post=67937&amp;action=edit")</f>
        <v>https://studio-gem.it/wp-admin/post.php?post=67937&amp;action=edit</v>
      </c>
      <c r="AA967" s="763"/>
      <c r="AB967" s="763"/>
      <c r="AC967" s="763"/>
      <c r="AD967" s="763"/>
      <c r="AE967" s="763"/>
      <c r="AF967" s="763"/>
      <c r="AG967" s="763"/>
      <c r="AH967" s="763"/>
      <c r="AI967" s="763"/>
      <c r="AJ967" s="763"/>
      <c r="AK967" s="763"/>
      <c r="AL967" s="763"/>
      <c r="AM967" s="763"/>
      <c r="AN967" s="763"/>
      <c r="AO967" s="763"/>
      <c r="AP967" s="763"/>
      <c r="AQ967" s="763"/>
      <c r="AR967" s="763"/>
      <c r="AS967" s="763"/>
      <c r="AT967" s="763"/>
      <c r="AU967" s="763"/>
      <c r="AV967" s="763"/>
      <c r="AW967" s="763"/>
      <c r="AX967" s="763"/>
      <c r="AY967" s="763"/>
      <c r="AZ967" s="763"/>
      <c r="BA967" s="763"/>
      <c r="BB967" s="763"/>
      <c r="BC967" s="763"/>
      <c r="BD967" s="763"/>
      <c r="BE967" s="763"/>
      <c r="BF967" s="763"/>
      <c r="BG967" s="763" t="b">
        <f>IFERROR(__xludf.DUMMYFUNCTION("""COMPUTED_VALUE"""),TRUE)</f>
        <v>1</v>
      </c>
      <c r="BH967" s="763" t="b">
        <f>IFERROR(__xludf.DUMMYFUNCTION("""COMPUTED_VALUE"""),FALSE)</f>
        <v>0</v>
      </c>
      <c r="BI967" s="763" t="b">
        <f>IFERROR(__xludf.DUMMYFUNCTION("""COMPUTED_VALUE"""),TRUE)</f>
        <v>1</v>
      </c>
      <c r="BJ967" s="763" t="b">
        <f>IFERROR(__xludf.DUMMYFUNCTION("""COMPUTED_VALUE"""),TRUE)</f>
        <v>1</v>
      </c>
    </row>
    <row r="968">
      <c r="A968" s="763">
        <f>IFERROR(__xludf.DUMMYFUNCTION("""COMPUTED_VALUE"""),67938.0)</f>
        <v>67938</v>
      </c>
      <c r="B968" s="763">
        <f>IFERROR(__xludf.DUMMYFUNCTION("""COMPUTED_VALUE"""),67938.0)</f>
        <v>67938</v>
      </c>
      <c r="C968" s="763" t="str">
        <f>IFERROR(__xludf.DUMMYFUNCTION("""COMPUTED_VALUE"""),"2026-02-14 19:54:33")</f>
        <v>2026-02-14 19:54:33</v>
      </c>
      <c r="D968" s="763" t="str">
        <f>IFERROR(__xludf.DUMMYFUNCTION("""COMPUTED_VALUE"""),"cancelled")</f>
        <v>cancelled</v>
      </c>
      <c r="E968" s="763" t="str">
        <f>IFERROR(__xludf.DUMMYFUNCTION("""COMPUTED_VALUE"""),"Giuseppe")</f>
        <v>Giuseppe</v>
      </c>
      <c r="F968" s="763" t="str">
        <f>IFERROR(__xludf.DUMMYFUNCTION("""COMPUTED_VALUE"""),"Eleuteri")</f>
        <v>Eleuteri</v>
      </c>
      <c r="G968" s="763" t="str">
        <f>IFERROR(__xludf.DUMMYFUNCTION("""COMPUTED_VALUE"""),"giulia.eleuteri06@gmail.com")</f>
        <v>giulia.eleuteri06@gmail.com</v>
      </c>
      <c r="H968" s="763">
        <f>IFERROR(__xludf.DUMMYFUNCTION("""COMPUTED_VALUE"""),3.486480889E9)</f>
        <v>3486480889</v>
      </c>
      <c r="I968" s="763" t="str">
        <f>IFERROR(__xludf.DUMMYFUNCTION("""COMPUTED_VALUE"""),"Casalecchio di reno")</f>
        <v>Casalecchio di reno</v>
      </c>
      <c r="J968" s="763" t="str">
        <f>IFERROR(__xludf.DUMMYFUNCTION("""COMPUTED_VALUE"""),"Via porrettana 446")</f>
        <v>Via porrettana 446</v>
      </c>
      <c r="K968" s="763">
        <f>IFERROR(__xludf.DUMMYFUNCTION("""COMPUTED_VALUE"""),40032.0)</f>
        <v>40032</v>
      </c>
      <c r="L968" s="763" t="str">
        <f>IFERROR(__xludf.DUMMYFUNCTION("""COMPUTED_VALUE"""),"Carte di pagamento")</f>
        <v>Carte di pagamento</v>
      </c>
      <c r="M968" s="763"/>
      <c r="N968" s="763"/>
      <c r="O968" s="763">
        <f>IFERROR(__xludf.DUMMYFUNCTION("""COMPUTED_VALUE"""),0.0)</f>
        <v>0</v>
      </c>
      <c r="P968" s="767">
        <f>IFERROR(__xludf.DUMMYFUNCTION("""COMPUTED_VALUE"""),1.3333333333333333)</f>
        <v>1.333333333</v>
      </c>
      <c r="Q968" s="763" t="str">
        <f>IFERROR(__xludf.DUMMYFUNCTION("""COMPUTED_VALUE"""),"EUR")</f>
        <v>EUR</v>
      </c>
      <c r="R968" s="763">
        <f>IFERROR(__xludf.DUMMYFUNCTION("""COMPUTED_VALUE"""),1714.0)</f>
        <v>1714</v>
      </c>
      <c r="S968" s="763" t="str">
        <f>IFERROR(__xludf.DUMMYFUNCTION("""COMPUTED_VALUE"""),"Un dia en Cuba 2026 - Un dia en Cuba 2026")</f>
        <v>Un dia en Cuba 2026 - Un dia en Cuba 2026</v>
      </c>
      <c r="T968" s="763"/>
      <c r="U968" s="763"/>
      <c r="V968" s="763">
        <f>IFERROR(__xludf.DUMMYFUNCTION("""COMPUTED_VALUE"""),1.0)</f>
        <v>1</v>
      </c>
      <c r="W968" s="763">
        <f>IFERROR(__xludf.DUMMYFUNCTION("""COMPUTED_VALUE"""),32.0)</f>
        <v>32</v>
      </c>
      <c r="X968" s="763">
        <f>IFERROR(__xludf.DUMMYFUNCTION("""COMPUTED_VALUE"""),32.0)</f>
        <v>32</v>
      </c>
      <c r="Y968" s="763"/>
      <c r="Z968" s="768" t="str">
        <f>IFERROR(__xludf.DUMMYFUNCTION("""COMPUTED_VALUE"""),"https://studio-gem.it/wp-admin/post.php?post=67938&amp;action=edit")</f>
        <v>https://studio-gem.it/wp-admin/post.php?post=67938&amp;action=edit</v>
      </c>
      <c r="AA968" s="763"/>
      <c r="AB968" s="763"/>
      <c r="AC968" s="763"/>
      <c r="AD968" s="763"/>
      <c r="AE968" s="763"/>
      <c r="AF968" s="763"/>
      <c r="AG968" s="763"/>
      <c r="AH968" s="763"/>
      <c r="AI968" s="763"/>
      <c r="AJ968" s="763"/>
      <c r="AK968" s="763"/>
      <c r="AL968" s="763"/>
      <c r="AM968" s="763"/>
      <c r="AN968" s="763"/>
      <c r="AO968" s="763"/>
      <c r="AP968" s="763"/>
      <c r="AQ968" s="763"/>
      <c r="AR968" s="763"/>
      <c r="AS968" s="763"/>
      <c r="AT968" s="763"/>
      <c r="AU968" s="763"/>
      <c r="AV968" s="763"/>
      <c r="AW968" s="763"/>
      <c r="AX968" s="763"/>
      <c r="AY968" s="763"/>
      <c r="AZ968" s="763"/>
      <c r="BA968" s="763"/>
      <c r="BB968" s="763"/>
      <c r="BC968" s="763"/>
      <c r="BD968" s="763"/>
      <c r="BE968" s="763"/>
      <c r="BF968" s="763"/>
      <c r="BG968" s="763" t="b">
        <f>IFERROR(__xludf.DUMMYFUNCTION("""COMPUTED_VALUE"""),FALSE)</f>
        <v>0</v>
      </c>
      <c r="BH968" s="763" t="b">
        <f>IFERROR(__xludf.DUMMYFUNCTION("""COMPUTED_VALUE"""),FALSE)</f>
        <v>0</v>
      </c>
      <c r="BI968" s="763" t="b">
        <f>IFERROR(__xludf.DUMMYFUNCTION("""COMPUTED_VALUE"""),FALSE)</f>
        <v>0</v>
      </c>
      <c r="BJ968" s="763" t="b">
        <f>IFERROR(__xludf.DUMMYFUNCTION("""COMPUTED_VALUE"""),FALSE)</f>
        <v>0</v>
      </c>
    </row>
    <row r="969">
      <c r="A969" s="763">
        <f>IFERROR(__xludf.DUMMYFUNCTION("""COMPUTED_VALUE"""),67939.0)</f>
        <v>67939</v>
      </c>
      <c r="B969" s="763">
        <f>IFERROR(__xludf.DUMMYFUNCTION("""COMPUTED_VALUE"""),67939.0)</f>
        <v>67939</v>
      </c>
      <c r="C969" s="763" t="str">
        <f>IFERROR(__xludf.DUMMYFUNCTION("""COMPUTED_VALUE"""),"2026-02-14 22:20:21")</f>
        <v>2026-02-14 22:20:21</v>
      </c>
      <c r="D969" s="763" t="str">
        <f>IFERROR(__xludf.DUMMYFUNCTION("""COMPUTED_VALUE"""),"processing")</f>
        <v>processing</v>
      </c>
      <c r="E969" s="763" t="str">
        <f>IFERROR(__xludf.DUMMYFUNCTION("""COMPUTED_VALUE"""),"Giulia")</f>
        <v>Giulia</v>
      </c>
      <c r="F969" s="763" t="str">
        <f>IFERROR(__xludf.DUMMYFUNCTION("""COMPUTED_VALUE"""),"Piva")</f>
        <v>Piva</v>
      </c>
      <c r="G969" s="763" t="str">
        <f>IFERROR(__xludf.DUMMYFUNCTION("""COMPUTED_VALUE"""),"giulia.piva2024@gmail.com")</f>
        <v>giulia.piva2024@gmail.com</v>
      </c>
      <c r="H969" s="763">
        <f>IFERROR(__xludf.DUMMYFUNCTION("""COMPUTED_VALUE"""),3.337184341E9)</f>
        <v>3337184341</v>
      </c>
      <c r="I969" s="763" t="str">
        <f>IFERROR(__xludf.DUMMYFUNCTION("""COMPUTED_VALUE"""),"san donato milanese")</f>
        <v>san donato milanese</v>
      </c>
      <c r="J969" s="763" t="str">
        <f>IFERROR(__xludf.DUMMYFUNCTION("""COMPUTED_VALUE"""),"via don minzoni 38")</f>
        <v>via don minzoni 38</v>
      </c>
      <c r="K969" s="763">
        <f>IFERROR(__xludf.DUMMYFUNCTION("""COMPUTED_VALUE"""),20097.0)</f>
        <v>20097</v>
      </c>
      <c r="L969" s="763" t="str">
        <f>IFERROR(__xludf.DUMMYFUNCTION("""COMPUTED_VALUE"""),"Carte di pagamento")</f>
        <v>Carte di pagamento</v>
      </c>
      <c r="M969" s="763" t="str">
        <f>IFERROR(__xludf.DUMMYFUNCTION("""COMPUTED_VALUE"""),"nura02ws")</f>
        <v>nura02ws</v>
      </c>
      <c r="N969" s="763" t="str">
        <f>IFERROR(__xludf.DUMMYFUNCTION("""COMPUTED_VALUE"""),"67939-1771107668")</f>
        <v>67939-1771107668</v>
      </c>
      <c r="O969" s="763">
        <f>IFERROR(__xludf.DUMMYFUNCTION("""COMPUTED_VALUE"""),0.0)</f>
        <v>0</v>
      </c>
      <c r="P969" s="767">
        <f>IFERROR(__xludf.DUMMYFUNCTION("""COMPUTED_VALUE"""),0.8333333333333334)</f>
        <v>0.8333333333</v>
      </c>
      <c r="Q969" s="763" t="str">
        <f>IFERROR(__xludf.DUMMYFUNCTION("""COMPUTED_VALUE"""),"EUR")</f>
        <v>EUR</v>
      </c>
      <c r="R969" s="763">
        <f>IFERROR(__xludf.DUMMYFUNCTION("""COMPUTED_VALUE"""),1715.0)</f>
        <v>1715</v>
      </c>
      <c r="S969" s="763" t="str">
        <f>IFERROR(__xludf.DUMMYFUNCTION("""COMPUTED_VALUE"""),"Open class Heels con Anahita 2026 - Open class Heels con Anahita 2026")</f>
        <v>Open class Heels con Anahita 2026 - Open class Heels con Anahita 2026</v>
      </c>
      <c r="T969" s="763"/>
      <c r="U969" s="763"/>
      <c r="V969" s="763">
        <f>IFERROR(__xludf.DUMMYFUNCTION("""COMPUTED_VALUE"""),1.0)</f>
        <v>1</v>
      </c>
      <c r="W969" s="763">
        <f>IFERROR(__xludf.DUMMYFUNCTION("""COMPUTED_VALUE"""),20.0)</f>
        <v>20</v>
      </c>
      <c r="X969" s="763">
        <f>IFERROR(__xludf.DUMMYFUNCTION("""COMPUTED_VALUE"""),20.0)</f>
        <v>20</v>
      </c>
      <c r="Y969" s="763"/>
      <c r="Z969" s="768" t="str">
        <f>IFERROR(__xludf.DUMMYFUNCTION("""COMPUTED_VALUE"""),"https://studio-gem.it/wp-admin/post.php?post=67939&amp;action=edit")</f>
        <v>https://studio-gem.it/wp-admin/post.php?post=67939&amp;action=edit</v>
      </c>
      <c r="AA969" s="763"/>
      <c r="AB969" s="763"/>
      <c r="AC969" s="763"/>
      <c r="AD969" s="763"/>
      <c r="AE969" s="763"/>
      <c r="AF969" s="763"/>
      <c r="AG969" s="763"/>
      <c r="AH969" s="763"/>
      <c r="AI969" s="763"/>
      <c r="AJ969" s="763"/>
      <c r="AK969" s="763"/>
      <c r="AL969" s="763"/>
      <c r="AM969" s="763"/>
      <c r="AN969" s="763"/>
      <c r="AO969" s="763"/>
      <c r="AP969" s="763"/>
      <c r="AQ969" s="763"/>
      <c r="AR969" s="763"/>
      <c r="AS969" s="763"/>
      <c r="AT969" s="763"/>
      <c r="AU969" s="763"/>
      <c r="AV969" s="763"/>
      <c r="AW969" s="763"/>
      <c r="AX969" s="763"/>
      <c r="AY969" s="763"/>
      <c r="AZ969" s="763"/>
      <c r="BA969" s="763"/>
      <c r="BB969" s="763"/>
      <c r="BC969" s="763"/>
      <c r="BD969" s="763"/>
      <c r="BE969" s="763"/>
      <c r="BF969" s="763"/>
      <c r="BG969" s="763" t="b">
        <f>IFERROR(__xludf.DUMMYFUNCTION("""COMPUTED_VALUE"""),TRUE)</f>
        <v>1</v>
      </c>
      <c r="BH969" s="763" t="b">
        <f>IFERROR(__xludf.DUMMYFUNCTION("""COMPUTED_VALUE"""),FALSE)</f>
        <v>0</v>
      </c>
      <c r="BI969" s="763" t="b">
        <f>IFERROR(__xludf.DUMMYFUNCTION("""COMPUTED_VALUE"""),TRUE)</f>
        <v>1</v>
      </c>
      <c r="BJ969" s="763" t="b">
        <f>IFERROR(__xludf.DUMMYFUNCTION("""COMPUTED_VALUE"""),TRUE)</f>
        <v>1</v>
      </c>
    </row>
    <row r="970">
      <c r="A970" s="763">
        <f>IFERROR(__xludf.DUMMYFUNCTION("""COMPUTED_VALUE"""),67940.0)</f>
        <v>67940</v>
      </c>
      <c r="B970" s="763">
        <f>IFERROR(__xludf.DUMMYFUNCTION("""COMPUTED_VALUE"""),67940.0)</f>
        <v>67940</v>
      </c>
      <c r="C970" s="763" t="str">
        <f>IFERROR(__xludf.DUMMYFUNCTION("""COMPUTED_VALUE"""),"2026-02-15 11:41:59")</f>
        <v>2026-02-15 11:41:59</v>
      </c>
      <c r="D970" s="763" t="str">
        <f>IFERROR(__xludf.DUMMYFUNCTION("""COMPUTED_VALUE"""),"completed")</f>
        <v>completed</v>
      </c>
      <c r="E970" s="763" t="str">
        <f>IFERROR(__xludf.DUMMYFUNCTION("""COMPUTED_VALUE"""),"Matteo")</f>
        <v>Matteo</v>
      </c>
      <c r="F970" s="763" t="str">
        <f>IFERROR(__xludf.DUMMYFUNCTION("""COMPUTED_VALUE"""),"Lo Manto")</f>
        <v>Lo Manto</v>
      </c>
      <c r="G970" s="763" t="str">
        <f>IFERROR(__xludf.DUMMYFUNCTION("""COMPUTED_VALUE"""),"mat.lomanto@gmail.com")</f>
        <v>mat.lomanto@gmail.com</v>
      </c>
      <c r="H970" s="763">
        <f>IFERROR(__xludf.DUMMYFUNCTION("""COMPUTED_VALUE"""),3.48726671E9)</f>
        <v>3487266710</v>
      </c>
      <c r="I970" s="763" t="str">
        <f>IFERROR(__xludf.DUMMYFUNCTION("""COMPUTED_VALUE"""),"Milano")</f>
        <v>Milano</v>
      </c>
      <c r="J970" s="763" t="str">
        <f>IFERROR(__xludf.DUMMYFUNCTION("""COMPUTED_VALUE"""),"San Martino 15")</f>
        <v>San Martino 15</v>
      </c>
      <c r="K970" s="763">
        <f>IFERROR(__xludf.DUMMYFUNCTION("""COMPUTED_VALUE"""),20122.0)</f>
        <v>20122</v>
      </c>
      <c r="L970" s="763" t="str">
        <f>IFERROR(__xludf.DUMMYFUNCTION("""COMPUTED_VALUE"""),"Carte di pagamento")</f>
        <v>Carte di pagamento</v>
      </c>
      <c r="M970" s="763" t="str">
        <f>IFERROR(__xludf.DUMMYFUNCTION("""COMPUTED_VALUE"""),"alexandra05campus")</f>
        <v>alexandra05campus</v>
      </c>
      <c r="N970" s="763" t="str">
        <f>IFERROR(__xludf.DUMMYFUNCTION("""COMPUTED_VALUE"""),"67940-1771155721")</f>
        <v>67940-1771155721</v>
      </c>
      <c r="O970" s="763">
        <f>IFERROR(__xludf.DUMMYFUNCTION("""COMPUTED_VALUE"""),0.0)</f>
        <v>0</v>
      </c>
      <c r="P970" s="767">
        <f>IFERROR(__xludf.DUMMYFUNCTION("""COMPUTED_VALUE"""),5.791666666666667)</f>
        <v>5.791666667</v>
      </c>
      <c r="Q970" s="763" t="str">
        <f>IFERROR(__xludf.DUMMYFUNCTION("""COMPUTED_VALUE"""),"EUR")</f>
        <v>EUR</v>
      </c>
      <c r="R970" s="763">
        <f>IFERROR(__xludf.DUMMYFUNCTION("""COMPUTED_VALUE"""),1717.0)</f>
        <v>1717</v>
      </c>
      <c r="S970" s="763" t="str">
        <f>IFERROR(__xludf.DUMMYFUNCTION("""COMPUTED_VALUE"""),"Campus estivo 2026 - Campus estivo 2 settimane")</f>
        <v>Campus estivo 2026 - Campus estivo 2 settimane</v>
      </c>
      <c r="T970" s="763"/>
      <c r="U970" s="763"/>
      <c r="V970" s="763">
        <f>IFERROR(__xludf.DUMMYFUNCTION("""COMPUTED_VALUE"""),1.0)</f>
        <v>1</v>
      </c>
      <c r="W970" s="763">
        <f>IFERROR(__xludf.DUMMYFUNCTION("""COMPUTED_VALUE"""),139.0)</f>
        <v>139</v>
      </c>
      <c r="X970" s="763">
        <f>IFERROR(__xludf.DUMMYFUNCTION("""COMPUTED_VALUE"""),139.0)</f>
        <v>139</v>
      </c>
      <c r="Y970" s="763"/>
      <c r="Z970" s="768" t="str">
        <f>IFERROR(__xludf.DUMMYFUNCTION("""COMPUTED_VALUE"""),"https://studio-gem.it/wp-admin/post.php?post=67940&amp;action=edit")</f>
        <v>https://studio-gem.it/wp-admin/post.php?post=67940&amp;action=edit</v>
      </c>
      <c r="AA970" s="763"/>
      <c r="AB970" s="763"/>
      <c r="AC970" s="763"/>
      <c r="AD970" s="763"/>
      <c r="AE970" s="763"/>
      <c r="AF970" s="763"/>
      <c r="AG970" s="763"/>
      <c r="AH970" s="763"/>
      <c r="AI970" s="763"/>
      <c r="AJ970" s="763"/>
      <c r="AK970" s="763"/>
      <c r="AL970" s="763"/>
      <c r="AM970" s="763"/>
      <c r="AN970" s="763"/>
      <c r="AO970" s="763"/>
      <c r="AP970" s="763"/>
      <c r="AQ970" s="763"/>
      <c r="AR970" s="763"/>
      <c r="AS970" s="763"/>
      <c r="AT970" s="763"/>
      <c r="AU970" s="763"/>
      <c r="AV970" s="763"/>
      <c r="AW970" s="763"/>
      <c r="AX970" s="763"/>
      <c r="AY970" s="763"/>
      <c r="AZ970" s="763"/>
      <c r="BA970" s="763"/>
      <c r="BB970" s="763"/>
      <c r="BC970" s="763"/>
      <c r="BD970" s="763"/>
      <c r="BE970" s="763"/>
      <c r="BF970" s="763"/>
      <c r="BG970" s="763" t="b">
        <f>IFERROR(__xludf.DUMMYFUNCTION("""COMPUTED_VALUE"""),TRUE)</f>
        <v>1</v>
      </c>
      <c r="BH970" s="763" t="b">
        <f>IFERROR(__xludf.DUMMYFUNCTION("""COMPUTED_VALUE"""),FALSE)</f>
        <v>0</v>
      </c>
      <c r="BI970" s="763" t="b">
        <f>IFERROR(__xludf.DUMMYFUNCTION("""COMPUTED_VALUE"""),TRUE)</f>
        <v>1</v>
      </c>
      <c r="BJ970" s="763" t="b">
        <f>IFERROR(__xludf.DUMMYFUNCTION("""COMPUTED_VALUE"""),TRUE)</f>
        <v>1</v>
      </c>
    </row>
    <row r="971">
      <c r="A971" s="763">
        <f>IFERROR(__xludf.DUMMYFUNCTION("""COMPUTED_VALUE"""),67942.0)</f>
        <v>67942</v>
      </c>
      <c r="B971" s="763">
        <f>IFERROR(__xludf.DUMMYFUNCTION("""COMPUTED_VALUE"""),67942.0)</f>
        <v>67942</v>
      </c>
      <c r="C971" s="763" t="str">
        <f>IFERROR(__xludf.DUMMYFUNCTION("""COMPUTED_VALUE"""),"2026-02-15 15:26:54")</f>
        <v>2026-02-15 15:26:54</v>
      </c>
      <c r="D971" s="763" t="str">
        <f>IFERROR(__xludf.DUMMYFUNCTION("""COMPUTED_VALUE"""),"completed")</f>
        <v>completed</v>
      </c>
      <c r="E971" s="763" t="str">
        <f>IFERROR(__xludf.DUMMYFUNCTION("""COMPUTED_VALUE"""),"Arianna")</f>
        <v>Arianna</v>
      </c>
      <c r="F971" s="763" t="str">
        <f>IFERROR(__xludf.DUMMYFUNCTION("""COMPUTED_VALUE"""),"Gamannossi")</f>
        <v>Gamannossi</v>
      </c>
      <c r="G971" s="763" t="str">
        <f>IFERROR(__xludf.DUMMYFUNCTION("""COMPUTED_VALUE"""),"agamannossi@gmail.com")</f>
        <v>agamannossi@gmail.com</v>
      </c>
      <c r="H971" s="763">
        <f>IFERROR(__xludf.DUMMYFUNCTION("""COMPUTED_VALUE"""),3.485751038E9)</f>
        <v>3485751038</v>
      </c>
      <c r="I971" s="763" t="str">
        <f>IFERROR(__xludf.DUMMYFUNCTION("""COMPUTED_VALUE"""),"Milano")</f>
        <v>Milano</v>
      </c>
      <c r="J971" s="763" t="str">
        <f>IFERROR(__xludf.DUMMYFUNCTION("""COMPUTED_VALUE"""),"Via Privata Publio Rutilio Rufo 22")</f>
        <v>Via Privata Publio Rutilio Rufo 22</v>
      </c>
      <c r="K971" s="763">
        <f>IFERROR(__xludf.DUMMYFUNCTION("""COMPUTED_VALUE"""),20161.0)</f>
        <v>20161</v>
      </c>
      <c r="L971" s="763" t="str">
        <f>IFERROR(__xludf.DUMMYFUNCTION("""COMPUTED_VALUE"""),"Apple Pay")</f>
        <v>Apple Pay</v>
      </c>
      <c r="M971" s="763"/>
      <c r="N971" s="763" t="str">
        <f>IFERROR(__xludf.DUMMYFUNCTION("""COMPUTED_VALUE"""),"67942-1771169216")</f>
        <v>67942-1771169216</v>
      </c>
      <c r="O971" s="763">
        <f>IFERROR(__xludf.DUMMYFUNCTION("""COMPUTED_VALUE"""),0.0)</f>
        <v>0</v>
      </c>
      <c r="P971" s="767">
        <f>IFERROR(__xludf.DUMMYFUNCTION("""COMPUTED_VALUE"""),0.9166666666666666)</f>
        <v>0.9166666667</v>
      </c>
      <c r="Q971" s="763" t="str">
        <f>IFERROR(__xludf.DUMMYFUNCTION("""COMPUTED_VALUE"""),"EUR")</f>
        <v>EUR</v>
      </c>
      <c r="R971" s="763">
        <f>IFERROR(__xludf.DUMMYFUNCTION("""COMPUTED_VALUE"""),1719.0)</f>
        <v>1719</v>
      </c>
      <c r="S971" s="763" t="str">
        <f>IFERROR(__xludf.DUMMYFUNCTION("""COMPUTED_VALUE"""),"Open class Heels con Anahita 2026 - Open class Heels con Anahita 2026")</f>
        <v>Open class Heels con Anahita 2026 - Open class Heels con Anahita 2026</v>
      </c>
      <c r="T971" s="763"/>
      <c r="U971" s="763"/>
      <c r="V971" s="763">
        <f>IFERROR(__xludf.DUMMYFUNCTION("""COMPUTED_VALUE"""),1.0)</f>
        <v>1</v>
      </c>
      <c r="W971" s="763">
        <f>IFERROR(__xludf.DUMMYFUNCTION("""COMPUTED_VALUE"""),22.0)</f>
        <v>22</v>
      </c>
      <c r="X971" s="763">
        <f>IFERROR(__xludf.DUMMYFUNCTION("""COMPUTED_VALUE"""),22.0)</f>
        <v>22</v>
      </c>
      <c r="Y971" s="763"/>
      <c r="Z971" s="768" t="str">
        <f>IFERROR(__xludf.DUMMYFUNCTION("""COMPUTED_VALUE"""),"https://studio-gem.it/wp-admin/post.php?post=67942&amp;action=edit")</f>
        <v>https://studio-gem.it/wp-admin/post.php?post=67942&amp;action=edit</v>
      </c>
      <c r="AA971" s="763"/>
      <c r="AB971" s="763"/>
      <c r="AC971" s="763"/>
      <c r="AD971" s="763"/>
      <c r="AE971" s="763"/>
      <c r="AF971" s="763"/>
      <c r="AG971" s="763"/>
      <c r="AH971" s="763"/>
      <c r="AI971" s="763"/>
      <c r="AJ971" s="763"/>
      <c r="AK971" s="763"/>
      <c r="AL971" s="763"/>
      <c r="AM971" s="763"/>
      <c r="AN971" s="763"/>
      <c r="AO971" s="763"/>
      <c r="AP971" s="763"/>
      <c r="AQ971" s="763"/>
      <c r="AR971" s="763"/>
      <c r="AS971" s="763"/>
      <c r="AT971" s="763"/>
      <c r="AU971" s="763"/>
      <c r="AV971" s="763"/>
      <c r="AW971" s="763"/>
      <c r="AX971" s="763"/>
      <c r="AY971" s="763"/>
      <c r="AZ971" s="763"/>
      <c r="BA971" s="763"/>
      <c r="BB971" s="763"/>
      <c r="BC971" s="763"/>
      <c r="BD971" s="763"/>
      <c r="BE971" s="763"/>
      <c r="BF971" s="763"/>
      <c r="BG971" s="763" t="b">
        <f>IFERROR(__xludf.DUMMYFUNCTION("""COMPUTED_VALUE"""),TRUE)</f>
        <v>1</v>
      </c>
      <c r="BH971" s="763" t="b">
        <f>IFERROR(__xludf.DUMMYFUNCTION("""COMPUTED_VALUE"""),FALSE)</f>
        <v>0</v>
      </c>
      <c r="BI971" s="763" t="b">
        <f>IFERROR(__xludf.DUMMYFUNCTION("""COMPUTED_VALUE"""),TRUE)</f>
        <v>1</v>
      </c>
      <c r="BJ971" s="763" t="b">
        <f>IFERROR(__xludf.DUMMYFUNCTION("""COMPUTED_VALUE"""),TRUE)</f>
        <v>1</v>
      </c>
    </row>
    <row r="972">
      <c r="A972" s="763">
        <f>IFERROR(__xludf.DUMMYFUNCTION("""COMPUTED_VALUE"""),67944.0)</f>
        <v>67944</v>
      </c>
      <c r="B972" s="763">
        <f>IFERROR(__xludf.DUMMYFUNCTION("""COMPUTED_VALUE"""),67944.0)</f>
        <v>67944</v>
      </c>
      <c r="C972" s="763" t="str">
        <f>IFERROR(__xludf.DUMMYFUNCTION("""COMPUTED_VALUE"""),"2026-02-15 16:44:49")</f>
        <v>2026-02-15 16:44:49</v>
      </c>
      <c r="D972" s="763" t="str">
        <f>IFERROR(__xludf.DUMMYFUNCTION("""COMPUTED_VALUE"""),"processing")</f>
        <v>processing</v>
      </c>
      <c r="E972" s="763" t="str">
        <f>IFERROR(__xludf.DUMMYFUNCTION("""COMPUTED_VALUE"""),"Camila")</f>
        <v>Camila</v>
      </c>
      <c r="F972" s="763" t="str">
        <f>IFERROR(__xludf.DUMMYFUNCTION("""COMPUTED_VALUE"""),"Amaguay")</f>
        <v>Amaguay</v>
      </c>
      <c r="G972" s="763" t="str">
        <f>IFERROR(__xludf.DUMMYFUNCTION("""COMPUTED_VALUE"""),"munozvalentina445@gmail.com")</f>
        <v>munozvalentina445@gmail.com</v>
      </c>
      <c r="H972" s="763">
        <f>IFERROR(__xludf.DUMMYFUNCTION("""COMPUTED_VALUE"""),3.887207103E9)</f>
        <v>3887207103</v>
      </c>
      <c r="I972" s="763" t="str">
        <f>IFERROR(__xludf.DUMMYFUNCTION("""COMPUTED_VALUE"""),"Milano")</f>
        <v>Milano</v>
      </c>
      <c r="J972" s="763" t="str">
        <f>IFERROR(__xludf.DUMMYFUNCTION("""COMPUTED_VALUE"""),"Sandro Botticelli 2")</f>
        <v>Sandro Botticelli 2</v>
      </c>
      <c r="K972" s="763">
        <f>IFERROR(__xludf.DUMMYFUNCTION("""COMPUTED_VALUE"""),20133.0)</f>
        <v>20133</v>
      </c>
      <c r="L972" s="763" t="str">
        <f>IFERROR(__xludf.DUMMYFUNCTION("""COMPUTED_VALUE"""),"Carte di pagamento")</f>
        <v>Carte di pagamento</v>
      </c>
      <c r="M972" s="763" t="str">
        <f>IFERROR(__xludf.DUMMYFUNCTION("""COMPUTED_VALUE"""),"nura02ws")</f>
        <v>nura02ws</v>
      </c>
      <c r="N972" s="763" t="str">
        <f>IFERROR(__xludf.DUMMYFUNCTION("""COMPUTED_VALUE"""),"67944-1771173890")</f>
        <v>67944-1771173890</v>
      </c>
      <c r="O972" s="763">
        <f>IFERROR(__xludf.DUMMYFUNCTION("""COMPUTED_VALUE"""),0.0)</f>
        <v>0</v>
      </c>
      <c r="P972" s="767">
        <f>IFERROR(__xludf.DUMMYFUNCTION("""COMPUTED_VALUE"""),0.8333333333333334)</f>
        <v>0.8333333333</v>
      </c>
      <c r="Q972" s="763" t="str">
        <f>IFERROR(__xludf.DUMMYFUNCTION("""COMPUTED_VALUE"""),"EUR")</f>
        <v>EUR</v>
      </c>
      <c r="R972" s="763">
        <f>IFERROR(__xludf.DUMMYFUNCTION("""COMPUTED_VALUE"""),1720.0)</f>
        <v>1720</v>
      </c>
      <c r="S972" s="763" t="str">
        <f>IFERROR(__xludf.DUMMYFUNCTION("""COMPUTED_VALUE"""),"Open class Heels con Anahita 2026 - Open class Heels con Anahita 2026")</f>
        <v>Open class Heels con Anahita 2026 - Open class Heels con Anahita 2026</v>
      </c>
      <c r="T972" s="763"/>
      <c r="U972" s="763"/>
      <c r="V972" s="763">
        <f>IFERROR(__xludf.DUMMYFUNCTION("""COMPUTED_VALUE"""),1.0)</f>
        <v>1</v>
      </c>
      <c r="W972" s="763">
        <f>IFERROR(__xludf.DUMMYFUNCTION("""COMPUTED_VALUE"""),20.0)</f>
        <v>20</v>
      </c>
      <c r="X972" s="763">
        <f>IFERROR(__xludf.DUMMYFUNCTION("""COMPUTED_VALUE"""),20.0)</f>
        <v>20</v>
      </c>
      <c r="Y972" s="763"/>
      <c r="Z972" s="768" t="str">
        <f>IFERROR(__xludf.DUMMYFUNCTION("""COMPUTED_VALUE"""),"https://studio-gem.it/wp-admin/post.php?post=67944&amp;action=edit")</f>
        <v>https://studio-gem.it/wp-admin/post.php?post=67944&amp;action=edit</v>
      </c>
      <c r="AA972" s="763"/>
      <c r="AB972" s="763"/>
      <c r="AC972" s="763"/>
      <c r="AD972" s="763"/>
      <c r="AE972" s="763"/>
      <c r="AF972" s="763"/>
      <c r="AG972" s="763"/>
      <c r="AH972" s="763"/>
      <c r="AI972" s="763"/>
      <c r="AJ972" s="763"/>
      <c r="AK972" s="763"/>
      <c r="AL972" s="763"/>
      <c r="AM972" s="763"/>
      <c r="AN972" s="763"/>
      <c r="AO972" s="763"/>
      <c r="AP972" s="763"/>
      <c r="AQ972" s="763"/>
      <c r="AR972" s="763"/>
      <c r="AS972" s="763"/>
      <c r="AT972" s="763"/>
      <c r="AU972" s="763"/>
      <c r="AV972" s="763"/>
      <c r="AW972" s="763"/>
      <c r="AX972" s="763"/>
      <c r="AY972" s="763"/>
      <c r="AZ972" s="763"/>
      <c r="BA972" s="763"/>
      <c r="BB972" s="763"/>
      <c r="BC972" s="763"/>
      <c r="BD972" s="763"/>
      <c r="BE972" s="763"/>
      <c r="BF972" s="763"/>
      <c r="BG972" s="763" t="b">
        <f>IFERROR(__xludf.DUMMYFUNCTION("""COMPUTED_VALUE"""),TRUE)</f>
        <v>1</v>
      </c>
      <c r="BH972" s="763" t="b">
        <f>IFERROR(__xludf.DUMMYFUNCTION("""COMPUTED_VALUE"""),FALSE)</f>
        <v>0</v>
      </c>
      <c r="BI972" s="763" t="b">
        <f>IFERROR(__xludf.DUMMYFUNCTION("""COMPUTED_VALUE"""),TRUE)</f>
        <v>1</v>
      </c>
      <c r="BJ972" s="763" t="b">
        <f>IFERROR(__xludf.DUMMYFUNCTION("""COMPUTED_VALUE"""),TRUE)</f>
        <v>1</v>
      </c>
    </row>
    <row r="973">
      <c r="A973" s="763">
        <f>IFERROR(__xludf.DUMMYFUNCTION("""COMPUTED_VALUE"""),67945.0)</f>
        <v>67945</v>
      </c>
      <c r="B973" s="763">
        <f>IFERROR(__xludf.DUMMYFUNCTION("""COMPUTED_VALUE"""),67945.0)</f>
        <v>67945</v>
      </c>
      <c r="C973" s="763" t="str">
        <f>IFERROR(__xludf.DUMMYFUNCTION("""COMPUTED_VALUE"""),"2026-02-16 07:27:16")</f>
        <v>2026-02-16 07:27:16</v>
      </c>
      <c r="D973" s="763" t="str">
        <f>IFERROR(__xludf.DUMMYFUNCTION("""COMPUTED_VALUE"""),"pending")</f>
        <v>pending</v>
      </c>
      <c r="E973" s="763" t="str">
        <f>IFERROR(__xludf.DUMMYFUNCTION("""COMPUTED_VALUE"""),"Martina")</f>
        <v>Martina</v>
      </c>
      <c r="F973" s="763" t="str">
        <f>IFERROR(__xludf.DUMMYFUNCTION("""COMPUTED_VALUE"""),"Cariello")</f>
        <v>Cariello</v>
      </c>
      <c r="G973" s="763" t="str">
        <f>IFERROR(__xludf.DUMMYFUNCTION("""COMPUTED_VALUE"""),"cariello.martina@icloud.com")</f>
        <v>cariello.martina@icloud.com</v>
      </c>
      <c r="H973" s="763">
        <f>IFERROR(__xludf.DUMMYFUNCTION("""COMPUTED_VALUE"""),3.9233234E9)</f>
        <v>3923323400</v>
      </c>
      <c r="I973" s="763" t="str">
        <f>IFERROR(__xludf.DUMMYFUNCTION("""COMPUTED_VALUE"""),"Landriano")</f>
        <v>Landriano</v>
      </c>
      <c r="J973" s="763" t="str">
        <f>IFERROR(__xludf.DUMMYFUNCTION("""COMPUTED_VALUE"""),"Piazza purificazione Maria vergine 2")</f>
        <v>Piazza purificazione Maria vergine 2</v>
      </c>
      <c r="K973" s="763">
        <f>IFERROR(__xludf.DUMMYFUNCTION("""COMPUTED_VALUE"""),27015.0)</f>
        <v>27015</v>
      </c>
      <c r="L973" s="763" t="str">
        <f>IFERROR(__xludf.DUMMYFUNCTION("""COMPUTED_VALUE"""),"Carte di pagamento")</f>
        <v>Carte di pagamento</v>
      </c>
      <c r="M973" s="763"/>
      <c r="N973" s="763"/>
      <c r="O973" s="763">
        <f>IFERROR(__xludf.DUMMYFUNCTION("""COMPUTED_VALUE"""),0.0)</f>
        <v>0</v>
      </c>
      <c r="P973" s="767">
        <f>IFERROR(__xludf.DUMMYFUNCTION("""COMPUTED_VALUE"""),1.875)</f>
        <v>1.875</v>
      </c>
      <c r="Q973" s="763" t="str">
        <f>IFERROR(__xludf.DUMMYFUNCTION("""COMPUTED_VALUE"""),"EUR")</f>
        <v>EUR</v>
      </c>
      <c r="R973" s="763">
        <f>IFERROR(__xludf.DUMMYFUNCTION("""COMPUTED_VALUE"""),1722.0)</f>
        <v>1722</v>
      </c>
      <c r="S973" s="763" t="str">
        <f>IFERROR(__xludf.DUMMYFUNCTION("""COMPUTED_VALUE"""),"Workshop Hip Hop Emanuel Lo 2026 - Workshop Emanuel Lo h 16 22 febbraio 2026")</f>
        <v>Workshop Hip Hop Emanuel Lo 2026 - Workshop Emanuel Lo h 16 22 febbraio 2026</v>
      </c>
      <c r="T973" s="763"/>
      <c r="U973" s="763"/>
      <c r="V973" s="763">
        <f>IFERROR(__xludf.DUMMYFUNCTION("""COMPUTED_VALUE"""),1.0)</f>
        <v>1</v>
      </c>
      <c r="W973" s="763">
        <f>IFERROR(__xludf.DUMMYFUNCTION("""COMPUTED_VALUE"""),45.0)</f>
        <v>45</v>
      </c>
      <c r="X973" s="763">
        <f>IFERROR(__xludf.DUMMYFUNCTION("""COMPUTED_VALUE"""),45.0)</f>
        <v>45</v>
      </c>
      <c r="Y973" s="763"/>
      <c r="Z973" s="768" t="str">
        <f>IFERROR(__xludf.DUMMYFUNCTION("""COMPUTED_VALUE"""),"https://studio-gem.it/wp-admin/post.php?post=67945&amp;action=edit")</f>
        <v>https://studio-gem.it/wp-admin/post.php?post=67945&amp;action=edit</v>
      </c>
      <c r="AA973" s="763"/>
      <c r="AB973" s="763"/>
      <c r="AC973" s="763"/>
      <c r="AD973" s="763"/>
      <c r="AE973" s="763"/>
      <c r="AF973" s="763"/>
      <c r="AG973" s="763"/>
      <c r="AH973" s="763"/>
      <c r="AI973" s="763"/>
      <c r="AJ973" s="763"/>
      <c r="AK973" s="763"/>
      <c r="AL973" s="763"/>
      <c r="AM973" s="763"/>
      <c r="AN973" s="763"/>
      <c r="AO973" s="763"/>
      <c r="AP973" s="763"/>
      <c r="AQ973" s="763"/>
      <c r="AR973" s="763"/>
      <c r="AS973" s="763"/>
      <c r="AT973" s="763"/>
      <c r="AU973" s="763"/>
      <c r="AV973" s="763"/>
      <c r="AW973" s="763"/>
      <c r="AX973" s="763"/>
      <c r="AY973" s="763"/>
      <c r="AZ973" s="763"/>
      <c r="BA973" s="763"/>
      <c r="BB973" s="763"/>
      <c r="BC973" s="763"/>
      <c r="BD973" s="763"/>
      <c r="BE973" s="763"/>
      <c r="BF973" s="763"/>
      <c r="BG973" s="763" t="b">
        <f>IFERROR(__xludf.DUMMYFUNCTION("""COMPUTED_VALUE"""),FALSE)</f>
        <v>0</v>
      </c>
      <c r="BH973" s="763" t="b">
        <f>IFERROR(__xludf.DUMMYFUNCTION("""COMPUTED_VALUE"""),FALSE)</f>
        <v>0</v>
      </c>
      <c r="BI973" s="763" t="b">
        <f>IFERROR(__xludf.DUMMYFUNCTION("""COMPUTED_VALUE"""),FALSE)</f>
        <v>0</v>
      </c>
      <c r="BJ973" s="763" t="b">
        <f>IFERROR(__xludf.DUMMYFUNCTION("""COMPUTED_VALUE"""),FALSE)</f>
        <v>0</v>
      </c>
    </row>
    <row r="974">
      <c r="A974" s="763">
        <f>IFERROR(__xludf.DUMMYFUNCTION("""COMPUTED_VALUE"""),67949.0)</f>
        <v>67949</v>
      </c>
      <c r="B974" s="763">
        <f>IFERROR(__xludf.DUMMYFUNCTION("""COMPUTED_VALUE"""),67949.0)</f>
        <v>67949</v>
      </c>
      <c r="C974" s="763" t="str">
        <f>IFERROR(__xludf.DUMMYFUNCTION("""COMPUTED_VALUE"""),"2026-02-16 09:36:04")</f>
        <v>2026-02-16 09:36:04</v>
      </c>
      <c r="D974" s="763" t="str">
        <f>IFERROR(__xludf.DUMMYFUNCTION("""COMPUTED_VALUE"""),"pending")</f>
        <v>pending</v>
      </c>
      <c r="E974" s="763" t="str">
        <f>IFERROR(__xludf.DUMMYFUNCTION("""COMPUTED_VALUE"""),"Martina")</f>
        <v>Martina</v>
      </c>
      <c r="F974" s="763" t="str">
        <f>IFERROR(__xludf.DUMMYFUNCTION("""COMPUTED_VALUE"""),"Cariello")</f>
        <v>Cariello</v>
      </c>
      <c r="G974" s="763" t="str">
        <f>IFERROR(__xludf.DUMMYFUNCTION("""COMPUTED_VALUE"""),"cariello.martina@icloud.com")</f>
        <v>cariello.martina@icloud.com</v>
      </c>
      <c r="H974" s="763">
        <f>IFERROR(__xludf.DUMMYFUNCTION("""COMPUTED_VALUE"""),3.9233234E9)</f>
        <v>3923323400</v>
      </c>
      <c r="I974" s="763" t="str">
        <f>IFERROR(__xludf.DUMMYFUNCTION("""COMPUTED_VALUE"""),"Landriano")</f>
        <v>Landriano</v>
      </c>
      <c r="J974" s="763" t="str">
        <f>IFERROR(__xludf.DUMMYFUNCTION("""COMPUTED_VALUE"""),"Piazza purificazione Maria vergine 2")</f>
        <v>Piazza purificazione Maria vergine 2</v>
      </c>
      <c r="K974" s="763">
        <f>IFERROR(__xludf.DUMMYFUNCTION("""COMPUTED_VALUE"""),27015.0)</f>
        <v>27015</v>
      </c>
      <c r="L974" s="763" t="str">
        <f>IFERROR(__xludf.DUMMYFUNCTION("""COMPUTED_VALUE"""),"Carte di pagamento")</f>
        <v>Carte di pagamento</v>
      </c>
      <c r="M974" s="763"/>
      <c r="N974" s="763"/>
      <c r="O974" s="763">
        <f>IFERROR(__xludf.DUMMYFUNCTION("""COMPUTED_VALUE"""),0.0)</f>
        <v>0</v>
      </c>
      <c r="P974" s="767">
        <f>IFERROR(__xludf.DUMMYFUNCTION("""COMPUTED_VALUE"""),3.75)</f>
        <v>3.75</v>
      </c>
      <c r="Q974" s="763" t="str">
        <f>IFERROR(__xludf.DUMMYFUNCTION("""COMPUTED_VALUE"""),"EUR")</f>
        <v>EUR</v>
      </c>
      <c r="R974" s="763">
        <f>IFERROR(__xludf.DUMMYFUNCTION("""COMPUTED_VALUE"""),1723.0)</f>
        <v>1723</v>
      </c>
      <c r="S974" s="763" t="str">
        <f>IFERROR(__xludf.DUMMYFUNCTION("""COMPUTED_VALUE"""),"Workshop Hip Hop Emanuel Lo 2026 - Workshop Emanuel Lo h 16 22 febbraio 2026")</f>
        <v>Workshop Hip Hop Emanuel Lo 2026 - Workshop Emanuel Lo h 16 22 febbraio 2026</v>
      </c>
      <c r="T974" s="763"/>
      <c r="U974" s="763"/>
      <c r="V974" s="763">
        <f>IFERROR(__xludf.DUMMYFUNCTION("""COMPUTED_VALUE"""),2.0)</f>
        <v>2</v>
      </c>
      <c r="W974" s="763">
        <f>IFERROR(__xludf.DUMMYFUNCTION("""COMPUTED_VALUE"""),45.0)</f>
        <v>45</v>
      </c>
      <c r="X974" s="763">
        <f>IFERROR(__xludf.DUMMYFUNCTION("""COMPUTED_VALUE"""),90.0)</f>
        <v>90</v>
      </c>
      <c r="Y974" s="763"/>
      <c r="Z974" s="768" t="str">
        <f>IFERROR(__xludf.DUMMYFUNCTION("""COMPUTED_VALUE"""),"https://studio-gem.it/wp-admin/post.php?post=67949&amp;action=edit")</f>
        <v>https://studio-gem.it/wp-admin/post.php?post=67949&amp;action=edit</v>
      </c>
      <c r="AA974" s="763"/>
      <c r="AB974" s="763"/>
      <c r="AC974" s="763"/>
      <c r="AD974" s="763"/>
      <c r="AE974" s="763"/>
      <c r="AF974" s="763"/>
      <c r="AG974" s="763"/>
      <c r="AH974" s="763"/>
      <c r="AI974" s="763"/>
      <c r="AJ974" s="763"/>
      <c r="AK974" s="763"/>
      <c r="AL974" s="763"/>
      <c r="AM974" s="763"/>
      <c r="AN974" s="763"/>
      <c r="AO974" s="763"/>
      <c r="AP974" s="763"/>
      <c r="AQ974" s="763"/>
      <c r="AR974" s="763"/>
      <c r="AS974" s="763"/>
      <c r="AT974" s="763"/>
      <c r="AU974" s="763"/>
      <c r="AV974" s="763"/>
      <c r="AW974" s="763"/>
      <c r="AX974" s="763"/>
      <c r="AY974" s="763"/>
      <c r="AZ974" s="763"/>
      <c r="BA974" s="763"/>
      <c r="BB974" s="763"/>
      <c r="BC974" s="763"/>
      <c r="BD974" s="763"/>
      <c r="BE974" s="763"/>
      <c r="BF974" s="763"/>
      <c r="BG974" s="763" t="b">
        <f>IFERROR(__xludf.DUMMYFUNCTION("""COMPUTED_VALUE"""),FALSE)</f>
        <v>0</v>
      </c>
      <c r="BH974" s="763" t="b">
        <f>IFERROR(__xludf.DUMMYFUNCTION("""COMPUTED_VALUE"""),FALSE)</f>
        <v>0</v>
      </c>
      <c r="BI974" s="763" t="b">
        <f>IFERROR(__xludf.DUMMYFUNCTION("""COMPUTED_VALUE"""),FALSE)</f>
        <v>0</v>
      </c>
      <c r="BJ974" s="763" t="b">
        <f>IFERROR(__xludf.DUMMYFUNCTION("""COMPUTED_VALUE"""),FALSE)</f>
        <v>0</v>
      </c>
    </row>
    <row r="975">
      <c r="A975" s="763">
        <f>IFERROR(__xludf.DUMMYFUNCTION("""COMPUTED_VALUE"""),67950.0)</f>
        <v>67950</v>
      </c>
      <c r="B975" s="763">
        <f>IFERROR(__xludf.DUMMYFUNCTION("""COMPUTED_VALUE"""),67950.0)</f>
        <v>67950</v>
      </c>
      <c r="C975" s="763" t="str">
        <f>IFERROR(__xludf.DUMMYFUNCTION("""COMPUTED_VALUE"""),"2026-02-16 09:42:10")</f>
        <v>2026-02-16 09:42:10</v>
      </c>
      <c r="D975" s="763" t="str">
        <f>IFERROR(__xludf.DUMMYFUNCTION("""COMPUTED_VALUE"""),"processing")</f>
        <v>processing</v>
      </c>
      <c r="E975" s="763" t="str">
        <f>IFERROR(__xludf.DUMMYFUNCTION("""COMPUTED_VALUE"""),"Martina")</f>
        <v>Martina</v>
      </c>
      <c r="F975" s="763" t="str">
        <f>IFERROR(__xludf.DUMMYFUNCTION("""COMPUTED_VALUE"""),"Cariello")</f>
        <v>Cariello</v>
      </c>
      <c r="G975" s="763" t="str">
        <f>IFERROR(__xludf.DUMMYFUNCTION("""COMPUTED_VALUE"""),"cariello.martina@icloud.com")</f>
        <v>cariello.martina@icloud.com</v>
      </c>
      <c r="H975" s="763">
        <f>IFERROR(__xludf.DUMMYFUNCTION("""COMPUTED_VALUE"""),3.9233294E9)</f>
        <v>3923329400</v>
      </c>
      <c r="I975" s="763" t="str">
        <f>IFERROR(__xludf.DUMMYFUNCTION("""COMPUTED_VALUE"""),"Landriano")</f>
        <v>Landriano</v>
      </c>
      <c r="J975" s="763" t="str">
        <f>IFERROR(__xludf.DUMMYFUNCTION("""COMPUTED_VALUE"""),"Piazza purificazione Maria vergine 2")</f>
        <v>Piazza purificazione Maria vergine 2</v>
      </c>
      <c r="K975" s="763">
        <f>IFERROR(__xludf.DUMMYFUNCTION("""COMPUTED_VALUE"""),27015.0)</f>
        <v>27015</v>
      </c>
      <c r="L975" s="763" t="str">
        <f>IFERROR(__xludf.DUMMYFUNCTION("""COMPUTED_VALUE"""),"Carte di pagamento")</f>
        <v>Carte di pagamento</v>
      </c>
      <c r="M975" s="763" t="str">
        <f>IFERROR(__xludf.DUMMYFUNCTION("""COMPUTED_VALUE"""),"alexandra02ws")</f>
        <v>alexandra02ws</v>
      </c>
      <c r="N975" s="763" t="str">
        <f>IFERROR(__xludf.DUMMYFUNCTION("""COMPUTED_VALUE"""),"67950-1771234931")</f>
        <v>67950-1771234931</v>
      </c>
      <c r="O975" s="763">
        <f>IFERROR(__xludf.DUMMYFUNCTION("""COMPUTED_VALUE"""),0.0)</f>
        <v>0</v>
      </c>
      <c r="P975" s="767">
        <f>IFERROR(__xludf.DUMMYFUNCTION("""COMPUTED_VALUE"""),1.7916666666666667)</f>
        <v>1.791666667</v>
      </c>
      <c r="Q975" s="763" t="str">
        <f>IFERROR(__xludf.DUMMYFUNCTION("""COMPUTED_VALUE"""),"EUR")</f>
        <v>EUR</v>
      </c>
      <c r="R975" s="763">
        <f>IFERROR(__xludf.DUMMYFUNCTION("""COMPUTED_VALUE"""),1724.0)</f>
        <v>1724</v>
      </c>
      <c r="S975" s="763" t="str">
        <f>IFERROR(__xludf.DUMMYFUNCTION("""COMPUTED_VALUE"""),"Workshop Hip Hop Emanuel Lo 2026 - Workshop Emanuel Lo h 16 22 febbraio 2026")</f>
        <v>Workshop Hip Hop Emanuel Lo 2026 - Workshop Emanuel Lo h 16 22 febbraio 2026</v>
      </c>
      <c r="T975" s="763"/>
      <c r="U975" s="763"/>
      <c r="V975" s="763">
        <f>IFERROR(__xludf.DUMMYFUNCTION("""COMPUTED_VALUE"""),1.0)</f>
        <v>1</v>
      </c>
      <c r="W975" s="763">
        <f>IFERROR(__xludf.DUMMYFUNCTION("""COMPUTED_VALUE"""),43.0)</f>
        <v>43</v>
      </c>
      <c r="X975" s="763">
        <f>IFERROR(__xludf.DUMMYFUNCTION("""COMPUTED_VALUE"""),43.0)</f>
        <v>43</v>
      </c>
      <c r="Y975" s="763"/>
      <c r="Z975" s="768" t="str">
        <f>IFERROR(__xludf.DUMMYFUNCTION("""COMPUTED_VALUE"""),"https://studio-gem.it/wp-admin/post.php?post=67950&amp;action=edit")</f>
        <v>https://studio-gem.it/wp-admin/post.php?post=67950&amp;action=edit</v>
      </c>
      <c r="AA975" s="763"/>
      <c r="AB975" s="763"/>
      <c r="AC975" s="763"/>
      <c r="AD975" s="763"/>
      <c r="AE975" s="763"/>
      <c r="AF975" s="763"/>
      <c r="AG975" s="763"/>
      <c r="AH975" s="763"/>
      <c r="AI975" s="763"/>
      <c r="AJ975" s="763"/>
      <c r="AK975" s="763"/>
      <c r="AL975" s="763"/>
      <c r="AM975" s="763"/>
      <c r="AN975" s="763"/>
      <c r="AO975" s="763"/>
      <c r="AP975" s="763"/>
      <c r="AQ975" s="763"/>
      <c r="AR975" s="763"/>
      <c r="AS975" s="763"/>
      <c r="AT975" s="763"/>
      <c r="AU975" s="763"/>
      <c r="AV975" s="763"/>
      <c r="AW975" s="763"/>
      <c r="AX975" s="763"/>
      <c r="AY975" s="763"/>
      <c r="AZ975" s="763"/>
      <c r="BA975" s="763"/>
      <c r="BB975" s="763"/>
      <c r="BC975" s="763"/>
      <c r="BD975" s="763"/>
      <c r="BE975" s="763"/>
      <c r="BF975" s="763"/>
      <c r="BG975" s="763" t="b">
        <f>IFERROR(__xludf.DUMMYFUNCTION("""COMPUTED_VALUE"""),TRUE)</f>
        <v>1</v>
      </c>
      <c r="BH975" s="763" t="b">
        <f>IFERROR(__xludf.DUMMYFUNCTION("""COMPUTED_VALUE"""),FALSE)</f>
        <v>0</v>
      </c>
      <c r="BI975" s="763" t="b">
        <f>IFERROR(__xludf.DUMMYFUNCTION("""COMPUTED_VALUE"""),TRUE)</f>
        <v>1</v>
      </c>
      <c r="BJ975" s="763" t="b">
        <f>IFERROR(__xludf.DUMMYFUNCTION("""COMPUTED_VALUE"""),TRUE)</f>
        <v>1</v>
      </c>
    </row>
    <row r="976">
      <c r="A976" s="763">
        <f>IFERROR(__xludf.DUMMYFUNCTION("""COMPUTED_VALUE"""),67952.0)</f>
        <v>67952</v>
      </c>
      <c r="B976" s="763">
        <f>IFERROR(__xludf.DUMMYFUNCTION("""COMPUTED_VALUE"""),67952.0)</f>
        <v>67952</v>
      </c>
      <c r="C976" s="763" t="str">
        <f>IFERROR(__xludf.DUMMYFUNCTION("""COMPUTED_VALUE"""),"2026-02-16 12:23:01")</f>
        <v>2026-02-16 12:23:01</v>
      </c>
      <c r="D976" s="763" t="str">
        <f>IFERROR(__xludf.DUMMYFUNCTION("""COMPUTED_VALUE"""),"completed")</f>
        <v>completed</v>
      </c>
      <c r="E976" s="763" t="str">
        <f>IFERROR(__xludf.DUMMYFUNCTION("""COMPUTED_VALUE"""),"Alessio")</f>
        <v>Alessio</v>
      </c>
      <c r="F976" s="763" t="str">
        <f>IFERROR(__xludf.DUMMYFUNCTION("""COMPUTED_VALUE"""),"Campagna")</f>
        <v>Campagna</v>
      </c>
      <c r="G976" s="763" t="str">
        <f>IFERROR(__xludf.DUMMYFUNCTION("""COMPUTED_VALUE"""),"alessiotcgtrade@gmail.com")</f>
        <v>alessiotcgtrade@gmail.com</v>
      </c>
      <c r="H976" s="763">
        <f>IFERROR(__xludf.DUMMYFUNCTION("""COMPUTED_VALUE"""),3.517240804E9)</f>
        <v>3517240804</v>
      </c>
      <c r="I976" s="763" t="str">
        <f>IFERROR(__xludf.DUMMYFUNCTION("""COMPUTED_VALUE"""),"Milano")</f>
        <v>Milano</v>
      </c>
      <c r="J976" s="763" t="str">
        <f>IFERROR(__xludf.DUMMYFUNCTION("""COMPUTED_VALUE"""),"Corso di porta vigentina 38")</f>
        <v>Corso di porta vigentina 38</v>
      </c>
      <c r="K976" s="763">
        <f>IFERROR(__xludf.DUMMYFUNCTION("""COMPUTED_VALUE"""),20122.0)</f>
        <v>20122</v>
      </c>
      <c r="L976" s="763"/>
      <c r="M976" s="763"/>
      <c r="N976" s="763"/>
      <c r="O976" s="763">
        <f>IFERROR(__xludf.DUMMYFUNCTION("""COMPUTED_VALUE"""),0.0)</f>
        <v>0</v>
      </c>
      <c r="P976" s="767">
        <f>IFERROR(__xludf.DUMMYFUNCTION("""COMPUTED_VALUE"""),0.0)</f>
        <v>0</v>
      </c>
      <c r="Q976" s="763" t="str">
        <f>IFERROR(__xludf.DUMMYFUNCTION("""COMPUTED_VALUE"""),"EUR")</f>
        <v>EUR</v>
      </c>
      <c r="R976" s="763">
        <f>IFERROR(__xludf.DUMMYFUNCTION("""COMPUTED_VALUE"""),1726.0)</f>
        <v>1726</v>
      </c>
      <c r="S976" s="763" t="str">
        <f>IFERROR(__xludf.DUMMYFUNCTION("""COMPUTED_VALUE"""),"Domeniche in movimento - Gratuito per open fitness e open mattino 2 lezioni dalle 10 alle 11.50")</f>
        <v>Domeniche in movimento - Gratuito per open fitness e open mattino 2 lezioni dalle 10 alle 11.50</v>
      </c>
      <c r="T976" s="763"/>
      <c r="U976" s="763"/>
      <c r="V976" s="763">
        <f>IFERROR(__xludf.DUMMYFUNCTION("""COMPUTED_VALUE"""),1.0)</f>
        <v>1</v>
      </c>
      <c r="W976" s="763">
        <f>IFERROR(__xludf.DUMMYFUNCTION("""COMPUTED_VALUE"""),0.0)</f>
        <v>0</v>
      </c>
      <c r="X976" s="763">
        <f>IFERROR(__xludf.DUMMYFUNCTION("""COMPUTED_VALUE"""),0.0)</f>
        <v>0</v>
      </c>
      <c r="Y976" s="763"/>
      <c r="Z976" s="768" t="str">
        <f>IFERROR(__xludf.DUMMYFUNCTION("""COMPUTED_VALUE"""),"https://studio-gem.it/wp-admin/post.php?post=67952&amp;action=edit")</f>
        <v>https://studio-gem.it/wp-admin/post.php?post=67952&amp;action=edit</v>
      </c>
      <c r="AA976" s="763"/>
      <c r="AB976" s="763"/>
      <c r="AC976" s="763"/>
      <c r="AD976" s="763"/>
      <c r="AE976" s="763"/>
      <c r="AF976" s="763"/>
      <c r="AG976" s="763"/>
      <c r="AH976" s="763"/>
      <c r="AI976" s="763"/>
      <c r="AJ976" s="763"/>
      <c r="AK976" s="763"/>
      <c r="AL976" s="763"/>
      <c r="AM976" s="763"/>
      <c r="AN976" s="763"/>
      <c r="AO976" s="763"/>
      <c r="AP976" s="763"/>
      <c r="AQ976" s="763"/>
      <c r="AR976" s="763"/>
      <c r="AS976" s="763"/>
      <c r="AT976" s="763"/>
      <c r="AU976" s="763"/>
      <c r="AV976" s="763"/>
      <c r="AW976" s="763"/>
      <c r="AX976" s="763"/>
      <c r="AY976" s="763"/>
      <c r="AZ976" s="763"/>
      <c r="BA976" s="763"/>
      <c r="BB976" s="763"/>
      <c r="BC976" s="763"/>
      <c r="BD976" s="763"/>
      <c r="BE976" s="763"/>
      <c r="BF976" s="763"/>
      <c r="BG976" s="763" t="b">
        <f>IFERROR(__xludf.DUMMYFUNCTION("""COMPUTED_VALUE"""),TRUE)</f>
        <v>1</v>
      </c>
      <c r="BH976" s="763" t="b">
        <f>IFERROR(__xludf.DUMMYFUNCTION("""COMPUTED_VALUE"""),FALSE)</f>
        <v>0</v>
      </c>
      <c r="BI976" s="763" t="b">
        <f>IFERROR(__xludf.DUMMYFUNCTION("""COMPUTED_VALUE"""),TRUE)</f>
        <v>1</v>
      </c>
      <c r="BJ976" s="763" t="b">
        <f>IFERROR(__xludf.DUMMYFUNCTION("""COMPUTED_VALUE"""),TRUE)</f>
        <v>1</v>
      </c>
    </row>
    <row r="977">
      <c r="A977" s="763">
        <f>IFERROR(__xludf.DUMMYFUNCTION("""COMPUTED_VALUE"""),67954.0)</f>
        <v>67954</v>
      </c>
      <c r="B977" s="763">
        <f>IFERROR(__xludf.DUMMYFUNCTION("""COMPUTED_VALUE"""),67954.0)</f>
        <v>67954</v>
      </c>
      <c r="C977" s="763" t="str">
        <f>IFERROR(__xludf.DUMMYFUNCTION("""COMPUTED_VALUE"""),"2026-02-16 20:42:27")</f>
        <v>2026-02-16 20:42:27</v>
      </c>
      <c r="D977" s="763" t="str">
        <f>IFERROR(__xludf.DUMMYFUNCTION("""COMPUTED_VALUE"""),"completed")</f>
        <v>completed</v>
      </c>
      <c r="E977" s="763" t="str">
        <f>IFERROR(__xludf.DUMMYFUNCTION("""COMPUTED_VALUE"""),"Roberta")</f>
        <v>Roberta</v>
      </c>
      <c r="F977" s="763" t="str">
        <f>IFERROR(__xludf.DUMMYFUNCTION("""COMPUTED_VALUE"""),"Lacagnina")</f>
        <v>Lacagnina</v>
      </c>
      <c r="G977" s="763" t="str">
        <f>IFERROR(__xludf.DUMMYFUNCTION("""COMPUTED_VALUE"""),"roberta.lacagnina@gmail.com")</f>
        <v>roberta.lacagnina@gmail.com</v>
      </c>
      <c r="H977" s="763">
        <f>IFERROR(__xludf.DUMMYFUNCTION("""COMPUTED_VALUE"""),3.923922667E9)</f>
        <v>3923922667</v>
      </c>
      <c r="I977" s="763" t="str">
        <f>IFERROR(__xludf.DUMMYFUNCTION("""COMPUTED_VALUE"""),"Milano")</f>
        <v>Milano</v>
      </c>
      <c r="J977" s="763" t="str">
        <f>IFERROR(__xludf.DUMMYFUNCTION("""COMPUTED_VALUE"""),"Via dei Pellegrini 20")</f>
        <v>Via dei Pellegrini 20</v>
      </c>
      <c r="K977" s="763">
        <f>IFERROR(__xludf.DUMMYFUNCTION("""COMPUTED_VALUE"""),20122.0)</f>
        <v>20122</v>
      </c>
      <c r="L977" s="763" t="str">
        <f>IFERROR(__xludf.DUMMYFUNCTION("""COMPUTED_VALUE"""),"Carte di pagamento")</f>
        <v>Carte di pagamento</v>
      </c>
      <c r="M977" s="763" t="str">
        <f>IFERROR(__xludf.DUMMYFUNCTION("""COMPUTED_VALUE"""),"undiaencuba05")</f>
        <v>undiaencuba05</v>
      </c>
      <c r="N977" s="763" t="str">
        <f>IFERROR(__xludf.DUMMYFUNCTION("""COMPUTED_VALUE"""),"67954-1771274549")</f>
        <v>67954-1771274549</v>
      </c>
      <c r="O977" s="763">
        <f>IFERROR(__xludf.DUMMYFUNCTION("""COMPUTED_VALUE"""),0.0)</f>
        <v>0</v>
      </c>
      <c r="P977" s="767">
        <f>IFERROR(__xludf.DUMMYFUNCTION("""COMPUTED_VALUE"""),1.3333333333333333)</f>
        <v>1.333333333</v>
      </c>
      <c r="Q977" s="763" t="str">
        <f>IFERROR(__xludf.DUMMYFUNCTION("""COMPUTED_VALUE"""),"EUR")</f>
        <v>EUR</v>
      </c>
      <c r="R977" s="763">
        <f>IFERROR(__xludf.DUMMYFUNCTION("""COMPUTED_VALUE"""),1727.0)</f>
        <v>1727</v>
      </c>
      <c r="S977" s="763" t="str">
        <f>IFERROR(__xludf.DUMMYFUNCTION("""COMPUTED_VALUE"""),"Un dia en Cuba 2026 - Un dia en Cuba 2026")</f>
        <v>Un dia en Cuba 2026 - Un dia en Cuba 2026</v>
      </c>
      <c r="T977" s="763"/>
      <c r="U977" s="763"/>
      <c r="V977" s="763">
        <f>IFERROR(__xludf.DUMMYFUNCTION("""COMPUTED_VALUE"""),1.0)</f>
        <v>1</v>
      </c>
      <c r="W977" s="763">
        <f>IFERROR(__xludf.DUMMYFUNCTION("""COMPUTED_VALUE"""),32.0)</f>
        <v>32</v>
      </c>
      <c r="X977" s="763">
        <f>IFERROR(__xludf.DUMMYFUNCTION("""COMPUTED_VALUE"""),32.0)</f>
        <v>32</v>
      </c>
      <c r="Y977" s="763"/>
      <c r="Z977" s="768" t="str">
        <f>IFERROR(__xludf.DUMMYFUNCTION("""COMPUTED_VALUE"""),"https://studio-gem.it/wp-admin/post.php?post=67954&amp;action=edit")</f>
        <v>https://studio-gem.it/wp-admin/post.php?post=67954&amp;action=edit</v>
      </c>
      <c r="AA977" s="763"/>
      <c r="AB977" s="763"/>
      <c r="AC977" s="763"/>
      <c r="AD977" s="763"/>
      <c r="AE977" s="763"/>
      <c r="AF977" s="763"/>
      <c r="AG977" s="763"/>
      <c r="AH977" s="763"/>
      <c r="AI977" s="763"/>
      <c r="AJ977" s="763"/>
      <c r="AK977" s="763"/>
      <c r="AL977" s="763"/>
      <c r="AM977" s="763"/>
      <c r="AN977" s="763"/>
      <c r="AO977" s="763"/>
      <c r="AP977" s="763"/>
      <c r="AQ977" s="763"/>
      <c r="AR977" s="763"/>
      <c r="AS977" s="763"/>
      <c r="AT977" s="763"/>
      <c r="AU977" s="763"/>
      <c r="AV977" s="763"/>
      <c r="AW977" s="763"/>
      <c r="AX977" s="763"/>
      <c r="AY977" s="763"/>
      <c r="AZ977" s="763"/>
      <c r="BA977" s="763"/>
      <c r="BB977" s="763"/>
      <c r="BC977" s="763"/>
      <c r="BD977" s="763"/>
      <c r="BE977" s="763"/>
      <c r="BF977" s="763"/>
      <c r="BG977" s="763" t="b">
        <f>IFERROR(__xludf.DUMMYFUNCTION("""COMPUTED_VALUE"""),TRUE)</f>
        <v>1</v>
      </c>
      <c r="BH977" s="763" t="b">
        <f>IFERROR(__xludf.DUMMYFUNCTION("""COMPUTED_VALUE"""),FALSE)</f>
        <v>0</v>
      </c>
      <c r="BI977" s="763" t="b">
        <f>IFERROR(__xludf.DUMMYFUNCTION("""COMPUTED_VALUE"""),TRUE)</f>
        <v>1</v>
      </c>
      <c r="BJ977" s="763" t="b">
        <f>IFERROR(__xludf.DUMMYFUNCTION("""COMPUTED_VALUE"""),TRUE)</f>
        <v>1</v>
      </c>
    </row>
    <row r="978">
      <c r="A978" s="763">
        <f>IFERROR(__xludf.DUMMYFUNCTION("""COMPUTED_VALUE"""),67956.0)</f>
        <v>67956</v>
      </c>
      <c r="B978" s="763">
        <f>IFERROR(__xludf.DUMMYFUNCTION("""COMPUTED_VALUE"""),67956.0)</f>
        <v>67956</v>
      </c>
      <c r="C978" s="763" t="str">
        <f>IFERROR(__xludf.DUMMYFUNCTION("""COMPUTED_VALUE"""),"2026-02-16 20:46:42")</f>
        <v>2026-02-16 20:46:42</v>
      </c>
      <c r="D978" s="763" t="str">
        <f>IFERROR(__xludf.DUMMYFUNCTION("""COMPUTED_VALUE"""),"completed")</f>
        <v>completed</v>
      </c>
      <c r="E978" s="763" t="str">
        <f>IFERROR(__xludf.DUMMYFUNCTION("""COMPUTED_VALUE"""),"John")</f>
        <v>John</v>
      </c>
      <c r="F978" s="763" t="str">
        <f>IFERROR(__xludf.DUMMYFUNCTION("""COMPUTED_VALUE"""),"Brunello")</f>
        <v>Brunello</v>
      </c>
      <c r="G978" s="763" t="str">
        <f>IFERROR(__xludf.DUMMYFUNCTION("""COMPUTED_VALUE"""),"john.b.brunello@gmail.com")</f>
        <v>john.b.brunello@gmail.com</v>
      </c>
      <c r="H978" s="763">
        <f>IFERROR(__xludf.DUMMYFUNCTION("""COMPUTED_VALUE"""),3.358200964E9)</f>
        <v>3358200964</v>
      </c>
      <c r="I978" s="763" t="str">
        <f>IFERROR(__xludf.DUMMYFUNCTION("""COMPUTED_VALUE"""),"Milano")</f>
        <v>Milano</v>
      </c>
      <c r="J978" s="763" t="str">
        <f>IFERROR(__xludf.DUMMYFUNCTION("""COMPUTED_VALUE"""),"Via dei Pellegrini 20")</f>
        <v>Via dei Pellegrini 20</v>
      </c>
      <c r="K978" s="763">
        <f>IFERROR(__xludf.DUMMYFUNCTION("""COMPUTED_VALUE"""),20122.0)</f>
        <v>20122</v>
      </c>
      <c r="L978" s="763" t="str">
        <f>IFERROR(__xludf.DUMMYFUNCTION("""COMPUTED_VALUE"""),"Carte di pagamento")</f>
        <v>Carte di pagamento</v>
      </c>
      <c r="M978" s="763" t="str">
        <f>IFERROR(__xludf.DUMMYFUNCTION("""COMPUTED_VALUE"""),"undiaencuba05")</f>
        <v>undiaencuba05</v>
      </c>
      <c r="N978" s="763" t="str">
        <f>IFERROR(__xludf.DUMMYFUNCTION("""COMPUTED_VALUE"""),"67956-1771274804")</f>
        <v>67956-1771274804</v>
      </c>
      <c r="O978" s="763">
        <f>IFERROR(__xludf.DUMMYFUNCTION("""COMPUTED_VALUE"""),0.0)</f>
        <v>0</v>
      </c>
      <c r="P978" s="767">
        <f>IFERROR(__xludf.DUMMYFUNCTION("""COMPUTED_VALUE"""),1.3333333333333333)</f>
        <v>1.333333333</v>
      </c>
      <c r="Q978" s="763" t="str">
        <f>IFERROR(__xludf.DUMMYFUNCTION("""COMPUTED_VALUE"""),"EUR")</f>
        <v>EUR</v>
      </c>
      <c r="R978" s="763">
        <f>IFERROR(__xludf.DUMMYFUNCTION("""COMPUTED_VALUE"""),1729.0)</f>
        <v>1729</v>
      </c>
      <c r="S978" s="763" t="str">
        <f>IFERROR(__xludf.DUMMYFUNCTION("""COMPUTED_VALUE"""),"Un dia en Cuba 2026 - Un dia en Cuba 2026")</f>
        <v>Un dia en Cuba 2026 - Un dia en Cuba 2026</v>
      </c>
      <c r="T978" s="763"/>
      <c r="U978" s="763"/>
      <c r="V978" s="763">
        <f>IFERROR(__xludf.DUMMYFUNCTION("""COMPUTED_VALUE"""),1.0)</f>
        <v>1</v>
      </c>
      <c r="W978" s="763">
        <f>IFERROR(__xludf.DUMMYFUNCTION("""COMPUTED_VALUE"""),32.0)</f>
        <v>32</v>
      </c>
      <c r="X978" s="763">
        <f>IFERROR(__xludf.DUMMYFUNCTION("""COMPUTED_VALUE"""),32.0)</f>
        <v>32</v>
      </c>
      <c r="Y978" s="763"/>
      <c r="Z978" s="768" t="str">
        <f>IFERROR(__xludf.DUMMYFUNCTION("""COMPUTED_VALUE"""),"https://studio-gem.it/wp-admin/post.php?post=67956&amp;action=edit")</f>
        <v>https://studio-gem.it/wp-admin/post.php?post=67956&amp;action=edit</v>
      </c>
      <c r="AA978" s="763"/>
      <c r="AB978" s="763"/>
      <c r="AC978" s="763"/>
      <c r="AD978" s="763"/>
      <c r="AE978" s="763"/>
      <c r="AF978" s="763"/>
      <c r="AG978" s="763"/>
      <c r="AH978" s="763"/>
      <c r="AI978" s="763"/>
      <c r="AJ978" s="763"/>
      <c r="AK978" s="763"/>
      <c r="AL978" s="763"/>
      <c r="AM978" s="763"/>
      <c r="AN978" s="763"/>
      <c r="AO978" s="763"/>
      <c r="AP978" s="763"/>
      <c r="AQ978" s="763"/>
      <c r="AR978" s="763"/>
      <c r="AS978" s="763"/>
      <c r="AT978" s="763"/>
      <c r="AU978" s="763"/>
      <c r="AV978" s="763"/>
      <c r="AW978" s="763"/>
      <c r="AX978" s="763"/>
      <c r="AY978" s="763"/>
      <c r="AZ978" s="763"/>
      <c r="BA978" s="763"/>
      <c r="BB978" s="763"/>
      <c r="BC978" s="763"/>
      <c r="BD978" s="763"/>
      <c r="BE978" s="763"/>
      <c r="BF978" s="763"/>
      <c r="BG978" s="763" t="b">
        <f>IFERROR(__xludf.DUMMYFUNCTION("""COMPUTED_VALUE"""),TRUE)</f>
        <v>1</v>
      </c>
      <c r="BH978" s="763" t="b">
        <f>IFERROR(__xludf.DUMMYFUNCTION("""COMPUTED_VALUE"""),FALSE)</f>
        <v>0</v>
      </c>
      <c r="BI978" s="763" t="b">
        <f>IFERROR(__xludf.DUMMYFUNCTION("""COMPUTED_VALUE"""),TRUE)</f>
        <v>1</v>
      </c>
      <c r="BJ978" s="763" t="b">
        <f>IFERROR(__xludf.DUMMYFUNCTION("""COMPUTED_VALUE"""),TRUE)</f>
        <v>1</v>
      </c>
    </row>
    <row r="979">
      <c r="A979" s="763">
        <f>IFERROR(__xludf.DUMMYFUNCTION("""COMPUTED_VALUE"""),67967.0)</f>
        <v>67967</v>
      </c>
      <c r="B979" s="763">
        <f>IFERROR(__xludf.DUMMYFUNCTION("""COMPUTED_VALUE"""),67967.0)</f>
        <v>67967</v>
      </c>
      <c r="C979" s="763" t="str">
        <f>IFERROR(__xludf.DUMMYFUNCTION("""COMPUTED_VALUE"""),"2026-02-17 10:54:05")</f>
        <v>2026-02-17 10:54:05</v>
      </c>
      <c r="D979" s="763" t="str">
        <f>IFERROR(__xludf.DUMMYFUNCTION("""COMPUTED_VALUE"""),"completed")</f>
        <v>completed</v>
      </c>
      <c r="E979" s="763" t="str">
        <f>IFERROR(__xludf.DUMMYFUNCTION("""COMPUTED_VALUE"""),"Virginia")</f>
        <v>Virginia</v>
      </c>
      <c r="F979" s="763" t="str">
        <f>IFERROR(__xludf.DUMMYFUNCTION("""COMPUTED_VALUE"""),"Ingegneri")</f>
        <v>Ingegneri</v>
      </c>
      <c r="G979" s="763" t="str">
        <f>IFERROR(__xludf.DUMMYFUNCTION("""COMPUTED_VALUE"""),"virginiaingegneri@gmail.com")</f>
        <v>virginiaingegneri@gmail.com</v>
      </c>
      <c r="H979" s="763">
        <f>IFERROR(__xludf.DUMMYFUNCTION("""COMPUTED_VALUE"""),3.478840176E9)</f>
        <v>3478840176</v>
      </c>
      <c r="I979" s="763" t="str">
        <f>IFERROR(__xludf.DUMMYFUNCTION("""COMPUTED_VALUE"""),"Loreo")</f>
        <v>Loreo</v>
      </c>
      <c r="J979" s="763" t="str">
        <f>IFERROR(__xludf.DUMMYFUNCTION("""COMPUTED_VALUE"""),"Veneto 36")</f>
        <v>Veneto 36</v>
      </c>
      <c r="K979" s="763">
        <f>IFERROR(__xludf.DUMMYFUNCTION("""COMPUTED_VALUE"""),45017.0)</f>
        <v>45017</v>
      </c>
      <c r="L979" s="763" t="str">
        <f>IFERROR(__xludf.DUMMYFUNCTION("""COMPUTED_VALUE"""),"Satispay")</f>
        <v>Satispay</v>
      </c>
      <c r="M979" s="763"/>
      <c r="N979" s="763" t="str">
        <f>IFERROR(__xludf.DUMMYFUNCTION("""COMPUTED_VALUE"""),"019c6b3c-64f4-7b04-a271-713e274c549e")</f>
        <v>019c6b3c-64f4-7b04-a271-713e274c549e</v>
      </c>
      <c r="O979" s="763">
        <f>IFERROR(__xludf.DUMMYFUNCTION("""COMPUTED_VALUE"""),0.0)</f>
        <v>0</v>
      </c>
      <c r="P979" s="767">
        <f>IFERROR(__xludf.DUMMYFUNCTION("""COMPUTED_VALUE"""),1.5416666666666667)</f>
        <v>1.541666667</v>
      </c>
      <c r="Q979" s="763" t="str">
        <f>IFERROR(__xludf.DUMMYFUNCTION("""COMPUTED_VALUE"""),"EUR")</f>
        <v>EUR</v>
      </c>
      <c r="R979" s="763">
        <f>IFERROR(__xludf.DUMMYFUNCTION("""COMPUTED_VALUE"""),1731.0)</f>
        <v>1731</v>
      </c>
      <c r="S979" s="763" t="str">
        <f>IFERROR(__xludf.DUMMYFUNCTION("""COMPUTED_VALUE"""),"Un dia en Cuba 2026 - Un dia en Cuba 2026")</f>
        <v>Un dia en Cuba 2026 - Un dia en Cuba 2026</v>
      </c>
      <c r="T979" s="763"/>
      <c r="U979" s="763"/>
      <c r="V979" s="763">
        <f>IFERROR(__xludf.DUMMYFUNCTION("""COMPUTED_VALUE"""),1.0)</f>
        <v>1</v>
      </c>
      <c r="W979" s="763">
        <f>IFERROR(__xludf.DUMMYFUNCTION("""COMPUTED_VALUE"""),37.0)</f>
        <v>37</v>
      </c>
      <c r="X979" s="763">
        <f>IFERROR(__xludf.DUMMYFUNCTION("""COMPUTED_VALUE"""),37.0)</f>
        <v>37</v>
      </c>
      <c r="Y979" s="763"/>
      <c r="Z979" s="768" t="str">
        <f>IFERROR(__xludf.DUMMYFUNCTION("""COMPUTED_VALUE"""),"https://studio-gem.it/wp-admin/post.php?post=67967&amp;action=edit")</f>
        <v>https://studio-gem.it/wp-admin/post.php?post=67967&amp;action=edit</v>
      </c>
      <c r="AA979" s="763"/>
      <c r="AB979" s="763"/>
      <c r="AC979" s="763"/>
      <c r="AD979" s="763"/>
      <c r="AE979" s="763"/>
      <c r="AF979" s="763"/>
      <c r="AG979" s="763"/>
      <c r="AH979" s="763"/>
      <c r="AI979" s="763"/>
      <c r="AJ979" s="763"/>
      <c r="AK979" s="763"/>
      <c r="AL979" s="763"/>
      <c r="AM979" s="763"/>
      <c r="AN979" s="763"/>
      <c r="AO979" s="763"/>
      <c r="AP979" s="763"/>
      <c r="AQ979" s="763"/>
      <c r="AR979" s="763"/>
      <c r="AS979" s="763"/>
      <c r="AT979" s="763"/>
      <c r="AU979" s="763"/>
      <c r="AV979" s="763"/>
      <c r="AW979" s="763"/>
      <c r="AX979" s="763"/>
      <c r="AY979" s="763"/>
      <c r="AZ979" s="763"/>
      <c r="BA979" s="763"/>
      <c r="BB979" s="763"/>
      <c r="BC979" s="763"/>
      <c r="BD979" s="763"/>
      <c r="BE979" s="763"/>
      <c r="BF979" s="763"/>
      <c r="BG979" s="763" t="b">
        <f>IFERROR(__xludf.DUMMYFUNCTION("""COMPUTED_VALUE"""),TRUE)</f>
        <v>1</v>
      </c>
      <c r="BH979" s="763" t="b">
        <f>IFERROR(__xludf.DUMMYFUNCTION("""COMPUTED_VALUE"""),FALSE)</f>
        <v>0</v>
      </c>
      <c r="BI979" s="763" t="b">
        <f>IFERROR(__xludf.DUMMYFUNCTION("""COMPUTED_VALUE"""),TRUE)</f>
        <v>1</v>
      </c>
      <c r="BJ979" s="763" t="b">
        <f>IFERROR(__xludf.DUMMYFUNCTION("""COMPUTED_VALUE"""),TRUE)</f>
        <v>1</v>
      </c>
    </row>
    <row r="980">
      <c r="A980" s="763">
        <f>IFERROR(__xludf.DUMMYFUNCTION("""COMPUTED_VALUE"""),67977.0)</f>
        <v>67977</v>
      </c>
      <c r="B980" s="763">
        <f>IFERROR(__xludf.DUMMYFUNCTION("""COMPUTED_VALUE"""),67977.0)</f>
        <v>67977</v>
      </c>
      <c r="C980" s="763" t="str">
        <f>IFERROR(__xludf.DUMMYFUNCTION("""COMPUTED_VALUE"""),"2026-02-17 13:32:05")</f>
        <v>2026-02-17 13:32:05</v>
      </c>
      <c r="D980" s="763" t="str">
        <f>IFERROR(__xludf.DUMMYFUNCTION("""COMPUTED_VALUE"""),"completed")</f>
        <v>completed</v>
      </c>
      <c r="E980" s="763" t="str">
        <f>IFERROR(__xludf.DUMMYFUNCTION("""COMPUTED_VALUE"""),"Roberta")</f>
        <v>Roberta</v>
      </c>
      <c r="F980" s="763" t="str">
        <f>IFERROR(__xludf.DUMMYFUNCTION("""COMPUTED_VALUE"""),"Mariani")</f>
        <v>Mariani</v>
      </c>
      <c r="G980" s="763" t="str">
        <f>IFERROR(__xludf.DUMMYFUNCTION("""COMPUTED_VALUE"""),"roberta_mariani@hotmail.it")</f>
        <v>roberta_mariani@hotmail.it</v>
      </c>
      <c r="H980" s="763">
        <f>IFERROR(__xludf.DUMMYFUNCTION("""COMPUTED_VALUE"""),3.49892317E9)</f>
        <v>3498923170</v>
      </c>
      <c r="I980" s="763" t="str">
        <f>IFERROR(__xludf.DUMMYFUNCTION("""COMPUTED_VALUE"""),"Milano")</f>
        <v>Milano</v>
      </c>
      <c r="J980" s="763" t="str">
        <f>IFERROR(__xludf.DUMMYFUNCTION("""COMPUTED_VALUE"""),"Toscolano 1")</f>
        <v>Toscolano 1</v>
      </c>
      <c r="K980" s="763">
        <f>IFERROR(__xludf.DUMMYFUNCTION("""COMPUTED_VALUE"""),20138.0)</f>
        <v>20138</v>
      </c>
      <c r="L980" s="763" t="str">
        <f>IFERROR(__xludf.DUMMYFUNCTION("""COMPUTED_VALUE"""),"Apple Pay")</f>
        <v>Apple Pay</v>
      </c>
      <c r="M980" s="763"/>
      <c r="N980" s="763" t="str">
        <f>IFERROR(__xludf.DUMMYFUNCTION("""COMPUTED_VALUE"""),"67977-1771335127")</f>
        <v>67977-1771335127</v>
      </c>
      <c r="O980" s="763">
        <f>IFERROR(__xludf.DUMMYFUNCTION("""COMPUTED_VALUE"""),0.0)</f>
        <v>0</v>
      </c>
      <c r="P980" s="767">
        <f>IFERROR(__xludf.DUMMYFUNCTION("""COMPUTED_VALUE"""),1.5416666666666667)</f>
        <v>1.541666667</v>
      </c>
      <c r="Q980" s="763" t="str">
        <f>IFERROR(__xludf.DUMMYFUNCTION("""COMPUTED_VALUE"""),"EUR")</f>
        <v>EUR</v>
      </c>
      <c r="R980" s="763">
        <f>IFERROR(__xludf.DUMMYFUNCTION("""COMPUTED_VALUE"""),1732.0)</f>
        <v>1732</v>
      </c>
      <c r="S980" s="763" t="str">
        <f>IFERROR(__xludf.DUMMYFUNCTION("""COMPUTED_VALUE"""),"Un dia en Cuba 2026 - Un dia en Cuba 2026")</f>
        <v>Un dia en Cuba 2026 - Un dia en Cuba 2026</v>
      </c>
      <c r="T980" s="763"/>
      <c r="U980" s="763"/>
      <c r="V980" s="763">
        <f>IFERROR(__xludf.DUMMYFUNCTION("""COMPUTED_VALUE"""),1.0)</f>
        <v>1</v>
      </c>
      <c r="W980" s="763">
        <f>IFERROR(__xludf.DUMMYFUNCTION("""COMPUTED_VALUE"""),37.0)</f>
        <v>37</v>
      </c>
      <c r="X980" s="763">
        <f>IFERROR(__xludf.DUMMYFUNCTION("""COMPUTED_VALUE"""),37.0)</f>
        <v>37</v>
      </c>
      <c r="Y980" s="763"/>
      <c r="Z980" s="768" t="str">
        <f>IFERROR(__xludf.DUMMYFUNCTION("""COMPUTED_VALUE"""),"https://studio-gem.it/wp-admin/post.php?post=67977&amp;action=edit")</f>
        <v>https://studio-gem.it/wp-admin/post.php?post=67977&amp;action=edit</v>
      </c>
      <c r="AA980" s="763"/>
      <c r="AB980" s="763"/>
      <c r="AC980" s="763"/>
      <c r="AD980" s="763"/>
      <c r="AE980" s="763"/>
      <c r="AF980" s="763"/>
      <c r="AG980" s="763"/>
      <c r="AH980" s="763"/>
      <c r="AI980" s="763"/>
      <c r="AJ980" s="763"/>
      <c r="AK980" s="763"/>
      <c r="AL980" s="763"/>
      <c r="AM980" s="763"/>
      <c r="AN980" s="763"/>
      <c r="AO980" s="763"/>
      <c r="AP980" s="763"/>
      <c r="AQ980" s="763"/>
      <c r="AR980" s="763"/>
      <c r="AS980" s="763"/>
      <c r="AT980" s="763"/>
      <c r="AU980" s="763"/>
      <c r="AV980" s="763"/>
      <c r="AW980" s="763"/>
      <c r="AX980" s="763"/>
      <c r="AY980" s="763"/>
      <c r="AZ980" s="763"/>
      <c r="BA980" s="763"/>
      <c r="BB980" s="763"/>
      <c r="BC980" s="763"/>
      <c r="BD980" s="763"/>
      <c r="BE980" s="763"/>
      <c r="BF980" s="763"/>
      <c r="BG980" s="763" t="b">
        <f>IFERROR(__xludf.DUMMYFUNCTION("""COMPUTED_VALUE"""),TRUE)</f>
        <v>1</v>
      </c>
      <c r="BH980" s="763" t="b">
        <f>IFERROR(__xludf.DUMMYFUNCTION("""COMPUTED_VALUE"""),FALSE)</f>
        <v>0</v>
      </c>
      <c r="BI980" s="763" t="b">
        <f>IFERROR(__xludf.DUMMYFUNCTION("""COMPUTED_VALUE"""),TRUE)</f>
        <v>1</v>
      </c>
      <c r="BJ980" s="763" t="b">
        <f>IFERROR(__xludf.DUMMYFUNCTION("""COMPUTED_VALUE"""),TRUE)</f>
        <v>1</v>
      </c>
    </row>
    <row r="981">
      <c r="A981" s="763">
        <f>IFERROR(__xludf.DUMMYFUNCTION("""COMPUTED_VALUE"""),67979.0)</f>
        <v>67979</v>
      </c>
      <c r="B981" s="763">
        <f>IFERROR(__xludf.DUMMYFUNCTION("""COMPUTED_VALUE"""),67979.0)</f>
        <v>67979</v>
      </c>
      <c r="C981" s="763" t="str">
        <f>IFERROR(__xludf.DUMMYFUNCTION("""COMPUTED_VALUE"""),"2026-02-17 15:56:45")</f>
        <v>2026-02-17 15:56:45</v>
      </c>
      <c r="D981" s="763" t="str">
        <f>IFERROR(__xludf.DUMMYFUNCTION("""COMPUTED_VALUE"""),"completed")</f>
        <v>completed</v>
      </c>
      <c r="E981" s="763" t="str">
        <f>IFERROR(__xludf.DUMMYFUNCTION("""COMPUTED_VALUE"""),"Alisea")</f>
        <v>Alisea</v>
      </c>
      <c r="F981" s="763" t="str">
        <f>IFERROR(__xludf.DUMMYFUNCTION("""COMPUTED_VALUE"""),"Bruzzese")</f>
        <v>Bruzzese</v>
      </c>
      <c r="G981" s="763" t="str">
        <f>IFERROR(__xludf.DUMMYFUNCTION("""COMPUTED_VALUE"""),"alisea.bruzzese@gmail.com")</f>
        <v>alisea.bruzzese@gmail.com</v>
      </c>
      <c r="H981" s="763">
        <f>IFERROR(__xludf.DUMMYFUNCTION("""COMPUTED_VALUE"""),3.490659648E9)</f>
        <v>3490659648</v>
      </c>
      <c r="I981" s="763" t="str">
        <f>IFERROR(__xludf.DUMMYFUNCTION("""COMPUTED_VALUE"""),"Abbiategrasso")</f>
        <v>Abbiategrasso</v>
      </c>
      <c r="J981" s="763" t="str">
        <f>IFERROR(__xludf.DUMMYFUNCTION("""COMPUTED_VALUE"""),"Viale Mazzini, 101")</f>
        <v>Viale Mazzini, 101</v>
      </c>
      <c r="K981" s="763">
        <f>IFERROR(__xludf.DUMMYFUNCTION("""COMPUTED_VALUE"""),20081.0)</f>
        <v>20081</v>
      </c>
      <c r="L981" s="763" t="str">
        <f>IFERROR(__xludf.DUMMYFUNCTION("""COMPUTED_VALUE"""),"Apple Pay")</f>
        <v>Apple Pay</v>
      </c>
      <c r="M981" s="763" t="str">
        <f>IFERROR(__xludf.DUMMYFUNCTION("""COMPUTED_VALUE"""),"nura02ws")</f>
        <v>nura02ws</v>
      </c>
      <c r="N981" s="763" t="str">
        <f>IFERROR(__xludf.DUMMYFUNCTION("""COMPUTED_VALUE"""),"67979-1771343806")</f>
        <v>67979-1771343806</v>
      </c>
      <c r="O981" s="763">
        <f>IFERROR(__xludf.DUMMYFUNCTION("""COMPUTED_VALUE"""),0.0)</f>
        <v>0</v>
      </c>
      <c r="P981" s="767">
        <f>IFERROR(__xludf.DUMMYFUNCTION("""COMPUTED_VALUE"""),1.25)</f>
        <v>1.25</v>
      </c>
      <c r="Q981" s="763" t="str">
        <f>IFERROR(__xludf.DUMMYFUNCTION("""COMPUTED_VALUE"""),"EUR")</f>
        <v>EUR</v>
      </c>
      <c r="R981" s="763">
        <f>IFERROR(__xludf.DUMMYFUNCTION("""COMPUTED_VALUE"""),1733.0)</f>
        <v>1733</v>
      </c>
      <c r="S981"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981" s="763"/>
      <c r="U981" s="763"/>
      <c r="V981" s="763">
        <f>IFERROR(__xludf.DUMMYFUNCTION("""COMPUTED_VALUE"""),1.0)</f>
        <v>1</v>
      </c>
      <c r="W981" s="763">
        <f>IFERROR(__xludf.DUMMYFUNCTION("""COMPUTED_VALUE"""),30.0)</f>
        <v>30</v>
      </c>
      <c r="X981" s="763">
        <f>IFERROR(__xludf.DUMMYFUNCTION("""COMPUTED_VALUE"""),30.0)</f>
        <v>30</v>
      </c>
      <c r="Y981" s="763"/>
      <c r="Z981" s="768" t="str">
        <f>IFERROR(__xludf.DUMMYFUNCTION("""COMPUTED_VALUE"""),"https://studio-gem.it/wp-admin/post.php?post=67979&amp;action=edit")</f>
        <v>https://studio-gem.it/wp-admin/post.php?post=67979&amp;action=edit</v>
      </c>
      <c r="AA981" s="763"/>
      <c r="AB981" s="763"/>
      <c r="AC981" s="763"/>
      <c r="AD981" s="763"/>
      <c r="AE981" s="763"/>
      <c r="AF981" s="763"/>
      <c r="AG981" s="763"/>
      <c r="AH981" s="763"/>
      <c r="AI981" s="763"/>
      <c r="AJ981" s="763"/>
      <c r="AK981" s="763"/>
      <c r="AL981" s="763"/>
      <c r="AM981" s="763"/>
      <c r="AN981" s="763"/>
      <c r="AO981" s="763"/>
      <c r="AP981" s="763"/>
      <c r="AQ981" s="763"/>
      <c r="AR981" s="763"/>
      <c r="AS981" s="763"/>
      <c r="AT981" s="763"/>
      <c r="AU981" s="763"/>
      <c r="AV981" s="763"/>
      <c r="AW981" s="763"/>
      <c r="AX981" s="763"/>
      <c r="AY981" s="763"/>
      <c r="AZ981" s="763"/>
      <c r="BA981" s="763"/>
      <c r="BB981" s="763"/>
      <c r="BC981" s="763"/>
      <c r="BD981" s="763"/>
      <c r="BE981" s="763"/>
      <c r="BF981" s="763"/>
      <c r="BG981" s="763" t="b">
        <f>IFERROR(__xludf.DUMMYFUNCTION("""COMPUTED_VALUE"""),TRUE)</f>
        <v>1</v>
      </c>
      <c r="BH981" s="763" t="b">
        <f>IFERROR(__xludf.DUMMYFUNCTION("""COMPUTED_VALUE"""),FALSE)</f>
        <v>0</v>
      </c>
      <c r="BI981" s="763" t="b">
        <f>IFERROR(__xludf.DUMMYFUNCTION("""COMPUTED_VALUE"""),TRUE)</f>
        <v>1</v>
      </c>
      <c r="BJ981" s="763" t="b">
        <f>IFERROR(__xludf.DUMMYFUNCTION("""COMPUTED_VALUE"""),TRUE)</f>
        <v>1</v>
      </c>
    </row>
    <row r="982">
      <c r="A982" s="763">
        <f>IFERROR(__xludf.DUMMYFUNCTION("""COMPUTED_VALUE"""),67987.0)</f>
        <v>67987</v>
      </c>
      <c r="B982" s="763">
        <f>IFERROR(__xludf.DUMMYFUNCTION("""COMPUTED_VALUE"""),67987.0)</f>
        <v>67987</v>
      </c>
      <c r="C982" s="763" t="str">
        <f>IFERROR(__xludf.DUMMYFUNCTION("""COMPUTED_VALUE"""),"2026-02-18 14:24:42")</f>
        <v>2026-02-18 14:24:42</v>
      </c>
      <c r="D982" s="763" t="str">
        <f>IFERROR(__xludf.DUMMYFUNCTION("""COMPUTED_VALUE"""),"completed")</f>
        <v>completed</v>
      </c>
      <c r="E982" s="763" t="str">
        <f>IFERROR(__xludf.DUMMYFUNCTION("""COMPUTED_VALUE"""),"Lorenzo")</f>
        <v>Lorenzo</v>
      </c>
      <c r="F982" s="763" t="str">
        <f>IFERROR(__xludf.DUMMYFUNCTION("""COMPUTED_VALUE"""),"Dellon")</f>
        <v>Dellon</v>
      </c>
      <c r="G982" s="763" t="str">
        <f>IFERROR(__xludf.DUMMYFUNCTION("""COMPUTED_VALUE"""),"emanuelavitali3@gmail.com")</f>
        <v>emanuelavitali3@gmail.com</v>
      </c>
      <c r="H982" s="763">
        <f>IFERROR(__xludf.DUMMYFUNCTION("""COMPUTED_VALUE"""),3.201384261E9)</f>
        <v>3201384261</v>
      </c>
      <c r="I982" s="763" t="str">
        <f>IFERROR(__xludf.DUMMYFUNCTION("""COMPUTED_VALUE"""),"Abbiategrasso")</f>
        <v>Abbiategrasso</v>
      </c>
      <c r="J982" s="763" t="str">
        <f>IFERROR(__xludf.DUMMYFUNCTION("""COMPUTED_VALUE"""),"Via Cadorna 1/a")</f>
        <v>Via Cadorna 1/a</v>
      </c>
      <c r="K982" s="763">
        <f>IFERROR(__xludf.DUMMYFUNCTION("""COMPUTED_VALUE"""),20081.0)</f>
        <v>20081</v>
      </c>
      <c r="L982" s="763" t="str">
        <f>IFERROR(__xludf.DUMMYFUNCTION("""COMPUTED_VALUE"""),"Carte di pagamento")</f>
        <v>Carte di pagamento</v>
      </c>
      <c r="M982" s="763"/>
      <c r="N982" s="763" t="str">
        <f>IFERROR(__xludf.DUMMYFUNCTION("""COMPUTED_VALUE"""),"67987-1771424683")</f>
        <v>67987-1771424683</v>
      </c>
      <c r="O982" s="763">
        <f>IFERROR(__xludf.DUMMYFUNCTION("""COMPUTED_VALUE"""),0.0)</f>
        <v>0</v>
      </c>
      <c r="P982" s="767">
        <f>IFERROR(__xludf.DUMMYFUNCTION("""COMPUTED_VALUE"""),1.875)</f>
        <v>1.875</v>
      </c>
      <c r="Q982" s="763" t="str">
        <f>IFERROR(__xludf.DUMMYFUNCTION("""COMPUTED_VALUE"""),"EUR")</f>
        <v>EUR</v>
      </c>
      <c r="R982" s="763">
        <f>IFERROR(__xludf.DUMMYFUNCTION("""COMPUTED_VALUE"""),1735.0)</f>
        <v>1735</v>
      </c>
      <c r="S982" s="763" t="str">
        <f>IFERROR(__xludf.DUMMYFUNCTION("""COMPUTED_VALUE"""),"Workshop Hip Hop Emanuel Lo 2026 - Workshop Emanuel Lo h 16 22 febbraio 2026")</f>
        <v>Workshop Hip Hop Emanuel Lo 2026 - Workshop Emanuel Lo h 16 22 febbraio 2026</v>
      </c>
      <c r="T982" s="763"/>
      <c r="U982" s="763"/>
      <c r="V982" s="763">
        <f>IFERROR(__xludf.DUMMYFUNCTION("""COMPUTED_VALUE"""),1.0)</f>
        <v>1</v>
      </c>
      <c r="W982" s="763">
        <f>IFERROR(__xludf.DUMMYFUNCTION("""COMPUTED_VALUE"""),45.0)</f>
        <v>45</v>
      </c>
      <c r="X982" s="763">
        <f>IFERROR(__xludf.DUMMYFUNCTION("""COMPUTED_VALUE"""),45.0)</f>
        <v>45</v>
      </c>
      <c r="Y982" s="763"/>
      <c r="Z982" s="768" t="str">
        <f>IFERROR(__xludf.DUMMYFUNCTION("""COMPUTED_VALUE"""),"https://studio-gem.it/wp-admin/post.php?post=67987&amp;action=edit")</f>
        <v>https://studio-gem.it/wp-admin/post.php?post=67987&amp;action=edit</v>
      </c>
      <c r="AA982" s="763"/>
      <c r="AB982" s="763"/>
      <c r="AC982" s="763"/>
      <c r="AD982" s="763"/>
      <c r="AE982" s="763"/>
      <c r="AF982" s="763"/>
      <c r="AG982" s="763"/>
      <c r="AH982" s="763"/>
      <c r="AI982" s="763"/>
      <c r="AJ982" s="763"/>
      <c r="AK982" s="763"/>
      <c r="AL982" s="763"/>
      <c r="AM982" s="763"/>
      <c r="AN982" s="763"/>
      <c r="AO982" s="763"/>
      <c r="AP982" s="763"/>
      <c r="AQ982" s="763"/>
      <c r="AR982" s="763"/>
      <c r="AS982" s="763"/>
      <c r="AT982" s="763"/>
      <c r="AU982" s="763"/>
      <c r="AV982" s="763"/>
      <c r="AW982" s="763"/>
      <c r="AX982" s="763"/>
      <c r="AY982" s="763"/>
      <c r="AZ982" s="763"/>
      <c r="BA982" s="763"/>
      <c r="BB982" s="763"/>
      <c r="BC982" s="763"/>
      <c r="BD982" s="763"/>
      <c r="BE982" s="763"/>
      <c r="BF982" s="763"/>
      <c r="BG982" s="763" t="b">
        <f>IFERROR(__xludf.DUMMYFUNCTION("""COMPUTED_VALUE"""),TRUE)</f>
        <v>1</v>
      </c>
      <c r="BH982" s="763" t="b">
        <f>IFERROR(__xludf.DUMMYFUNCTION("""COMPUTED_VALUE"""),FALSE)</f>
        <v>0</v>
      </c>
      <c r="BI982" s="763" t="b">
        <f>IFERROR(__xludf.DUMMYFUNCTION("""COMPUTED_VALUE"""),TRUE)</f>
        <v>1</v>
      </c>
      <c r="BJ982" s="763" t="b">
        <f>IFERROR(__xludf.DUMMYFUNCTION("""COMPUTED_VALUE"""),TRUE)</f>
        <v>1</v>
      </c>
    </row>
    <row r="983">
      <c r="A983" s="763">
        <f>IFERROR(__xludf.DUMMYFUNCTION("""COMPUTED_VALUE"""),67990.0)</f>
        <v>67990</v>
      </c>
      <c r="B983" s="763">
        <f>IFERROR(__xludf.DUMMYFUNCTION("""COMPUTED_VALUE"""),67990.0)</f>
        <v>67990</v>
      </c>
      <c r="C983" s="763" t="str">
        <f>IFERROR(__xludf.DUMMYFUNCTION("""COMPUTED_VALUE"""),"2026-02-19 16:25:45")</f>
        <v>2026-02-19 16:25:45</v>
      </c>
      <c r="D983" s="763" t="str">
        <f>IFERROR(__xludf.DUMMYFUNCTION("""COMPUTED_VALUE"""),"cancelled")</f>
        <v>cancelled</v>
      </c>
      <c r="E983" s="763" t="str">
        <f>IFERROR(__xludf.DUMMYFUNCTION("""COMPUTED_VALUE"""),"Roberta")</f>
        <v>Roberta</v>
      </c>
      <c r="F983" s="763" t="str">
        <f>IFERROR(__xludf.DUMMYFUNCTION("""COMPUTED_VALUE"""),"Rambaldi")</f>
        <v>Rambaldi</v>
      </c>
      <c r="G983" s="763" t="str">
        <f>IFERROR(__xludf.DUMMYFUNCTION("""COMPUTED_VALUE"""),"rambaldi.roberta6@gmail.com")</f>
        <v>rambaldi.roberta6@gmail.com</v>
      </c>
      <c r="H983" s="763">
        <f>IFERROR(__xludf.DUMMYFUNCTION("""COMPUTED_VALUE"""),3.313419879E9)</f>
        <v>3313419879</v>
      </c>
      <c r="I983" s="763" t="str">
        <f>IFERROR(__xludf.DUMMYFUNCTION("""COMPUTED_VALUE"""),"Milano")</f>
        <v>Milano</v>
      </c>
      <c r="J983" s="763" t="str">
        <f>IFERROR(__xludf.DUMMYFUNCTION("""COMPUTED_VALUE"""),"Archimede 24")</f>
        <v>Archimede 24</v>
      </c>
      <c r="K983" s="763">
        <f>IFERROR(__xludf.DUMMYFUNCTION("""COMPUTED_VALUE"""),20129.0)</f>
        <v>20129</v>
      </c>
      <c r="L983" s="763" t="str">
        <f>IFERROR(__xludf.DUMMYFUNCTION("""COMPUTED_VALUE"""),"Apple Pay")</f>
        <v>Apple Pay</v>
      </c>
      <c r="M983" s="763" t="str">
        <f>IFERROR(__xludf.DUMMYFUNCTION("""COMPUTED_VALUE"""),"nura02ws")</f>
        <v>nura02ws</v>
      </c>
      <c r="N983" s="763"/>
      <c r="O983" s="763">
        <f>IFERROR(__xludf.DUMMYFUNCTION("""COMPUTED_VALUE"""),0.0)</f>
        <v>0</v>
      </c>
      <c r="P983" s="767">
        <f>IFERROR(__xludf.DUMMYFUNCTION("""COMPUTED_VALUE"""),1.25)</f>
        <v>1.25</v>
      </c>
      <c r="Q983" s="763" t="str">
        <f>IFERROR(__xludf.DUMMYFUNCTION("""COMPUTED_VALUE"""),"EUR")</f>
        <v>EUR</v>
      </c>
      <c r="R983" s="763">
        <f>IFERROR(__xludf.DUMMYFUNCTION("""COMPUTED_VALUE"""),1736.0)</f>
        <v>1736</v>
      </c>
      <c r="S983"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983" s="763"/>
      <c r="U983" s="763"/>
      <c r="V983" s="763">
        <f>IFERROR(__xludf.DUMMYFUNCTION("""COMPUTED_VALUE"""),1.0)</f>
        <v>1</v>
      </c>
      <c r="W983" s="763">
        <f>IFERROR(__xludf.DUMMYFUNCTION("""COMPUTED_VALUE"""),30.0)</f>
        <v>30</v>
      </c>
      <c r="X983" s="763">
        <f>IFERROR(__xludf.DUMMYFUNCTION("""COMPUTED_VALUE"""),30.0)</f>
        <v>30</v>
      </c>
      <c r="Y983" s="763"/>
      <c r="Z983" s="768" t="str">
        <f>IFERROR(__xludf.DUMMYFUNCTION("""COMPUTED_VALUE"""),"https://studio-gem.it/wp-admin/post.php?post=67990&amp;action=edit")</f>
        <v>https://studio-gem.it/wp-admin/post.php?post=67990&amp;action=edit</v>
      </c>
      <c r="AA983" s="763"/>
      <c r="AB983" s="763"/>
      <c r="AC983" s="763"/>
      <c r="AD983" s="763"/>
      <c r="AE983" s="763"/>
      <c r="AF983" s="763"/>
      <c r="AG983" s="763"/>
      <c r="AH983" s="763"/>
      <c r="AI983" s="763"/>
      <c r="AJ983" s="763"/>
      <c r="AK983" s="763"/>
      <c r="AL983" s="763"/>
      <c r="AM983" s="763"/>
      <c r="AN983" s="763"/>
      <c r="AO983" s="763"/>
      <c r="AP983" s="763"/>
      <c r="AQ983" s="763"/>
      <c r="AR983" s="763"/>
      <c r="AS983" s="763"/>
      <c r="AT983" s="763"/>
      <c r="AU983" s="763"/>
      <c r="AV983" s="763"/>
      <c r="AW983" s="763"/>
      <c r="AX983" s="763"/>
      <c r="AY983" s="763"/>
      <c r="AZ983" s="763"/>
      <c r="BA983" s="763"/>
      <c r="BB983" s="763"/>
      <c r="BC983" s="763"/>
      <c r="BD983" s="763"/>
      <c r="BE983" s="763"/>
      <c r="BF983" s="763"/>
      <c r="BG983" s="763" t="b">
        <f>IFERROR(__xludf.DUMMYFUNCTION("""COMPUTED_VALUE"""),FALSE)</f>
        <v>0</v>
      </c>
      <c r="BH983" s="763" t="b">
        <f>IFERROR(__xludf.DUMMYFUNCTION("""COMPUTED_VALUE"""),FALSE)</f>
        <v>0</v>
      </c>
      <c r="BI983" s="763" t="b">
        <f>IFERROR(__xludf.DUMMYFUNCTION("""COMPUTED_VALUE"""),FALSE)</f>
        <v>0</v>
      </c>
      <c r="BJ983" s="763" t="b">
        <f>IFERROR(__xludf.DUMMYFUNCTION("""COMPUTED_VALUE"""),FALSE)</f>
        <v>0</v>
      </c>
    </row>
    <row r="984">
      <c r="A984" s="763">
        <f>IFERROR(__xludf.DUMMYFUNCTION("""COMPUTED_VALUE"""),67991.0)</f>
        <v>67991</v>
      </c>
      <c r="B984" s="763">
        <f>IFERROR(__xludf.DUMMYFUNCTION("""COMPUTED_VALUE"""),67991.0)</f>
        <v>67991</v>
      </c>
      <c r="C984" s="763" t="str">
        <f>IFERROR(__xludf.DUMMYFUNCTION("""COMPUTED_VALUE"""),"2026-02-19 16:27:29")</f>
        <v>2026-02-19 16:27:29</v>
      </c>
      <c r="D984" s="763" t="str">
        <f>IFERROR(__xludf.DUMMYFUNCTION("""COMPUTED_VALUE"""),"completed")</f>
        <v>completed</v>
      </c>
      <c r="E984" s="763" t="str">
        <f>IFERROR(__xludf.DUMMYFUNCTION("""COMPUTED_VALUE"""),"Roberta")</f>
        <v>Roberta</v>
      </c>
      <c r="F984" s="763" t="str">
        <f>IFERROR(__xludf.DUMMYFUNCTION("""COMPUTED_VALUE"""),"Rambaldi")</f>
        <v>Rambaldi</v>
      </c>
      <c r="G984" s="763" t="str">
        <f>IFERROR(__xludf.DUMMYFUNCTION("""COMPUTED_VALUE"""),"rambaldi.roberta6@gmail.com")</f>
        <v>rambaldi.roberta6@gmail.com</v>
      </c>
      <c r="H984" s="763">
        <f>IFERROR(__xludf.DUMMYFUNCTION("""COMPUTED_VALUE"""),3.313419879E9)</f>
        <v>3313419879</v>
      </c>
      <c r="I984" s="763" t="str">
        <f>IFERROR(__xludf.DUMMYFUNCTION("""COMPUTED_VALUE"""),"Milano")</f>
        <v>Milano</v>
      </c>
      <c r="J984" s="763" t="str">
        <f>IFERROR(__xludf.DUMMYFUNCTION("""COMPUTED_VALUE"""),"Archimede 24")</f>
        <v>Archimede 24</v>
      </c>
      <c r="K984" s="763">
        <f>IFERROR(__xludf.DUMMYFUNCTION("""COMPUTED_VALUE"""),20129.0)</f>
        <v>20129</v>
      </c>
      <c r="L984" s="763" t="str">
        <f>IFERROR(__xludf.DUMMYFUNCTION("""COMPUTED_VALUE"""),"Apple Pay")</f>
        <v>Apple Pay</v>
      </c>
      <c r="M984" s="763" t="str">
        <f>IFERROR(__xludf.DUMMYFUNCTION("""COMPUTED_VALUE"""),"nura02ws")</f>
        <v>nura02ws</v>
      </c>
      <c r="N984" s="763" t="str">
        <f>IFERROR(__xludf.DUMMYFUNCTION("""COMPUTED_VALUE"""),"67991-1771518451")</f>
        <v>67991-1771518451</v>
      </c>
      <c r="O984" s="763">
        <f>IFERROR(__xludf.DUMMYFUNCTION("""COMPUTED_VALUE"""),0.0)</f>
        <v>0</v>
      </c>
      <c r="P984" s="767">
        <f>IFERROR(__xludf.DUMMYFUNCTION("""COMPUTED_VALUE"""),1.25)</f>
        <v>1.25</v>
      </c>
      <c r="Q984" s="763" t="str">
        <f>IFERROR(__xludf.DUMMYFUNCTION("""COMPUTED_VALUE"""),"EUR")</f>
        <v>EUR</v>
      </c>
      <c r="R984" s="763">
        <f>IFERROR(__xludf.DUMMYFUNCTION("""COMPUTED_VALUE"""),1738.0)</f>
        <v>1738</v>
      </c>
      <c r="S984"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984" s="763"/>
      <c r="U984" s="763"/>
      <c r="V984" s="763">
        <f>IFERROR(__xludf.DUMMYFUNCTION("""COMPUTED_VALUE"""),1.0)</f>
        <v>1</v>
      </c>
      <c r="W984" s="763">
        <f>IFERROR(__xludf.DUMMYFUNCTION("""COMPUTED_VALUE"""),30.0)</f>
        <v>30</v>
      </c>
      <c r="X984" s="763">
        <f>IFERROR(__xludf.DUMMYFUNCTION("""COMPUTED_VALUE"""),30.0)</f>
        <v>30</v>
      </c>
      <c r="Y984" s="763"/>
      <c r="Z984" s="768" t="str">
        <f>IFERROR(__xludf.DUMMYFUNCTION("""COMPUTED_VALUE"""),"https://studio-gem.it/wp-admin/post.php?post=67991&amp;action=edit")</f>
        <v>https://studio-gem.it/wp-admin/post.php?post=67991&amp;action=edit</v>
      </c>
      <c r="AA984" s="763"/>
      <c r="AB984" s="763"/>
      <c r="AC984" s="763"/>
      <c r="AD984" s="763"/>
      <c r="AE984" s="763"/>
      <c r="AF984" s="763"/>
      <c r="AG984" s="763"/>
      <c r="AH984" s="763"/>
      <c r="AI984" s="763"/>
      <c r="AJ984" s="763"/>
      <c r="AK984" s="763"/>
      <c r="AL984" s="763"/>
      <c r="AM984" s="763"/>
      <c r="AN984" s="763"/>
      <c r="AO984" s="763"/>
      <c r="AP984" s="763"/>
      <c r="AQ984" s="763"/>
      <c r="AR984" s="763"/>
      <c r="AS984" s="763"/>
      <c r="AT984" s="763"/>
      <c r="AU984" s="763"/>
      <c r="AV984" s="763"/>
      <c r="AW984" s="763"/>
      <c r="AX984" s="763"/>
      <c r="AY984" s="763"/>
      <c r="AZ984" s="763"/>
      <c r="BA984" s="763"/>
      <c r="BB984" s="763"/>
      <c r="BC984" s="763"/>
      <c r="BD984" s="763"/>
      <c r="BE984" s="763"/>
      <c r="BF984" s="763"/>
      <c r="BG984" s="763" t="b">
        <f>IFERROR(__xludf.DUMMYFUNCTION("""COMPUTED_VALUE"""),TRUE)</f>
        <v>1</v>
      </c>
      <c r="BH984" s="763" t="b">
        <f>IFERROR(__xludf.DUMMYFUNCTION("""COMPUTED_VALUE"""),FALSE)</f>
        <v>0</v>
      </c>
      <c r="BI984" s="763" t="b">
        <f>IFERROR(__xludf.DUMMYFUNCTION("""COMPUTED_VALUE"""),TRUE)</f>
        <v>1</v>
      </c>
      <c r="BJ984" s="763" t="b">
        <f>IFERROR(__xludf.DUMMYFUNCTION("""COMPUTED_VALUE"""),TRUE)</f>
        <v>1</v>
      </c>
    </row>
    <row r="985">
      <c r="A985" s="763">
        <f>IFERROR(__xludf.DUMMYFUNCTION("""COMPUTED_VALUE"""),67993.0)</f>
        <v>67993</v>
      </c>
      <c r="B985" s="763">
        <f>IFERROR(__xludf.DUMMYFUNCTION("""COMPUTED_VALUE"""),67993.0)</f>
        <v>67993</v>
      </c>
      <c r="C985" s="763" t="str">
        <f>IFERROR(__xludf.DUMMYFUNCTION("""COMPUTED_VALUE"""),"2026-02-19 21:32:57")</f>
        <v>2026-02-19 21:32:57</v>
      </c>
      <c r="D985" s="763" t="str">
        <f>IFERROR(__xludf.DUMMYFUNCTION("""COMPUTED_VALUE"""),"completed")</f>
        <v>completed</v>
      </c>
      <c r="E985" s="763" t="str">
        <f>IFERROR(__xludf.DUMMYFUNCTION("""COMPUTED_VALUE"""),"Giancarlo")</f>
        <v>Giancarlo</v>
      </c>
      <c r="F985" s="763" t="str">
        <f>IFERROR(__xludf.DUMMYFUNCTION("""COMPUTED_VALUE"""),"Busnari")</f>
        <v>Busnari</v>
      </c>
      <c r="G985" s="763" t="str">
        <f>IFERROR(__xludf.DUMMYFUNCTION("""COMPUTED_VALUE"""),"g.busnari@gmail.com")</f>
        <v>g.busnari@gmail.com</v>
      </c>
      <c r="H985" s="763">
        <f>IFERROR(__xludf.DUMMYFUNCTION("""COMPUTED_VALUE"""),3.357446092E9)</f>
        <v>3357446092</v>
      </c>
      <c r="I985" s="763" t="str">
        <f>IFERROR(__xludf.DUMMYFUNCTION("""COMPUTED_VALUE"""),"Milano")</f>
        <v>Milano</v>
      </c>
      <c r="J985" s="763" t="str">
        <f>IFERROR(__xludf.DUMMYFUNCTION("""COMPUTED_VALUE"""),"Via Fontana 17")</f>
        <v>Via Fontana 17</v>
      </c>
      <c r="K985" s="763">
        <f>IFERROR(__xludf.DUMMYFUNCTION("""COMPUTED_VALUE"""),20122.0)</f>
        <v>20122</v>
      </c>
      <c r="L985" s="763" t="str">
        <f>IFERROR(__xludf.DUMMYFUNCTION("""COMPUTED_VALUE"""),"Apple Pay")</f>
        <v>Apple Pay</v>
      </c>
      <c r="M985" s="763" t="str">
        <f>IFERROR(__xludf.DUMMYFUNCTION("""COMPUTED_VALUE"""),"joel02ws")</f>
        <v>joel02ws</v>
      </c>
      <c r="N985" s="763" t="str">
        <f>IFERROR(__xludf.DUMMYFUNCTION("""COMPUTED_VALUE"""),"67993-1771536779")</f>
        <v>67993-1771536779</v>
      </c>
      <c r="O985" s="763">
        <f>IFERROR(__xludf.DUMMYFUNCTION("""COMPUTED_VALUE"""),0.0)</f>
        <v>0</v>
      </c>
      <c r="P985" s="767">
        <f>IFERROR(__xludf.DUMMYFUNCTION("""COMPUTED_VALUE"""),1.4583333333333333)</f>
        <v>1.458333333</v>
      </c>
      <c r="Q985" s="763" t="str">
        <f>IFERROR(__xludf.DUMMYFUNCTION("""COMPUTED_VALUE"""),"EUR")</f>
        <v>EUR</v>
      </c>
      <c r="R985" s="763">
        <f>IFERROR(__xludf.DUMMYFUNCTION("""COMPUTED_VALUE"""),1740.0)</f>
        <v>1740</v>
      </c>
      <c r="S985" s="763" t="str">
        <f>IFERROR(__xludf.DUMMYFUNCTION("""COMPUTED_VALUE"""),"Un dia en Cuba 2026 - Un dia en Cuba 2026")</f>
        <v>Un dia en Cuba 2026 - Un dia en Cuba 2026</v>
      </c>
      <c r="T985" s="763"/>
      <c r="U985" s="763"/>
      <c r="V985" s="763">
        <f>IFERROR(__xludf.DUMMYFUNCTION("""COMPUTED_VALUE"""),1.0)</f>
        <v>1</v>
      </c>
      <c r="W985" s="763">
        <f>IFERROR(__xludf.DUMMYFUNCTION("""COMPUTED_VALUE"""),35.0)</f>
        <v>35</v>
      </c>
      <c r="X985" s="763">
        <f>IFERROR(__xludf.DUMMYFUNCTION("""COMPUTED_VALUE"""),35.0)</f>
        <v>35</v>
      </c>
      <c r="Y985" s="763"/>
      <c r="Z985" s="768" t="str">
        <f>IFERROR(__xludf.DUMMYFUNCTION("""COMPUTED_VALUE"""),"https://studio-gem.it/wp-admin/post.php?post=67993&amp;action=edit")</f>
        <v>https://studio-gem.it/wp-admin/post.php?post=67993&amp;action=edit</v>
      </c>
      <c r="AA985" s="763"/>
      <c r="AB985" s="763"/>
      <c r="AC985" s="763"/>
      <c r="AD985" s="763"/>
      <c r="AE985" s="763"/>
      <c r="AF985" s="763"/>
      <c r="AG985" s="763"/>
      <c r="AH985" s="763"/>
      <c r="AI985" s="763"/>
      <c r="AJ985" s="763"/>
      <c r="AK985" s="763"/>
      <c r="AL985" s="763"/>
      <c r="AM985" s="763"/>
      <c r="AN985" s="763"/>
      <c r="AO985" s="763"/>
      <c r="AP985" s="763"/>
      <c r="AQ985" s="763"/>
      <c r="AR985" s="763"/>
      <c r="AS985" s="763"/>
      <c r="AT985" s="763"/>
      <c r="AU985" s="763"/>
      <c r="AV985" s="763"/>
      <c r="AW985" s="763"/>
      <c r="AX985" s="763"/>
      <c r="AY985" s="763"/>
      <c r="AZ985" s="763"/>
      <c r="BA985" s="763"/>
      <c r="BB985" s="763"/>
      <c r="BC985" s="763"/>
      <c r="BD985" s="763"/>
      <c r="BE985" s="763"/>
      <c r="BF985" s="763"/>
      <c r="BG985" s="763" t="b">
        <f>IFERROR(__xludf.DUMMYFUNCTION("""COMPUTED_VALUE"""),TRUE)</f>
        <v>1</v>
      </c>
      <c r="BH985" s="763" t="b">
        <f>IFERROR(__xludf.DUMMYFUNCTION("""COMPUTED_VALUE"""),FALSE)</f>
        <v>0</v>
      </c>
      <c r="BI985" s="763" t="b">
        <f>IFERROR(__xludf.DUMMYFUNCTION("""COMPUTED_VALUE"""),TRUE)</f>
        <v>1</v>
      </c>
      <c r="BJ985" s="763" t="b">
        <f>IFERROR(__xludf.DUMMYFUNCTION("""COMPUTED_VALUE"""),TRUE)</f>
        <v>1</v>
      </c>
    </row>
    <row r="986">
      <c r="A986" s="763">
        <f>IFERROR(__xludf.DUMMYFUNCTION("""COMPUTED_VALUE"""),67995.0)</f>
        <v>67995</v>
      </c>
      <c r="B986" s="763">
        <f>IFERROR(__xludf.DUMMYFUNCTION("""COMPUTED_VALUE"""),67995.0)</f>
        <v>67995</v>
      </c>
      <c r="C986" s="763" t="str">
        <f>IFERROR(__xludf.DUMMYFUNCTION("""COMPUTED_VALUE"""),"2026-02-20 13:14:05")</f>
        <v>2026-02-20 13:14:05</v>
      </c>
      <c r="D986" s="763" t="str">
        <f>IFERROR(__xludf.DUMMYFUNCTION("""COMPUTED_VALUE"""),"completed")</f>
        <v>completed</v>
      </c>
      <c r="E986" s="763" t="str">
        <f>IFERROR(__xludf.DUMMYFUNCTION("""COMPUTED_VALUE"""),"Jhissel")</f>
        <v>Jhissel</v>
      </c>
      <c r="F986" s="763" t="str">
        <f>IFERROR(__xludf.DUMMYFUNCTION("""COMPUTED_VALUE"""),"Gomez")</f>
        <v>Gomez</v>
      </c>
      <c r="G986" s="763" t="str">
        <f>IFERROR(__xludf.DUMMYFUNCTION("""COMPUTED_VALUE"""),"chaveznini26@gmail.com")</f>
        <v>chaveznini26@gmail.com</v>
      </c>
      <c r="H986" s="763">
        <f>IFERROR(__xludf.DUMMYFUNCTION("""COMPUTED_VALUE"""),3.801039339E9)</f>
        <v>3801039339</v>
      </c>
      <c r="I986" s="763" t="str">
        <f>IFERROR(__xludf.DUMMYFUNCTION("""COMPUTED_VALUE"""),"Milano")</f>
        <v>Milano</v>
      </c>
      <c r="J986" s="763" t="str">
        <f>IFERROR(__xludf.DUMMYFUNCTION("""COMPUTED_VALUE"""),"Via Pietro crespi 11")</f>
        <v>Via Pietro crespi 11</v>
      </c>
      <c r="K986" s="763">
        <f>IFERROR(__xludf.DUMMYFUNCTION("""COMPUTED_VALUE"""),20127.0)</f>
        <v>20127</v>
      </c>
      <c r="L986" s="763" t="str">
        <f>IFERROR(__xludf.DUMMYFUNCTION("""COMPUTED_VALUE"""),"Apple Pay")</f>
        <v>Apple Pay</v>
      </c>
      <c r="M986" s="763"/>
      <c r="N986" s="763" t="str">
        <f>IFERROR(__xludf.DUMMYFUNCTION("""COMPUTED_VALUE"""),"67995-1771593247")</f>
        <v>67995-1771593247</v>
      </c>
      <c r="O986" s="763">
        <f>IFERROR(__xludf.DUMMYFUNCTION("""COMPUTED_VALUE"""),0.0)</f>
        <v>0</v>
      </c>
      <c r="P986" s="767">
        <f>IFERROR(__xludf.DUMMYFUNCTION("""COMPUTED_VALUE"""),1.3333333333333333)</f>
        <v>1.333333333</v>
      </c>
      <c r="Q986" s="763" t="str">
        <f>IFERROR(__xludf.DUMMYFUNCTION("""COMPUTED_VALUE"""),"EUR")</f>
        <v>EUR</v>
      </c>
      <c r="R986" s="763">
        <f>IFERROR(__xludf.DUMMYFUNCTION("""COMPUTED_VALUE"""),1742.0)</f>
        <v>1742</v>
      </c>
      <c r="S986"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986" s="763"/>
      <c r="U986" s="763"/>
      <c r="V986" s="763">
        <f>IFERROR(__xludf.DUMMYFUNCTION("""COMPUTED_VALUE"""),1.0)</f>
        <v>1</v>
      </c>
      <c r="W986" s="763">
        <f>IFERROR(__xludf.DUMMYFUNCTION("""COMPUTED_VALUE"""),32.0)</f>
        <v>32</v>
      </c>
      <c r="X986" s="763">
        <f>IFERROR(__xludf.DUMMYFUNCTION("""COMPUTED_VALUE"""),32.0)</f>
        <v>32</v>
      </c>
      <c r="Y986" s="763"/>
      <c r="Z986" s="768" t="str">
        <f>IFERROR(__xludf.DUMMYFUNCTION("""COMPUTED_VALUE"""),"https://studio-gem.it/wp-admin/post.php?post=67995&amp;action=edit")</f>
        <v>https://studio-gem.it/wp-admin/post.php?post=67995&amp;action=edit</v>
      </c>
      <c r="AA986" s="763"/>
      <c r="AB986" s="763"/>
      <c r="AC986" s="763"/>
      <c r="AD986" s="763"/>
      <c r="AE986" s="763"/>
      <c r="AF986" s="763"/>
      <c r="AG986" s="763"/>
      <c r="AH986" s="763"/>
      <c r="AI986" s="763"/>
      <c r="AJ986" s="763"/>
      <c r="AK986" s="763"/>
      <c r="AL986" s="763"/>
      <c r="AM986" s="763"/>
      <c r="AN986" s="763"/>
      <c r="AO986" s="763"/>
      <c r="AP986" s="763"/>
      <c r="AQ986" s="763"/>
      <c r="AR986" s="763"/>
      <c r="AS986" s="763"/>
      <c r="AT986" s="763"/>
      <c r="AU986" s="763"/>
      <c r="AV986" s="763"/>
      <c r="AW986" s="763"/>
      <c r="AX986" s="763"/>
      <c r="AY986" s="763"/>
      <c r="AZ986" s="763"/>
      <c r="BA986" s="763"/>
      <c r="BB986" s="763"/>
      <c r="BC986" s="763"/>
      <c r="BD986" s="763"/>
      <c r="BE986" s="763"/>
      <c r="BF986" s="763"/>
      <c r="BG986" s="763" t="b">
        <f>IFERROR(__xludf.DUMMYFUNCTION("""COMPUTED_VALUE"""),TRUE)</f>
        <v>1</v>
      </c>
      <c r="BH986" s="763" t="b">
        <f>IFERROR(__xludf.DUMMYFUNCTION("""COMPUTED_VALUE"""),FALSE)</f>
        <v>0</v>
      </c>
      <c r="BI986" s="763" t="b">
        <f>IFERROR(__xludf.DUMMYFUNCTION("""COMPUTED_VALUE"""),TRUE)</f>
        <v>1</v>
      </c>
      <c r="BJ986" s="763" t="b">
        <f>IFERROR(__xludf.DUMMYFUNCTION("""COMPUTED_VALUE"""),TRUE)</f>
        <v>1</v>
      </c>
    </row>
    <row r="987">
      <c r="A987" s="763">
        <f>IFERROR(__xludf.DUMMYFUNCTION("""COMPUTED_VALUE"""),67997.0)</f>
        <v>67997</v>
      </c>
      <c r="B987" s="763">
        <f>IFERROR(__xludf.DUMMYFUNCTION("""COMPUTED_VALUE"""),67997.0)</f>
        <v>67997</v>
      </c>
      <c r="C987" s="763" t="str">
        <f>IFERROR(__xludf.DUMMYFUNCTION("""COMPUTED_VALUE"""),"2026-02-21 09:29:17")</f>
        <v>2026-02-21 09:29:17</v>
      </c>
      <c r="D987" s="763" t="str">
        <f>IFERROR(__xludf.DUMMYFUNCTION("""COMPUTED_VALUE"""),"processing")</f>
        <v>processing</v>
      </c>
      <c r="E987" s="763" t="str">
        <f>IFERROR(__xludf.DUMMYFUNCTION("""COMPUTED_VALUE"""),"Anna Maria")</f>
        <v>Anna Maria</v>
      </c>
      <c r="F987" s="763" t="str">
        <f>IFERROR(__xludf.DUMMYFUNCTION("""COMPUTED_VALUE"""),"Comolli")</f>
        <v>Comolli</v>
      </c>
      <c r="G987" s="763" t="str">
        <f>IFERROR(__xludf.DUMMYFUNCTION("""COMPUTED_VALUE"""),"annacomolli98@gmail.com")</f>
        <v>annacomolli98@gmail.com</v>
      </c>
      <c r="H987" s="763">
        <f>IFERROR(__xludf.DUMMYFUNCTION("""COMPUTED_VALUE"""),3.314938368E9)</f>
        <v>3314938368</v>
      </c>
      <c r="I987" s="763" t="str">
        <f>IFERROR(__xludf.DUMMYFUNCTION("""COMPUTED_VALUE"""),"Seregno")</f>
        <v>Seregno</v>
      </c>
      <c r="J987" s="763" t="str">
        <f>IFERROR(__xludf.DUMMYFUNCTION("""COMPUTED_VALUE"""),"Via San Vitale 3")</f>
        <v>Via San Vitale 3</v>
      </c>
      <c r="K987" s="763">
        <f>IFERROR(__xludf.DUMMYFUNCTION("""COMPUTED_VALUE"""),20831.0)</f>
        <v>20831</v>
      </c>
      <c r="L987" s="763" t="str">
        <f>IFERROR(__xludf.DUMMYFUNCTION("""COMPUTED_VALUE"""),"Carte di pagamento")</f>
        <v>Carte di pagamento</v>
      </c>
      <c r="M987" s="763"/>
      <c r="N987" s="763" t="str">
        <f>IFERROR(__xludf.DUMMYFUNCTION("""COMPUTED_VALUE"""),"67997-1771666159")</f>
        <v>67997-1771666159</v>
      </c>
      <c r="O987" s="763">
        <f>IFERROR(__xludf.DUMMYFUNCTION("""COMPUTED_VALUE"""),0.0)</f>
        <v>0</v>
      </c>
      <c r="P987" s="767">
        <f>IFERROR(__xludf.DUMMYFUNCTION("""COMPUTED_VALUE"""),1.875)</f>
        <v>1.875</v>
      </c>
      <c r="Q987" s="763" t="str">
        <f>IFERROR(__xludf.DUMMYFUNCTION("""COMPUTED_VALUE"""),"EUR")</f>
        <v>EUR</v>
      </c>
      <c r="R987" s="763">
        <f>IFERROR(__xludf.DUMMYFUNCTION("""COMPUTED_VALUE"""),1743.0)</f>
        <v>1743</v>
      </c>
      <c r="S987" s="763" t="str">
        <f>IFERROR(__xludf.DUMMYFUNCTION("""COMPUTED_VALUE"""),"Workshop Hip Hop Emanuel Lo 2026 - Workshop Emanuel Lo h 16 22 febbraio 2026")</f>
        <v>Workshop Hip Hop Emanuel Lo 2026 - Workshop Emanuel Lo h 16 22 febbraio 2026</v>
      </c>
      <c r="T987" s="763"/>
      <c r="U987" s="763"/>
      <c r="V987" s="763">
        <f>IFERROR(__xludf.DUMMYFUNCTION("""COMPUTED_VALUE"""),1.0)</f>
        <v>1</v>
      </c>
      <c r="W987" s="763">
        <f>IFERROR(__xludf.DUMMYFUNCTION("""COMPUTED_VALUE"""),45.0)</f>
        <v>45</v>
      </c>
      <c r="X987" s="763">
        <f>IFERROR(__xludf.DUMMYFUNCTION("""COMPUTED_VALUE"""),45.0)</f>
        <v>45</v>
      </c>
      <c r="Y987" s="763"/>
      <c r="Z987" s="768" t="str">
        <f>IFERROR(__xludf.DUMMYFUNCTION("""COMPUTED_VALUE"""),"https://studio-gem.it/wp-admin/post.php?post=67997&amp;action=edit")</f>
        <v>https://studio-gem.it/wp-admin/post.php?post=67997&amp;action=edit</v>
      </c>
      <c r="AA987" s="763"/>
      <c r="AB987" s="763"/>
      <c r="AC987" s="763"/>
      <c r="AD987" s="763"/>
      <c r="AE987" s="763"/>
      <c r="AF987" s="763"/>
      <c r="AG987" s="763"/>
      <c r="AH987" s="763"/>
      <c r="AI987" s="763"/>
      <c r="AJ987" s="763"/>
      <c r="AK987" s="763"/>
      <c r="AL987" s="763"/>
      <c r="AM987" s="763"/>
      <c r="AN987" s="763"/>
      <c r="AO987" s="763"/>
      <c r="AP987" s="763"/>
      <c r="AQ987" s="763"/>
      <c r="AR987" s="763"/>
      <c r="AS987" s="763"/>
      <c r="AT987" s="763"/>
      <c r="AU987" s="763"/>
      <c r="AV987" s="763"/>
      <c r="AW987" s="763"/>
      <c r="AX987" s="763"/>
      <c r="AY987" s="763"/>
      <c r="AZ987" s="763"/>
      <c r="BA987" s="763"/>
      <c r="BB987" s="763"/>
      <c r="BC987" s="763"/>
      <c r="BD987" s="763"/>
      <c r="BE987" s="763"/>
      <c r="BF987" s="763"/>
      <c r="BG987" s="763" t="b">
        <f>IFERROR(__xludf.DUMMYFUNCTION("""COMPUTED_VALUE"""),TRUE)</f>
        <v>1</v>
      </c>
      <c r="BH987" s="763" t="b">
        <f>IFERROR(__xludf.DUMMYFUNCTION("""COMPUTED_VALUE"""),FALSE)</f>
        <v>0</v>
      </c>
      <c r="BI987" s="763" t="b">
        <f>IFERROR(__xludf.DUMMYFUNCTION("""COMPUTED_VALUE"""),TRUE)</f>
        <v>1</v>
      </c>
      <c r="BJ987" s="763" t="b">
        <f>IFERROR(__xludf.DUMMYFUNCTION("""COMPUTED_VALUE"""),TRUE)</f>
        <v>1</v>
      </c>
    </row>
    <row r="988">
      <c r="A988" s="763">
        <f>IFERROR(__xludf.DUMMYFUNCTION("""COMPUTED_VALUE"""),67999.0)</f>
        <v>67999</v>
      </c>
      <c r="B988" s="763">
        <f>IFERROR(__xludf.DUMMYFUNCTION("""COMPUTED_VALUE"""),67999.0)</f>
        <v>67999</v>
      </c>
      <c r="C988" s="763" t="str">
        <f>IFERROR(__xludf.DUMMYFUNCTION("""COMPUTED_VALUE"""),"2026-02-21 13:55:43")</f>
        <v>2026-02-21 13:55:43</v>
      </c>
      <c r="D988" s="763" t="str">
        <f>IFERROR(__xludf.DUMMYFUNCTION("""COMPUTED_VALUE"""),"completed")</f>
        <v>completed</v>
      </c>
      <c r="E988" s="763" t="str">
        <f>IFERROR(__xludf.DUMMYFUNCTION("""COMPUTED_VALUE"""),"Jacopo")</f>
        <v>Jacopo</v>
      </c>
      <c r="F988" s="763" t="str">
        <f>IFERROR(__xludf.DUMMYFUNCTION("""COMPUTED_VALUE"""),"Brioni")</f>
        <v>Brioni</v>
      </c>
      <c r="G988" s="763" t="str">
        <f>IFERROR(__xludf.DUMMYFUNCTION("""COMPUTED_VALUE"""),"jacopus1996@hotmail.it")</f>
        <v>jacopus1996@hotmail.it</v>
      </c>
      <c r="H988" s="763">
        <f>IFERROR(__xludf.DUMMYFUNCTION("""COMPUTED_VALUE"""),3.661951513E9)</f>
        <v>3661951513</v>
      </c>
      <c r="I988" s="763" t="str">
        <f>IFERROR(__xludf.DUMMYFUNCTION("""COMPUTED_VALUE"""),"Milano")</f>
        <v>Milano</v>
      </c>
      <c r="J988" s="763" t="str">
        <f>IFERROR(__xludf.DUMMYFUNCTION("""COMPUTED_VALUE"""),"Corso Buenos Aires 66")</f>
        <v>Corso Buenos Aires 66</v>
      </c>
      <c r="K988" s="763">
        <f>IFERROR(__xludf.DUMMYFUNCTION("""COMPUTED_VALUE"""),20124.0)</f>
        <v>20124</v>
      </c>
      <c r="L988" s="763" t="str">
        <f>IFERROR(__xludf.DUMMYFUNCTION("""COMPUTED_VALUE"""),"Apple Pay")</f>
        <v>Apple Pay</v>
      </c>
      <c r="M988" s="763"/>
      <c r="N988" s="763" t="str">
        <f>IFERROR(__xludf.DUMMYFUNCTION("""COMPUTED_VALUE"""),"67999-1771682145")</f>
        <v>67999-1771682145</v>
      </c>
      <c r="O988" s="763">
        <f>IFERROR(__xludf.DUMMYFUNCTION("""COMPUTED_VALUE"""),0.0)</f>
        <v>0</v>
      </c>
      <c r="P988" s="767">
        <f>IFERROR(__xludf.DUMMYFUNCTION("""COMPUTED_VALUE"""),1.5416666666666667)</f>
        <v>1.541666667</v>
      </c>
      <c r="Q988" s="763" t="str">
        <f>IFERROR(__xludf.DUMMYFUNCTION("""COMPUTED_VALUE"""),"EUR")</f>
        <v>EUR</v>
      </c>
      <c r="R988" s="763">
        <f>IFERROR(__xludf.DUMMYFUNCTION("""COMPUTED_VALUE"""),1744.0)</f>
        <v>1744</v>
      </c>
      <c r="S988" s="763" t="str">
        <f>IFERROR(__xludf.DUMMYFUNCTION("""COMPUTED_VALUE"""),"Un dia en Cuba 2026 - Un dia en Cuba 2026")</f>
        <v>Un dia en Cuba 2026 - Un dia en Cuba 2026</v>
      </c>
      <c r="T988" s="763"/>
      <c r="U988" s="763"/>
      <c r="V988" s="763">
        <f>IFERROR(__xludf.DUMMYFUNCTION("""COMPUTED_VALUE"""),1.0)</f>
        <v>1</v>
      </c>
      <c r="W988" s="763">
        <f>IFERROR(__xludf.DUMMYFUNCTION("""COMPUTED_VALUE"""),37.0)</f>
        <v>37</v>
      </c>
      <c r="X988" s="763">
        <f>IFERROR(__xludf.DUMMYFUNCTION("""COMPUTED_VALUE"""),37.0)</f>
        <v>37</v>
      </c>
      <c r="Y988" s="763"/>
      <c r="Z988" s="768" t="str">
        <f>IFERROR(__xludf.DUMMYFUNCTION("""COMPUTED_VALUE"""),"https://studio-gem.it/wp-admin/post.php?post=67999&amp;action=edit")</f>
        <v>https://studio-gem.it/wp-admin/post.php?post=67999&amp;action=edit</v>
      </c>
      <c r="AA988" s="763"/>
      <c r="AB988" s="763"/>
      <c r="AC988" s="763"/>
      <c r="AD988" s="763"/>
      <c r="AE988" s="763"/>
      <c r="AF988" s="763"/>
      <c r="AG988" s="763"/>
      <c r="AH988" s="763"/>
      <c r="AI988" s="763"/>
      <c r="AJ988" s="763"/>
      <c r="AK988" s="763"/>
      <c r="AL988" s="763"/>
      <c r="AM988" s="763"/>
      <c r="AN988" s="763"/>
      <c r="AO988" s="763"/>
      <c r="AP988" s="763"/>
      <c r="AQ988" s="763"/>
      <c r="AR988" s="763"/>
      <c r="AS988" s="763"/>
      <c r="AT988" s="763"/>
      <c r="AU988" s="763"/>
      <c r="AV988" s="763"/>
      <c r="AW988" s="763"/>
      <c r="AX988" s="763"/>
      <c r="AY988" s="763"/>
      <c r="AZ988" s="763"/>
      <c r="BA988" s="763"/>
      <c r="BB988" s="763"/>
      <c r="BC988" s="763"/>
      <c r="BD988" s="763"/>
      <c r="BE988" s="763"/>
      <c r="BF988" s="763"/>
      <c r="BG988" s="763" t="b">
        <f>IFERROR(__xludf.DUMMYFUNCTION("""COMPUTED_VALUE"""),TRUE)</f>
        <v>1</v>
      </c>
      <c r="BH988" s="763" t="b">
        <f>IFERROR(__xludf.DUMMYFUNCTION("""COMPUTED_VALUE"""),FALSE)</f>
        <v>0</v>
      </c>
      <c r="BI988" s="763" t="b">
        <f>IFERROR(__xludf.DUMMYFUNCTION("""COMPUTED_VALUE"""),TRUE)</f>
        <v>1</v>
      </c>
      <c r="BJ988" s="763" t="b">
        <f>IFERROR(__xludf.DUMMYFUNCTION("""COMPUTED_VALUE"""),TRUE)</f>
        <v>1</v>
      </c>
    </row>
    <row r="989">
      <c r="A989" s="763">
        <f>IFERROR(__xludf.DUMMYFUNCTION("""COMPUTED_VALUE"""),68001.0)</f>
        <v>68001</v>
      </c>
      <c r="B989" s="763">
        <f>IFERROR(__xludf.DUMMYFUNCTION("""COMPUTED_VALUE"""),68001.0)</f>
        <v>68001</v>
      </c>
      <c r="C989" s="763" t="str">
        <f>IFERROR(__xludf.DUMMYFUNCTION("""COMPUTED_VALUE"""),"2026-02-21 15:28:18")</f>
        <v>2026-02-21 15:28:18</v>
      </c>
      <c r="D989" s="763" t="str">
        <f>IFERROR(__xludf.DUMMYFUNCTION("""COMPUTED_VALUE"""),"cancelled")</f>
        <v>cancelled</v>
      </c>
      <c r="E989" s="763" t="str">
        <f>IFERROR(__xludf.DUMMYFUNCTION("""COMPUTED_VALUE"""),"Chiara")</f>
        <v>Chiara</v>
      </c>
      <c r="F989" s="763" t="str">
        <f>IFERROR(__xludf.DUMMYFUNCTION("""COMPUTED_VALUE"""),"Toscano")</f>
        <v>Toscano</v>
      </c>
      <c r="G989" s="763" t="str">
        <f>IFERROR(__xludf.DUMMYFUNCTION("""COMPUTED_VALUE"""),"chiaratoscano@tiscali.it")</f>
        <v>chiaratoscano@tiscali.it</v>
      </c>
      <c r="H989" s="763">
        <f>IFERROR(__xludf.DUMMYFUNCTION("""COMPUTED_VALUE"""),3.286790381E9)</f>
        <v>3286790381</v>
      </c>
      <c r="I989" s="763" t="str">
        <f>IFERROR(__xludf.DUMMYFUNCTION("""COMPUTED_VALUE"""),"San Donato Milanese")</f>
        <v>San Donato Milanese</v>
      </c>
      <c r="J989" s="763" t="str">
        <f>IFERROR(__xludf.DUMMYFUNCTION("""COMPUTED_VALUE"""),"Via Pace 7")</f>
        <v>Via Pace 7</v>
      </c>
      <c r="K989" s="763">
        <f>IFERROR(__xludf.DUMMYFUNCTION("""COMPUTED_VALUE"""),20097.0)</f>
        <v>20097</v>
      </c>
      <c r="L989" s="763" t="str">
        <f>IFERROR(__xludf.DUMMYFUNCTION("""COMPUTED_VALUE"""),"Carte di pagamento")</f>
        <v>Carte di pagamento</v>
      </c>
      <c r="M989" s="763" t="str">
        <f>IFERROR(__xludf.DUMMYFUNCTION("""COMPUTED_VALUE"""),"estefany02ws")</f>
        <v>estefany02ws</v>
      </c>
      <c r="N989" s="763"/>
      <c r="O989" s="763">
        <f>IFERROR(__xludf.DUMMYFUNCTION("""COMPUTED_VALUE"""),0.0)</f>
        <v>0</v>
      </c>
      <c r="P989" s="767">
        <f>IFERROR(__xludf.DUMMYFUNCTION("""COMPUTED_VALUE"""),1.4583333333333333)</f>
        <v>1.458333333</v>
      </c>
      <c r="Q989" s="763" t="str">
        <f>IFERROR(__xludf.DUMMYFUNCTION("""COMPUTED_VALUE"""),"EUR")</f>
        <v>EUR</v>
      </c>
      <c r="R989" s="763">
        <f>IFERROR(__xludf.DUMMYFUNCTION("""COMPUTED_VALUE"""),1745.0)</f>
        <v>1745</v>
      </c>
      <c r="S989" s="763" t="str">
        <f>IFERROR(__xludf.DUMMYFUNCTION("""COMPUTED_VALUE"""),"Un dia en Cuba 2026 - Un dia en Cuba 2026")</f>
        <v>Un dia en Cuba 2026 - Un dia en Cuba 2026</v>
      </c>
      <c r="T989" s="763"/>
      <c r="U989" s="763"/>
      <c r="V989" s="763">
        <f>IFERROR(__xludf.DUMMYFUNCTION("""COMPUTED_VALUE"""),1.0)</f>
        <v>1</v>
      </c>
      <c r="W989" s="763">
        <f>IFERROR(__xludf.DUMMYFUNCTION("""COMPUTED_VALUE"""),35.0)</f>
        <v>35</v>
      </c>
      <c r="X989" s="763">
        <f>IFERROR(__xludf.DUMMYFUNCTION("""COMPUTED_VALUE"""),35.0)</f>
        <v>35</v>
      </c>
      <c r="Y989" s="763"/>
      <c r="Z989" s="768" t="str">
        <f>IFERROR(__xludf.DUMMYFUNCTION("""COMPUTED_VALUE"""),"https://studio-gem.it/wp-admin/post.php?post=68001&amp;action=edit")</f>
        <v>https://studio-gem.it/wp-admin/post.php?post=68001&amp;action=edit</v>
      </c>
      <c r="AA989" s="763"/>
      <c r="AB989" s="763"/>
      <c r="AC989" s="763"/>
      <c r="AD989" s="763"/>
      <c r="AE989" s="763"/>
      <c r="AF989" s="763"/>
      <c r="AG989" s="763"/>
      <c r="AH989" s="763"/>
      <c r="AI989" s="763"/>
      <c r="AJ989" s="763"/>
      <c r="AK989" s="763"/>
      <c r="AL989" s="763"/>
      <c r="AM989" s="763"/>
      <c r="AN989" s="763"/>
      <c r="AO989" s="763"/>
      <c r="AP989" s="763"/>
      <c r="AQ989" s="763"/>
      <c r="AR989" s="763"/>
      <c r="AS989" s="763"/>
      <c r="AT989" s="763"/>
      <c r="AU989" s="763"/>
      <c r="AV989" s="763"/>
      <c r="AW989" s="763"/>
      <c r="AX989" s="763"/>
      <c r="AY989" s="763"/>
      <c r="AZ989" s="763"/>
      <c r="BA989" s="763"/>
      <c r="BB989" s="763"/>
      <c r="BC989" s="763"/>
      <c r="BD989" s="763"/>
      <c r="BE989" s="763"/>
      <c r="BF989" s="763"/>
      <c r="BG989" s="763" t="b">
        <f>IFERROR(__xludf.DUMMYFUNCTION("""COMPUTED_VALUE"""),FALSE)</f>
        <v>0</v>
      </c>
      <c r="BH989" s="763" t="b">
        <f>IFERROR(__xludf.DUMMYFUNCTION("""COMPUTED_VALUE"""),FALSE)</f>
        <v>0</v>
      </c>
      <c r="BI989" s="763" t="b">
        <f>IFERROR(__xludf.DUMMYFUNCTION("""COMPUTED_VALUE"""),FALSE)</f>
        <v>0</v>
      </c>
      <c r="BJ989" s="763" t="b">
        <f>IFERROR(__xludf.DUMMYFUNCTION("""COMPUTED_VALUE"""),FALSE)</f>
        <v>0</v>
      </c>
    </row>
    <row r="990">
      <c r="A990" s="763">
        <f>IFERROR(__xludf.DUMMYFUNCTION("""COMPUTED_VALUE"""),68002.0)</f>
        <v>68002</v>
      </c>
      <c r="B990" s="763">
        <f>IFERROR(__xludf.DUMMYFUNCTION("""COMPUTED_VALUE"""),68002.0)</f>
        <v>68002</v>
      </c>
      <c r="C990" s="763" t="str">
        <f>IFERROR(__xludf.DUMMYFUNCTION("""COMPUTED_VALUE"""),"2026-02-21 15:30:41")</f>
        <v>2026-02-21 15:30:41</v>
      </c>
      <c r="D990" s="763" t="str">
        <f>IFERROR(__xludf.DUMMYFUNCTION("""COMPUTED_VALUE"""),"processing")</f>
        <v>processing</v>
      </c>
      <c r="E990" s="763" t="str">
        <f>IFERROR(__xludf.DUMMYFUNCTION("""COMPUTED_VALUE"""),"Chiara")</f>
        <v>Chiara</v>
      </c>
      <c r="F990" s="763" t="str">
        <f>IFERROR(__xludf.DUMMYFUNCTION("""COMPUTED_VALUE"""),"Toscano")</f>
        <v>Toscano</v>
      </c>
      <c r="G990" s="763" t="str">
        <f>IFERROR(__xludf.DUMMYFUNCTION("""COMPUTED_VALUE"""),"chiaratoscano@tiscali.it")</f>
        <v>chiaratoscano@tiscali.it</v>
      </c>
      <c r="H990" s="763">
        <f>IFERROR(__xludf.DUMMYFUNCTION("""COMPUTED_VALUE"""),3.286790381E9)</f>
        <v>3286790381</v>
      </c>
      <c r="I990" s="763" t="str">
        <f>IFERROR(__xludf.DUMMYFUNCTION("""COMPUTED_VALUE"""),"San Donato Milanese")</f>
        <v>San Donato Milanese</v>
      </c>
      <c r="J990" s="763" t="str">
        <f>IFERROR(__xludf.DUMMYFUNCTION("""COMPUTED_VALUE"""),"Via Pace 7")</f>
        <v>Via Pace 7</v>
      </c>
      <c r="K990" s="763">
        <f>IFERROR(__xludf.DUMMYFUNCTION("""COMPUTED_VALUE"""),20097.0)</f>
        <v>20097</v>
      </c>
      <c r="L990" s="763" t="str">
        <f>IFERROR(__xludf.DUMMYFUNCTION("""COMPUTED_VALUE"""),"Carte di pagamento")</f>
        <v>Carte di pagamento</v>
      </c>
      <c r="M990" s="763" t="str">
        <f>IFERROR(__xludf.DUMMYFUNCTION("""COMPUTED_VALUE"""),"estefany02ws")</f>
        <v>estefany02ws</v>
      </c>
      <c r="N990" s="763" t="str">
        <f>IFERROR(__xludf.DUMMYFUNCTION("""COMPUTED_VALUE"""),"68002-1771687843")</f>
        <v>68002-1771687843</v>
      </c>
      <c r="O990" s="763">
        <f>IFERROR(__xludf.DUMMYFUNCTION("""COMPUTED_VALUE"""),0.0)</f>
        <v>0</v>
      </c>
      <c r="P990" s="767">
        <f>IFERROR(__xludf.DUMMYFUNCTION("""COMPUTED_VALUE"""),1.4583333333333333)</f>
        <v>1.458333333</v>
      </c>
      <c r="Q990" s="763" t="str">
        <f>IFERROR(__xludf.DUMMYFUNCTION("""COMPUTED_VALUE"""),"EUR")</f>
        <v>EUR</v>
      </c>
      <c r="R990" s="763">
        <f>IFERROR(__xludf.DUMMYFUNCTION("""COMPUTED_VALUE"""),1747.0)</f>
        <v>1747</v>
      </c>
      <c r="S990" s="763" t="str">
        <f>IFERROR(__xludf.DUMMYFUNCTION("""COMPUTED_VALUE"""),"Un dia en Cuba 2026 - Un dia en Cuba 2026")</f>
        <v>Un dia en Cuba 2026 - Un dia en Cuba 2026</v>
      </c>
      <c r="T990" s="763"/>
      <c r="U990" s="763"/>
      <c r="V990" s="763">
        <f>IFERROR(__xludf.DUMMYFUNCTION("""COMPUTED_VALUE"""),1.0)</f>
        <v>1</v>
      </c>
      <c r="W990" s="763">
        <f>IFERROR(__xludf.DUMMYFUNCTION("""COMPUTED_VALUE"""),35.0)</f>
        <v>35</v>
      </c>
      <c r="X990" s="763">
        <f>IFERROR(__xludf.DUMMYFUNCTION("""COMPUTED_VALUE"""),35.0)</f>
        <v>35</v>
      </c>
      <c r="Y990" s="763"/>
      <c r="Z990" s="768" t="str">
        <f>IFERROR(__xludf.DUMMYFUNCTION("""COMPUTED_VALUE"""),"https://studio-gem.it/wp-admin/post.php?post=68002&amp;action=edit")</f>
        <v>https://studio-gem.it/wp-admin/post.php?post=68002&amp;action=edit</v>
      </c>
      <c r="AA990" s="763"/>
      <c r="AB990" s="763"/>
      <c r="AC990" s="763"/>
      <c r="AD990" s="763"/>
      <c r="AE990" s="763"/>
      <c r="AF990" s="763"/>
      <c r="AG990" s="763"/>
      <c r="AH990" s="763"/>
      <c r="AI990" s="763"/>
      <c r="AJ990" s="763"/>
      <c r="AK990" s="763"/>
      <c r="AL990" s="763"/>
      <c r="AM990" s="763"/>
      <c r="AN990" s="763"/>
      <c r="AO990" s="763"/>
      <c r="AP990" s="763"/>
      <c r="AQ990" s="763"/>
      <c r="AR990" s="763"/>
      <c r="AS990" s="763"/>
      <c r="AT990" s="763"/>
      <c r="AU990" s="763"/>
      <c r="AV990" s="763"/>
      <c r="AW990" s="763"/>
      <c r="AX990" s="763"/>
      <c r="AY990" s="763"/>
      <c r="AZ990" s="763"/>
      <c r="BA990" s="763"/>
      <c r="BB990" s="763"/>
      <c r="BC990" s="763"/>
      <c r="BD990" s="763"/>
      <c r="BE990" s="763"/>
      <c r="BF990" s="763"/>
      <c r="BG990" s="763" t="b">
        <f>IFERROR(__xludf.DUMMYFUNCTION("""COMPUTED_VALUE"""),TRUE)</f>
        <v>1</v>
      </c>
      <c r="BH990" s="763" t="b">
        <f>IFERROR(__xludf.DUMMYFUNCTION("""COMPUTED_VALUE"""),FALSE)</f>
        <v>0</v>
      </c>
      <c r="BI990" s="763" t="b">
        <f>IFERROR(__xludf.DUMMYFUNCTION("""COMPUTED_VALUE"""),TRUE)</f>
        <v>1</v>
      </c>
      <c r="BJ990" s="763" t="b">
        <f>IFERROR(__xludf.DUMMYFUNCTION("""COMPUTED_VALUE"""),TRUE)</f>
        <v>1</v>
      </c>
    </row>
    <row r="991">
      <c r="A991" s="763">
        <f>IFERROR(__xludf.DUMMYFUNCTION("""COMPUTED_VALUE"""),68003.0)</f>
        <v>68003</v>
      </c>
      <c r="B991" s="763">
        <f>IFERROR(__xludf.DUMMYFUNCTION("""COMPUTED_VALUE"""),68003.0)</f>
        <v>68003</v>
      </c>
      <c r="C991" s="763" t="str">
        <f>IFERROR(__xludf.DUMMYFUNCTION("""COMPUTED_VALUE"""),"2026-02-21 21:41:22")</f>
        <v>2026-02-21 21:41:22</v>
      </c>
      <c r="D991" s="763" t="str">
        <f>IFERROR(__xludf.DUMMYFUNCTION("""COMPUTED_VALUE"""),"completed")</f>
        <v>completed</v>
      </c>
      <c r="E991" s="763" t="str">
        <f>IFERROR(__xludf.DUMMYFUNCTION("""COMPUTED_VALUE"""),"Serena")</f>
        <v>Serena</v>
      </c>
      <c r="F991" s="763" t="str">
        <f>IFERROR(__xludf.DUMMYFUNCTION("""COMPUTED_VALUE"""),"Gasparroni")</f>
        <v>Gasparroni</v>
      </c>
      <c r="G991" s="763" t="str">
        <f>IFERROR(__xludf.DUMMYFUNCTION("""COMPUTED_VALUE"""),"s.gasparroni@gmail.com")</f>
        <v>s.gasparroni@gmail.com</v>
      </c>
      <c r="H991" s="763">
        <f>IFERROR(__xludf.DUMMYFUNCTION("""COMPUTED_VALUE"""),3.497103252E9)</f>
        <v>3497103252</v>
      </c>
      <c r="I991" s="763" t="str">
        <f>IFERROR(__xludf.DUMMYFUNCTION("""COMPUTED_VALUE"""),"Milano")</f>
        <v>Milano</v>
      </c>
      <c r="J991" s="763" t="str">
        <f>IFERROR(__xludf.DUMMYFUNCTION("""COMPUTED_VALUE"""),"Via Balilla 14")</f>
        <v>Via Balilla 14</v>
      </c>
      <c r="K991" s="763">
        <f>IFERROR(__xludf.DUMMYFUNCTION("""COMPUTED_VALUE"""),20136.0)</f>
        <v>20136</v>
      </c>
      <c r="L991" s="763" t="str">
        <f>IFERROR(__xludf.DUMMYFUNCTION("""COMPUTED_VALUE"""),"Satispay")</f>
        <v>Satispay</v>
      </c>
      <c r="M991" s="763"/>
      <c r="N991" s="763" t="str">
        <f>IFERROR(__xludf.DUMMYFUNCTION("""COMPUTED_VALUE"""),"019c8226-70e2-7555-9091-9c00f310f6ee")</f>
        <v>019c8226-70e2-7555-9091-9c00f310f6ee</v>
      </c>
      <c r="O991" s="763">
        <f>IFERROR(__xludf.DUMMYFUNCTION("""COMPUTED_VALUE"""),0.0)</f>
        <v>0</v>
      </c>
      <c r="P991" s="767">
        <f>IFERROR(__xludf.DUMMYFUNCTION("""COMPUTED_VALUE"""),3.0833333333333335)</f>
        <v>3.083333333</v>
      </c>
      <c r="Q991" s="763" t="str">
        <f>IFERROR(__xludf.DUMMYFUNCTION("""COMPUTED_VALUE"""),"EUR")</f>
        <v>EUR</v>
      </c>
      <c r="R991" s="763">
        <f>IFERROR(__xludf.DUMMYFUNCTION("""COMPUTED_VALUE"""),1749.0)</f>
        <v>1749</v>
      </c>
      <c r="S991" s="763" t="str">
        <f>IFERROR(__xludf.DUMMYFUNCTION("""COMPUTED_VALUE"""),"Un dia en Cuba 2026 - Un dia en Cuba 2026")</f>
        <v>Un dia en Cuba 2026 - Un dia en Cuba 2026</v>
      </c>
      <c r="T991" s="763"/>
      <c r="U991" s="763"/>
      <c r="V991" s="763">
        <f>IFERROR(__xludf.DUMMYFUNCTION("""COMPUTED_VALUE"""),2.0)</f>
        <v>2</v>
      </c>
      <c r="W991" s="763">
        <f>IFERROR(__xludf.DUMMYFUNCTION("""COMPUTED_VALUE"""),37.0)</f>
        <v>37</v>
      </c>
      <c r="X991" s="763">
        <f>IFERROR(__xludf.DUMMYFUNCTION("""COMPUTED_VALUE"""),74.0)</f>
        <v>74</v>
      </c>
      <c r="Y991" s="763"/>
      <c r="Z991" s="768" t="str">
        <f>IFERROR(__xludf.DUMMYFUNCTION("""COMPUTED_VALUE"""),"https://studio-gem.it/wp-admin/post.php?post=68003&amp;action=edit")</f>
        <v>https://studio-gem.it/wp-admin/post.php?post=68003&amp;action=edit</v>
      </c>
      <c r="AA991" s="763"/>
      <c r="AB991" s="763"/>
      <c r="AC991" s="763"/>
      <c r="AD991" s="763"/>
      <c r="AE991" s="763"/>
      <c r="AF991" s="763"/>
      <c r="AG991" s="763"/>
      <c r="AH991" s="763"/>
      <c r="AI991" s="763"/>
      <c r="AJ991" s="763"/>
      <c r="AK991" s="763"/>
      <c r="AL991" s="763"/>
      <c r="AM991" s="763"/>
      <c r="AN991" s="763"/>
      <c r="AO991" s="763"/>
      <c r="AP991" s="763"/>
      <c r="AQ991" s="763"/>
      <c r="AR991" s="763"/>
      <c r="AS991" s="763"/>
      <c r="AT991" s="763"/>
      <c r="AU991" s="763"/>
      <c r="AV991" s="763"/>
      <c r="AW991" s="763"/>
      <c r="AX991" s="763"/>
      <c r="AY991" s="763"/>
      <c r="AZ991" s="763"/>
      <c r="BA991" s="763"/>
      <c r="BB991" s="763"/>
      <c r="BC991" s="763"/>
      <c r="BD991" s="763"/>
      <c r="BE991" s="763"/>
      <c r="BF991" s="763"/>
      <c r="BG991" s="763" t="b">
        <f>IFERROR(__xludf.DUMMYFUNCTION("""COMPUTED_VALUE"""),TRUE)</f>
        <v>1</v>
      </c>
      <c r="BH991" s="763" t="b">
        <f>IFERROR(__xludf.DUMMYFUNCTION("""COMPUTED_VALUE"""),FALSE)</f>
        <v>0</v>
      </c>
      <c r="BI991" s="763" t="b">
        <f>IFERROR(__xludf.DUMMYFUNCTION("""COMPUTED_VALUE"""),TRUE)</f>
        <v>1</v>
      </c>
      <c r="BJ991" s="763" t="b">
        <f>IFERROR(__xludf.DUMMYFUNCTION("""COMPUTED_VALUE"""),TRUE)</f>
        <v>1</v>
      </c>
    </row>
    <row r="992">
      <c r="A992" s="763">
        <f>IFERROR(__xludf.DUMMYFUNCTION("""COMPUTED_VALUE"""),68006.0)</f>
        <v>68006</v>
      </c>
      <c r="B992" s="763">
        <f>IFERROR(__xludf.DUMMYFUNCTION("""COMPUTED_VALUE"""),68006.0)</f>
        <v>68006</v>
      </c>
      <c r="C992" s="763" t="str">
        <f>IFERROR(__xludf.DUMMYFUNCTION("""COMPUTED_VALUE"""),"2026-02-22 10:23:27")</f>
        <v>2026-02-22 10:23:27</v>
      </c>
      <c r="D992" s="763" t="str">
        <f>IFERROR(__xludf.DUMMYFUNCTION("""COMPUTED_VALUE"""),"processing")</f>
        <v>processing</v>
      </c>
      <c r="E992" s="763" t="str">
        <f>IFERROR(__xludf.DUMMYFUNCTION("""COMPUTED_VALUE"""),"Gabriella")</f>
        <v>Gabriella</v>
      </c>
      <c r="F992" s="763" t="str">
        <f>IFERROR(__xludf.DUMMYFUNCTION("""COMPUTED_VALUE"""),"Cicenia")</f>
        <v>Cicenia</v>
      </c>
      <c r="G992" s="763" t="str">
        <f>IFERROR(__xludf.DUMMYFUNCTION("""COMPUTED_VALUE"""),"gabriella.cicenia@gmail.com")</f>
        <v>gabriella.cicenia@gmail.com</v>
      </c>
      <c r="H992" s="763">
        <f>IFERROR(__xludf.DUMMYFUNCTION("""COMPUTED_VALUE"""),3.496938416E9)</f>
        <v>3496938416</v>
      </c>
      <c r="I992" s="763" t="str">
        <f>IFERROR(__xludf.DUMMYFUNCTION("""COMPUTED_VALUE"""),"Milano")</f>
        <v>Milano</v>
      </c>
      <c r="J992" s="763" t="str">
        <f>IFERROR(__xludf.DUMMYFUNCTION("""COMPUTED_VALUE"""),"via Frua 21/8")</f>
        <v>via Frua 21/8</v>
      </c>
      <c r="K992" s="763">
        <f>IFERROR(__xludf.DUMMYFUNCTION("""COMPUTED_VALUE"""),20146.0)</f>
        <v>20146</v>
      </c>
      <c r="L992" s="763" t="str">
        <f>IFERROR(__xludf.DUMMYFUNCTION("""COMPUTED_VALUE"""),"Carte di pagamento")</f>
        <v>Carte di pagamento</v>
      </c>
      <c r="M992" s="763"/>
      <c r="N992" s="763" t="str">
        <f>IFERROR(__xludf.DUMMYFUNCTION("""COMPUTED_VALUE"""),"68006-1771755810")</f>
        <v>68006-1771755810</v>
      </c>
      <c r="O992" s="763">
        <f>IFERROR(__xludf.DUMMYFUNCTION("""COMPUTED_VALUE"""),0.0)</f>
        <v>0</v>
      </c>
      <c r="P992" s="767">
        <f>IFERROR(__xludf.DUMMYFUNCTION("""COMPUTED_VALUE"""),1.875)</f>
        <v>1.875</v>
      </c>
      <c r="Q992" s="763" t="str">
        <f>IFERROR(__xludf.DUMMYFUNCTION("""COMPUTED_VALUE"""),"EUR")</f>
        <v>EUR</v>
      </c>
      <c r="R992" s="763">
        <f>IFERROR(__xludf.DUMMYFUNCTION("""COMPUTED_VALUE"""),1750.0)</f>
        <v>1750</v>
      </c>
      <c r="S992" s="763" t="str">
        <f>IFERROR(__xludf.DUMMYFUNCTION("""COMPUTED_VALUE"""),"Workshop Hip Hop Emanuel Lo 2026 - Workshop Emanuel Lo h 16 22 febbraio 2026")</f>
        <v>Workshop Hip Hop Emanuel Lo 2026 - Workshop Emanuel Lo h 16 22 febbraio 2026</v>
      </c>
      <c r="T992" s="763"/>
      <c r="U992" s="763"/>
      <c r="V992" s="763">
        <f>IFERROR(__xludf.DUMMYFUNCTION("""COMPUTED_VALUE"""),1.0)</f>
        <v>1</v>
      </c>
      <c r="W992" s="763">
        <f>IFERROR(__xludf.DUMMYFUNCTION("""COMPUTED_VALUE"""),45.0)</f>
        <v>45</v>
      </c>
      <c r="X992" s="763">
        <f>IFERROR(__xludf.DUMMYFUNCTION("""COMPUTED_VALUE"""),45.0)</f>
        <v>45</v>
      </c>
      <c r="Y992" s="763"/>
      <c r="Z992" s="768" t="str">
        <f>IFERROR(__xludf.DUMMYFUNCTION("""COMPUTED_VALUE"""),"https://studio-gem.it/wp-admin/post.php?post=68006&amp;action=edit")</f>
        <v>https://studio-gem.it/wp-admin/post.php?post=68006&amp;action=edit</v>
      </c>
      <c r="AA992" s="763"/>
      <c r="AB992" s="763"/>
      <c r="AC992" s="763"/>
      <c r="AD992" s="763"/>
      <c r="AE992" s="763"/>
      <c r="AF992" s="763"/>
      <c r="AG992" s="763"/>
      <c r="AH992" s="763"/>
      <c r="AI992" s="763"/>
      <c r="AJ992" s="763"/>
      <c r="AK992" s="763"/>
      <c r="AL992" s="763"/>
      <c r="AM992" s="763"/>
      <c r="AN992" s="763"/>
      <c r="AO992" s="763"/>
      <c r="AP992" s="763"/>
      <c r="AQ992" s="763"/>
      <c r="AR992" s="763"/>
      <c r="AS992" s="763"/>
      <c r="AT992" s="763"/>
      <c r="AU992" s="763"/>
      <c r="AV992" s="763"/>
      <c r="AW992" s="763"/>
      <c r="AX992" s="763"/>
      <c r="AY992" s="763"/>
      <c r="AZ992" s="763"/>
      <c r="BA992" s="763"/>
      <c r="BB992" s="763"/>
      <c r="BC992" s="763"/>
      <c r="BD992" s="763"/>
      <c r="BE992" s="763"/>
      <c r="BF992" s="763"/>
      <c r="BG992" s="763" t="b">
        <f>IFERROR(__xludf.DUMMYFUNCTION("""COMPUTED_VALUE"""),TRUE)</f>
        <v>1</v>
      </c>
      <c r="BH992" s="763" t="b">
        <f>IFERROR(__xludf.DUMMYFUNCTION("""COMPUTED_VALUE"""),FALSE)</f>
        <v>0</v>
      </c>
      <c r="BI992" s="763" t="b">
        <f>IFERROR(__xludf.DUMMYFUNCTION("""COMPUTED_VALUE"""),TRUE)</f>
        <v>1</v>
      </c>
      <c r="BJ992" s="763" t="b">
        <f>IFERROR(__xludf.DUMMYFUNCTION("""COMPUTED_VALUE"""),TRUE)</f>
        <v>1</v>
      </c>
    </row>
    <row r="993">
      <c r="A993" s="763">
        <f>IFERROR(__xludf.DUMMYFUNCTION("""COMPUTED_VALUE"""),68007.0)</f>
        <v>68007</v>
      </c>
      <c r="B993" s="763">
        <f>IFERROR(__xludf.DUMMYFUNCTION("""COMPUTED_VALUE"""),68007.0)</f>
        <v>68007</v>
      </c>
      <c r="C993" s="763" t="str">
        <f>IFERROR(__xludf.DUMMYFUNCTION("""COMPUTED_VALUE"""),"2026-02-22 12:27:49")</f>
        <v>2026-02-22 12:27:49</v>
      </c>
      <c r="D993" s="763" t="str">
        <f>IFERROR(__xludf.DUMMYFUNCTION("""COMPUTED_VALUE"""),"completed")</f>
        <v>completed</v>
      </c>
      <c r="E993" s="763" t="str">
        <f>IFERROR(__xludf.DUMMYFUNCTION("""COMPUTED_VALUE"""),"Laila")</f>
        <v>Laila</v>
      </c>
      <c r="F993" s="763" t="str">
        <f>IFERROR(__xludf.DUMMYFUNCTION("""COMPUTED_VALUE"""),"Novaes Santos")</f>
        <v>Novaes Santos</v>
      </c>
      <c r="G993" s="763" t="str">
        <f>IFERROR(__xludf.DUMMYFUNCTION("""COMPUTED_VALUE"""),"novaes.laila@gmail.com")</f>
        <v>novaes.laila@gmail.com</v>
      </c>
      <c r="H993" s="763">
        <f>IFERROR(__xludf.DUMMYFUNCTION("""COMPUTED_VALUE"""),3.272618075E9)</f>
        <v>3272618075</v>
      </c>
      <c r="I993" s="763" t="str">
        <f>IFERROR(__xludf.DUMMYFUNCTION("""COMPUTED_VALUE"""),"Milano")</f>
        <v>Milano</v>
      </c>
      <c r="J993" s="763" t="str">
        <f>IFERROR(__xludf.DUMMYFUNCTION("""COMPUTED_VALUE"""),"Viale Suzzani, 287")</f>
        <v>Viale Suzzani, 287</v>
      </c>
      <c r="K993" s="763">
        <f>IFERROR(__xludf.DUMMYFUNCTION("""COMPUTED_VALUE"""),20162.0)</f>
        <v>20162</v>
      </c>
      <c r="L993" s="763" t="str">
        <f>IFERROR(__xludf.DUMMYFUNCTION("""COMPUTED_VALUE"""),"Carte di pagamento")</f>
        <v>Carte di pagamento</v>
      </c>
      <c r="M993" s="763"/>
      <c r="N993" s="763" t="str">
        <f>IFERROR(__xludf.DUMMYFUNCTION("""COMPUTED_VALUE"""),"68007-1771763271")</f>
        <v>68007-1771763271</v>
      </c>
      <c r="O993" s="763">
        <f>IFERROR(__xludf.DUMMYFUNCTION("""COMPUTED_VALUE"""),0.0)</f>
        <v>0</v>
      </c>
      <c r="P993" s="767">
        <f>IFERROR(__xludf.DUMMYFUNCTION("""COMPUTED_VALUE"""),1.5416666666666667)</f>
        <v>1.541666667</v>
      </c>
      <c r="Q993" s="763" t="str">
        <f>IFERROR(__xludf.DUMMYFUNCTION("""COMPUTED_VALUE"""),"EUR")</f>
        <v>EUR</v>
      </c>
      <c r="R993" s="763">
        <f>IFERROR(__xludf.DUMMYFUNCTION("""COMPUTED_VALUE"""),1751.0)</f>
        <v>1751</v>
      </c>
      <c r="S993" s="763" t="str">
        <f>IFERROR(__xludf.DUMMYFUNCTION("""COMPUTED_VALUE"""),"Un dia en Cuba 2026 - Un dia en Cuba 2026")</f>
        <v>Un dia en Cuba 2026 - Un dia en Cuba 2026</v>
      </c>
      <c r="T993" s="763"/>
      <c r="U993" s="763"/>
      <c r="V993" s="763">
        <f>IFERROR(__xludf.DUMMYFUNCTION("""COMPUTED_VALUE"""),1.0)</f>
        <v>1</v>
      </c>
      <c r="W993" s="763">
        <f>IFERROR(__xludf.DUMMYFUNCTION("""COMPUTED_VALUE"""),37.0)</f>
        <v>37</v>
      </c>
      <c r="X993" s="763">
        <f>IFERROR(__xludf.DUMMYFUNCTION("""COMPUTED_VALUE"""),37.0)</f>
        <v>37</v>
      </c>
      <c r="Y993" s="763"/>
      <c r="Z993" s="768" t="str">
        <f>IFERROR(__xludf.DUMMYFUNCTION("""COMPUTED_VALUE"""),"https://studio-gem.it/wp-admin/post.php?post=68007&amp;action=edit")</f>
        <v>https://studio-gem.it/wp-admin/post.php?post=68007&amp;action=edit</v>
      </c>
      <c r="AA993" s="763"/>
      <c r="AB993" s="763"/>
      <c r="AC993" s="763"/>
      <c r="AD993" s="763"/>
      <c r="AE993" s="763"/>
      <c r="AF993" s="763"/>
      <c r="AG993" s="763"/>
      <c r="AH993" s="763"/>
      <c r="AI993" s="763"/>
      <c r="AJ993" s="763"/>
      <c r="AK993" s="763"/>
      <c r="AL993" s="763"/>
      <c r="AM993" s="763"/>
      <c r="AN993" s="763"/>
      <c r="AO993" s="763"/>
      <c r="AP993" s="763"/>
      <c r="AQ993" s="763"/>
      <c r="AR993" s="763"/>
      <c r="AS993" s="763"/>
      <c r="AT993" s="763"/>
      <c r="AU993" s="763"/>
      <c r="AV993" s="763"/>
      <c r="AW993" s="763"/>
      <c r="AX993" s="763"/>
      <c r="AY993" s="763"/>
      <c r="AZ993" s="763"/>
      <c r="BA993" s="763"/>
      <c r="BB993" s="763"/>
      <c r="BC993" s="763"/>
      <c r="BD993" s="763"/>
      <c r="BE993" s="763"/>
      <c r="BF993" s="763"/>
      <c r="BG993" s="763" t="b">
        <f>IFERROR(__xludf.DUMMYFUNCTION("""COMPUTED_VALUE"""),TRUE)</f>
        <v>1</v>
      </c>
      <c r="BH993" s="763" t="b">
        <f>IFERROR(__xludf.DUMMYFUNCTION("""COMPUTED_VALUE"""),FALSE)</f>
        <v>0</v>
      </c>
      <c r="BI993" s="763" t="b">
        <f>IFERROR(__xludf.DUMMYFUNCTION("""COMPUTED_VALUE"""),TRUE)</f>
        <v>1</v>
      </c>
      <c r="BJ993" s="763" t="b">
        <f>IFERROR(__xludf.DUMMYFUNCTION("""COMPUTED_VALUE"""),TRUE)</f>
        <v>1</v>
      </c>
    </row>
    <row r="994">
      <c r="A994" s="763">
        <f>IFERROR(__xludf.DUMMYFUNCTION("""COMPUTED_VALUE"""),68013.0)</f>
        <v>68013</v>
      </c>
      <c r="B994" s="763">
        <f>IFERROR(__xludf.DUMMYFUNCTION("""COMPUTED_VALUE"""),68013.0)</f>
        <v>68013</v>
      </c>
      <c r="C994" s="763" t="str">
        <f>IFERROR(__xludf.DUMMYFUNCTION("""COMPUTED_VALUE"""),"2026-02-23 07:37:24")</f>
        <v>2026-02-23 07:37:24</v>
      </c>
      <c r="D994" s="763" t="str">
        <f>IFERROR(__xludf.DUMMYFUNCTION("""COMPUTED_VALUE"""),"pending")</f>
        <v>pending</v>
      </c>
      <c r="E994" s="763" t="str">
        <f>IFERROR(__xludf.DUMMYFUNCTION("""COMPUTED_VALUE"""),"Katerina")</f>
        <v>Katerina</v>
      </c>
      <c r="F994" s="763" t="str">
        <f>IFERROR(__xludf.DUMMYFUNCTION("""COMPUTED_VALUE"""),"Lukasova")</f>
        <v>Lukasova</v>
      </c>
      <c r="G994" s="763" t="str">
        <f>IFERROR(__xludf.DUMMYFUNCTION("""COMPUTED_VALUE"""),"katerinalksv@gmail.com")</f>
        <v>katerinalksv@gmail.com</v>
      </c>
      <c r="H994" s="763">
        <f>IFERROR(__xludf.DUMMYFUNCTION("""COMPUTED_VALUE"""),3.33420102E9)</f>
        <v>3334201020</v>
      </c>
      <c r="I994" s="763" t="str">
        <f>IFERROR(__xludf.DUMMYFUNCTION("""COMPUTED_VALUE"""),"Milano")</f>
        <v>Milano</v>
      </c>
      <c r="J994" s="763" t="str">
        <f>IFERROR(__xludf.DUMMYFUNCTION("""COMPUTED_VALUE"""),"Viale Sabotino 4")</f>
        <v>Viale Sabotino 4</v>
      </c>
      <c r="K994" s="763">
        <f>IFERROR(__xludf.DUMMYFUNCTION("""COMPUTED_VALUE"""),20135.0)</f>
        <v>20135</v>
      </c>
      <c r="L994" s="763" t="str">
        <f>IFERROR(__xludf.DUMMYFUNCTION("""COMPUTED_VALUE"""),"Scalapay - Pay in 3")</f>
        <v>Scalapay - Pay in 3</v>
      </c>
      <c r="M994" s="763"/>
      <c r="N994" s="763"/>
      <c r="O994" s="763">
        <f>IFERROR(__xludf.DUMMYFUNCTION("""COMPUTED_VALUE"""),0.0)</f>
        <v>0</v>
      </c>
      <c r="P994" s="767">
        <f>IFERROR(__xludf.DUMMYFUNCTION("""COMPUTED_VALUE"""),1.5416666666666667)</f>
        <v>1.541666667</v>
      </c>
      <c r="Q994" s="763" t="str">
        <f>IFERROR(__xludf.DUMMYFUNCTION("""COMPUTED_VALUE"""),"EUR")</f>
        <v>EUR</v>
      </c>
      <c r="R994" s="763">
        <f>IFERROR(__xludf.DUMMYFUNCTION("""COMPUTED_VALUE"""),1752.0)</f>
        <v>1752</v>
      </c>
      <c r="S994" s="763" t="str">
        <f>IFERROR(__xludf.DUMMYFUNCTION("""COMPUTED_VALUE"""),"Un dia en Cuba 2026 - Un dia en Cuba 2026")</f>
        <v>Un dia en Cuba 2026 - Un dia en Cuba 2026</v>
      </c>
      <c r="T994" s="763"/>
      <c r="U994" s="763"/>
      <c r="V994" s="763">
        <f>IFERROR(__xludf.DUMMYFUNCTION("""COMPUTED_VALUE"""),1.0)</f>
        <v>1</v>
      </c>
      <c r="W994" s="763">
        <f>IFERROR(__xludf.DUMMYFUNCTION("""COMPUTED_VALUE"""),37.0)</f>
        <v>37</v>
      </c>
      <c r="X994" s="763">
        <f>IFERROR(__xludf.DUMMYFUNCTION("""COMPUTED_VALUE"""),37.0)</f>
        <v>37</v>
      </c>
      <c r="Y994" s="763"/>
      <c r="Z994" s="768" t="str">
        <f>IFERROR(__xludf.DUMMYFUNCTION("""COMPUTED_VALUE"""),"https://studio-gem.it/wp-admin/post.php?post=68013&amp;action=edit")</f>
        <v>https://studio-gem.it/wp-admin/post.php?post=68013&amp;action=edit</v>
      </c>
      <c r="AA994" s="763"/>
      <c r="AB994" s="763"/>
      <c r="AC994" s="763"/>
      <c r="AD994" s="763"/>
      <c r="AE994" s="763"/>
      <c r="AF994" s="763"/>
      <c r="AG994" s="763"/>
      <c r="AH994" s="763"/>
      <c r="AI994" s="763"/>
      <c r="AJ994" s="763"/>
      <c r="AK994" s="763"/>
      <c r="AL994" s="763"/>
      <c r="AM994" s="763"/>
      <c r="AN994" s="763"/>
      <c r="AO994" s="763"/>
      <c r="AP994" s="763"/>
      <c r="AQ994" s="763"/>
      <c r="AR994" s="763"/>
      <c r="AS994" s="763"/>
      <c r="AT994" s="763"/>
      <c r="AU994" s="763"/>
      <c r="AV994" s="763"/>
      <c r="AW994" s="763"/>
      <c r="AX994" s="763"/>
      <c r="AY994" s="763"/>
      <c r="AZ994" s="763"/>
      <c r="BA994" s="763"/>
      <c r="BB994" s="763"/>
      <c r="BC994" s="763"/>
      <c r="BD994" s="763"/>
      <c r="BE994" s="763"/>
      <c r="BF994" s="763"/>
      <c r="BG994" s="763" t="b">
        <f>IFERROR(__xludf.DUMMYFUNCTION("""COMPUTED_VALUE"""),FALSE)</f>
        <v>0</v>
      </c>
      <c r="BH994" s="763" t="b">
        <f>IFERROR(__xludf.DUMMYFUNCTION("""COMPUTED_VALUE"""),FALSE)</f>
        <v>0</v>
      </c>
      <c r="BI994" s="763" t="b">
        <f>IFERROR(__xludf.DUMMYFUNCTION("""COMPUTED_VALUE"""),FALSE)</f>
        <v>0</v>
      </c>
      <c r="BJ994" s="763" t="b">
        <f>IFERROR(__xludf.DUMMYFUNCTION("""COMPUTED_VALUE"""),FALSE)</f>
        <v>0</v>
      </c>
    </row>
    <row r="995">
      <c r="A995" s="763">
        <f>IFERROR(__xludf.DUMMYFUNCTION("""COMPUTED_VALUE"""),68014.0)</f>
        <v>68014</v>
      </c>
      <c r="B995" s="763">
        <f>IFERROR(__xludf.DUMMYFUNCTION("""COMPUTED_VALUE"""),68014.0)</f>
        <v>68014</v>
      </c>
      <c r="C995" s="763" t="str">
        <f>IFERROR(__xludf.DUMMYFUNCTION("""COMPUTED_VALUE"""),"2026-02-23 08:14:47")</f>
        <v>2026-02-23 08:14:47</v>
      </c>
      <c r="D995" s="763" t="str">
        <f>IFERROR(__xludf.DUMMYFUNCTION("""COMPUTED_VALUE"""),"completed")</f>
        <v>completed</v>
      </c>
      <c r="E995" s="763" t="str">
        <f>IFERROR(__xludf.DUMMYFUNCTION("""COMPUTED_VALUE"""),"Carolina")</f>
        <v>Carolina</v>
      </c>
      <c r="F995" s="763" t="str">
        <f>IFERROR(__xludf.DUMMYFUNCTION("""COMPUTED_VALUE"""),"Rognini")</f>
        <v>Rognini</v>
      </c>
      <c r="G995" s="763" t="str">
        <f>IFERROR(__xludf.DUMMYFUNCTION("""COMPUTED_VALUE"""),"carolina.2001@icloud.com")</f>
        <v>carolina.2001@icloud.com</v>
      </c>
      <c r="H995" s="763">
        <f>IFERROR(__xludf.DUMMYFUNCTION("""COMPUTED_VALUE"""),3.204460419E9)</f>
        <v>3204460419</v>
      </c>
      <c r="I995" s="763" t="str">
        <f>IFERROR(__xludf.DUMMYFUNCTION("""COMPUTED_VALUE"""),"Mantova")</f>
        <v>Mantova</v>
      </c>
      <c r="J995" s="763" t="str">
        <f>IFERROR(__xludf.DUMMYFUNCTION("""COMPUTED_VALUE"""),"Viale Belgioioso 29a")</f>
        <v>Viale Belgioioso 29a</v>
      </c>
      <c r="K995" s="763">
        <f>IFERROR(__xludf.DUMMYFUNCTION("""COMPUTED_VALUE"""),46100.0)</f>
        <v>46100</v>
      </c>
      <c r="L995" s="763" t="str">
        <f>IFERROR(__xludf.DUMMYFUNCTION("""COMPUTED_VALUE"""),"Apple Pay")</f>
        <v>Apple Pay</v>
      </c>
      <c r="M995" s="763" t="str">
        <f>IFERROR(__xludf.DUMMYFUNCTION("""COMPUTED_VALUE"""),"estefany02ws")</f>
        <v>estefany02ws</v>
      </c>
      <c r="N995" s="763" t="str">
        <f>IFERROR(__xludf.DUMMYFUNCTION("""COMPUTED_VALUE"""),"68014-1771834489")</f>
        <v>68014-1771834489</v>
      </c>
      <c r="O995" s="763">
        <f>IFERROR(__xludf.DUMMYFUNCTION("""COMPUTED_VALUE"""),0.0)</f>
        <v>0</v>
      </c>
      <c r="P995" s="767">
        <f>IFERROR(__xludf.DUMMYFUNCTION("""COMPUTED_VALUE"""),1.0416666666666667)</f>
        <v>1.041666667</v>
      </c>
      <c r="Q995" s="763" t="str">
        <f>IFERROR(__xludf.DUMMYFUNCTION("""COMPUTED_VALUE"""),"EUR")</f>
        <v>EUR</v>
      </c>
      <c r="R995" s="763">
        <f>IFERROR(__xludf.DUMMYFUNCTION("""COMPUTED_VALUE"""),1753.0)</f>
        <v>1753</v>
      </c>
      <c r="S995" s="763" t="str">
        <f>IFERROR(__xludf.DUMMYFUNCTION("""COMPUTED_VALUE"""),"Open class Heels con Anahita 2026 - Open class Heels con Anahita 2026")</f>
        <v>Open class Heels con Anahita 2026 - Open class Heels con Anahita 2026</v>
      </c>
      <c r="T995" s="763"/>
      <c r="U995" s="763"/>
      <c r="V995" s="763">
        <f>IFERROR(__xludf.DUMMYFUNCTION("""COMPUTED_VALUE"""),1.0)</f>
        <v>1</v>
      </c>
      <c r="W995" s="763">
        <f>IFERROR(__xludf.DUMMYFUNCTION("""COMPUTED_VALUE"""),25.0)</f>
        <v>25</v>
      </c>
      <c r="X995" s="763">
        <f>IFERROR(__xludf.DUMMYFUNCTION("""COMPUTED_VALUE"""),25.0)</f>
        <v>25</v>
      </c>
      <c r="Y995" s="763"/>
      <c r="Z995" s="768" t="str">
        <f>IFERROR(__xludf.DUMMYFUNCTION("""COMPUTED_VALUE"""),"https://studio-gem.it/wp-admin/post.php?post=68014&amp;action=edit")</f>
        <v>https://studio-gem.it/wp-admin/post.php?post=68014&amp;action=edit</v>
      </c>
      <c r="AA995" s="763"/>
      <c r="AB995" s="763"/>
      <c r="AC995" s="763"/>
      <c r="AD995" s="763"/>
      <c r="AE995" s="763"/>
      <c r="AF995" s="763"/>
      <c r="AG995" s="763"/>
      <c r="AH995" s="763"/>
      <c r="AI995" s="763"/>
      <c r="AJ995" s="763"/>
      <c r="AK995" s="763"/>
      <c r="AL995" s="763"/>
      <c r="AM995" s="763"/>
      <c r="AN995" s="763"/>
      <c r="AO995" s="763"/>
      <c r="AP995" s="763"/>
      <c r="AQ995" s="763"/>
      <c r="AR995" s="763"/>
      <c r="AS995" s="763"/>
      <c r="AT995" s="763"/>
      <c r="AU995" s="763"/>
      <c r="AV995" s="763"/>
      <c r="AW995" s="763"/>
      <c r="AX995" s="763"/>
      <c r="AY995" s="763"/>
      <c r="AZ995" s="763"/>
      <c r="BA995" s="763"/>
      <c r="BB995" s="763"/>
      <c r="BC995" s="763"/>
      <c r="BD995" s="763"/>
      <c r="BE995" s="763"/>
      <c r="BF995" s="763"/>
      <c r="BG995" s="763" t="b">
        <f>IFERROR(__xludf.DUMMYFUNCTION("""COMPUTED_VALUE"""),TRUE)</f>
        <v>1</v>
      </c>
      <c r="BH995" s="763" t="b">
        <f>IFERROR(__xludf.DUMMYFUNCTION("""COMPUTED_VALUE"""),FALSE)</f>
        <v>0</v>
      </c>
      <c r="BI995" s="763" t="b">
        <f>IFERROR(__xludf.DUMMYFUNCTION("""COMPUTED_VALUE"""),TRUE)</f>
        <v>1</v>
      </c>
      <c r="BJ995" s="763" t="b">
        <f>IFERROR(__xludf.DUMMYFUNCTION("""COMPUTED_VALUE"""),TRUE)</f>
        <v>1</v>
      </c>
    </row>
    <row r="996">
      <c r="A996" s="763">
        <f>IFERROR(__xludf.DUMMYFUNCTION("""COMPUTED_VALUE"""),68016.0)</f>
        <v>68016</v>
      </c>
      <c r="B996" s="763">
        <f>IFERROR(__xludf.DUMMYFUNCTION("""COMPUTED_VALUE"""),68016.0)</f>
        <v>68016</v>
      </c>
      <c r="C996" s="763" t="str">
        <f>IFERROR(__xludf.DUMMYFUNCTION("""COMPUTED_VALUE"""),"2026-02-23 08:39:48")</f>
        <v>2026-02-23 08:39:48</v>
      </c>
      <c r="D996" s="763" t="str">
        <f>IFERROR(__xludf.DUMMYFUNCTION("""COMPUTED_VALUE"""),"processing")</f>
        <v>processing</v>
      </c>
      <c r="E996" s="763" t="str">
        <f>IFERROR(__xludf.DUMMYFUNCTION("""COMPUTED_VALUE"""),"Michelle")</f>
        <v>Michelle</v>
      </c>
      <c r="F996" s="763" t="str">
        <f>IFERROR(__xludf.DUMMYFUNCTION("""COMPUTED_VALUE"""),"Bolognini")</f>
        <v>Bolognini</v>
      </c>
      <c r="G996" s="763" t="str">
        <f>IFERROR(__xludf.DUMMYFUNCTION("""COMPUTED_VALUE"""),"michelle00bolognini@gmail.com")</f>
        <v>michelle00bolognini@gmail.com</v>
      </c>
      <c r="H996" s="763">
        <f>IFERROR(__xludf.DUMMYFUNCTION("""COMPUTED_VALUE"""),3.474184467E9)</f>
        <v>3474184467</v>
      </c>
      <c r="I996" s="763" t="str">
        <f>IFERROR(__xludf.DUMMYFUNCTION("""COMPUTED_VALUE"""),"Sangiorgio Bigarello")</f>
        <v>Sangiorgio Bigarello</v>
      </c>
      <c r="J996" s="763" t="str">
        <f>IFERROR(__xludf.DUMMYFUNCTION("""COMPUTED_VALUE"""),"Via Fossamana 40 D")</f>
        <v>Via Fossamana 40 D</v>
      </c>
      <c r="K996" s="763">
        <f>IFERROR(__xludf.DUMMYFUNCTION("""COMPUTED_VALUE"""),46051.0)</f>
        <v>46051</v>
      </c>
      <c r="L996" s="763" t="str">
        <f>IFERROR(__xludf.DUMMYFUNCTION("""COMPUTED_VALUE"""),"Carte di pagamento")</f>
        <v>Carte di pagamento</v>
      </c>
      <c r="M996" s="763"/>
      <c r="N996" s="763" t="str">
        <f>IFERROR(__xludf.DUMMYFUNCTION("""COMPUTED_VALUE"""),"68016-1771835990")</f>
        <v>68016-1771835990</v>
      </c>
      <c r="O996" s="763">
        <f>IFERROR(__xludf.DUMMYFUNCTION("""COMPUTED_VALUE"""),0.0)</f>
        <v>0</v>
      </c>
      <c r="P996" s="767">
        <f>IFERROR(__xludf.DUMMYFUNCTION("""COMPUTED_VALUE"""),1.125)</f>
        <v>1.125</v>
      </c>
      <c r="Q996" s="763" t="str">
        <f>IFERROR(__xludf.DUMMYFUNCTION("""COMPUTED_VALUE"""),"EUR")</f>
        <v>EUR</v>
      </c>
      <c r="R996" s="763">
        <f>IFERROR(__xludf.DUMMYFUNCTION("""COMPUTED_VALUE"""),1755.0)</f>
        <v>1755</v>
      </c>
      <c r="S996" s="763" t="str">
        <f>IFERROR(__xludf.DUMMYFUNCTION("""COMPUTED_VALUE"""),"Open class Heels con Anahita 2026 - Open class Heels con Anahita 2026")</f>
        <v>Open class Heels con Anahita 2026 - Open class Heels con Anahita 2026</v>
      </c>
      <c r="T996" s="763"/>
      <c r="U996" s="763"/>
      <c r="V996" s="763">
        <f>IFERROR(__xludf.DUMMYFUNCTION("""COMPUTED_VALUE"""),1.0)</f>
        <v>1</v>
      </c>
      <c r="W996" s="763">
        <f>IFERROR(__xludf.DUMMYFUNCTION("""COMPUTED_VALUE"""),27.0)</f>
        <v>27</v>
      </c>
      <c r="X996" s="763">
        <f>IFERROR(__xludf.DUMMYFUNCTION("""COMPUTED_VALUE"""),27.0)</f>
        <v>27</v>
      </c>
      <c r="Y996" s="763"/>
      <c r="Z996" s="768" t="str">
        <f>IFERROR(__xludf.DUMMYFUNCTION("""COMPUTED_VALUE"""),"https://studio-gem.it/wp-admin/post.php?post=68016&amp;action=edit")</f>
        <v>https://studio-gem.it/wp-admin/post.php?post=68016&amp;action=edit</v>
      </c>
      <c r="AA996" s="763"/>
      <c r="AB996" s="763"/>
      <c r="AC996" s="763"/>
      <c r="AD996" s="763"/>
      <c r="AE996" s="763"/>
      <c r="AF996" s="763"/>
      <c r="AG996" s="763"/>
      <c r="AH996" s="763"/>
      <c r="AI996" s="763"/>
      <c r="AJ996" s="763"/>
      <c r="AK996" s="763"/>
      <c r="AL996" s="763"/>
      <c r="AM996" s="763"/>
      <c r="AN996" s="763"/>
      <c r="AO996" s="763"/>
      <c r="AP996" s="763"/>
      <c r="AQ996" s="763"/>
      <c r="AR996" s="763"/>
      <c r="AS996" s="763"/>
      <c r="AT996" s="763"/>
      <c r="AU996" s="763"/>
      <c r="AV996" s="763"/>
      <c r="AW996" s="763"/>
      <c r="AX996" s="763"/>
      <c r="AY996" s="763"/>
      <c r="AZ996" s="763"/>
      <c r="BA996" s="763"/>
      <c r="BB996" s="763"/>
      <c r="BC996" s="763"/>
      <c r="BD996" s="763"/>
      <c r="BE996" s="763"/>
      <c r="BF996" s="763"/>
      <c r="BG996" s="763" t="b">
        <f>IFERROR(__xludf.DUMMYFUNCTION("""COMPUTED_VALUE"""),TRUE)</f>
        <v>1</v>
      </c>
      <c r="BH996" s="763" t="b">
        <f>IFERROR(__xludf.DUMMYFUNCTION("""COMPUTED_VALUE"""),FALSE)</f>
        <v>0</v>
      </c>
      <c r="BI996" s="763" t="b">
        <f>IFERROR(__xludf.DUMMYFUNCTION("""COMPUTED_VALUE"""),TRUE)</f>
        <v>1</v>
      </c>
      <c r="BJ996" s="763" t="b">
        <f>IFERROR(__xludf.DUMMYFUNCTION("""COMPUTED_VALUE"""),TRUE)</f>
        <v>1</v>
      </c>
    </row>
    <row r="997">
      <c r="A997" s="763">
        <f>IFERROR(__xludf.DUMMYFUNCTION("""COMPUTED_VALUE"""),68017.0)</f>
        <v>68017</v>
      </c>
      <c r="B997" s="763">
        <f>IFERROR(__xludf.DUMMYFUNCTION("""COMPUTED_VALUE"""),68017.0)</f>
        <v>68017</v>
      </c>
      <c r="C997" s="763" t="str">
        <f>IFERROR(__xludf.DUMMYFUNCTION("""COMPUTED_VALUE"""),"2026-02-23 09:54:07")</f>
        <v>2026-02-23 09:54:07</v>
      </c>
      <c r="D997" s="763" t="str">
        <f>IFERROR(__xludf.DUMMYFUNCTION("""COMPUTED_VALUE"""),"processing")</f>
        <v>processing</v>
      </c>
      <c r="E997" s="763" t="str">
        <f>IFERROR(__xludf.DUMMYFUNCTION("""COMPUTED_VALUE"""),"Erika joy")</f>
        <v>Erika joy</v>
      </c>
      <c r="F997" s="763" t="str">
        <f>IFERROR(__xludf.DUMMYFUNCTION("""COMPUTED_VALUE"""),"Enriquez")</f>
        <v>Enriquez</v>
      </c>
      <c r="G997" s="763" t="str">
        <f>IFERROR(__xludf.DUMMYFUNCTION("""COMPUTED_VALUE"""),"Eerikajoy@yahoo.it")</f>
        <v>Eerikajoy@yahoo.it</v>
      </c>
      <c r="H997" s="763">
        <f>IFERROR(__xludf.DUMMYFUNCTION("""COMPUTED_VALUE"""),3.899691211E9)</f>
        <v>3899691211</v>
      </c>
      <c r="I997" s="763" t="str">
        <f>IFERROR(__xludf.DUMMYFUNCTION("""COMPUTED_VALUE"""),"Mantova")</f>
        <v>Mantova</v>
      </c>
      <c r="J997" s="763" t="str">
        <f>IFERROR(__xludf.DUMMYFUNCTION("""COMPUTED_VALUE"""),"Strada villanova de bellis")</f>
        <v>Strada villanova de bellis</v>
      </c>
      <c r="K997" s="763">
        <f>IFERROR(__xludf.DUMMYFUNCTION("""COMPUTED_VALUE"""),46100.0)</f>
        <v>46100</v>
      </c>
      <c r="L997" s="763" t="str">
        <f>IFERROR(__xludf.DUMMYFUNCTION("""COMPUTED_VALUE"""),"Carte di pagamento")</f>
        <v>Carte di pagamento</v>
      </c>
      <c r="M997" s="763"/>
      <c r="N997" s="763" t="str">
        <f>IFERROR(__xludf.DUMMYFUNCTION("""COMPUTED_VALUE"""),"68017-1771840449")</f>
        <v>68017-1771840449</v>
      </c>
      <c r="O997" s="763">
        <f>IFERROR(__xludf.DUMMYFUNCTION("""COMPUTED_VALUE"""),0.0)</f>
        <v>0</v>
      </c>
      <c r="P997" s="767">
        <f>IFERROR(__xludf.DUMMYFUNCTION("""COMPUTED_VALUE"""),1.125)</f>
        <v>1.125</v>
      </c>
      <c r="Q997" s="763" t="str">
        <f>IFERROR(__xludf.DUMMYFUNCTION("""COMPUTED_VALUE"""),"EUR")</f>
        <v>EUR</v>
      </c>
      <c r="R997" s="763">
        <f>IFERROR(__xludf.DUMMYFUNCTION("""COMPUTED_VALUE"""),1756.0)</f>
        <v>1756</v>
      </c>
      <c r="S997" s="763" t="str">
        <f>IFERROR(__xludf.DUMMYFUNCTION("""COMPUTED_VALUE"""),"Open class Heels con Anahita 2026 - Open class Heels con Anahita 2026")</f>
        <v>Open class Heels con Anahita 2026 - Open class Heels con Anahita 2026</v>
      </c>
      <c r="T997" s="763"/>
      <c r="U997" s="763"/>
      <c r="V997" s="763">
        <f>IFERROR(__xludf.DUMMYFUNCTION("""COMPUTED_VALUE"""),1.0)</f>
        <v>1</v>
      </c>
      <c r="W997" s="763">
        <f>IFERROR(__xludf.DUMMYFUNCTION("""COMPUTED_VALUE"""),27.0)</f>
        <v>27</v>
      </c>
      <c r="X997" s="763">
        <f>IFERROR(__xludf.DUMMYFUNCTION("""COMPUTED_VALUE"""),27.0)</f>
        <v>27</v>
      </c>
      <c r="Y997" s="763"/>
      <c r="Z997" s="768" t="str">
        <f>IFERROR(__xludf.DUMMYFUNCTION("""COMPUTED_VALUE"""),"https://studio-gem.it/wp-admin/post.php?post=68017&amp;action=edit")</f>
        <v>https://studio-gem.it/wp-admin/post.php?post=68017&amp;action=edit</v>
      </c>
      <c r="AA997" s="763"/>
      <c r="AB997" s="763"/>
      <c r="AC997" s="763"/>
      <c r="AD997" s="763"/>
      <c r="AE997" s="763"/>
      <c r="AF997" s="763"/>
      <c r="AG997" s="763"/>
      <c r="AH997" s="763"/>
      <c r="AI997" s="763"/>
      <c r="AJ997" s="763"/>
      <c r="AK997" s="763"/>
      <c r="AL997" s="763"/>
      <c r="AM997" s="763"/>
      <c r="AN997" s="763"/>
      <c r="AO997" s="763"/>
      <c r="AP997" s="763"/>
      <c r="AQ997" s="763"/>
      <c r="AR997" s="763"/>
      <c r="AS997" s="763"/>
      <c r="AT997" s="763"/>
      <c r="AU997" s="763"/>
      <c r="AV997" s="763"/>
      <c r="AW997" s="763"/>
      <c r="AX997" s="763"/>
      <c r="AY997" s="763"/>
      <c r="AZ997" s="763"/>
      <c r="BA997" s="763"/>
      <c r="BB997" s="763"/>
      <c r="BC997" s="763"/>
      <c r="BD997" s="763"/>
      <c r="BE997" s="763"/>
      <c r="BF997" s="763"/>
      <c r="BG997" s="763" t="b">
        <f>IFERROR(__xludf.DUMMYFUNCTION("""COMPUTED_VALUE"""),TRUE)</f>
        <v>1</v>
      </c>
      <c r="BH997" s="763" t="b">
        <f>IFERROR(__xludf.DUMMYFUNCTION("""COMPUTED_VALUE"""),FALSE)</f>
        <v>0</v>
      </c>
      <c r="BI997" s="763" t="b">
        <f>IFERROR(__xludf.DUMMYFUNCTION("""COMPUTED_VALUE"""),TRUE)</f>
        <v>1</v>
      </c>
      <c r="BJ997" s="763" t="b">
        <f>IFERROR(__xludf.DUMMYFUNCTION("""COMPUTED_VALUE"""),TRUE)</f>
        <v>1</v>
      </c>
    </row>
    <row r="998">
      <c r="A998" s="763">
        <f>IFERROR(__xludf.DUMMYFUNCTION("""COMPUTED_VALUE"""),68051.0)</f>
        <v>68051</v>
      </c>
      <c r="B998" s="763">
        <f>IFERROR(__xludf.DUMMYFUNCTION("""COMPUTED_VALUE"""),68051.0)</f>
        <v>68051</v>
      </c>
      <c r="C998" s="763" t="str">
        <f>IFERROR(__xludf.DUMMYFUNCTION("""COMPUTED_VALUE"""),"2026-02-23 15:52:36")</f>
        <v>2026-02-23 15:52:36</v>
      </c>
      <c r="D998" s="763" t="str">
        <f>IFERROR(__xludf.DUMMYFUNCTION("""COMPUTED_VALUE"""),"completed")</f>
        <v>completed</v>
      </c>
      <c r="E998" s="763" t="str">
        <f>IFERROR(__xludf.DUMMYFUNCTION("""COMPUTED_VALUE"""),"Elena Anna")</f>
        <v>Elena Anna</v>
      </c>
      <c r="F998" s="763" t="str">
        <f>IFERROR(__xludf.DUMMYFUNCTION("""COMPUTED_VALUE"""),"Colla")</f>
        <v>Colla</v>
      </c>
      <c r="G998" s="763" t="str">
        <f>IFERROR(__xludf.DUMMYFUNCTION("""COMPUTED_VALUE"""),"elecolla@yahoo.it")</f>
        <v>elecolla@yahoo.it</v>
      </c>
      <c r="H998" s="763">
        <f>IFERROR(__xludf.DUMMYFUNCTION("""COMPUTED_VALUE"""),3.47715442E9)</f>
        <v>3477154420</v>
      </c>
      <c r="I998" s="763" t="str">
        <f>IFERROR(__xludf.DUMMYFUNCTION("""COMPUTED_VALUE"""),"Milano")</f>
        <v>Milano</v>
      </c>
      <c r="J998" s="763" t="str">
        <f>IFERROR(__xludf.DUMMYFUNCTION("""COMPUTED_VALUE"""),"Anelli 7")</f>
        <v>Anelli 7</v>
      </c>
      <c r="K998" s="763">
        <f>IFERROR(__xludf.DUMMYFUNCTION("""COMPUTED_VALUE"""),20122.0)</f>
        <v>20122</v>
      </c>
      <c r="L998" s="763" t="str">
        <f>IFERROR(__xludf.DUMMYFUNCTION("""COMPUTED_VALUE"""),"Carte di pagamento")</f>
        <v>Carte di pagamento</v>
      </c>
      <c r="M998" s="763" t="str">
        <f>IFERROR(__xludf.DUMMYFUNCTION("""COMPUTED_VALUE"""),"alexandra05campus")</f>
        <v>alexandra05campus</v>
      </c>
      <c r="N998" s="763" t="str">
        <f>IFERROR(__xludf.DUMMYFUNCTION("""COMPUTED_VALUE"""),"68051-1771861957")</f>
        <v>68051-1771861957</v>
      </c>
      <c r="O998" s="763">
        <f>IFERROR(__xludf.DUMMYFUNCTION("""COMPUTED_VALUE"""),0.0)</f>
        <v>0</v>
      </c>
      <c r="P998" s="767">
        <f>IFERROR(__xludf.DUMMYFUNCTION("""COMPUTED_VALUE"""),3.125)</f>
        <v>3.125</v>
      </c>
      <c r="Q998" s="763" t="str">
        <f>IFERROR(__xludf.DUMMYFUNCTION("""COMPUTED_VALUE"""),"EUR")</f>
        <v>EUR</v>
      </c>
      <c r="R998" s="763">
        <f>IFERROR(__xludf.DUMMYFUNCTION("""COMPUTED_VALUE"""),1757.0)</f>
        <v>1757</v>
      </c>
      <c r="S998" s="763" t="str">
        <f>IFERROR(__xludf.DUMMYFUNCTION("""COMPUTED_VALUE"""),"Campus estivo 2026 - Campus Intensivo di Danza 1 settimana")</f>
        <v>Campus estivo 2026 - Campus Intensivo di Danza 1 settimana</v>
      </c>
      <c r="T998" s="763"/>
      <c r="U998" s="763"/>
      <c r="V998" s="763">
        <f>IFERROR(__xludf.DUMMYFUNCTION("""COMPUTED_VALUE"""),1.0)</f>
        <v>1</v>
      </c>
      <c r="W998" s="763">
        <f>IFERROR(__xludf.DUMMYFUNCTION("""COMPUTED_VALUE"""),75.0)</f>
        <v>75</v>
      </c>
      <c r="X998" s="763">
        <f>IFERROR(__xludf.DUMMYFUNCTION("""COMPUTED_VALUE"""),75.0)</f>
        <v>75</v>
      </c>
      <c r="Y998" s="763" t="str">
        <f>IFERROR(__xludf.DUMMYFUNCTION("""COMPUTED_VALUE"""),"Inserire nel corso con Lucrezia cedolino e flora mallon")</f>
        <v>Inserire nel corso con Lucrezia cedolino e flora mallon</v>
      </c>
      <c r="Z998" s="768" t="str">
        <f>IFERROR(__xludf.DUMMYFUNCTION("""COMPUTED_VALUE"""),"https://studio-gem.it/wp-admin/post.php?post=68051&amp;action=edit")</f>
        <v>https://studio-gem.it/wp-admin/post.php?post=68051&amp;action=edit</v>
      </c>
      <c r="AA998" s="763"/>
      <c r="AB998" s="763"/>
      <c r="AC998" s="763"/>
      <c r="AD998" s="763"/>
      <c r="AE998" s="763"/>
      <c r="AF998" s="763"/>
      <c r="AG998" s="763"/>
      <c r="AH998" s="763"/>
      <c r="AI998" s="763"/>
      <c r="AJ998" s="763"/>
      <c r="AK998" s="763"/>
      <c r="AL998" s="763"/>
      <c r="AM998" s="763"/>
      <c r="AN998" s="763"/>
      <c r="AO998" s="763"/>
      <c r="AP998" s="763"/>
      <c r="AQ998" s="763"/>
      <c r="AR998" s="763"/>
      <c r="AS998" s="763"/>
      <c r="AT998" s="763"/>
      <c r="AU998" s="763"/>
      <c r="AV998" s="763"/>
      <c r="AW998" s="763"/>
      <c r="AX998" s="763"/>
      <c r="AY998" s="763"/>
      <c r="AZ998" s="763"/>
      <c r="BA998" s="763"/>
      <c r="BB998" s="763"/>
      <c r="BC998" s="763"/>
      <c r="BD998" s="763"/>
      <c r="BE998" s="763"/>
      <c r="BF998" s="763"/>
      <c r="BG998" s="763" t="b">
        <f>IFERROR(__xludf.DUMMYFUNCTION("""COMPUTED_VALUE"""),TRUE)</f>
        <v>1</v>
      </c>
      <c r="BH998" s="763" t="b">
        <f>IFERROR(__xludf.DUMMYFUNCTION("""COMPUTED_VALUE"""),FALSE)</f>
        <v>0</v>
      </c>
      <c r="BI998" s="763" t="b">
        <f>IFERROR(__xludf.DUMMYFUNCTION("""COMPUTED_VALUE"""),TRUE)</f>
        <v>1</v>
      </c>
      <c r="BJ998" s="763" t="b">
        <f>IFERROR(__xludf.DUMMYFUNCTION("""COMPUTED_VALUE"""),TRUE)</f>
        <v>1</v>
      </c>
    </row>
    <row r="999">
      <c r="A999" s="763">
        <f>IFERROR(__xludf.DUMMYFUNCTION("""COMPUTED_VALUE"""),68056.0)</f>
        <v>68056</v>
      </c>
      <c r="B999" s="763">
        <f>IFERROR(__xludf.DUMMYFUNCTION("""COMPUTED_VALUE"""),68056.0)</f>
        <v>68056</v>
      </c>
      <c r="C999" s="763" t="str">
        <f>IFERROR(__xludf.DUMMYFUNCTION("""COMPUTED_VALUE"""),"2026-02-23 22:12:06")</f>
        <v>2026-02-23 22:12:06</v>
      </c>
      <c r="D999" s="763" t="str">
        <f>IFERROR(__xludf.DUMMYFUNCTION("""COMPUTED_VALUE"""),"pending")</f>
        <v>pending</v>
      </c>
      <c r="E999" s="763" t="str">
        <f>IFERROR(__xludf.DUMMYFUNCTION("""COMPUTED_VALUE"""),"Beatrice")</f>
        <v>Beatrice</v>
      </c>
      <c r="F999" s="763" t="str">
        <f>IFERROR(__xludf.DUMMYFUNCTION("""COMPUTED_VALUE"""),"Binarelli")</f>
        <v>Binarelli</v>
      </c>
      <c r="G999" s="763" t="str">
        <f>IFERROR(__xludf.DUMMYFUNCTION("""COMPUTED_VALUE"""),"chiarabiselli@hotmail.com")</f>
        <v>chiarabiselli@hotmail.com</v>
      </c>
      <c r="H999" s="763">
        <f>IFERROR(__xludf.DUMMYFUNCTION("""COMPUTED_VALUE"""),3.343934888E9)</f>
        <v>3343934888</v>
      </c>
      <c r="I999" s="763" t="str">
        <f>IFERROR(__xludf.DUMMYFUNCTION("""COMPUTED_VALUE"""),"Milano")</f>
        <v>Milano</v>
      </c>
      <c r="J999" s="763" t="str">
        <f>IFERROR(__xludf.DUMMYFUNCTION("""COMPUTED_VALUE"""),"Via Cappuccio 19")</f>
        <v>Via Cappuccio 19</v>
      </c>
      <c r="K999" s="763">
        <f>IFERROR(__xludf.DUMMYFUNCTION("""COMPUTED_VALUE"""),20123.0)</f>
        <v>20123</v>
      </c>
      <c r="L999" s="763" t="str">
        <f>IFERROR(__xludf.DUMMYFUNCTION("""COMPUTED_VALUE"""),"Carte di pagamento")</f>
        <v>Carte di pagamento</v>
      </c>
      <c r="M999" s="763"/>
      <c r="N999" s="763"/>
      <c r="O999" s="763">
        <f>IFERROR(__xludf.DUMMYFUNCTION("""COMPUTED_VALUE"""),0.0)</f>
        <v>0</v>
      </c>
      <c r="P999" s="767">
        <f>IFERROR(__xludf.DUMMYFUNCTION("""COMPUTED_VALUE"""),1.3333333333333333)</f>
        <v>1.333333333</v>
      </c>
      <c r="Q999" s="763" t="str">
        <f>IFERROR(__xludf.DUMMYFUNCTION("""COMPUTED_VALUE"""),"EUR")</f>
        <v>EUR</v>
      </c>
      <c r="R999" s="763">
        <f>IFERROR(__xludf.DUMMYFUNCTION("""COMPUTED_VALUE"""),1759.0)</f>
        <v>1759</v>
      </c>
      <c r="S999"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999" s="763"/>
      <c r="U999" s="763"/>
      <c r="V999" s="763">
        <f>IFERROR(__xludf.DUMMYFUNCTION("""COMPUTED_VALUE"""),1.0)</f>
        <v>1</v>
      </c>
      <c r="W999" s="763">
        <f>IFERROR(__xludf.DUMMYFUNCTION("""COMPUTED_VALUE"""),32.0)</f>
        <v>32</v>
      </c>
      <c r="X999" s="763">
        <f>IFERROR(__xludf.DUMMYFUNCTION("""COMPUTED_VALUE"""),32.0)</f>
        <v>32</v>
      </c>
      <c r="Y999" s="763"/>
      <c r="Z999" s="768" t="str">
        <f>IFERROR(__xludf.DUMMYFUNCTION("""COMPUTED_VALUE"""),"https://studio-gem.it/wp-admin/post.php?post=68056&amp;action=edit")</f>
        <v>https://studio-gem.it/wp-admin/post.php?post=68056&amp;action=edit</v>
      </c>
      <c r="AA999" s="763"/>
      <c r="AB999" s="763"/>
      <c r="AC999" s="763"/>
      <c r="AD999" s="763"/>
      <c r="AE999" s="763"/>
      <c r="AF999" s="763"/>
      <c r="AG999" s="763"/>
      <c r="AH999" s="763"/>
      <c r="AI999" s="763"/>
      <c r="AJ999" s="763"/>
      <c r="AK999" s="763"/>
      <c r="AL999" s="763"/>
      <c r="AM999" s="763"/>
      <c r="AN999" s="763"/>
      <c r="AO999" s="763"/>
      <c r="AP999" s="763"/>
      <c r="AQ999" s="763"/>
      <c r="AR999" s="763"/>
      <c r="AS999" s="763"/>
      <c r="AT999" s="763"/>
      <c r="AU999" s="763"/>
      <c r="AV999" s="763"/>
      <c r="AW999" s="763"/>
      <c r="AX999" s="763"/>
      <c r="AY999" s="763"/>
      <c r="AZ999" s="763"/>
      <c r="BA999" s="763"/>
      <c r="BB999" s="763"/>
      <c r="BC999" s="763"/>
      <c r="BD999" s="763"/>
      <c r="BE999" s="763"/>
      <c r="BF999" s="763"/>
      <c r="BG999" s="763" t="b">
        <f>IFERROR(__xludf.DUMMYFUNCTION("""COMPUTED_VALUE"""),TRUE)</f>
        <v>1</v>
      </c>
      <c r="BH999" s="763" t="b">
        <f>IFERROR(__xludf.DUMMYFUNCTION("""COMPUTED_VALUE"""),FALSE)</f>
        <v>0</v>
      </c>
      <c r="BI999" s="763" t="b">
        <f>IFERROR(__xludf.DUMMYFUNCTION("""COMPUTED_VALUE"""),TRUE)</f>
        <v>1</v>
      </c>
      <c r="BJ999" s="763" t="b">
        <f>IFERROR(__xludf.DUMMYFUNCTION("""COMPUTED_VALUE"""),TRUE)</f>
        <v>1</v>
      </c>
    </row>
    <row r="1000">
      <c r="A1000" s="763">
        <f>IFERROR(__xludf.DUMMYFUNCTION("""COMPUTED_VALUE"""),68058.0)</f>
        <v>68058</v>
      </c>
      <c r="B1000" s="763">
        <f>IFERROR(__xludf.DUMMYFUNCTION("""COMPUTED_VALUE"""),68058.0)</f>
        <v>68058</v>
      </c>
      <c r="C1000" s="763" t="str">
        <f>IFERROR(__xludf.DUMMYFUNCTION("""COMPUTED_VALUE"""),"2026-02-24 08:09:21")</f>
        <v>2026-02-24 08:09:21</v>
      </c>
      <c r="D1000" s="763" t="str">
        <f>IFERROR(__xludf.DUMMYFUNCTION("""COMPUTED_VALUE"""),"pending")</f>
        <v>pending</v>
      </c>
      <c r="E1000" s="763" t="str">
        <f>IFERROR(__xludf.DUMMYFUNCTION("""COMPUTED_VALUE"""),"Christian Michel")</f>
        <v>Christian Michel</v>
      </c>
      <c r="F1000" s="763" t="str">
        <f>IFERROR(__xludf.DUMMYFUNCTION("""COMPUTED_VALUE"""),"Reyes Rodriguez")</f>
        <v>Reyes Rodriguez</v>
      </c>
      <c r="G1000" s="763" t="str">
        <f>IFERROR(__xludf.DUMMYFUNCTION("""COMPUTED_VALUE"""),"Michel.9017@libero.it")</f>
        <v>Michel.9017@libero.it</v>
      </c>
      <c r="H1000" s="763">
        <f>IFERROR(__xludf.DUMMYFUNCTION("""COMPUTED_VALUE"""),3.481955108E9)</f>
        <v>3481955108</v>
      </c>
      <c r="I1000" s="763" t="str">
        <f>IFERROR(__xludf.DUMMYFUNCTION("""COMPUTED_VALUE"""),"Castel Bolognese")</f>
        <v>Castel Bolognese</v>
      </c>
      <c r="J1000" s="763" t="str">
        <f>IFERROR(__xludf.DUMMYFUNCTION("""COMPUTED_VALUE"""),"Francesco rossi 2")</f>
        <v>Francesco rossi 2</v>
      </c>
      <c r="K1000" s="763">
        <f>IFERROR(__xludf.DUMMYFUNCTION("""COMPUTED_VALUE"""),48014.0)</f>
        <v>48014</v>
      </c>
      <c r="L1000" s="763" t="str">
        <f>IFERROR(__xludf.DUMMYFUNCTION("""COMPUTED_VALUE"""),"Carte di pagamento")</f>
        <v>Carte di pagamento</v>
      </c>
      <c r="M1000" s="763"/>
      <c r="N1000" s="763"/>
      <c r="O1000" s="763">
        <f>IFERROR(__xludf.DUMMYFUNCTION("""COMPUTED_VALUE"""),0.0)</f>
        <v>0</v>
      </c>
      <c r="P1000" s="767">
        <f>IFERROR(__xludf.DUMMYFUNCTION("""COMPUTED_VALUE"""),1.3333333333333333)</f>
        <v>1.333333333</v>
      </c>
      <c r="Q1000" s="763" t="str">
        <f>IFERROR(__xludf.DUMMYFUNCTION("""COMPUTED_VALUE"""),"EUR")</f>
        <v>EUR</v>
      </c>
      <c r="R1000" s="763">
        <f>IFERROR(__xludf.DUMMYFUNCTION("""COMPUTED_VALUE"""),1760.0)</f>
        <v>1760</v>
      </c>
      <c r="S1000" s="763" t="str">
        <f>IFERROR(__xludf.DUMMYFUNCTION("""COMPUTED_VALUE"""),"Open class Urban coreografico con Amber e Aldrin 2026 - Open class Urban coreografico con Amber e Aldrin 2026")</f>
        <v>Open class Urban coreografico con Amber e Aldrin 2026 - Open class Urban coreografico con Amber e Aldrin 2026</v>
      </c>
      <c r="T1000" s="763"/>
      <c r="U1000" s="763"/>
      <c r="V1000" s="763">
        <f>IFERROR(__xludf.DUMMYFUNCTION("""COMPUTED_VALUE"""),1.0)</f>
        <v>1</v>
      </c>
      <c r="W1000" s="763">
        <f>IFERROR(__xludf.DUMMYFUNCTION("""COMPUTED_VALUE"""),32.0)</f>
        <v>32</v>
      </c>
      <c r="X1000" s="763">
        <f>IFERROR(__xludf.DUMMYFUNCTION("""COMPUTED_VALUE"""),32.0)</f>
        <v>32</v>
      </c>
      <c r="Y1000" s="763"/>
      <c r="Z1000" s="768" t="str">
        <f>IFERROR(__xludf.DUMMYFUNCTION("""COMPUTED_VALUE"""),"https://studio-gem.it/wp-admin/post.php?post=68058&amp;action=edit")</f>
        <v>https://studio-gem.it/wp-admin/post.php?post=68058&amp;action=edit</v>
      </c>
      <c r="AA1000" s="763"/>
      <c r="AB1000" s="763"/>
      <c r="AC1000" s="763"/>
      <c r="AD1000" s="763"/>
      <c r="AE1000" s="763"/>
      <c r="AF1000" s="763"/>
      <c r="AG1000" s="763"/>
      <c r="AH1000" s="763"/>
      <c r="AI1000" s="763"/>
      <c r="AJ1000" s="763"/>
      <c r="AK1000" s="763"/>
      <c r="AL1000" s="763"/>
      <c r="AM1000" s="763"/>
      <c r="AN1000" s="763"/>
      <c r="AO1000" s="763"/>
      <c r="AP1000" s="763"/>
      <c r="AQ1000" s="763"/>
      <c r="AR1000" s="763"/>
      <c r="AS1000" s="763"/>
      <c r="AT1000" s="763"/>
      <c r="AU1000" s="763"/>
      <c r="AV1000" s="763"/>
      <c r="AW1000" s="763"/>
      <c r="AX1000" s="763"/>
      <c r="AY1000" s="763"/>
      <c r="AZ1000" s="763"/>
      <c r="BA1000" s="763"/>
      <c r="BB1000" s="763"/>
      <c r="BC1000" s="763"/>
      <c r="BD1000" s="763"/>
      <c r="BE1000" s="763"/>
      <c r="BF1000" s="763"/>
      <c r="BG1000" s="763" t="b">
        <f>IFERROR(__xludf.DUMMYFUNCTION("""COMPUTED_VALUE"""),TRUE)</f>
        <v>1</v>
      </c>
      <c r="BH1000" s="763" t="b">
        <f>IFERROR(__xludf.DUMMYFUNCTION("""COMPUTED_VALUE"""),FALSE)</f>
        <v>0</v>
      </c>
      <c r="BI1000" s="763" t="b">
        <f>IFERROR(__xludf.DUMMYFUNCTION("""COMPUTED_VALUE"""),TRUE)</f>
        <v>1</v>
      </c>
      <c r="BJ1000" s="763" t="b">
        <f>IFERROR(__xludf.DUMMYFUNCTION("""COMPUTED_VALUE"""),TRUE)</f>
        <v>1</v>
      </c>
    </row>
  </sheetData>
  <conditionalFormatting sqref="A2:BI1000">
    <cfRule type="expression" dxfId="6" priority="1">
      <formula>$BI2=TRUE</formula>
    </cfRule>
  </conditionalFormatting>
  <conditionalFormatting sqref="A2:BH1000">
    <cfRule type="expression" dxfId="7" priority="2">
      <formula>$BH2=TRUE</formula>
    </cfRule>
  </conditionalFormatting>
  <conditionalFormatting sqref="A2:BG1000">
    <cfRule type="expression" dxfId="8" priority="3">
      <formula>$BG2=TRUE</formula>
    </cfRule>
  </conditionalFormatting>
  <hyperlinks>
    <hyperlink r:id="rId2" location="gid=321829144" ref="BI1"/>
    <hyperlink r:id="rId3" ref="Z2"/>
    <hyperlink r:id="rId4" ref="Z3"/>
    <hyperlink r:id="rId5" ref="Z4"/>
    <hyperlink r:id="rId6" ref="Z5"/>
    <hyperlink r:id="rId7" ref="Z6"/>
    <hyperlink r:id="rId8" ref="Z7"/>
    <hyperlink r:id="rId9" ref="Z8"/>
    <hyperlink r:id="rId10" ref="Z9"/>
    <hyperlink r:id="rId11" ref="Z10"/>
    <hyperlink r:id="rId12" ref="Z11"/>
    <hyperlink r:id="rId13" ref="Z12"/>
    <hyperlink r:id="rId14" ref="Z13"/>
    <hyperlink r:id="rId15" ref="Z14"/>
    <hyperlink r:id="rId16" ref="Z15"/>
    <hyperlink r:id="rId17" ref="Z16"/>
    <hyperlink r:id="rId18" ref="Z17"/>
    <hyperlink r:id="rId19" ref="Z18"/>
    <hyperlink r:id="rId20" ref="Z19"/>
    <hyperlink r:id="rId21" ref="Z20"/>
    <hyperlink r:id="rId22" ref="Z21"/>
    <hyperlink r:id="rId23" ref="Z22"/>
    <hyperlink r:id="rId24" ref="Z23"/>
    <hyperlink r:id="rId25" ref="Z24"/>
    <hyperlink r:id="rId26" ref="Z25"/>
    <hyperlink r:id="rId27" ref="Z26"/>
    <hyperlink r:id="rId28" ref="Z27"/>
    <hyperlink r:id="rId29" ref="Z28"/>
    <hyperlink r:id="rId30" ref="Z29"/>
    <hyperlink r:id="rId31" ref="Z30"/>
    <hyperlink r:id="rId32" ref="Z31"/>
    <hyperlink r:id="rId33" ref="Z32"/>
    <hyperlink r:id="rId34" ref="Z33"/>
    <hyperlink r:id="rId35" ref="Z34"/>
    <hyperlink r:id="rId36" ref="Z35"/>
    <hyperlink r:id="rId37" ref="Z36"/>
    <hyperlink r:id="rId38" ref="Z37"/>
    <hyperlink r:id="rId39" ref="Z38"/>
    <hyperlink r:id="rId40" ref="Z39"/>
    <hyperlink r:id="rId41" ref="Z40"/>
    <hyperlink r:id="rId42" ref="Z41"/>
    <hyperlink r:id="rId43" ref="Z42"/>
    <hyperlink r:id="rId44" ref="Z43"/>
    <hyperlink r:id="rId45" ref="Z44"/>
    <hyperlink r:id="rId46" ref="Z45"/>
    <hyperlink r:id="rId47" ref="Z46"/>
    <hyperlink r:id="rId48" ref="Z47"/>
    <hyperlink r:id="rId49" ref="Z48"/>
    <hyperlink r:id="rId50" ref="Z49"/>
    <hyperlink r:id="rId51" ref="Z50"/>
    <hyperlink r:id="rId52" ref="Z51"/>
    <hyperlink r:id="rId53" ref="Z52"/>
    <hyperlink r:id="rId54" ref="Z53"/>
    <hyperlink r:id="rId55" ref="Z54"/>
    <hyperlink r:id="rId56" ref="Z55"/>
    <hyperlink r:id="rId57" ref="Z56"/>
    <hyperlink r:id="rId58" ref="Z57"/>
    <hyperlink r:id="rId59" ref="Z58"/>
    <hyperlink r:id="rId60" ref="Z59"/>
    <hyperlink r:id="rId61" ref="Z60"/>
    <hyperlink r:id="rId62" ref="Z61"/>
    <hyperlink r:id="rId63" ref="Z62"/>
    <hyperlink r:id="rId64" ref="Z63"/>
    <hyperlink r:id="rId65" ref="Z64"/>
    <hyperlink r:id="rId66" ref="Z65"/>
    <hyperlink r:id="rId67" ref="Z66"/>
    <hyperlink r:id="rId68" ref="Z67"/>
    <hyperlink r:id="rId69" ref="Z68"/>
    <hyperlink r:id="rId70" ref="Z69"/>
    <hyperlink r:id="rId71" ref="Z70"/>
    <hyperlink r:id="rId72" ref="Z71"/>
    <hyperlink r:id="rId73" ref="Z72"/>
    <hyperlink r:id="rId74" ref="Z73"/>
    <hyperlink r:id="rId75" ref="Z74"/>
    <hyperlink r:id="rId76" ref="Z75"/>
    <hyperlink r:id="rId77" ref="Z76"/>
    <hyperlink r:id="rId78" ref="Z77"/>
    <hyperlink r:id="rId79" ref="Z78"/>
    <hyperlink r:id="rId80" ref="Z79"/>
    <hyperlink r:id="rId81" ref="Z80"/>
    <hyperlink r:id="rId82" ref="Z81"/>
    <hyperlink r:id="rId83" ref="Z82"/>
    <hyperlink r:id="rId84" ref="Z83"/>
    <hyperlink r:id="rId85" ref="Z84"/>
    <hyperlink r:id="rId86" ref="Z85"/>
    <hyperlink r:id="rId87" ref="Z86"/>
    <hyperlink r:id="rId88" ref="Z87"/>
    <hyperlink r:id="rId89" ref="Z88"/>
    <hyperlink r:id="rId90" ref="Z89"/>
    <hyperlink r:id="rId91" ref="Z90"/>
    <hyperlink r:id="rId92" ref="Z91"/>
    <hyperlink r:id="rId93" ref="Z92"/>
    <hyperlink r:id="rId94" ref="Z93"/>
    <hyperlink r:id="rId95" ref="Z94"/>
    <hyperlink r:id="rId96" ref="Z95"/>
    <hyperlink r:id="rId97" ref="Z96"/>
    <hyperlink r:id="rId98" ref="Z97"/>
    <hyperlink r:id="rId99" ref="Z98"/>
    <hyperlink r:id="rId100" ref="Z99"/>
    <hyperlink r:id="rId101" ref="Z100"/>
    <hyperlink r:id="rId102" ref="Z101"/>
    <hyperlink r:id="rId103" ref="Z102"/>
    <hyperlink r:id="rId104" ref="Z103"/>
    <hyperlink r:id="rId105" ref="Z104"/>
    <hyperlink r:id="rId106" ref="Z105"/>
    <hyperlink r:id="rId107" ref="Z106"/>
    <hyperlink r:id="rId108" ref="Z107"/>
    <hyperlink r:id="rId109" ref="Z108"/>
    <hyperlink r:id="rId110" ref="Z109"/>
    <hyperlink r:id="rId111" ref="Z110"/>
    <hyperlink r:id="rId112" ref="Z111"/>
    <hyperlink r:id="rId113" ref="Z112"/>
    <hyperlink r:id="rId114" ref="Z113"/>
    <hyperlink r:id="rId115" ref="Z114"/>
    <hyperlink r:id="rId116" ref="Z115"/>
    <hyperlink r:id="rId117" ref="Z116"/>
    <hyperlink r:id="rId118" ref="Z117"/>
    <hyperlink r:id="rId119" ref="Z118"/>
    <hyperlink r:id="rId120" ref="Z119"/>
    <hyperlink r:id="rId121" ref="Z120"/>
    <hyperlink r:id="rId122" ref="Z121"/>
    <hyperlink r:id="rId123" ref="Z122"/>
    <hyperlink r:id="rId124" ref="Z123"/>
    <hyperlink r:id="rId125" ref="Z124"/>
    <hyperlink r:id="rId126" ref="Z125"/>
    <hyperlink r:id="rId127" ref="Z126"/>
    <hyperlink r:id="rId128" ref="Z127"/>
    <hyperlink r:id="rId129" ref="Z128"/>
    <hyperlink r:id="rId130" ref="Z129"/>
    <hyperlink r:id="rId131" ref="Z130"/>
    <hyperlink r:id="rId132" ref="Z131"/>
    <hyperlink r:id="rId133" ref="Z132"/>
    <hyperlink r:id="rId134" ref="Z133"/>
    <hyperlink r:id="rId135" ref="Z134"/>
    <hyperlink r:id="rId136" ref="Z135"/>
    <hyperlink r:id="rId137" ref="Z136"/>
    <hyperlink r:id="rId138" ref="Z137"/>
    <hyperlink r:id="rId139" ref="Z138"/>
    <hyperlink r:id="rId140" ref="Z139"/>
    <hyperlink r:id="rId141" ref="Z140"/>
    <hyperlink r:id="rId142" ref="Z141"/>
    <hyperlink r:id="rId143" ref="Z142"/>
    <hyperlink r:id="rId144" ref="Z143"/>
    <hyperlink r:id="rId145" ref="Z144"/>
    <hyperlink r:id="rId146" ref="Z145"/>
    <hyperlink r:id="rId147" ref="Z146"/>
    <hyperlink r:id="rId148" ref="Z147"/>
    <hyperlink r:id="rId149" ref="Z148"/>
    <hyperlink r:id="rId150" ref="Z149"/>
    <hyperlink r:id="rId151" ref="Z150"/>
    <hyperlink r:id="rId152" ref="Z151"/>
    <hyperlink r:id="rId153" ref="Z152"/>
    <hyperlink r:id="rId154" ref="Z153"/>
    <hyperlink r:id="rId155" ref="Z154"/>
    <hyperlink r:id="rId156" ref="Z155"/>
    <hyperlink r:id="rId157" ref="Z156"/>
    <hyperlink r:id="rId158" ref="Z157"/>
    <hyperlink r:id="rId159" ref="Z158"/>
    <hyperlink r:id="rId160" ref="Z159"/>
    <hyperlink r:id="rId161" ref="Z160"/>
    <hyperlink r:id="rId162" ref="Z161"/>
    <hyperlink r:id="rId163" ref="Z162"/>
    <hyperlink r:id="rId164" ref="Z163"/>
    <hyperlink r:id="rId165" ref="Z164"/>
    <hyperlink r:id="rId166" ref="Z165"/>
    <hyperlink r:id="rId167" ref="Z166"/>
    <hyperlink r:id="rId168" ref="Z167"/>
    <hyperlink r:id="rId169" ref="Z168"/>
    <hyperlink r:id="rId170" ref="Z169"/>
    <hyperlink r:id="rId171" ref="Z170"/>
    <hyperlink r:id="rId172" ref="Z171"/>
    <hyperlink r:id="rId173" ref="Z172"/>
    <hyperlink r:id="rId174" ref="Z173"/>
    <hyperlink r:id="rId175" ref="Z174"/>
    <hyperlink r:id="rId176" ref="Z175"/>
    <hyperlink r:id="rId177" ref="Z176"/>
    <hyperlink r:id="rId178" ref="Z177"/>
    <hyperlink r:id="rId179" ref="Z178"/>
    <hyperlink r:id="rId180" ref="Z179"/>
    <hyperlink r:id="rId181" ref="Z180"/>
    <hyperlink r:id="rId182" ref="Z181"/>
    <hyperlink r:id="rId183" ref="Z182"/>
    <hyperlink r:id="rId184" ref="Z183"/>
    <hyperlink r:id="rId185" ref="Z184"/>
    <hyperlink r:id="rId186" ref="Z185"/>
    <hyperlink r:id="rId187" ref="Z186"/>
    <hyperlink r:id="rId188" ref="Z187"/>
    <hyperlink r:id="rId189" ref="Z188"/>
    <hyperlink r:id="rId190" ref="Z189"/>
    <hyperlink r:id="rId191" ref="Z190"/>
    <hyperlink r:id="rId192" ref="Z191"/>
    <hyperlink r:id="rId193" ref="Z192"/>
    <hyperlink r:id="rId194" ref="Z193"/>
    <hyperlink r:id="rId195" ref="Z194"/>
    <hyperlink r:id="rId196" ref="Z195"/>
    <hyperlink r:id="rId197" ref="Z196"/>
    <hyperlink r:id="rId198" ref="Z197"/>
    <hyperlink r:id="rId199" ref="Z198"/>
    <hyperlink r:id="rId200" ref="Z199"/>
    <hyperlink r:id="rId201" ref="Z200"/>
    <hyperlink r:id="rId202" ref="Z201"/>
    <hyperlink r:id="rId203" ref="Z202"/>
    <hyperlink r:id="rId204" ref="Z203"/>
    <hyperlink r:id="rId205" ref="Z204"/>
    <hyperlink r:id="rId206" ref="Z205"/>
    <hyperlink r:id="rId207" ref="Z206"/>
    <hyperlink r:id="rId208" ref="Z207"/>
    <hyperlink r:id="rId209" ref="Z208"/>
    <hyperlink r:id="rId210" ref="Z209"/>
    <hyperlink r:id="rId211" ref="Z210"/>
    <hyperlink r:id="rId212" ref="Z211"/>
    <hyperlink r:id="rId213" ref="Z212"/>
    <hyperlink r:id="rId214" ref="Z213"/>
    <hyperlink r:id="rId215" ref="Z214"/>
    <hyperlink r:id="rId216" ref="Z215"/>
    <hyperlink r:id="rId217" ref="Z216"/>
    <hyperlink r:id="rId218" ref="Z217"/>
    <hyperlink r:id="rId219" ref="Z218"/>
    <hyperlink r:id="rId220" ref="Z219"/>
    <hyperlink r:id="rId221" ref="Z220"/>
    <hyperlink r:id="rId222" ref="Z221"/>
    <hyperlink r:id="rId223" ref="Z222"/>
    <hyperlink r:id="rId224" ref="Z223"/>
    <hyperlink r:id="rId225" ref="Z224"/>
    <hyperlink r:id="rId226" ref="Z225"/>
    <hyperlink r:id="rId227" ref="Z226"/>
    <hyperlink r:id="rId228" ref="Z227"/>
    <hyperlink r:id="rId229" ref="Z228"/>
    <hyperlink r:id="rId230" ref="Z229"/>
    <hyperlink r:id="rId231" ref="Z230"/>
    <hyperlink r:id="rId232" ref="Z231"/>
    <hyperlink r:id="rId233" ref="Z232"/>
    <hyperlink r:id="rId234" ref="Z233"/>
    <hyperlink r:id="rId235" ref="Z234"/>
    <hyperlink r:id="rId236" ref="Z235"/>
    <hyperlink r:id="rId237" ref="Z236"/>
    <hyperlink r:id="rId238" ref="Z237"/>
    <hyperlink r:id="rId239" ref="Z238"/>
    <hyperlink r:id="rId240" ref="Z239"/>
    <hyperlink r:id="rId241" ref="Z240"/>
    <hyperlink r:id="rId242" ref="Z241"/>
    <hyperlink r:id="rId243" ref="Z242"/>
    <hyperlink r:id="rId244" ref="Z243"/>
    <hyperlink r:id="rId245" ref="Z244"/>
    <hyperlink r:id="rId246" ref="Z245"/>
    <hyperlink r:id="rId247" ref="Z246"/>
    <hyperlink r:id="rId248" ref="Z247"/>
    <hyperlink r:id="rId249" ref="Z248"/>
    <hyperlink r:id="rId250" ref="Z249"/>
    <hyperlink r:id="rId251" ref="Z250"/>
    <hyperlink r:id="rId252" ref="Z251"/>
    <hyperlink r:id="rId253" ref="Z252"/>
    <hyperlink r:id="rId254" ref="Z253"/>
    <hyperlink r:id="rId255" ref="Z254"/>
    <hyperlink r:id="rId256" ref="Z255"/>
    <hyperlink r:id="rId257" ref="Z256"/>
    <hyperlink r:id="rId258" ref="Z257"/>
    <hyperlink r:id="rId259" ref="Z258"/>
    <hyperlink r:id="rId260" ref="Z259"/>
    <hyperlink r:id="rId261" ref="Z260"/>
    <hyperlink r:id="rId262" ref="Z261"/>
    <hyperlink r:id="rId263" ref="Z262"/>
    <hyperlink r:id="rId264" ref="Z263"/>
    <hyperlink r:id="rId265" ref="Z264"/>
    <hyperlink r:id="rId266" ref="Z265"/>
    <hyperlink r:id="rId267" ref="Z266"/>
    <hyperlink r:id="rId268" ref="Z267"/>
    <hyperlink r:id="rId269" ref="Z268"/>
    <hyperlink r:id="rId270" ref="Z269"/>
    <hyperlink r:id="rId271" ref="Z270"/>
    <hyperlink r:id="rId272" ref="Z271"/>
    <hyperlink r:id="rId273" ref="Z272"/>
    <hyperlink r:id="rId274" ref="Z273"/>
    <hyperlink r:id="rId275" ref="Z274"/>
    <hyperlink r:id="rId276" ref="Z275"/>
    <hyperlink r:id="rId277" ref="Z276"/>
    <hyperlink r:id="rId278" ref="Z277"/>
    <hyperlink r:id="rId279" ref="Z278"/>
    <hyperlink r:id="rId280" ref="Z279"/>
    <hyperlink r:id="rId281" ref="Z280"/>
    <hyperlink r:id="rId282" ref="Z281"/>
    <hyperlink r:id="rId283" ref="Z282"/>
    <hyperlink r:id="rId284" ref="Z283"/>
    <hyperlink r:id="rId285" ref="Z284"/>
    <hyperlink r:id="rId286" ref="Z285"/>
    <hyperlink r:id="rId287" ref="Z286"/>
    <hyperlink r:id="rId288" ref="Z287"/>
    <hyperlink r:id="rId289" ref="Z288"/>
    <hyperlink r:id="rId290" ref="Z289"/>
    <hyperlink r:id="rId291" ref="Z290"/>
    <hyperlink r:id="rId292" ref="Z291"/>
    <hyperlink r:id="rId293" ref="Z292"/>
    <hyperlink r:id="rId294" ref="Z293"/>
    <hyperlink r:id="rId295" ref="Z294"/>
    <hyperlink r:id="rId296" ref="Z295"/>
    <hyperlink r:id="rId297" ref="Z296"/>
    <hyperlink r:id="rId298" ref="Z297"/>
    <hyperlink r:id="rId299" ref="Z298"/>
    <hyperlink r:id="rId300" ref="Z299"/>
    <hyperlink r:id="rId301" ref="Z300"/>
    <hyperlink r:id="rId302" ref="Z301"/>
    <hyperlink r:id="rId303" ref="Z302"/>
    <hyperlink r:id="rId304" ref="Z303"/>
    <hyperlink r:id="rId305" ref="Z304"/>
    <hyperlink r:id="rId306" ref="Z305"/>
    <hyperlink r:id="rId307" ref="Z306"/>
    <hyperlink r:id="rId308" ref="Z307"/>
    <hyperlink r:id="rId309" ref="Z308"/>
    <hyperlink r:id="rId310" ref="Z309"/>
    <hyperlink r:id="rId311" ref="Z310"/>
    <hyperlink r:id="rId312" ref="Z311"/>
    <hyperlink r:id="rId313" ref="Z312"/>
    <hyperlink r:id="rId314" ref="Z313"/>
    <hyperlink r:id="rId315" ref="Z314"/>
    <hyperlink r:id="rId316" ref="Z315"/>
    <hyperlink r:id="rId317" ref="Z316"/>
    <hyperlink r:id="rId318" ref="Z317"/>
    <hyperlink r:id="rId319" ref="Z318"/>
    <hyperlink r:id="rId320" ref="Z319"/>
    <hyperlink r:id="rId321" ref="Z320"/>
    <hyperlink r:id="rId322" ref="Z321"/>
    <hyperlink r:id="rId323" ref="Z322"/>
    <hyperlink r:id="rId324" ref="Z323"/>
    <hyperlink r:id="rId325" ref="Z324"/>
    <hyperlink r:id="rId326" ref="Z325"/>
    <hyperlink r:id="rId327" ref="Z326"/>
    <hyperlink r:id="rId328" ref="Z327"/>
    <hyperlink r:id="rId329" ref="Z328"/>
    <hyperlink r:id="rId330" ref="Z329"/>
    <hyperlink r:id="rId331" ref="Z330"/>
    <hyperlink r:id="rId332" ref="Z331"/>
    <hyperlink r:id="rId333" ref="Z332"/>
    <hyperlink r:id="rId334" ref="Z333"/>
    <hyperlink r:id="rId335" ref="Z334"/>
    <hyperlink r:id="rId336" ref="Z335"/>
    <hyperlink r:id="rId337" ref="Z336"/>
    <hyperlink r:id="rId338" ref="Z337"/>
    <hyperlink r:id="rId339" ref="Z338"/>
    <hyperlink r:id="rId340" ref="Z339"/>
    <hyperlink r:id="rId341" ref="Z340"/>
    <hyperlink r:id="rId342" ref="Z341"/>
    <hyperlink r:id="rId343" ref="Z342"/>
    <hyperlink r:id="rId344" ref="Z343"/>
    <hyperlink r:id="rId345" ref="Z344"/>
    <hyperlink r:id="rId346" ref="Z345"/>
    <hyperlink r:id="rId347" ref="Z346"/>
    <hyperlink r:id="rId348" ref="Z347"/>
    <hyperlink r:id="rId349" ref="Z348"/>
    <hyperlink r:id="rId350" ref="Z349"/>
    <hyperlink r:id="rId351" ref="Z350"/>
    <hyperlink r:id="rId352" ref="Z351"/>
    <hyperlink r:id="rId353" ref="Z352"/>
    <hyperlink r:id="rId354" ref="Z353"/>
    <hyperlink r:id="rId355" ref="Z354"/>
    <hyperlink r:id="rId356" ref="Z355"/>
    <hyperlink r:id="rId357" ref="Z356"/>
    <hyperlink r:id="rId358" ref="Z357"/>
    <hyperlink r:id="rId359" ref="Z358"/>
    <hyperlink r:id="rId360" ref="Z359"/>
    <hyperlink r:id="rId361" ref="Z360"/>
    <hyperlink r:id="rId362" ref="Z361"/>
    <hyperlink r:id="rId363" ref="Z362"/>
    <hyperlink r:id="rId364" ref="Z363"/>
    <hyperlink r:id="rId365" ref="Z364"/>
    <hyperlink r:id="rId366" ref="Z365"/>
    <hyperlink r:id="rId367" ref="Z366"/>
    <hyperlink r:id="rId368" ref="Z367"/>
    <hyperlink r:id="rId369" ref="Z368"/>
    <hyperlink r:id="rId370" ref="Z369"/>
    <hyperlink r:id="rId371" ref="Z370"/>
    <hyperlink r:id="rId372" ref="Z371"/>
    <hyperlink r:id="rId373" ref="Z372"/>
    <hyperlink r:id="rId374" ref="Z373"/>
    <hyperlink r:id="rId375" ref="Z374"/>
    <hyperlink r:id="rId376" ref="Z375"/>
    <hyperlink r:id="rId377" ref="Z376"/>
    <hyperlink r:id="rId378" ref="Z377"/>
    <hyperlink r:id="rId379" ref="Z378"/>
    <hyperlink r:id="rId380" ref="Z379"/>
    <hyperlink r:id="rId381" ref="Z380"/>
    <hyperlink r:id="rId382" ref="Z381"/>
    <hyperlink r:id="rId383" ref="Z382"/>
    <hyperlink r:id="rId384" ref="Z383"/>
    <hyperlink r:id="rId385" ref="Z384"/>
    <hyperlink r:id="rId386" ref="Z385"/>
    <hyperlink r:id="rId387" ref="Z386"/>
    <hyperlink r:id="rId388" ref="Z387"/>
    <hyperlink r:id="rId389" ref="Z388"/>
    <hyperlink r:id="rId390" ref="Z389"/>
    <hyperlink r:id="rId391" ref="Z390"/>
    <hyperlink r:id="rId392" ref="Z391"/>
    <hyperlink r:id="rId393" ref="Z392"/>
    <hyperlink r:id="rId394" ref="Z393"/>
    <hyperlink r:id="rId395" ref="Z394"/>
    <hyperlink r:id="rId396" ref="Z395"/>
    <hyperlink r:id="rId397" ref="Z396"/>
    <hyperlink r:id="rId398" ref="Z397"/>
    <hyperlink r:id="rId399" ref="Z398"/>
    <hyperlink r:id="rId400" ref="Z399"/>
    <hyperlink r:id="rId401" ref="Z400"/>
    <hyperlink r:id="rId402" ref="Z401"/>
    <hyperlink r:id="rId403" ref="Z402"/>
    <hyperlink r:id="rId404" ref="Z403"/>
    <hyperlink r:id="rId405" ref="Z404"/>
    <hyperlink r:id="rId406" ref="Z405"/>
    <hyperlink r:id="rId407" ref="Z406"/>
    <hyperlink r:id="rId408" ref="Z407"/>
    <hyperlink r:id="rId409" ref="Z408"/>
    <hyperlink r:id="rId410" ref="Z409"/>
    <hyperlink r:id="rId411" ref="Z410"/>
    <hyperlink r:id="rId412" ref="Z411"/>
    <hyperlink r:id="rId413" ref="Z412"/>
    <hyperlink r:id="rId414" ref="Z413"/>
    <hyperlink r:id="rId415" ref="Z414"/>
    <hyperlink r:id="rId416" ref="Z415"/>
    <hyperlink r:id="rId417" ref="Z416"/>
    <hyperlink r:id="rId418" ref="Z417"/>
    <hyperlink r:id="rId419" ref="Z418"/>
    <hyperlink r:id="rId420" ref="Z419"/>
    <hyperlink r:id="rId421" ref="Z420"/>
    <hyperlink r:id="rId422" ref="Z421"/>
    <hyperlink r:id="rId423" ref="Z422"/>
    <hyperlink r:id="rId424" ref="Z423"/>
    <hyperlink r:id="rId425" ref="Z424"/>
    <hyperlink r:id="rId426" ref="Z425"/>
    <hyperlink r:id="rId427" ref="Z426"/>
    <hyperlink r:id="rId428" ref="Z427"/>
    <hyperlink r:id="rId429" ref="Z428"/>
    <hyperlink r:id="rId430" ref="Z429"/>
    <hyperlink r:id="rId431" ref="Z430"/>
    <hyperlink r:id="rId432" ref="Z431"/>
    <hyperlink r:id="rId433" ref="Z432"/>
    <hyperlink r:id="rId434" ref="Z433"/>
    <hyperlink r:id="rId435" ref="Z434"/>
    <hyperlink r:id="rId436" ref="Z435"/>
    <hyperlink r:id="rId437" ref="Z436"/>
    <hyperlink r:id="rId438" ref="Z437"/>
    <hyperlink r:id="rId439" ref="Z438"/>
    <hyperlink r:id="rId440" ref="Z439"/>
    <hyperlink r:id="rId441" ref="Z440"/>
    <hyperlink r:id="rId442" ref="Z441"/>
    <hyperlink r:id="rId443" ref="Z442"/>
    <hyperlink r:id="rId444" ref="Z443"/>
    <hyperlink r:id="rId445" ref="Z444"/>
    <hyperlink r:id="rId446" ref="Z445"/>
    <hyperlink r:id="rId447" ref="Z446"/>
    <hyperlink r:id="rId448" ref="Z447"/>
    <hyperlink r:id="rId449" ref="Z448"/>
    <hyperlink r:id="rId450" ref="Z449"/>
    <hyperlink r:id="rId451" ref="Z450"/>
    <hyperlink r:id="rId452" ref="Z451"/>
    <hyperlink r:id="rId453" ref="Z452"/>
    <hyperlink r:id="rId454" ref="Z453"/>
    <hyperlink r:id="rId455" ref="Z454"/>
    <hyperlink r:id="rId456" ref="Z455"/>
    <hyperlink r:id="rId457" ref="Z456"/>
    <hyperlink r:id="rId458" ref="Z457"/>
    <hyperlink r:id="rId459" ref="Z458"/>
    <hyperlink r:id="rId460" ref="Z459"/>
    <hyperlink r:id="rId461" ref="Z460"/>
    <hyperlink r:id="rId462" ref="Z461"/>
    <hyperlink r:id="rId463" ref="Z462"/>
    <hyperlink r:id="rId464" ref="Z463"/>
    <hyperlink r:id="rId465" ref="Z464"/>
    <hyperlink r:id="rId466" ref="Z465"/>
    <hyperlink r:id="rId467" ref="Z466"/>
    <hyperlink r:id="rId468" ref="Z467"/>
    <hyperlink r:id="rId469" ref="Z468"/>
    <hyperlink r:id="rId470" ref="Z469"/>
    <hyperlink r:id="rId471" ref="Z470"/>
    <hyperlink r:id="rId472" ref="Z471"/>
    <hyperlink r:id="rId473" ref="Z472"/>
    <hyperlink r:id="rId474" ref="Z473"/>
    <hyperlink r:id="rId475" ref="Z474"/>
    <hyperlink r:id="rId476" ref="Z475"/>
    <hyperlink r:id="rId477" ref="Z476"/>
    <hyperlink r:id="rId478" ref="Z477"/>
    <hyperlink r:id="rId479" ref="Z478"/>
    <hyperlink r:id="rId480" ref="Z479"/>
    <hyperlink r:id="rId481" ref="Z480"/>
    <hyperlink r:id="rId482" ref="Z481"/>
    <hyperlink r:id="rId483" ref="Z482"/>
    <hyperlink r:id="rId484" ref="Z483"/>
    <hyperlink r:id="rId485" ref="Z484"/>
    <hyperlink r:id="rId486" ref="Z485"/>
    <hyperlink r:id="rId487" ref="Z486"/>
    <hyperlink r:id="rId488" ref="Z487"/>
    <hyperlink r:id="rId489" ref="Z488"/>
    <hyperlink r:id="rId490" ref="Z489"/>
    <hyperlink r:id="rId491" ref="Z490"/>
    <hyperlink r:id="rId492" ref="Z491"/>
    <hyperlink r:id="rId493" ref="Z492"/>
    <hyperlink r:id="rId494" ref="Z493"/>
    <hyperlink r:id="rId495" ref="Z494"/>
    <hyperlink r:id="rId496" ref="Z495"/>
    <hyperlink r:id="rId497" ref="Z496"/>
    <hyperlink r:id="rId498" ref="Z497"/>
    <hyperlink r:id="rId499" ref="Z498"/>
    <hyperlink r:id="rId500" ref="Z499"/>
    <hyperlink r:id="rId501" ref="Z500"/>
    <hyperlink r:id="rId502" ref="Z501"/>
    <hyperlink r:id="rId503" ref="Z502"/>
    <hyperlink r:id="rId504" ref="Z503"/>
    <hyperlink r:id="rId505" ref="Z504"/>
    <hyperlink r:id="rId506" ref="Z505"/>
    <hyperlink r:id="rId507" ref="Z506"/>
    <hyperlink r:id="rId508" ref="Z507"/>
    <hyperlink r:id="rId509" ref="Z508"/>
    <hyperlink r:id="rId510" ref="Z509"/>
    <hyperlink r:id="rId511" ref="Z510"/>
    <hyperlink r:id="rId512" ref="Z511"/>
    <hyperlink r:id="rId513" ref="Z512"/>
    <hyperlink r:id="rId514" ref="Z513"/>
    <hyperlink r:id="rId515" ref="Z514"/>
    <hyperlink r:id="rId516" ref="Z515"/>
    <hyperlink r:id="rId517" ref="Z516"/>
    <hyperlink r:id="rId518" ref="Z517"/>
    <hyperlink r:id="rId519" ref="Z518"/>
    <hyperlink r:id="rId520" ref="Z519"/>
    <hyperlink r:id="rId521" ref="Z520"/>
    <hyperlink r:id="rId522" ref="Z521"/>
    <hyperlink r:id="rId523" ref="Z522"/>
    <hyperlink r:id="rId524" ref="Z523"/>
    <hyperlink r:id="rId525" ref="Z524"/>
    <hyperlink r:id="rId526" ref="Z525"/>
    <hyperlink r:id="rId527" ref="Z526"/>
    <hyperlink r:id="rId528" ref="Z527"/>
    <hyperlink r:id="rId529" ref="Z528"/>
    <hyperlink r:id="rId530" ref="Z529"/>
    <hyperlink r:id="rId531" ref="Z530"/>
    <hyperlink r:id="rId532" ref="Z531"/>
    <hyperlink r:id="rId533" ref="Z532"/>
    <hyperlink r:id="rId534" ref="Z533"/>
    <hyperlink r:id="rId535" ref="Z534"/>
    <hyperlink r:id="rId536" ref="Z535"/>
    <hyperlink r:id="rId537" ref="Z536"/>
    <hyperlink r:id="rId538" ref="Z537"/>
    <hyperlink r:id="rId539" ref="Z538"/>
    <hyperlink r:id="rId540" ref="Z539"/>
    <hyperlink r:id="rId541" ref="Z540"/>
    <hyperlink r:id="rId542" ref="Z541"/>
    <hyperlink r:id="rId543" ref="Z542"/>
    <hyperlink r:id="rId544" ref="Z543"/>
    <hyperlink r:id="rId545" ref="Z544"/>
    <hyperlink r:id="rId546" ref="Z545"/>
    <hyperlink r:id="rId547" ref="Z546"/>
    <hyperlink r:id="rId548" ref="Z547"/>
    <hyperlink r:id="rId549" ref="Z548"/>
    <hyperlink r:id="rId550" ref="Z549"/>
    <hyperlink r:id="rId551" ref="Z550"/>
    <hyperlink r:id="rId552" ref="Z551"/>
    <hyperlink r:id="rId553" ref="Z552"/>
    <hyperlink r:id="rId554" ref="Z553"/>
    <hyperlink r:id="rId555" ref="Z554"/>
    <hyperlink r:id="rId556" ref="Z555"/>
    <hyperlink r:id="rId557" ref="Z556"/>
    <hyperlink r:id="rId558" ref="Z557"/>
    <hyperlink r:id="rId559" ref="Z558"/>
    <hyperlink r:id="rId560" ref="Z559"/>
    <hyperlink r:id="rId561" ref="Z560"/>
    <hyperlink r:id="rId562" ref="Z561"/>
    <hyperlink r:id="rId563" ref="Z562"/>
    <hyperlink r:id="rId564" ref="Z563"/>
    <hyperlink r:id="rId565" ref="Z564"/>
    <hyperlink r:id="rId566" ref="Z565"/>
    <hyperlink r:id="rId567" ref="Z566"/>
    <hyperlink r:id="rId568" ref="Z567"/>
    <hyperlink r:id="rId569" ref="Z568"/>
    <hyperlink r:id="rId570" ref="Z569"/>
    <hyperlink r:id="rId571" ref="Z570"/>
    <hyperlink r:id="rId572" ref="Z571"/>
    <hyperlink r:id="rId573" ref="Z572"/>
    <hyperlink r:id="rId574" ref="Z573"/>
    <hyperlink r:id="rId575" ref="Z574"/>
    <hyperlink r:id="rId576" ref="Z575"/>
    <hyperlink r:id="rId577" ref="Z576"/>
    <hyperlink r:id="rId578" ref="Z577"/>
    <hyperlink r:id="rId579" ref="Z578"/>
    <hyperlink r:id="rId580" ref="Z579"/>
    <hyperlink r:id="rId581" ref="Z580"/>
    <hyperlink r:id="rId582" ref="Z581"/>
    <hyperlink r:id="rId583" ref="Z582"/>
    <hyperlink r:id="rId584" ref="Z583"/>
    <hyperlink r:id="rId585" ref="Z584"/>
    <hyperlink r:id="rId586" ref="Z585"/>
    <hyperlink r:id="rId587" ref="Z586"/>
    <hyperlink r:id="rId588" ref="Z587"/>
    <hyperlink r:id="rId589" ref="Z588"/>
    <hyperlink r:id="rId590" ref="Z589"/>
    <hyperlink r:id="rId591" ref="Z590"/>
    <hyperlink r:id="rId592" ref="Z591"/>
    <hyperlink r:id="rId593" ref="Z592"/>
    <hyperlink r:id="rId594" ref="Z593"/>
    <hyperlink r:id="rId595" ref="Z594"/>
    <hyperlink r:id="rId596" ref="Z595"/>
    <hyperlink r:id="rId597" ref="Z596"/>
    <hyperlink r:id="rId598" ref="Z597"/>
    <hyperlink r:id="rId599" ref="Z598"/>
    <hyperlink r:id="rId600" ref="Z599"/>
    <hyperlink r:id="rId601" ref="Z600"/>
    <hyperlink r:id="rId602" ref="Z601"/>
    <hyperlink r:id="rId603" ref="Z602"/>
    <hyperlink r:id="rId604" ref="Z603"/>
    <hyperlink r:id="rId605" ref="Z604"/>
    <hyperlink r:id="rId606" ref="Z605"/>
    <hyperlink r:id="rId607" ref="Z606"/>
    <hyperlink r:id="rId608" ref="Z607"/>
    <hyperlink r:id="rId609" ref="Z608"/>
    <hyperlink r:id="rId610" ref="Z609"/>
    <hyperlink r:id="rId611" ref="Z610"/>
    <hyperlink r:id="rId612" ref="Z611"/>
    <hyperlink r:id="rId613" ref="Z612"/>
    <hyperlink r:id="rId614" ref="Z613"/>
    <hyperlink r:id="rId615" ref="Z614"/>
    <hyperlink r:id="rId616" ref="Z615"/>
    <hyperlink r:id="rId617" ref="Z616"/>
    <hyperlink r:id="rId618" ref="Z617"/>
    <hyperlink r:id="rId619" ref="Z618"/>
    <hyperlink r:id="rId620" ref="Z619"/>
    <hyperlink r:id="rId621" ref="Z620"/>
    <hyperlink r:id="rId622" ref="Z621"/>
    <hyperlink r:id="rId623" ref="Z622"/>
    <hyperlink r:id="rId624" ref="Z623"/>
    <hyperlink r:id="rId625" ref="Z624"/>
    <hyperlink r:id="rId626" ref="Z625"/>
    <hyperlink r:id="rId627" ref="Z626"/>
    <hyperlink r:id="rId628" ref="Z627"/>
    <hyperlink r:id="rId629" ref="Z628"/>
    <hyperlink r:id="rId630" ref="Z629"/>
    <hyperlink r:id="rId631" ref="Z630"/>
    <hyperlink r:id="rId632" ref="Z631"/>
    <hyperlink r:id="rId633" ref="Z632"/>
    <hyperlink r:id="rId634" ref="Z633"/>
    <hyperlink r:id="rId635" ref="Z634"/>
    <hyperlink r:id="rId636" ref="Z635"/>
    <hyperlink r:id="rId637" ref="Z636"/>
    <hyperlink r:id="rId638" ref="Z637"/>
    <hyperlink r:id="rId639" ref="Z638"/>
    <hyperlink r:id="rId640" ref="Z639"/>
    <hyperlink r:id="rId641" ref="Z640"/>
    <hyperlink r:id="rId642" ref="Z641"/>
    <hyperlink r:id="rId643" ref="Z642"/>
    <hyperlink r:id="rId644" ref="Z643"/>
    <hyperlink r:id="rId645" ref="Z644"/>
    <hyperlink r:id="rId646" ref="Z645"/>
    <hyperlink r:id="rId647" ref="Z646"/>
    <hyperlink r:id="rId648" ref="Z647"/>
    <hyperlink r:id="rId649" ref="Z648"/>
    <hyperlink r:id="rId650" ref="Z649"/>
    <hyperlink r:id="rId651" ref="Z650"/>
    <hyperlink r:id="rId652" ref="Z651"/>
    <hyperlink r:id="rId653" ref="Z652"/>
    <hyperlink r:id="rId654" ref="Z653"/>
    <hyperlink r:id="rId655" ref="Z654"/>
    <hyperlink r:id="rId656" ref="Z655"/>
    <hyperlink r:id="rId657" ref="Z656"/>
    <hyperlink r:id="rId658" ref="Z657"/>
    <hyperlink r:id="rId659" ref="Z658"/>
    <hyperlink r:id="rId660" ref="Z659"/>
    <hyperlink r:id="rId661" ref="Z660"/>
    <hyperlink r:id="rId662" ref="Z661"/>
    <hyperlink r:id="rId663" ref="Z662"/>
    <hyperlink r:id="rId664" ref="Z663"/>
    <hyperlink r:id="rId665" ref="Z664"/>
    <hyperlink r:id="rId666" ref="Z665"/>
    <hyperlink r:id="rId667" ref="Z666"/>
    <hyperlink r:id="rId668" ref="Z667"/>
    <hyperlink r:id="rId669" ref="Z668"/>
    <hyperlink r:id="rId670" ref="Z669"/>
    <hyperlink r:id="rId671" ref="Z670"/>
    <hyperlink r:id="rId672" ref="Z671"/>
    <hyperlink r:id="rId673" ref="Z672"/>
    <hyperlink r:id="rId674" ref="Z673"/>
    <hyperlink r:id="rId675" ref="Z674"/>
    <hyperlink r:id="rId676" ref="Z675"/>
    <hyperlink r:id="rId677" ref="Z676"/>
    <hyperlink r:id="rId678" ref="Z677"/>
    <hyperlink r:id="rId679" ref="Z678"/>
    <hyperlink r:id="rId680" ref="Z679"/>
    <hyperlink r:id="rId681" ref="Z680"/>
    <hyperlink r:id="rId682" ref="Z681"/>
    <hyperlink r:id="rId683" ref="Z682"/>
    <hyperlink r:id="rId684" ref="Z683"/>
    <hyperlink r:id="rId685" ref="Z684"/>
    <hyperlink r:id="rId686" ref="Z685"/>
    <hyperlink r:id="rId687" ref="Z686"/>
    <hyperlink r:id="rId688" ref="Z687"/>
    <hyperlink r:id="rId689" ref="Z688"/>
    <hyperlink r:id="rId690" ref="Z689"/>
    <hyperlink r:id="rId691" ref="Z690"/>
    <hyperlink r:id="rId692" ref="Z691"/>
    <hyperlink r:id="rId693" ref="Z692"/>
    <hyperlink r:id="rId694" ref="Z693"/>
    <hyperlink r:id="rId695" ref="Z694"/>
    <hyperlink r:id="rId696" ref="Z695"/>
    <hyperlink r:id="rId697" ref="Z696"/>
    <hyperlink r:id="rId698" ref="Z697"/>
    <hyperlink r:id="rId699" ref="Z698"/>
    <hyperlink r:id="rId700" ref="Z699"/>
    <hyperlink r:id="rId701" ref="Z700"/>
    <hyperlink r:id="rId702" ref="Z701"/>
    <hyperlink r:id="rId703" ref="Z702"/>
    <hyperlink r:id="rId704" ref="Z703"/>
    <hyperlink r:id="rId705" ref="Z704"/>
    <hyperlink r:id="rId706" ref="Z705"/>
    <hyperlink r:id="rId707" ref="Z706"/>
    <hyperlink r:id="rId708" ref="Z707"/>
    <hyperlink r:id="rId709" ref="Z708"/>
    <hyperlink r:id="rId710" ref="Z709"/>
    <hyperlink r:id="rId711" ref="Z710"/>
    <hyperlink r:id="rId712" ref="Z711"/>
    <hyperlink r:id="rId713" ref="Z712"/>
    <hyperlink r:id="rId714" ref="Z713"/>
    <hyperlink r:id="rId715" ref="Z714"/>
    <hyperlink r:id="rId716" ref="Z715"/>
    <hyperlink r:id="rId717" ref="Z716"/>
    <hyperlink r:id="rId718" ref="Z717"/>
    <hyperlink r:id="rId719" ref="Z718"/>
    <hyperlink r:id="rId720" ref="Z719"/>
    <hyperlink r:id="rId721" ref="Z720"/>
    <hyperlink r:id="rId722" ref="Z721"/>
    <hyperlink r:id="rId723" ref="Z722"/>
    <hyperlink r:id="rId724" ref="Z723"/>
    <hyperlink r:id="rId725" ref="Z724"/>
    <hyperlink r:id="rId726" ref="Z725"/>
    <hyperlink r:id="rId727" ref="Z726"/>
    <hyperlink r:id="rId728" ref="Z727"/>
    <hyperlink r:id="rId729" ref="Z728"/>
    <hyperlink r:id="rId730" ref="Z729"/>
    <hyperlink r:id="rId731" ref="Z730"/>
    <hyperlink r:id="rId732" ref="Z731"/>
    <hyperlink r:id="rId733" ref="Z732"/>
    <hyperlink r:id="rId734" ref="Z733"/>
    <hyperlink r:id="rId735" ref="Z734"/>
    <hyperlink r:id="rId736" ref="Z735"/>
    <hyperlink r:id="rId737" ref="Z736"/>
    <hyperlink r:id="rId738" ref="Z737"/>
    <hyperlink r:id="rId739" ref="Z738"/>
    <hyperlink r:id="rId740" ref="Z739"/>
    <hyperlink r:id="rId741" ref="Z740"/>
    <hyperlink r:id="rId742" ref="Z741"/>
    <hyperlink r:id="rId743" ref="Z742"/>
    <hyperlink r:id="rId744" ref="Z743"/>
    <hyperlink r:id="rId745" ref="Z744"/>
    <hyperlink r:id="rId746" ref="Z745"/>
    <hyperlink r:id="rId747" ref="Z746"/>
    <hyperlink r:id="rId748" ref="Z747"/>
    <hyperlink r:id="rId749" ref="Z748"/>
    <hyperlink r:id="rId750" ref="Z749"/>
    <hyperlink r:id="rId751" ref="Z750"/>
    <hyperlink r:id="rId752" ref="Z751"/>
    <hyperlink r:id="rId753" ref="Z752"/>
    <hyperlink r:id="rId754" ref="Z753"/>
    <hyperlink r:id="rId755" ref="Z754"/>
    <hyperlink r:id="rId756" ref="Z755"/>
    <hyperlink r:id="rId757" ref="Z756"/>
    <hyperlink r:id="rId758" ref="Z757"/>
    <hyperlink r:id="rId759" ref="Z758"/>
    <hyperlink r:id="rId760" ref="Z759"/>
    <hyperlink r:id="rId761" ref="Z760"/>
    <hyperlink r:id="rId762" ref="Z761"/>
    <hyperlink r:id="rId763" ref="Z762"/>
    <hyperlink r:id="rId764" ref="Z763"/>
    <hyperlink r:id="rId765" ref="Z764"/>
    <hyperlink r:id="rId766" ref="Z765"/>
    <hyperlink r:id="rId767" ref="Z766"/>
    <hyperlink r:id="rId768" ref="Z767"/>
    <hyperlink r:id="rId769" ref="Z768"/>
    <hyperlink r:id="rId770" ref="Z769"/>
    <hyperlink r:id="rId771" ref="Z770"/>
    <hyperlink r:id="rId772" ref="Z771"/>
    <hyperlink r:id="rId773" ref="Z772"/>
    <hyperlink r:id="rId774" ref="Z773"/>
    <hyperlink r:id="rId775" ref="Z774"/>
    <hyperlink r:id="rId776" ref="Z775"/>
    <hyperlink r:id="rId777" ref="Z776"/>
    <hyperlink r:id="rId778" ref="Z777"/>
    <hyperlink r:id="rId779" ref="Z778"/>
    <hyperlink r:id="rId780" ref="Z779"/>
    <hyperlink r:id="rId781" ref="Z780"/>
    <hyperlink r:id="rId782" ref="Z781"/>
    <hyperlink r:id="rId783" ref="Z782"/>
    <hyperlink r:id="rId784" ref="Z783"/>
    <hyperlink r:id="rId785" ref="Z784"/>
    <hyperlink r:id="rId786" ref="Z785"/>
    <hyperlink r:id="rId787" ref="Z786"/>
    <hyperlink r:id="rId788" ref="Z787"/>
    <hyperlink r:id="rId789" ref="Z788"/>
    <hyperlink r:id="rId790" ref="Z789"/>
    <hyperlink r:id="rId791" ref="Z790"/>
    <hyperlink r:id="rId792" ref="Z791"/>
    <hyperlink r:id="rId793" ref="Z792"/>
    <hyperlink r:id="rId794" ref="Z793"/>
    <hyperlink r:id="rId795" ref="Z794"/>
    <hyperlink r:id="rId796" ref="Z795"/>
    <hyperlink r:id="rId797" ref="Z796"/>
    <hyperlink r:id="rId798" ref="Z797"/>
    <hyperlink r:id="rId799" ref="Z798"/>
    <hyperlink r:id="rId800" ref="Z799"/>
    <hyperlink r:id="rId801" ref="Z800"/>
    <hyperlink r:id="rId802" ref="Z801"/>
    <hyperlink r:id="rId803" ref="Z802"/>
    <hyperlink r:id="rId804" ref="Z803"/>
    <hyperlink r:id="rId805" ref="Z804"/>
    <hyperlink r:id="rId806" ref="Z805"/>
    <hyperlink r:id="rId807" ref="Z806"/>
    <hyperlink r:id="rId808" ref="Z807"/>
    <hyperlink r:id="rId809" ref="Z808"/>
    <hyperlink r:id="rId810" ref="Z809"/>
    <hyperlink r:id="rId811" ref="Z810"/>
    <hyperlink r:id="rId812" ref="Z811"/>
    <hyperlink r:id="rId813" ref="Z812"/>
    <hyperlink r:id="rId814" ref="Z813"/>
    <hyperlink r:id="rId815" ref="Z814"/>
    <hyperlink r:id="rId816" ref="Z815"/>
    <hyperlink r:id="rId817" ref="Z816"/>
    <hyperlink r:id="rId818" ref="Z817"/>
    <hyperlink r:id="rId819" ref="Z818"/>
    <hyperlink r:id="rId820" ref="Z819"/>
    <hyperlink r:id="rId821" ref="Z820"/>
    <hyperlink r:id="rId822" ref="Z821"/>
    <hyperlink r:id="rId823" ref="Z822"/>
    <hyperlink r:id="rId824" ref="Z823"/>
    <hyperlink r:id="rId825" ref="Z824"/>
    <hyperlink r:id="rId826" ref="Z825"/>
    <hyperlink r:id="rId827" ref="Z826"/>
    <hyperlink r:id="rId828" ref="Z827"/>
    <hyperlink r:id="rId829" ref="Z828"/>
    <hyperlink r:id="rId830" ref="Z829"/>
    <hyperlink r:id="rId831" ref="Z830"/>
    <hyperlink r:id="rId832" ref="Z831"/>
    <hyperlink r:id="rId833" ref="Z832"/>
    <hyperlink r:id="rId834" ref="Z833"/>
    <hyperlink r:id="rId835" ref="Z834"/>
    <hyperlink r:id="rId836" ref="Z835"/>
    <hyperlink r:id="rId837" ref="Z836"/>
    <hyperlink r:id="rId838" ref="Z837"/>
    <hyperlink r:id="rId839" ref="Z838"/>
    <hyperlink r:id="rId840" ref="Z839"/>
    <hyperlink r:id="rId841" ref="Z840"/>
    <hyperlink r:id="rId842" ref="Z841"/>
    <hyperlink r:id="rId843" ref="Z842"/>
    <hyperlink r:id="rId844" ref="Z843"/>
    <hyperlink r:id="rId845" ref="Z844"/>
    <hyperlink r:id="rId846" ref="Z845"/>
    <hyperlink r:id="rId847" ref="Z846"/>
    <hyperlink r:id="rId848" ref="Z847"/>
    <hyperlink r:id="rId849" ref="Z848"/>
    <hyperlink r:id="rId850" ref="Z849"/>
    <hyperlink r:id="rId851" ref="Z850"/>
    <hyperlink r:id="rId852" ref="Z851"/>
    <hyperlink r:id="rId853" ref="Z852"/>
    <hyperlink r:id="rId854" ref="Z853"/>
    <hyperlink r:id="rId855" ref="Z854"/>
    <hyperlink r:id="rId856" ref="Z855"/>
    <hyperlink r:id="rId857" ref="Z856"/>
    <hyperlink r:id="rId858" ref="Z857"/>
    <hyperlink r:id="rId859" ref="Z858"/>
    <hyperlink r:id="rId860" ref="Z859"/>
    <hyperlink r:id="rId861" ref="Z860"/>
    <hyperlink r:id="rId862" ref="Z861"/>
    <hyperlink r:id="rId863" ref="Z862"/>
    <hyperlink r:id="rId864" ref="Z863"/>
    <hyperlink r:id="rId865" ref="Z864"/>
    <hyperlink r:id="rId866" ref="Z865"/>
    <hyperlink r:id="rId867" ref="Z866"/>
    <hyperlink r:id="rId868" ref="Z867"/>
    <hyperlink r:id="rId869" ref="Z868"/>
    <hyperlink r:id="rId870" ref="Z869"/>
    <hyperlink r:id="rId871" ref="Z870"/>
    <hyperlink r:id="rId872" ref="Z871"/>
    <hyperlink r:id="rId873" ref="Z872"/>
    <hyperlink r:id="rId874" ref="Z873"/>
    <hyperlink r:id="rId875" ref="Z874"/>
    <hyperlink r:id="rId876" ref="Z875"/>
    <hyperlink r:id="rId877" ref="Z876"/>
    <hyperlink r:id="rId878" ref="Z877"/>
    <hyperlink r:id="rId879" ref="Z878"/>
    <hyperlink r:id="rId880" ref="Z879"/>
    <hyperlink r:id="rId881" ref="Z880"/>
    <hyperlink r:id="rId882" ref="Z881"/>
    <hyperlink r:id="rId883" ref="Z882"/>
    <hyperlink r:id="rId884" ref="Z883"/>
    <hyperlink r:id="rId885" ref="Z884"/>
    <hyperlink r:id="rId886" ref="Z885"/>
    <hyperlink r:id="rId887" ref="Z886"/>
    <hyperlink r:id="rId888" ref="Z887"/>
    <hyperlink r:id="rId889" ref="Z888"/>
    <hyperlink r:id="rId890" ref="Z889"/>
    <hyperlink r:id="rId891" ref="Z890"/>
    <hyperlink r:id="rId892" ref="Z891"/>
    <hyperlink r:id="rId893" ref="Z892"/>
    <hyperlink r:id="rId894" ref="Z893"/>
    <hyperlink r:id="rId895" ref="Z894"/>
    <hyperlink r:id="rId896" ref="Z895"/>
    <hyperlink r:id="rId897" ref="Z896"/>
    <hyperlink r:id="rId898" ref="Z897"/>
    <hyperlink r:id="rId899" ref="Z898"/>
    <hyperlink r:id="rId900" ref="Z899"/>
    <hyperlink r:id="rId901" ref="Z900"/>
    <hyperlink r:id="rId902" ref="Z901"/>
    <hyperlink r:id="rId903" ref="Z902"/>
    <hyperlink r:id="rId904" ref="Z903"/>
    <hyperlink r:id="rId905" ref="Z904"/>
    <hyperlink r:id="rId906" ref="Z905"/>
    <hyperlink r:id="rId907" ref="Z906"/>
    <hyperlink r:id="rId908" ref="Z907"/>
    <hyperlink r:id="rId909" ref="Z908"/>
    <hyperlink r:id="rId910" ref="Z909"/>
    <hyperlink r:id="rId911" ref="Z910"/>
    <hyperlink r:id="rId912" ref="Z911"/>
    <hyperlink r:id="rId913" ref="Z912"/>
    <hyperlink r:id="rId914" ref="Z913"/>
    <hyperlink r:id="rId915" ref="Z914"/>
    <hyperlink r:id="rId916" ref="Z915"/>
    <hyperlink r:id="rId917" ref="Z916"/>
    <hyperlink r:id="rId918" ref="Z917"/>
    <hyperlink r:id="rId919" ref="Z918"/>
    <hyperlink r:id="rId920" ref="Z919"/>
    <hyperlink r:id="rId921" ref="Z920"/>
    <hyperlink r:id="rId922" ref="Z921"/>
    <hyperlink r:id="rId923" ref="Z922"/>
    <hyperlink r:id="rId924" ref="Z923"/>
    <hyperlink r:id="rId925" ref="Z924"/>
    <hyperlink r:id="rId926" ref="Z925"/>
    <hyperlink r:id="rId927" ref="Z926"/>
    <hyperlink r:id="rId928" ref="Z927"/>
    <hyperlink r:id="rId929" ref="Z928"/>
    <hyperlink r:id="rId930" ref="Z929"/>
    <hyperlink r:id="rId931" ref="Z930"/>
    <hyperlink r:id="rId932" ref="Z931"/>
    <hyperlink r:id="rId933" ref="Z932"/>
    <hyperlink r:id="rId934" ref="Z933"/>
    <hyperlink r:id="rId935" ref="Z934"/>
    <hyperlink r:id="rId936" ref="Z935"/>
    <hyperlink r:id="rId937" ref="Z936"/>
    <hyperlink r:id="rId938" ref="Z937"/>
    <hyperlink r:id="rId939" ref="Z938"/>
    <hyperlink r:id="rId940" ref="Z939"/>
    <hyperlink r:id="rId941" ref="Z940"/>
    <hyperlink r:id="rId942" ref="Z941"/>
    <hyperlink r:id="rId943" ref="Z942"/>
    <hyperlink r:id="rId944" ref="Z943"/>
    <hyperlink r:id="rId945" ref="Z944"/>
    <hyperlink r:id="rId946" ref="Z945"/>
    <hyperlink r:id="rId947" ref="Z946"/>
    <hyperlink r:id="rId948" ref="Z947"/>
    <hyperlink r:id="rId949" ref="Z948"/>
    <hyperlink r:id="rId950" ref="Z949"/>
    <hyperlink r:id="rId951" ref="Z950"/>
    <hyperlink r:id="rId952" ref="Z951"/>
    <hyperlink r:id="rId953" ref="Z952"/>
    <hyperlink r:id="rId954" ref="Z953"/>
    <hyperlink r:id="rId955" ref="Z954"/>
    <hyperlink r:id="rId956" ref="Z955"/>
    <hyperlink r:id="rId957" ref="Z956"/>
    <hyperlink r:id="rId958" ref="Z957"/>
    <hyperlink r:id="rId959" ref="Z958"/>
    <hyperlink r:id="rId960" ref="Z959"/>
    <hyperlink r:id="rId961" ref="Z960"/>
    <hyperlink r:id="rId962" ref="Z961"/>
    <hyperlink r:id="rId963" ref="Z962"/>
    <hyperlink r:id="rId964" ref="Z963"/>
    <hyperlink r:id="rId965" ref="Z964"/>
    <hyperlink r:id="rId966" ref="Z965"/>
    <hyperlink r:id="rId967" ref="Z966"/>
    <hyperlink r:id="rId968" ref="Z967"/>
    <hyperlink r:id="rId969" ref="Z968"/>
    <hyperlink r:id="rId970" ref="Z969"/>
    <hyperlink r:id="rId971" ref="Z970"/>
    <hyperlink r:id="rId972" ref="Z971"/>
    <hyperlink r:id="rId973" ref="Z972"/>
    <hyperlink r:id="rId974" ref="Z973"/>
    <hyperlink r:id="rId975" ref="Z974"/>
    <hyperlink r:id="rId976" ref="Z975"/>
    <hyperlink r:id="rId977" ref="Z976"/>
    <hyperlink r:id="rId978" ref="Z977"/>
    <hyperlink r:id="rId979" ref="Z978"/>
    <hyperlink r:id="rId980" ref="Z979"/>
    <hyperlink r:id="rId981" ref="Z980"/>
    <hyperlink r:id="rId982" ref="Z981"/>
    <hyperlink r:id="rId983" ref="Z982"/>
    <hyperlink r:id="rId984" ref="Z983"/>
    <hyperlink r:id="rId985" ref="Z984"/>
    <hyperlink r:id="rId986" ref="Z985"/>
    <hyperlink r:id="rId987" ref="Z986"/>
    <hyperlink r:id="rId988" ref="Z987"/>
    <hyperlink r:id="rId989" ref="Z988"/>
    <hyperlink r:id="rId990" ref="Z989"/>
    <hyperlink r:id="rId991" ref="Z990"/>
    <hyperlink r:id="rId992" ref="Z991"/>
    <hyperlink r:id="rId993" ref="Z992"/>
    <hyperlink r:id="rId994" ref="Z993"/>
    <hyperlink r:id="rId995" ref="Z994"/>
    <hyperlink r:id="rId996" ref="Z995"/>
    <hyperlink r:id="rId997" ref="Z996"/>
    <hyperlink r:id="rId998" ref="Z997"/>
    <hyperlink r:id="rId999" ref="Z998"/>
    <hyperlink r:id="rId1000" ref="Z999"/>
    <hyperlink r:id="rId1001" ref="Z1000"/>
  </hyperlinks>
  <drawing r:id="rId1002"/>
  <legacyDrawing r:id="rId1003"/>
</worksheet>
</file>